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66925"/>
  <mc:AlternateContent xmlns:mc="http://schemas.openxmlformats.org/markup-compatibility/2006">
    <mc:Choice Requires="x15">
      <x15ac:absPath xmlns:x15ac="http://schemas.microsoft.com/office/spreadsheetml/2010/11/ac" url="https://jacobsengineering.sharepoint.com/sites/CP000000ODOTGS/Shared Documents/TO6_BUILD/05_BCA/"/>
    </mc:Choice>
  </mc:AlternateContent>
  <xr:revisionPtr revIDLastSave="37" documentId="8_{63168E99-A0AA-4129-9E02-713C89A32E0B}" xr6:coauthVersionLast="47" xr6:coauthVersionMax="47" xr10:uidLastSave="{47E7E007-3059-4D73-939A-D43F9FE5B58A}"/>
  <bookViews>
    <workbookView xWindow="-120" yWindow="-16320" windowWidth="29040" windowHeight="15720" tabRatio="851" firstSheet="1" activeTab="5" xr2:uid="{00000000-000D-0000-FFFF-FFFF00000000}"/>
  </bookViews>
  <sheets>
    <sheet name="Cover Sheet" sheetId="70" r:id="rId1"/>
    <sheet name="Guide for Reviewers" sheetId="65" r:id="rId2"/>
    <sheet name="Model Flow Diagram" sheetId="105" r:id="rId3"/>
    <sheet name="Dashboard" sheetId="84" r:id="rId4"/>
    <sheet name="Dashboard_Data" sheetId="85" state="hidden" r:id="rId5"/>
    <sheet name="Quick Summary" sheetId="34" r:id="rId6"/>
    <sheet name="Inflation Adjustment Chart" sheetId="51" r:id="rId7"/>
    <sheet name="StockValueC" sheetId="23" r:id="rId8"/>
    <sheet name="StockValueR" sheetId="22" r:id="rId9"/>
    <sheet name="Project InputsC" sheetId="57" r:id="rId10"/>
    <sheet name="Project Costs" sheetId="67" r:id="rId11"/>
    <sheet name="Safety Inputs" sheetId="78" r:id="rId12"/>
    <sheet name="Validation List" sheetId="93" state="hidden" r:id="rId13"/>
    <sheet name="SegmentTraffic Inputs" sheetId="90" r:id="rId14"/>
    <sheet name="INTERMEDIATE CALCS" sheetId="55" r:id="rId15"/>
    <sheet name="Summarized Quantified Calcs" sheetId="1" r:id="rId16"/>
    <sheet name="Values" sheetId="24" r:id="rId17"/>
    <sheet name="UnDisc Results" sheetId="28" r:id="rId18"/>
    <sheet name="Disc Results" sheetId="31" r:id="rId19"/>
    <sheet name="Undiscounted Summary" sheetId="71" r:id="rId20"/>
    <sheet name="Discounted Summary" sheetId="33" r:id="rId21"/>
    <sheet name="Calculations &amp; Source Data--&gt;" sheetId="63" r:id="rId22"/>
    <sheet name="Discount Calc" sheetId="10" r:id="rId23"/>
    <sheet name="Resid Value Calc" sheetId="38" r:id="rId24"/>
    <sheet name="Crash Data ODOT" sheetId="112" r:id="rId25"/>
    <sheet name="Crash Data OHSO" sheetId="115" r:id="rId26"/>
    <sheet name="Costs Calc" sheetId="53" r:id="rId27"/>
    <sheet name="Traffic Analysis_Segments" sheetId="92" r:id="rId28"/>
    <sheet name="Daily Traffic Profile" sheetId="114" r:id="rId29"/>
    <sheet name="AADT Report" sheetId="116" r:id="rId30"/>
  </sheets>
  <definedNames>
    <definedName name="_xlnm._FilterDatabase" localSheetId="7" hidden="1">StockValueC!$H$2:$H$1049</definedName>
    <definedName name="base_year">#REF!</definedName>
    <definedName name="discount_rate">#REF!</definedName>
    <definedName name="DiscountRates" localSheetId="11">'Safety Inputs'!#REF!</definedName>
    <definedName name="DiscountRates" localSheetId="13">'SegmentTraffic Inputs'!#REF!</definedName>
    <definedName name="DiscountRates">'Project InputsC'!#REF!</definedName>
    <definedName name="end_year">#REF!</definedName>
    <definedName name="Epansion_Factor">#REF!</definedName>
    <definedName name="pass_car">#REF!</definedName>
    <definedName name="Project_Life">#REF!</definedName>
    <definedName name="study_period">#REF!</definedName>
    <definedName name="ValTimeTruc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34" l="1"/>
  <c r="AH128" i="90"/>
  <c r="K84" i="90"/>
  <c r="AH84" i="90"/>
  <c r="F124" i="92"/>
  <c r="F123" i="92"/>
  <c r="F122" i="92"/>
  <c r="J31" i="116"/>
  <c r="J30" i="116"/>
  <c r="J29" i="116"/>
  <c r="J28" i="116"/>
  <c r="J27" i="116"/>
  <c r="J26" i="116"/>
  <c r="J25" i="116"/>
  <c r="J24" i="116"/>
  <c r="J23" i="116"/>
  <c r="J22" i="116"/>
  <c r="J21" i="116"/>
  <c r="J20" i="116"/>
  <c r="J19" i="116"/>
  <c r="J18" i="116"/>
  <c r="J17" i="116"/>
  <c r="J15" i="116"/>
  <c r="A9" i="116"/>
  <c r="Q11" i="116"/>
  <c r="H49" i="90"/>
  <c r="H31" i="78"/>
  <c r="H32" i="78" s="1"/>
  <c r="A10" i="116" l="1"/>
  <c r="J10" i="24"/>
  <c r="K10" i="24"/>
  <c r="L10" i="24"/>
  <c r="M10" i="24"/>
  <c r="N10" i="24"/>
  <c r="O10" i="24"/>
  <c r="P10" i="24"/>
  <c r="Q10" i="24"/>
  <c r="R10" i="24"/>
  <c r="S10" i="24"/>
  <c r="T10" i="24"/>
  <c r="U10" i="24"/>
  <c r="V10" i="24"/>
  <c r="W10" i="24"/>
  <c r="X10" i="24"/>
  <c r="Y10" i="24"/>
  <c r="Z10" i="24"/>
  <c r="AA10" i="24"/>
  <c r="AB10" i="24"/>
  <c r="AC10" i="24"/>
  <c r="AD10" i="24"/>
  <c r="AE10" i="24"/>
  <c r="AF10" i="24"/>
  <c r="AG10" i="24"/>
  <c r="AH10" i="24"/>
  <c r="AI10" i="24"/>
  <c r="AJ10" i="24"/>
  <c r="AK10" i="24"/>
  <c r="AL10" i="24"/>
  <c r="AM10" i="24"/>
  <c r="AN10" i="24"/>
  <c r="AO10" i="24"/>
  <c r="AP10" i="24"/>
  <c r="AQ10" i="24"/>
  <c r="AR10" i="24"/>
  <c r="AS10" i="24"/>
  <c r="AT10" i="24"/>
  <c r="AU10" i="24"/>
  <c r="AV10" i="24"/>
  <c r="AW10" i="24"/>
  <c r="AX10" i="24"/>
  <c r="AY10" i="24"/>
  <c r="AZ10" i="24"/>
  <c r="BA10" i="24"/>
  <c r="J11" i="24"/>
  <c r="K11" i="24"/>
  <c r="L11" i="24"/>
  <c r="M11" i="24"/>
  <c r="N11" i="24"/>
  <c r="O11" i="24"/>
  <c r="P11" i="24"/>
  <c r="Q11" i="24"/>
  <c r="R11" i="24"/>
  <c r="S11" i="24"/>
  <c r="T11" i="24"/>
  <c r="U11" i="24"/>
  <c r="V11" i="24"/>
  <c r="W11" i="24"/>
  <c r="X11" i="24"/>
  <c r="Y11" i="24"/>
  <c r="Z11" i="24"/>
  <c r="AA11" i="24"/>
  <c r="AB11" i="24"/>
  <c r="AC11" i="24"/>
  <c r="AD11" i="24"/>
  <c r="AE11" i="24"/>
  <c r="AF11" i="24"/>
  <c r="AG11" i="24"/>
  <c r="AH11" i="24"/>
  <c r="AI11" i="24"/>
  <c r="AJ11" i="24"/>
  <c r="AK11" i="24"/>
  <c r="AL11" i="24"/>
  <c r="AM11" i="24"/>
  <c r="AN11" i="24"/>
  <c r="AO11" i="24"/>
  <c r="AP11" i="24"/>
  <c r="AQ11" i="24"/>
  <c r="AR11" i="24"/>
  <c r="AS11" i="24"/>
  <c r="AT11" i="24"/>
  <c r="AU11" i="24"/>
  <c r="AV11" i="24"/>
  <c r="AW11" i="24"/>
  <c r="AX11" i="24"/>
  <c r="AY11" i="24"/>
  <c r="AZ11" i="24"/>
  <c r="BA11" i="24"/>
  <c r="J12" i="24"/>
  <c r="K12" i="24"/>
  <c r="L12" i="24"/>
  <c r="M12" i="24"/>
  <c r="N12" i="24"/>
  <c r="O12" i="24"/>
  <c r="P12" i="24"/>
  <c r="Q12" i="24"/>
  <c r="R12" i="24"/>
  <c r="S12" i="24"/>
  <c r="T12" i="24"/>
  <c r="U12" i="24"/>
  <c r="V12" i="24"/>
  <c r="W12" i="24"/>
  <c r="X12" i="24"/>
  <c r="Y12" i="24"/>
  <c r="Z12" i="24"/>
  <c r="AA12" i="24"/>
  <c r="AB12" i="24"/>
  <c r="AC12" i="24"/>
  <c r="AD12" i="24"/>
  <c r="AE12" i="24"/>
  <c r="AF12" i="24"/>
  <c r="AG12" i="24"/>
  <c r="AH12" i="24"/>
  <c r="AI12" i="24"/>
  <c r="AJ12" i="24"/>
  <c r="AK12" i="24"/>
  <c r="AL12" i="24"/>
  <c r="AM12" i="24"/>
  <c r="AN12" i="24"/>
  <c r="AO12" i="24"/>
  <c r="AP12" i="24"/>
  <c r="AQ12" i="24"/>
  <c r="AR12" i="24"/>
  <c r="AS12" i="24"/>
  <c r="AT12" i="24"/>
  <c r="AU12" i="24"/>
  <c r="AV12" i="24"/>
  <c r="AW12" i="24"/>
  <c r="AX12" i="24"/>
  <c r="AY12" i="24"/>
  <c r="AZ12" i="24"/>
  <c r="BA12" i="24"/>
  <c r="I12" i="24"/>
  <c r="I10" i="24"/>
  <c r="I11" i="24"/>
  <c r="A11" i="116" l="1"/>
  <c r="E5" i="22"/>
  <c r="E4" i="22"/>
  <c r="E5" i="23"/>
  <c r="E4" i="23"/>
  <c r="AV2" i="112"/>
  <c r="AV3" i="112"/>
  <c r="AV4" i="112"/>
  <c r="AV6" i="112"/>
  <c r="AV5" i="112"/>
  <c r="C409" i="92"/>
  <c r="C399" i="92"/>
  <c r="C389" i="92"/>
  <c r="C379" i="92"/>
  <c r="C369" i="92"/>
  <c r="C359" i="92"/>
  <c r="C349" i="92"/>
  <c r="C339" i="92"/>
  <c r="C329" i="92"/>
  <c r="C319" i="92"/>
  <c r="C309" i="92"/>
  <c r="C299" i="92"/>
  <c r="C289" i="92"/>
  <c r="C279" i="92"/>
  <c r="C269" i="92"/>
  <c r="E15" i="34"/>
  <c r="A12" i="116" l="1"/>
  <c r="E104" i="92"/>
  <c r="A13" i="116" l="1"/>
  <c r="A14" i="116" s="1"/>
  <c r="E5" i="114"/>
  <c r="C78" i="92" s="1"/>
  <c r="E6" i="114"/>
  <c r="C79" i="92" s="1"/>
  <c r="E7" i="114"/>
  <c r="C80" i="92" s="1"/>
  <c r="E8" i="114"/>
  <c r="C81" i="92" s="1"/>
  <c r="E9" i="114"/>
  <c r="C82" i="92" s="1"/>
  <c r="E10" i="114"/>
  <c r="C83" i="92" s="1"/>
  <c r="E11" i="114"/>
  <c r="C84" i="92" s="1"/>
  <c r="E12" i="114"/>
  <c r="C85" i="92" s="1"/>
  <c r="E13" i="114"/>
  <c r="C86" i="92" s="1"/>
  <c r="E14" i="114"/>
  <c r="C87" i="92" s="1"/>
  <c r="E15" i="114"/>
  <c r="C88" i="92" s="1"/>
  <c r="E16" i="114"/>
  <c r="C89" i="92" s="1"/>
  <c r="E17" i="114"/>
  <c r="C90" i="92" s="1"/>
  <c r="E18" i="114"/>
  <c r="C91" i="92" s="1"/>
  <c r="C106" i="92" s="1"/>
  <c r="E19" i="114"/>
  <c r="C92" i="92" s="1"/>
  <c r="C107" i="92" s="1"/>
  <c r="E20" i="114"/>
  <c r="C93" i="92" s="1"/>
  <c r="C108" i="92" s="1"/>
  <c r="E21" i="114"/>
  <c r="C94" i="92" s="1"/>
  <c r="C109" i="92" s="1"/>
  <c r="E22" i="114"/>
  <c r="C95" i="92" s="1"/>
  <c r="E23" i="114"/>
  <c r="C96" i="92" s="1"/>
  <c r="E24" i="114"/>
  <c r="C97" i="92" s="1"/>
  <c r="E25" i="114"/>
  <c r="C98" i="92" s="1"/>
  <c r="E26" i="114"/>
  <c r="C99" i="92" s="1"/>
  <c r="E27" i="114"/>
  <c r="C100" i="92" s="1"/>
  <c r="E4" i="114"/>
  <c r="C77" i="92" s="1"/>
  <c r="A15" i="116" l="1"/>
  <c r="D107" i="92"/>
  <c r="D108" i="92"/>
  <c r="D106" i="92"/>
  <c r="D109" i="92"/>
  <c r="D77" i="92"/>
  <c r="H54" i="90"/>
  <c r="H55" i="90" s="1"/>
  <c r="H51" i="90"/>
  <c r="H52" i="90" s="1"/>
  <c r="H22" i="57"/>
  <c r="H18" i="57"/>
  <c r="H14" i="57"/>
  <c r="G128" i="67"/>
  <c r="H126" i="67"/>
  <c r="G116" i="67"/>
  <c r="G115" i="67"/>
  <c r="H110" i="67"/>
  <c r="G113" i="67" s="1"/>
  <c r="G110" i="67"/>
  <c r="F110" i="67"/>
  <c r="E110" i="67"/>
  <c r="G108" i="67"/>
  <c r="G107" i="67"/>
  <c r="G106" i="67"/>
  <c r="G105" i="67"/>
  <c r="H103" i="67"/>
  <c r="H36" i="67"/>
  <c r="H35" i="67"/>
  <c r="H34" i="67"/>
  <c r="C32" i="51"/>
  <c r="C31" i="51"/>
  <c r="C30" i="51"/>
  <c r="C29" i="51"/>
  <c r="C28" i="51"/>
  <c r="C27" i="51"/>
  <c r="C26" i="51"/>
  <c r="C25" i="51"/>
  <c r="C24" i="51"/>
  <c r="C23" i="51"/>
  <c r="C22" i="51"/>
  <c r="C21" i="51"/>
  <c r="C20" i="51"/>
  <c r="C19" i="51"/>
  <c r="C18" i="51"/>
  <c r="C17" i="51"/>
  <c r="C16" i="51"/>
  <c r="C15" i="51"/>
  <c r="C14" i="51"/>
  <c r="C13" i="51"/>
  <c r="C12" i="51"/>
  <c r="C11" i="51"/>
  <c r="C10" i="51"/>
  <c r="C9" i="51"/>
  <c r="C8" i="51"/>
  <c r="G114" i="67" l="1"/>
  <c r="A16" i="116"/>
  <c r="H19" i="57"/>
  <c r="H30" i="57"/>
  <c r="A17" i="116" l="1"/>
  <c r="X788" i="22"/>
  <c r="AF780" i="22"/>
  <c r="AE780" i="22"/>
  <c r="AE779" i="22"/>
  <c r="AH778" i="22"/>
  <c r="AG778" i="22"/>
  <c r="AF778" i="22"/>
  <c r="AE778" i="22"/>
  <c r="V775" i="22"/>
  <c r="AK767" i="22"/>
  <c r="AG767" i="22"/>
  <c r="AH767" i="22" s="1"/>
  <c r="AI767" i="22" s="1"/>
  <c r="AJ767" i="22" s="1"/>
  <c r="AF767" i="22"/>
  <c r="AE767" i="22"/>
  <c r="AF766" i="22"/>
  <c r="AE766" i="22"/>
  <c r="AE765" i="22"/>
  <c r="AJ761" i="22"/>
  <c r="AK761" i="22" s="1"/>
  <c r="AL761" i="22" s="1"/>
  <c r="AM761" i="22" s="1"/>
  <c r="AN761" i="22" s="1"/>
  <c r="AO761" i="22" s="1"/>
  <c r="AP761" i="22" s="1"/>
  <c r="AQ761" i="22" s="1"/>
  <c r="AR761" i="22" s="1"/>
  <c r="AS761" i="22" s="1"/>
  <c r="AT761" i="22" s="1"/>
  <c r="AU761" i="22" s="1"/>
  <c r="AV761" i="22" s="1"/>
  <c r="AW761" i="22" s="1"/>
  <c r="AX761" i="22" s="1"/>
  <c r="AY761" i="22" s="1"/>
  <c r="AZ761" i="22" s="1"/>
  <c r="BA761" i="22" s="1"/>
  <c r="BB761" i="22" s="1"/>
  <c r="BC761" i="22" s="1"/>
  <c r="BD761" i="22" s="1"/>
  <c r="BE761" i="22" s="1"/>
  <c r="AH761" i="22"/>
  <c r="AI761" i="22" s="1"/>
  <c r="AF761" i="22"/>
  <c r="AG761" i="22" s="1"/>
  <c r="AE761" i="22"/>
  <c r="AO760" i="22"/>
  <c r="AP760" i="22" s="1"/>
  <c r="AQ760" i="22" s="1"/>
  <c r="AR760" i="22" s="1"/>
  <c r="AS760" i="22" s="1"/>
  <c r="AT760" i="22" s="1"/>
  <c r="AU760" i="22" s="1"/>
  <c r="AV760" i="22" s="1"/>
  <c r="AW760" i="22" s="1"/>
  <c r="AX760" i="22" s="1"/>
  <c r="AY760" i="22" s="1"/>
  <c r="AZ760" i="22" s="1"/>
  <c r="BA760" i="22" s="1"/>
  <c r="BB760" i="22" s="1"/>
  <c r="BC760" i="22" s="1"/>
  <c r="BD760" i="22" s="1"/>
  <c r="BE760" i="22" s="1"/>
  <c r="AF760" i="22"/>
  <c r="AG760" i="22" s="1"/>
  <c r="AH760" i="22" s="1"/>
  <c r="AI760" i="22" s="1"/>
  <c r="AJ760" i="22" s="1"/>
  <c r="AK760" i="22" s="1"/>
  <c r="AL760" i="22" s="1"/>
  <c r="AM760" i="22" s="1"/>
  <c r="AN760" i="22" s="1"/>
  <c r="AE760" i="22"/>
  <c r="AH759" i="22"/>
  <c r="AG759" i="22"/>
  <c r="AF759" i="22"/>
  <c r="AE759" i="22"/>
  <c r="R753" i="22"/>
  <c r="W752" i="22"/>
  <c r="AE751" i="22"/>
  <c r="O751" i="22"/>
  <c r="AA787" i="22"/>
  <c r="AC754" i="22"/>
  <c r="W754" i="22"/>
  <c r="Q754" i="22"/>
  <c r="P754" i="22"/>
  <c r="K754" i="22"/>
  <c r="AE746" i="22"/>
  <c r="AE745" i="22"/>
  <c r="AF745" i="22" s="1"/>
  <c r="AG744" i="22"/>
  <c r="AE744" i="22"/>
  <c r="AF744" i="22" s="1"/>
  <c r="V740" i="22"/>
  <c r="Y739" i="22"/>
  <c r="X739" i="22"/>
  <c r="AC738" i="22"/>
  <c r="M738" i="22"/>
  <c r="U772" i="22"/>
  <c r="AC741" i="22"/>
  <c r="AA741" i="22"/>
  <c r="Z741" i="22"/>
  <c r="V741" i="22"/>
  <c r="O741" i="22"/>
  <c r="N741" i="22"/>
  <c r="J741" i="22"/>
  <c r="AE733" i="22"/>
  <c r="AF733" i="22" s="1"/>
  <c r="AE732" i="22"/>
  <c r="AE731" i="22"/>
  <c r="BE727" i="22"/>
  <c r="AQ727" i="22"/>
  <c r="AR727" i="22" s="1"/>
  <c r="AS727" i="22" s="1"/>
  <c r="AT727" i="22" s="1"/>
  <c r="AU727" i="22" s="1"/>
  <c r="AV727" i="22" s="1"/>
  <c r="AW727" i="22" s="1"/>
  <c r="AX727" i="22" s="1"/>
  <c r="AY727" i="22" s="1"/>
  <c r="AZ727" i="22" s="1"/>
  <c r="BA727" i="22" s="1"/>
  <c r="BB727" i="22" s="1"/>
  <c r="BC727" i="22" s="1"/>
  <c r="BD727" i="22" s="1"/>
  <c r="AH727" i="22"/>
  <c r="AI727" i="22" s="1"/>
  <c r="AJ727" i="22" s="1"/>
  <c r="AK727" i="22" s="1"/>
  <c r="AL727" i="22" s="1"/>
  <c r="AM727" i="22" s="1"/>
  <c r="AN727" i="22" s="1"/>
  <c r="AO727" i="22" s="1"/>
  <c r="AP727" i="22" s="1"/>
  <c r="AE727" i="22"/>
  <c r="AF727" i="22" s="1"/>
  <c r="AG727" i="22" s="1"/>
  <c r="AG726" i="22"/>
  <c r="AF726" i="22"/>
  <c r="AE726" i="22"/>
  <c r="AI725" i="22"/>
  <c r="AH725" i="22"/>
  <c r="AG725" i="22"/>
  <c r="AF725" i="22"/>
  <c r="AE725" i="22"/>
  <c r="F78" i="22"/>
  <c r="F77" i="22"/>
  <c r="F75" i="22"/>
  <c r="F74" i="22"/>
  <c r="F73" i="22"/>
  <c r="F72" i="22"/>
  <c r="J77" i="22"/>
  <c r="I72" i="22"/>
  <c r="G78" i="22"/>
  <c r="G77" i="22"/>
  <c r="G62" i="22"/>
  <c r="G76" i="22" s="1"/>
  <c r="G75" i="22"/>
  <c r="G74" i="22"/>
  <c r="G73" i="22"/>
  <c r="G72" i="22"/>
  <c r="I29" i="22"/>
  <c r="J27" i="22"/>
  <c r="I27" i="22"/>
  <c r="J6" i="22"/>
  <c r="J1041" i="23"/>
  <c r="I1041" i="23"/>
  <c r="H984" i="23"/>
  <c r="H983" i="23"/>
  <c r="H982" i="23"/>
  <c r="H981" i="23"/>
  <c r="H980" i="23"/>
  <c r="H979" i="23"/>
  <c r="H978" i="23"/>
  <c r="H974" i="23"/>
  <c r="H973" i="23"/>
  <c r="H972" i="23"/>
  <c r="H971" i="23"/>
  <c r="H970" i="23"/>
  <c r="H969" i="23"/>
  <c r="H968" i="23"/>
  <c r="H964" i="23"/>
  <c r="H963" i="23"/>
  <c r="H962" i="23"/>
  <c r="H961" i="23"/>
  <c r="H960" i="23"/>
  <c r="H959" i="23"/>
  <c r="H958" i="23"/>
  <c r="H954" i="23"/>
  <c r="H953" i="23"/>
  <c r="H952" i="23"/>
  <c r="H951" i="23"/>
  <c r="H950" i="23"/>
  <c r="H949" i="23"/>
  <c r="H948" i="23"/>
  <c r="H944" i="23"/>
  <c r="H943" i="23"/>
  <c r="H942" i="23"/>
  <c r="H941" i="23"/>
  <c r="H940" i="23"/>
  <c r="H939" i="23"/>
  <c r="H938" i="23"/>
  <c r="H934" i="23"/>
  <c r="H933" i="23"/>
  <c r="H932" i="23"/>
  <c r="H931" i="23"/>
  <c r="H930" i="23"/>
  <c r="H929" i="23"/>
  <c r="H928" i="23"/>
  <c r="H924" i="23"/>
  <c r="H923" i="23"/>
  <c r="H922" i="23"/>
  <c r="H921" i="23"/>
  <c r="H920" i="23"/>
  <c r="H919" i="23"/>
  <c r="H918" i="23"/>
  <c r="H912" i="23"/>
  <c r="H911" i="23"/>
  <c r="H910" i="23"/>
  <c r="H909" i="23"/>
  <c r="H908" i="23"/>
  <c r="H903" i="23"/>
  <c r="H902" i="23"/>
  <c r="H901" i="23"/>
  <c r="H895" i="23"/>
  <c r="H894" i="23"/>
  <c r="H893" i="23"/>
  <c r="H892" i="23"/>
  <c r="H891" i="23"/>
  <c r="H890" i="23"/>
  <c r="H886" i="23"/>
  <c r="H900" i="23" s="1"/>
  <c r="G886" i="23"/>
  <c r="H882" i="23"/>
  <c r="G882" i="23"/>
  <c r="H878" i="23"/>
  <c r="G878" i="23"/>
  <c r="H877" i="23"/>
  <c r="G877" i="23"/>
  <c r="H873" i="23"/>
  <c r="G873" i="23"/>
  <c r="H872" i="23"/>
  <c r="G872" i="23"/>
  <c r="H871" i="23"/>
  <c r="G871" i="23"/>
  <c r="H870" i="23"/>
  <c r="G870" i="23"/>
  <c r="H869" i="23"/>
  <c r="G869" i="23"/>
  <c r="H868" i="23"/>
  <c r="G868" i="23"/>
  <c r="H867" i="23"/>
  <c r="G867" i="23"/>
  <c r="H861" i="23"/>
  <c r="H860" i="23"/>
  <c r="H859" i="23"/>
  <c r="H858" i="23"/>
  <c r="H857" i="23"/>
  <c r="H856" i="23"/>
  <c r="H855" i="23"/>
  <c r="H854" i="23"/>
  <c r="H853" i="23"/>
  <c r="H852" i="23"/>
  <c r="H851" i="23"/>
  <c r="H850" i="23"/>
  <c r="H849" i="23"/>
  <c r="H848" i="23"/>
  <c r="H847" i="23"/>
  <c r="H846" i="23"/>
  <c r="H845" i="23"/>
  <c r="H844" i="23"/>
  <c r="H843" i="23"/>
  <c r="H842" i="23"/>
  <c r="H841" i="23"/>
  <c r="H840" i="23"/>
  <c r="H839" i="23"/>
  <c r="H838" i="23"/>
  <c r="H837" i="23"/>
  <c r="H836" i="23"/>
  <c r="H835" i="23"/>
  <c r="H834" i="23"/>
  <c r="H833" i="23"/>
  <c r="H832" i="23"/>
  <c r="H831" i="23"/>
  <c r="H830" i="23"/>
  <c r="H829" i="23"/>
  <c r="H828" i="23"/>
  <c r="H827" i="23"/>
  <c r="H826" i="23"/>
  <c r="H825" i="23"/>
  <c r="H824" i="23"/>
  <c r="H823" i="23"/>
  <c r="H822" i="23"/>
  <c r="H821" i="23"/>
  <c r="H820" i="23"/>
  <c r="H819" i="23"/>
  <c r="H818" i="23"/>
  <c r="H817" i="23"/>
  <c r="H816" i="23"/>
  <c r="H815" i="23"/>
  <c r="H814" i="23"/>
  <c r="H813" i="23"/>
  <c r="H812" i="23"/>
  <c r="H811" i="23"/>
  <c r="H810" i="23"/>
  <c r="H804" i="23"/>
  <c r="H803" i="23"/>
  <c r="H802" i="23"/>
  <c r="H801" i="23"/>
  <c r="J797" i="23"/>
  <c r="I797" i="23"/>
  <c r="H797" i="23"/>
  <c r="H796" i="23"/>
  <c r="H792" i="23"/>
  <c r="G792" i="23"/>
  <c r="H791" i="23"/>
  <c r="G791" i="23"/>
  <c r="H790" i="23"/>
  <c r="G790" i="23"/>
  <c r="H789" i="23"/>
  <c r="G789" i="23"/>
  <c r="H788" i="23"/>
  <c r="G788" i="23"/>
  <c r="H787" i="23"/>
  <c r="G787" i="23"/>
  <c r="H786" i="23"/>
  <c r="G786" i="23"/>
  <c r="H785" i="23"/>
  <c r="G785" i="23"/>
  <c r="H784" i="23"/>
  <c r="G784" i="23"/>
  <c r="H780" i="23"/>
  <c r="G780" i="23"/>
  <c r="H779" i="23"/>
  <c r="G779" i="23"/>
  <c r="H778" i="23"/>
  <c r="G778" i="23"/>
  <c r="H777" i="23"/>
  <c r="G777" i="23"/>
  <c r="H776" i="23"/>
  <c r="G776" i="23"/>
  <c r="H775" i="23"/>
  <c r="G775" i="23"/>
  <c r="H774" i="23"/>
  <c r="G774" i="23"/>
  <c r="H773" i="23"/>
  <c r="G773" i="23"/>
  <c r="H772" i="23"/>
  <c r="G772" i="23"/>
  <c r="H766" i="23"/>
  <c r="G766" i="23"/>
  <c r="H765" i="23"/>
  <c r="G765" i="23"/>
  <c r="H764" i="23"/>
  <c r="G764" i="23"/>
  <c r="H763" i="23"/>
  <c r="G763" i="23"/>
  <c r="H762" i="23"/>
  <c r="G762" i="23"/>
  <c r="H761" i="23"/>
  <c r="G761" i="23"/>
  <c r="H760" i="23"/>
  <c r="G760" i="23"/>
  <c r="H759" i="23"/>
  <c r="G759" i="23"/>
  <c r="H758" i="23"/>
  <c r="G758" i="23"/>
  <c r="H754" i="23"/>
  <c r="G754" i="23"/>
  <c r="H753" i="23"/>
  <c r="G753" i="23"/>
  <c r="H752" i="23"/>
  <c r="G752" i="23"/>
  <c r="H751" i="23"/>
  <c r="G751" i="23"/>
  <c r="H750" i="23"/>
  <c r="G750" i="23"/>
  <c r="H749" i="23"/>
  <c r="G749" i="23"/>
  <c r="H748" i="23"/>
  <c r="G748" i="23"/>
  <c r="H744" i="23"/>
  <c r="G744" i="23"/>
  <c r="H743" i="23"/>
  <c r="G743" i="23"/>
  <c r="H742" i="23"/>
  <c r="G742" i="23"/>
  <c r="H741" i="23"/>
  <c r="G741" i="23"/>
  <c r="H740" i="23"/>
  <c r="G740" i="23"/>
  <c r="H739" i="23"/>
  <c r="G739" i="23"/>
  <c r="H738" i="23"/>
  <c r="G738" i="23"/>
  <c r="H732" i="23"/>
  <c r="G732" i="23"/>
  <c r="H731" i="23"/>
  <c r="G731" i="23"/>
  <c r="H730" i="23"/>
  <c r="G730" i="23"/>
  <c r="H729" i="23"/>
  <c r="G729" i="23"/>
  <c r="H728" i="23"/>
  <c r="G728" i="23"/>
  <c r="H727" i="23"/>
  <c r="G727" i="23"/>
  <c r="H726" i="23"/>
  <c r="G726" i="23"/>
  <c r="H725" i="23"/>
  <c r="G725" i="23"/>
  <c r="H724" i="23"/>
  <c r="G724" i="23"/>
  <c r="H723" i="23"/>
  <c r="G723" i="23"/>
  <c r="H722" i="23"/>
  <c r="G722" i="23"/>
  <c r="H721" i="23"/>
  <c r="G721" i="23"/>
  <c r="H720" i="23"/>
  <c r="G720" i="23"/>
  <c r="H719" i="23"/>
  <c r="G719" i="23"/>
  <c r="H718" i="23"/>
  <c r="G718" i="23"/>
  <c r="H717" i="23"/>
  <c r="G717" i="23"/>
  <c r="H716" i="23"/>
  <c r="G716" i="23"/>
  <c r="H715" i="23"/>
  <c r="G715" i="23"/>
  <c r="H714" i="23"/>
  <c r="G714" i="23"/>
  <c r="H713" i="23"/>
  <c r="G713" i="23"/>
  <c r="H712" i="23"/>
  <c r="G712" i="23"/>
  <c r="H711" i="23"/>
  <c r="G711" i="23"/>
  <c r="H707" i="23"/>
  <c r="G707" i="23"/>
  <c r="G706" i="23"/>
  <c r="G705" i="23"/>
  <c r="H704" i="23"/>
  <c r="G704" i="23"/>
  <c r="H703" i="23"/>
  <c r="G703" i="23"/>
  <c r="H702" i="23"/>
  <c r="G702" i="23"/>
  <c r="H701" i="23"/>
  <c r="G701" i="23"/>
  <c r="H700" i="23"/>
  <c r="G700" i="23"/>
  <c r="H699" i="23"/>
  <c r="G699" i="23"/>
  <c r="H698" i="23"/>
  <c r="G698" i="23"/>
  <c r="H697" i="23"/>
  <c r="G697" i="23"/>
  <c r="H696" i="23"/>
  <c r="G696" i="23"/>
  <c r="H695" i="23"/>
  <c r="G695" i="23"/>
  <c r="H694" i="23"/>
  <c r="G694" i="23"/>
  <c r="H693" i="23"/>
  <c r="G693" i="23"/>
  <c r="H689" i="23"/>
  <c r="G689" i="23"/>
  <c r="H688" i="23"/>
  <c r="G688" i="23"/>
  <c r="H687" i="23"/>
  <c r="G687" i="23"/>
  <c r="H686" i="23"/>
  <c r="G686" i="23"/>
  <c r="H685" i="23"/>
  <c r="G685" i="23"/>
  <c r="H684" i="23"/>
  <c r="G684" i="23"/>
  <c r="H683" i="23"/>
  <c r="G683" i="23"/>
  <c r="H682" i="23"/>
  <c r="G682" i="23"/>
  <c r="H681" i="23"/>
  <c r="G681" i="23"/>
  <c r="H680" i="23"/>
  <c r="G680" i="23"/>
  <c r="H679" i="23"/>
  <c r="G679" i="23"/>
  <c r="H678" i="23"/>
  <c r="G678" i="23"/>
  <c r="H677" i="23"/>
  <c r="G677" i="23"/>
  <c r="H676" i="23"/>
  <c r="G676" i="23"/>
  <c r="H675" i="23"/>
  <c r="G675" i="23"/>
  <c r="H667" i="23"/>
  <c r="H666" i="23"/>
  <c r="H665" i="23"/>
  <c r="H664" i="23"/>
  <c r="H663" i="23"/>
  <c r="H662" i="23"/>
  <c r="H661" i="23"/>
  <c r="H660" i="23"/>
  <c r="H659" i="23"/>
  <c r="H658" i="23"/>
  <c r="H657" i="23"/>
  <c r="H656" i="23"/>
  <c r="H655" i="23"/>
  <c r="H654" i="23"/>
  <c r="H653" i="23"/>
  <c r="H652" i="23"/>
  <c r="H651" i="23"/>
  <c r="H650" i="23"/>
  <c r="H649" i="23"/>
  <c r="H648" i="23"/>
  <c r="H647" i="23"/>
  <c r="H646" i="23"/>
  <c r="H645" i="23"/>
  <c r="H644" i="23"/>
  <c r="H643" i="23"/>
  <c r="H642" i="23"/>
  <c r="H641" i="23"/>
  <c r="H640" i="23"/>
  <c r="H639" i="23"/>
  <c r="H638" i="23"/>
  <c r="H637" i="23"/>
  <c r="H636" i="23"/>
  <c r="H635" i="23"/>
  <c r="H634" i="23"/>
  <c r="H633" i="23"/>
  <c r="H632" i="23"/>
  <c r="H631" i="23"/>
  <c r="H630" i="23"/>
  <c r="H629" i="23"/>
  <c r="H628" i="23"/>
  <c r="H627" i="23"/>
  <c r="H626" i="23"/>
  <c r="H625" i="23"/>
  <c r="H624" i="23"/>
  <c r="H623" i="23"/>
  <c r="H622" i="23"/>
  <c r="H621" i="23"/>
  <c r="H620" i="23"/>
  <c r="H619" i="23"/>
  <c r="H618" i="23"/>
  <c r="H617" i="23"/>
  <c r="H616" i="23"/>
  <c r="H612" i="23"/>
  <c r="H611" i="23"/>
  <c r="H610" i="23"/>
  <c r="H609" i="23"/>
  <c r="H608" i="23"/>
  <c r="H607" i="23"/>
  <c r="H606" i="23"/>
  <c r="H605" i="23"/>
  <c r="H604" i="23"/>
  <c r="H603" i="23"/>
  <c r="H602" i="23"/>
  <c r="H601" i="23"/>
  <c r="H600" i="23"/>
  <c r="H599" i="23"/>
  <c r="H598" i="23"/>
  <c r="H597" i="23"/>
  <c r="H596" i="23"/>
  <c r="H595" i="23"/>
  <c r="H594" i="23"/>
  <c r="H593" i="23"/>
  <c r="H592" i="23"/>
  <c r="H591" i="23"/>
  <c r="H590" i="23"/>
  <c r="H589" i="23"/>
  <c r="H588" i="23"/>
  <c r="H587" i="23"/>
  <c r="H586" i="23"/>
  <c r="H585" i="23"/>
  <c r="H584" i="23"/>
  <c r="H583" i="23"/>
  <c r="H582" i="23"/>
  <c r="H581" i="23"/>
  <c r="H580" i="23"/>
  <c r="H579" i="23"/>
  <c r="H578" i="23"/>
  <c r="H577" i="23"/>
  <c r="H576" i="23"/>
  <c r="H575" i="23"/>
  <c r="H574" i="23"/>
  <c r="H573" i="23"/>
  <c r="H572" i="23"/>
  <c r="H571" i="23"/>
  <c r="H570" i="23"/>
  <c r="H569" i="23"/>
  <c r="H568" i="23"/>
  <c r="H567" i="23"/>
  <c r="H566" i="23"/>
  <c r="H565" i="23"/>
  <c r="H564" i="23"/>
  <c r="H563" i="23"/>
  <c r="H562" i="23"/>
  <c r="H561" i="23"/>
  <c r="H555" i="23"/>
  <c r="H554" i="23"/>
  <c r="H553" i="23"/>
  <c r="H549" i="23"/>
  <c r="H548" i="23"/>
  <c r="H547" i="23"/>
  <c r="H543" i="23"/>
  <c r="G543" i="23"/>
  <c r="H542" i="23"/>
  <c r="G542" i="23"/>
  <c r="H541" i="23"/>
  <c r="G541" i="23"/>
  <c r="H540" i="23"/>
  <c r="G540" i="23"/>
  <c r="H539" i="23"/>
  <c r="G539" i="23"/>
  <c r="H538" i="23"/>
  <c r="G538" i="23"/>
  <c r="H534" i="23"/>
  <c r="G534" i="23"/>
  <c r="H533" i="23"/>
  <c r="G533" i="23"/>
  <c r="H531" i="23"/>
  <c r="G531" i="23"/>
  <c r="H530" i="23"/>
  <c r="G530" i="23"/>
  <c r="H529" i="23"/>
  <c r="G529" i="23"/>
  <c r="H528" i="23"/>
  <c r="G528" i="23"/>
  <c r="H524" i="23"/>
  <c r="H523" i="23"/>
  <c r="H521" i="23"/>
  <c r="G521" i="23"/>
  <c r="H520" i="23"/>
  <c r="G520" i="23"/>
  <c r="J516" i="23"/>
  <c r="I516" i="23"/>
  <c r="H516" i="23"/>
  <c r="J515" i="23"/>
  <c r="I515" i="23"/>
  <c r="H515" i="23"/>
  <c r="J514" i="23"/>
  <c r="I514" i="23"/>
  <c r="H514" i="23" s="1"/>
  <c r="H512" i="23"/>
  <c r="H511" i="23"/>
  <c r="H510" i="23"/>
  <c r="H509" i="23"/>
  <c r="J505" i="23"/>
  <c r="I505" i="23"/>
  <c r="H505" i="23"/>
  <c r="H504" i="23"/>
  <c r="J502" i="23"/>
  <c r="I502" i="23"/>
  <c r="H502" i="23" s="1"/>
  <c r="H501" i="23"/>
  <c r="H497" i="23"/>
  <c r="H495" i="23"/>
  <c r="H494" i="23"/>
  <c r="H492" i="23"/>
  <c r="H491" i="23"/>
  <c r="H489" i="23"/>
  <c r="H488" i="23"/>
  <c r="H487" i="23"/>
  <c r="H483" i="23"/>
  <c r="H482" i="23"/>
  <c r="H481" i="23"/>
  <c r="H480" i="23"/>
  <c r="H479" i="23"/>
  <c r="H478" i="23"/>
  <c r="H477" i="23"/>
  <c r="H476" i="23"/>
  <c r="H475" i="23"/>
  <c r="H471" i="23"/>
  <c r="G471" i="23"/>
  <c r="H470" i="23"/>
  <c r="G470" i="23"/>
  <c r="H469" i="23"/>
  <c r="G469" i="23"/>
  <c r="J465" i="23"/>
  <c r="I465" i="23"/>
  <c r="H465" i="23"/>
  <c r="J464" i="23"/>
  <c r="I464" i="23"/>
  <c r="H464" i="23"/>
  <c r="H462" i="23"/>
  <c r="G462" i="23"/>
  <c r="H461" i="23"/>
  <c r="G461" i="23"/>
  <c r="H460" i="23"/>
  <c r="G460" i="23"/>
  <c r="H459" i="23"/>
  <c r="G459" i="23"/>
  <c r="H458" i="23"/>
  <c r="G458" i="23"/>
  <c r="H457" i="23"/>
  <c r="G457" i="23"/>
  <c r="H456" i="23"/>
  <c r="G456" i="23"/>
  <c r="H455" i="23"/>
  <c r="G455" i="23"/>
  <c r="H454" i="23"/>
  <c r="G454" i="23"/>
  <c r="J450" i="23"/>
  <c r="I450" i="23"/>
  <c r="H450" i="23"/>
  <c r="J449" i="23"/>
  <c r="I449" i="23"/>
  <c r="H449" i="23"/>
  <c r="H447" i="23"/>
  <c r="G447" i="23"/>
  <c r="H446" i="23"/>
  <c r="G446" i="23"/>
  <c r="H445" i="23"/>
  <c r="G445" i="23"/>
  <c r="H444" i="23"/>
  <c r="G444" i="23"/>
  <c r="H443" i="23"/>
  <c r="G443" i="23"/>
  <c r="H442" i="23"/>
  <c r="G442" i="23"/>
  <c r="H441" i="23"/>
  <c r="G441" i="23"/>
  <c r="H440" i="23"/>
  <c r="G440" i="23"/>
  <c r="H439" i="23"/>
  <c r="G439" i="23"/>
  <c r="J435" i="23"/>
  <c r="I435" i="23"/>
  <c r="H435" i="23"/>
  <c r="J434" i="23"/>
  <c r="I434" i="23"/>
  <c r="H434" i="23"/>
  <c r="H432" i="23"/>
  <c r="G432" i="23"/>
  <c r="H431" i="23"/>
  <c r="G431" i="23"/>
  <c r="H430" i="23"/>
  <c r="G430" i="23"/>
  <c r="H429" i="23"/>
  <c r="G429" i="23"/>
  <c r="H428" i="23"/>
  <c r="G428" i="23"/>
  <c r="H427" i="23"/>
  <c r="G427" i="23"/>
  <c r="H426" i="23"/>
  <c r="G426" i="23"/>
  <c r="H425" i="23"/>
  <c r="G425" i="23"/>
  <c r="H424" i="23"/>
  <c r="G424" i="23"/>
  <c r="H420" i="23"/>
  <c r="H419" i="23"/>
  <c r="H417" i="23"/>
  <c r="H416" i="23"/>
  <c r="H415" i="23"/>
  <c r="H414" i="23"/>
  <c r="H413" i="23"/>
  <c r="H412" i="23"/>
  <c r="H411" i="23"/>
  <c r="H410" i="23"/>
  <c r="H404" i="23"/>
  <c r="G404" i="23"/>
  <c r="H403" i="23"/>
  <c r="G403" i="23"/>
  <c r="H402" i="23"/>
  <c r="G402" i="23"/>
  <c r="H401" i="23"/>
  <c r="G401" i="23"/>
  <c r="H397" i="23"/>
  <c r="G397" i="23"/>
  <c r="H396" i="23"/>
  <c r="G396" i="23"/>
  <c r="H395" i="23"/>
  <c r="G395" i="23"/>
  <c r="H394" i="23"/>
  <c r="G394" i="23"/>
  <c r="H390" i="23"/>
  <c r="G390" i="23"/>
  <c r="H389" i="23"/>
  <c r="G389" i="23"/>
  <c r="H388" i="23"/>
  <c r="G388" i="23"/>
  <c r="H387" i="23"/>
  <c r="G387" i="23"/>
  <c r="H383" i="23"/>
  <c r="G383" i="23"/>
  <c r="H382" i="23"/>
  <c r="G382" i="23"/>
  <c r="H381" i="23"/>
  <c r="G381" i="23"/>
  <c r="H380" i="23"/>
  <c r="G380" i="23"/>
  <c r="H376" i="23"/>
  <c r="G376" i="23"/>
  <c r="H372" i="23"/>
  <c r="G372" i="23"/>
  <c r="H371" i="23"/>
  <c r="G371" i="23"/>
  <c r="H370" i="23"/>
  <c r="G370" i="23"/>
  <c r="H369" i="23"/>
  <c r="G369" i="23"/>
  <c r="H365" i="23"/>
  <c r="G365" i="23"/>
  <c r="H364" i="23"/>
  <c r="G364" i="23"/>
  <c r="H363" i="23"/>
  <c r="G363" i="23"/>
  <c r="H362" i="23"/>
  <c r="G362" i="23"/>
  <c r="H356" i="23"/>
  <c r="G356" i="23"/>
  <c r="H355" i="23"/>
  <c r="G355" i="23"/>
  <c r="H351" i="23"/>
  <c r="H347" i="23"/>
  <c r="H346" i="23"/>
  <c r="H345" i="23"/>
  <c r="J341" i="23"/>
  <c r="I341" i="23"/>
  <c r="H341" i="23"/>
  <c r="H339" i="23"/>
  <c r="H338" i="23"/>
  <c r="H337" i="23"/>
  <c r="H335" i="23"/>
  <c r="H334" i="23"/>
  <c r="H333" i="23"/>
  <c r="H325" i="23"/>
  <c r="H324" i="23"/>
  <c r="H323" i="23"/>
  <c r="H322" i="23"/>
  <c r="H320" i="23"/>
  <c r="H319" i="23"/>
  <c r="H315" i="23"/>
  <c r="H314" i="23"/>
  <c r="H313" i="23"/>
  <c r="H309" i="23"/>
  <c r="H308" i="23"/>
  <c r="H307" i="23"/>
  <c r="H306" i="23"/>
  <c r="J302" i="23"/>
  <c r="I302" i="23"/>
  <c r="H302" i="23"/>
  <c r="H300" i="23"/>
  <c r="H298" i="23"/>
  <c r="J296" i="23"/>
  <c r="I296" i="23"/>
  <c r="H296" i="23"/>
  <c r="J295" i="23"/>
  <c r="I295" i="23"/>
  <c r="H295" i="23"/>
  <c r="H293" i="23"/>
  <c r="H291" i="23"/>
  <c r="H290" i="23"/>
  <c r="H282" i="23"/>
  <c r="H284" i="23" s="1"/>
  <c r="H276" i="23"/>
  <c r="H280" i="23" s="1"/>
  <c r="H275" i="23"/>
  <c r="H279" i="23" s="1"/>
  <c r="H274" i="23"/>
  <c r="H278" i="23" s="1"/>
  <c r="H268" i="23"/>
  <c r="H266" i="23"/>
  <c r="H262" i="23"/>
  <c r="H260" i="23"/>
  <c r="H258" i="23"/>
  <c r="H256" i="23"/>
  <c r="H254" i="23"/>
  <c r="H252" i="23"/>
  <c r="H246" i="23"/>
  <c r="H245" i="23"/>
  <c r="H244" i="23"/>
  <c r="H243" i="23"/>
  <c r="H242" i="23"/>
  <c r="H241" i="23"/>
  <c r="H240" i="23"/>
  <c r="H239" i="23"/>
  <c r="H238" i="23"/>
  <c r="H237" i="23"/>
  <c r="H236" i="23"/>
  <c r="H235" i="23"/>
  <c r="H234" i="23"/>
  <c r="H233" i="23"/>
  <c r="H232" i="23"/>
  <c r="H231" i="23"/>
  <c r="H230" i="23"/>
  <c r="H229" i="23"/>
  <c r="H228" i="23"/>
  <c r="H227" i="23"/>
  <c r="H226" i="23"/>
  <c r="H225" i="23"/>
  <c r="H224" i="23"/>
  <c r="H223" i="23"/>
  <c r="H222" i="23"/>
  <c r="H221" i="23"/>
  <c r="H220" i="23"/>
  <c r="H219" i="23"/>
  <c r="H218" i="23"/>
  <c r="H217" i="23"/>
  <c r="H216" i="23"/>
  <c r="H215" i="23"/>
  <c r="H214" i="23"/>
  <c r="H213" i="23"/>
  <c r="H212" i="23"/>
  <c r="H211" i="23"/>
  <c r="H210" i="23"/>
  <c r="H209" i="23"/>
  <c r="H208" i="23"/>
  <c r="H207" i="23"/>
  <c r="H206" i="23"/>
  <c r="H205" i="23"/>
  <c r="H204" i="23"/>
  <c r="H203" i="23"/>
  <c r="H202" i="23"/>
  <c r="H201" i="23"/>
  <c r="H200" i="23"/>
  <c r="H199" i="23"/>
  <c r="H198" i="23"/>
  <c r="H197" i="23"/>
  <c r="H196" i="23"/>
  <c r="H195" i="23"/>
  <c r="H194" i="23"/>
  <c r="H193" i="23"/>
  <c r="H192" i="23"/>
  <c r="H191" i="23"/>
  <c r="H190" i="23"/>
  <c r="H189" i="23"/>
  <c r="H188" i="23"/>
  <c r="H187" i="23"/>
  <c r="H186" i="23"/>
  <c r="H185" i="23"/>
  <c r="H184" i="23"/>
  <c r="H183" i="23"/>
  <c r="H182" i="23"/>
  <c r="E182" i="23"/>
  <c r="E183" i="23" s="1"/>
  <c r="E184" i="23" s="1"/>
  <c r="E185" i="23" s="1"/>
  <c r="E186" i="23" s="1"/>
  <c r="E187" i="23" s="1"/>
  <c r="E188" i="23" s="1"/>
  <c r="E189" i="23" s="1"/>
  <c r="E190" i="23" s="1"/>
  <c r="E191" i="23" s="1"/>
  <c r="E192" i="23" s="1"/>
  <c r="E193" i="23" s="1"/>
  <c r="E194" i="23" s="1"/>
  <c r="E195" i="23" s="1"/>
  <c r="E196" i="23" s="1"/>
  <c r="E197" i="23" s="1"/>
  <c r="E198" i="23" s="1"/>
  <c r="E199" i="23" s="1"/>
  <c r="E200" i="23" s="1"/>
  <c r="E201" i="23" s="1"/>
  <c r="E202" i="23" s="1"/>
  <c r="E203" i="23" s="1"/>
  <c r="E204" i="23" s="1"/>
  <c r="E205" i="23" s="1"/>
  <c r="E206" i="23" s="1"/>
  <c r="E207" i="23" s="1"/>
  <c r="E208" i="23" s="1"/>
  <c r="E209" i="23" s="1"/>
  <c r="E210" i="23" s="1"/>
  <c r="E211" i="23" s="1"/>
  <c r="E212" i="23" s="1"/>
  <c r="E213" i="23" s="1"/>
  <c r="E214" i="23" s="1"/>
  <c r="E215" i="23" s="1"/>
  <c r="E216" i="23" s="1"/>
  <c r="E217" i="23" s="1"/>
  <c r="E218" i="23" s="1"/>
  <c r="E219" i="23" s="1"/>
  <c r="E220" i="23" s="1"/>
  <c r="E221" i="23" s="1"/>
  <c r="E222" i="23" s="1"/>
  <c r="E223" i="23" s="1"/>
  <c r="E224" i="23" s="1"/>
  <c r="E225" i="23" s="1"/>
  <c r="E226" i="23" s="1"/>
  <c r="E227" i="23" s="1"/>
  <c r="E228" i="23" s="1"/>
  <c r="E229" i="23" s="1"/>
  <c r="E230" i="23" s="1"/>
  <c r="E231" i="23" s="1"/>
  <c r="E232" i="23" s="1"/>
  <c r="E233" i="23" s="1"/>
  <c r="E234" i="23" s="1"/>
  <c r="E235" i="23" s="1"/>
  <c r="E236" i="23" s="1"/>
  <c r="E237" i="23" s="1"/>
  <c r="E238" i="23" s="1"/>
  <c r="E239" i="23" s="1"/>
  <c r="E240" i="23" s="1"/>
  <c r="E241" i="23" s="1"/>
  <c r="E242" i="23" s="1"/>
  <c r="E243" i="23" s="1"/>
  <c r="E244" i="23" s="1"/>
  <c r="E245" i="23" s="1"/>
  <c r="E246" i="23" s="1"/>
  <c r="H181" i="23"/>
  <c r="H177" i="23"/>
  <c r="H176" i="23"/>
  <c r="H175" i="23"/>
  <c r="H174" i="23"/>
  <c r="H173" i="23"/>
  <c r="H172" i="23"/>
  <c r="H171" i="23"/>
  <c r="H170" i="23"/>
  <c r="H169" i="23"/>
  <c r="H168" i="23"/>
  <c r="H167" i="23"/>
  <c r="H166" i="23"/>
  <c r="H165" i="23"/>
  <c r="H164" i="23"/>
  <c r="H163" i="23"/>
  <c r="H162" i="23"/>
  <c r="H161" i="23"/>
  <c r="H160" i="23"/>
  <c r="H159" i="23"/>
  <c r="H158" i="23"/>
  <c r="H157" i="23"/>
  <c r="H156" i="23"/>
  <c r="H155" i="23"/>
  <c r="H154" i="23"/>
  <c r="H153" i="23"/>
  <c r="H152" i="23"/>
  <c r="H151" i="23"/>
  <c r="H150" i="23"/>
  <c r="H149" i="23"/>
  <c r="H148" i="23"/>
  <c r="H147" i="23"/>
  <c r="H146" i="23"/>
  <c r="H145" i="23"/>
  <c r="H144" i="23"/>
  <c r="H143" i="23"/>
  <c r="H142" i="23"/>
  <c r="H141" i="23"/>
  <c r="H140" i="23"/>
  <c r="H139" i="23"/>
  <c r="H138" i="23"/>
  <c r="H137" i="23"/>
  <c r="H136" i="23"/>
  <c r="H135" i="23"/>
  <c r="H134" i="23"/>
  <c r="H133" i="23"/>
  <c r="H132" i="23"/>
  <c r="H131" i="23"/>
  <c r="H130" i="23"/>
  <c r="H129" i="23"/>
  <c r="H128" i="23"/>
  <c r="H127" i="23"/>
  <c r="H126" i="23"/>
  <c r="H125" i="23"/>
  <c r="H124" i="23"/>
  <c r="H123" i="23"/>
  <c r="H122" i="23"/>
  <c r="H121" i="23"/>
  <c r="H120" i="23"/>
  <c r="H119" i="23"/>
  <c r="H118" i="23"/>
  <c r="H117" i="23"/>
  <c r="H116" i="23"/>
  <c r="H115" i="23"/>
  <c r="H114" i="23"/>
  <c r="H113" i="23"/>
  <c r="E113" i="23"/>
  <c r="E114" i="23" s="1"/>
  <c r="E115" i="23" s="1"/>
  <c r="E116" i="23" s="1"/>
  <c r="E117" i="23" s="1"/>
  <c r="E118" i="23" s="1"/>
  <c r="E119" i="23" s="1"/>
  <c r="E120" i="23" s="1"/>
  <c r="E121" i="23" s="1"/>
  <c r="E122" i="23" s="1"/>
  <c r="E123" i="23" s="1"/>
  <c r="E124" i="23" s="1"/>
  <c r="E125" i="23" s="1"/>
  <c r="E126" i="23" s="1"/>
  <c r="E127" i="23" s="1"/>
  <c r="E128" i="23" s="1"/>
  <c r="E129" i="23" s="1"/>
  <c r="E130" i="23" s="1"/>
  <c r="E131" i="23" s="1"/>
  <c r="E132" i="23" s="1"/>
  <c r="E133" i="23" s="1"/>
  <c r="E134" i="23" s="1"/>
  <c r="E135" i="23" s="1"/>
  <c r="E136" i="23" s="1"/>
  <c r="E137" i="23" s="1"/>
  <c r="E138" i="23" s="1"/>
  <c r="E139" i="23" s="1"/>
  <c r="E140" i="23" s="1"/>
  <c r="E141" i="23" s="1"/>
  <c r="E142" i="23" s="1"/>
  <c r="E143" i="23" s="1"/>
  <c r="E144" i="23" s="1"/>
  <c r="E145" i="23" s="1"/>
  <c r="E146" i="23" s="1"/>
  <c r="E147" i="23" s="1"/>
  <c r="E148" i="23" s="1"/>
  <c r="E149" i="23" s="1"/>
  <c r="E150" i="23" s="1"/>
  <c r="E151" i="23" s="1"/>
  <c r="E152" i="23" s="1"/>
  <c r="E153" i="23" s="1"/>
  <c r="E154" i="23" s="1"/>
  <c r="E155" i="23" s="1"/>
  <c r="E156" i="23" s="1"/>
  <c r="E157" i="23" s="1"/>
  <c r="E158" i="23" s="1"/>
  <c r="E159" i="23" s="1"/>
  <c r="E160" i="23" s="1"/>
  <c r="E161" i="23" s="1"/>
  <c r="E162" i="23" s="1"/>
  <c r="E163" i="23" s="1"/>
  <c r="E164" i="23" s="1"/>
  <c r="E165" i="23" s="1"/>
  <c r="E166" i="23" s="1"/>
  <c r="E167" i="23" s="1"/>
  <c r="E168" i="23" s="1"/>
  <c r="E169" i="23" s="1"/>
  <c r="E170" i="23" s="1"/>
  <c r="E171" i="23" s="1"/>
  <c r="E172" i="23" s="1"/>
  <c r="E173" i="23" s="1"/>
  <c r="E174" i="23" s="1"/>
  <c r="E175" i="23" s="1"/>
  <c r="E176" i="23" s="1"/>
  <c r="E177" i="23" s="1"/>
  <c r="H112" i="23"/>
  <c r="H108" i="23"/>
  <c r="H107" i="23"/>
  <c r="H105" i="23"/>
  <c r="H104" i="23"/>
  <c r="H103" i="23"/>
  <c r="H102" i="23"/>
  <c r="H100" i="23"/>
  <c r="H99" i="23"/>
  <c r="H98" i="23"/>
  <c r="H97" i="23"/>
  <c r="H95" i="23"/>
  <c r="H93" i="23"/>
  <c r="H89" i="23"/>
  <c r="H85" i="23"/>
  <c r="G85" i="23"/>
  <c r="H84" i="23"/>
  <c r="G84" i="23"/>
  <c r="H83" i="23"/>
  <c r="G83" i="23"/>
  <c r="H82" i="23"/>
  <c r="G82" i="23"/>
  <c r="H81" i="23"/>
  <c r="G81" i="23"/>
  <c r="J77" i="23"/>
  <c r="I77" i="23"/>
  <c r="H77" i="23"/>
  <c r="G77" i="23"/>
  <c r="H76" i="23"/>
  <c r="G76" i="23"/>
  <c r="H75" i="23"/>
  <c r="G75" i="23"/>
  <c r="H73" i="23"/>
  <c r="H72" i="23"/>
  <c r="H67" i="23"/>
  <c r="G67" i="23"/>
  <c r="G64" i="23"/>
  <c r="J63" i="23"/>
  <c r="J64" i="23" s="1"/>
  <c r="I63" i="23"/>
  <c r="I64" i="23" s="1"/>
  <c r="H64" i="23" s="1"/>
  <c r="H63" i="23"/>
  <c r="G63" i="23"/>
  <c r="H62" i="23"/>
  <c r="G62" i="23"/>
  <c r="H60" i="23"/>
  <c r="H59" i="23"/>
  <c r="H56" i="23"/>
  <c r="G56" i="23"/>
  <c r="H55" i="23"/>
  <c r="G55" i="23"/>
  <c r="H54" i="23"/>
  <c r="G54" i="23"/>
  <c r="J52" i="23"/>
  <c r="I52" i="23"/>
  <c r="H52" i="23" s="1"/>
  <c r="H51" i="23"/>
  <c r="H46" i="23"/>
  <c r="H36" i="23"/>
  <c r="H35" i="23"/>
  <c r="H34" i="23"/>
  <c r="H33" i="23"/>
  <c r="H32" i="23"/>
  <c r="G30" i="23"/>
  <c r="G29" i="23"/>
  <c r="G27" i="23"/>
  <c r="G26" i="23"/>
  <c r="J27" i="23"/>
  <c r="H22" i="23"/>
  <c r="G22" i="23"/>
  <c r="H21" i="23"/>
  <c r="G21" i="23"/>
  <c r="H19" i="23"/>
  <c r="G19" i="23"/>
  <c r="H18" i="23"/>
  <c r="G18" i="23"/>
  <c r="A18" i="116" l="1"/>
  <c r="Y788" i="22"/>
  <c r="Z788" i="22"/>
  <c r="P775" i="22"/>
  <c r="P788" i="22"/>
  <c r="AD741" i="22"/>
  <c r="J30" i="23"/>
  <c r="AK774" i="22"/>
  <c r="T775" i="22"/>
  <c r="H30" i="23"/>
  <c r="U775" i="22"/>
  <c r="H29" i="23"/>
  <c r="I28" i="22"/>
  <c r="L738" i="22"/>
  <c r="V772" i="22"/>
  <c r="M774" i="22"/>
  <c r="T754" i="22"/>
  <c r="L788" i="22"/>
  <c r="AF751" i="22"/>
  <c r="Q738" i="22"/>
  <c r="I740" i="22"/>
  <c r="S754" i="22"/>
  <c r="AE754" i="22"/>
  <c r="Q751" i="22"/>
  <c r="I752" i="22"/>
  <c r="AB752" i="22"/>
  <c r="U753" i="22"/>
  <c r="K773" i="22"/>
  <c r="O785" i="22"/>
  <c r="P786" i="22"/>
  <c r="O787" i="22"/>
  <c r="Y738" i="22"/>
  <c r="R740" i="22"/>
  <c r="R751" i="22"/>
  <c r="M752" i="22"/>
  <c r="AC752" i="22"/>
  <c r="V753" i="22"/>
  <c r="Q775" i="22"/>
  <c r="AC775" i="22"/>
  <c r="S773" i="22"/>
  <c r="AF785" i="22"/>
  <c r="O788" i="22"/>
  <c r="AA788" i="22"/>
  <c r="P785" i="22"/>
  <c r="Q786" i="22"/>
  <c r="P787" i="22"/>
  <c r="AD754" i="22"/>
  <c r="AA752" i="22"/>
  <c r="AB775" i="22"/>
  <c r="I26" i="22"/>
  <c r="R741" i="22"/>
  <c r="Z738" i="22"/>
  <c r="S740" i="22"/>
  <c r="I754" i="22"/>
  <c r="U754" i="22"/>
  <c r="S751" i="22"/>
  <c r="N752" i="22"/>
  <c r="AD752" i="22"/>
  <c r="W753" i="22"/>
  <c r="R775" i="22"/>
  <c r="AD775" i="22"/>
  <c r="Y773" i="22"/>
  <c r="AG785" i="22"/>
  <c r="AB788" i="22"/>
  <c r="Q785" i="22"/>
  <c r="R786" i="22"/>
  <c r="Q787" i="22"/>
  <c r="R754" i="22"/>
  <c r="P751" i="22"/>
  <c r="T753" i="22"/>
  <c r="V754" i="22"/>
  <c r="J773" i="22"/>
  <c r="M788" i="22"/>
  <c r="AB738" i="22"/>
  <c r="U740" i="22"/>
  <c r="X751" i="22"/>
  <c r="O752" i="22"/>
  <c r="AE752" i="22"/>
  <c r="X753" i="22"/>
  <c r="S775" i="22"/>
  <c r="AE775" i="22"/>
  <c r="K774" i="22"/>
  <c r="U785" i="22"/>
  <c r="T786" i="22"/>
  <c r="T787" i="22"/>
  <c r="V785" i="22"/>
  <c r="U786" i="22"/>
  <c r="W787" i="22"/>
  <c r="P752" i="22"/>
  <c r="I753" i="22"/>
  <c r="Y753" i="22"/>
  <c r="I739" i="22"/>
  <c r="W740" i="22"/>
  <c r="L754" i="22"/>
  <c r="X754" i="22"/>
  <c r="J751" i="22"/>
  <c r="Z751" i="22"/>
  <c r="Q752" i="22"/>
  <c r="J753" i="22"/>
  <c r="Z753" i="22"/>
  <c r="Q774" i="22"/>
  <c r="Y785" i="22"/>
  <c r="X786" i="22"/>
  <c r="X787" i="22"/>
  <c r="Z785" i="22"/>
  <c r="AA786" i="22"/>
  <c r="AB787" i="22"/>
  <c r="L739" i="22"/>
  <c r="Z740" i="22"/>
  <c r="Y754" i="22"/>
  <c r="AA751" i="22"/>
  <c r="R752" i="22"/>
  <c r="AA753" i="22"/>
  <c r="R774" i="22"/>
  <c r="W741" i="22"/>
  <c r="I738" i="22"/>
  <c r="U739" i="22"/>
  <c r="S741" i="22"/>
  <c r="N754" i="22"/>
  <c r="Z754" i="22"/>
  <c r="L751" i="22"/>
  <c r="AB751" i="22"/>
  <c r="S752" i="22"/>
  <c r="L753" i="22"/>
  <c r="S774" i="22"/>
  <c r="AB785" i="22"/>
  <c r="AB786" i="22"/>
  <c r="AC787" i="22"/>
  <c r="M754" i="22"/>
  <c r="K751" i="22"/>
  <c r="K753" i="22"/>
  <c r="T788" i="22"/>
  <c r="L741" i="22"/>
  <c r="X741" i="22"/>
  <c r="J738" i="22"/>
  <c r="V739" i="22"/>
  <c r="O754" i="22"/>
  <c r="AA754" i="22"/>
  <c r="M751" i="22"/>
  <c r="AC751" i="22"/>
  <c r="U752" i="22"/>
  <c r="M753" i="22"/>
  <c r="X775" i="22"/>
  <c r="K772" i="22"/>
  <c r="J788" i="22"/>
  <c r="V788" i="22"/>
  <c r="AC785" i="22"/>
  <c r="AC786" i="22"/>
  <c r="Y751" i="22"/>
  <c r="M741" i="22"/>
  <c r="Y741" i="22"/>
  <c r="K738" i="22"/>
  <c r="W739" i="22"/>
  <c r="AB754" i="22"/>
  <c r="N751" i="22"/>
  <c r="AD751" i="22"/>
  <c r="V752" i="22"/>
  <c r="Q753" i="22"/>
  <c r="K788" i="22"/>
  <c r="W788" i="22"/>
  <c r="AE785" i="22"/>
  <c r="L787" i="22"/>
  <c r="I785" i="22"/>
  <c r="L786" i="22"/>
  <c r="M787" i="22"/>
  <c r="M785" i="22"/>
  <c r="M786" i="22"/>
  <c r="N787" i="22"/>
  <c r="L775" i="22"/>
  <c r="X738" i="22"/>
  <c r="T739" i="22"/>
  <c r="O740" i="22"/>
  <c r="Q741" i="22"/>
  <c r="T772" i="22"/>
  <c r="I774" i="22"/>
  <c r="AJ774" i="22"/>
  <c r="I73" i="22"/>
  <c r="I30" i="23"/>
  <c r="Y775" i="22"/>
  <c r="H27" i="23"/>
  <c r="J73" i="22"/>
  <c r="I77" i="22"/>
  <c r="P741" i="22"/>
  <c r="AB741" i="22"/>
  <c r="N738" i="22"/>
  <c r="J739" i="22"/>
  <c r="AA739" i="22"/>
  <c r="X740" i="22"/>
  <c r="T773" i="22"/>
  <c r="Z774" i="22"/>
  <c r="N788" i="22"/>
  <c r="N785" i="22"/>
  <c r="AD785" i="22"/>
  <c r="Y786" i="22"/>
  <c r="S787" i="22"/>
  <c r="H26" i="23"/>
  <c r="I26" i="23"/>
  <c r="J26" i="23"/>
  <c r="P738" i="22"/>
  <c r="K739" i="22"/>
  <c r="AB739" i="22"/>
  <c r="Y740" i="22"/>
  <c r="V773" i="22"/>
  <c r="AC774" i="22"/>
  <c r="AE774" i="22"/>
  <c r="I29" i="23"/>
  <c r="J29" i="23"/>
  <c r="I27" i="23"/>
  <c r="S738" i="22"/>
  <c r="M739" i="22"/>
  <c r="J740" i="22"/>
  <c r="AE740" i="22"/>
  <c r="M772" i="22"/>
  <c r="Z773" i="22"/>
  <c r="AG774" i="22"/>
  <c r="T741" i="22"/>
  <c r="T738" i="22"/>
  <c r="R739" i="22"/>
  <c r="K740" i="22"/>
  <c r="J754" i="22"/>
  <c r="T751" i="22"/>
  <c r="J752" i="22"/>
  <c r="X752" i="22"/>
  <c r="N753" i="22"/>
  <c r="AC753" i="22"/>
  <c r="N775" i="22"/>
  <c r="Z775" i="22"/>
  <c r="O772" i="22"/>
  <c r="AD773" i="22"/>
  <c r="AH774" i="22"/>
  <c r="R788" i="22"/>
  <c r="AD788" i="22"/>
  <c r="R785" i="22"/>
  <c r="N786" i="22"/>
  <c r="AD786" i="22"/>
  <c r="Z787" i="22"/>
  <c r="I741" i="22"/>
  <c r="U741" i="22"/>
  <c r="W738" i="22"/>
  <c r="S739" i="22"/>
  <c r="N740" i="22"/>
  <c r="W751" i="22"/>
  <c r="K752" i="22"/>
  <c r="Z752" i="22"/>
  <c r="P753" i="22"/>
  <c r="AD753" i="22"/>
  <c r="S772" i="22"/>
  <c r="AE773" i="22"/>
  <c r="AI774" i="22"/>
  <c r="AE787" i="22"/>
  <c r="S788" i="22"/>
  <c r="AE788" i="22"/>
  <c r="S785" i="22"/>
  <c r="O786" i="22"/>
  <c r="K787" i="22"/>
  <c r="J26" i="22"/>
  <c r="I50" i="22"/>
  <c r="I51" i="22"/>
  <c r="I49" i="22"/>
  <c r="I52" i="22"/>
  <c r="J72" i="22"/>
  <c r="J28" i="22"/>
  <c r="J51" i="22"/>
  <c r="J50" i="22"/>
  <c r="J75" i="22"/>
  <c r="J74" i="22"/>
  <c r="J49" i="22"/>
  <c r="K6" i="22"/>
  <c r="J78" i="22"/>
  <c r="J29" i="22"/>
  <c r="J76" i="22"/>
  <c r="J52" i="22"/>
  <c r="I76" i="22"/>
  <c r="I78" i="22"/>
  <c r="I75" i="22"/>
  <c r="I74" i="22"/>
  <c r="AG733" i="22"/>
  <c r="AF740" i="22"/>
  <c r="AJ725" i="22"/>
  <c r="AH726" i="22"/>
  <c r="AI726" i="22" s="1"/>
  <c r="AJ726" i="22" s="1"/>
  <c r="AK726" i="22" s="1"/>
  <c r="AL726" i="22" s="1"/>
  <c r="AM726" i="22" s="1"/>
  <c r="AN726" i="22" s="1"/>
  <c r="AO726" i="22" s="1"/>
  <c r="AP726" i="22" s="1"/>
  <c r="AQ726" i="22" s="1"/>
  <c r="AR726" i="22" s="1"/>
  <c r="AS726" i="22" s="1"/>
  <c r="AT726" i="22" s="1"/>
  <c r="AU726" i="22" s="1"/>
  <c r="AV726" i="22" s="1"/>
  <c r="AW726" i="22" s="1"/>
  <c r="AX726" i="22" s="1"/>
  <c r="AY726" i="22" s="1"/>
  <c r="AZ726" i="22" s="1"/>
  <c r="BA726" i="22" s="1"/>
  <c r="BB726" i="22" s="1"/>
  <c r="BC726" i="22" s="1"/>
  <c r="BD726" i="22" s="1"/>
  <c r="BE726" i="22" s="1"/>
  <c r="AE741" i="22"/>
  <c r="AF731" i="22"/>
  <c r="AE738" i="22"/>
  <c r="AE739" i="22"/>
  <c r="AF732" i="22"/>
  <c r="AI778" i="22"/>
  <c r="AH785" i="22"/>
  <c r="AE753" i="22"/>
  <c r="AF746" i="22"/>
  <c r="AF752" i="22"/>
  <c r="AG745" i="22"/>
  <c r="AF754" i="22"/>
  <c r="AG766" i="22"/>
  <c r="AF773" i="22"/>
  <c r="AG751" i="22"/>
  <c r="AF787" i="22"/>
  <c r="AG780" i="22"/>
  <c r="AH744" i="22"/>
  <c r="AI759" i="22"/>
  <c r="AL767" i="22"/>
  <c r="P772" i="22"/>
  <c r="W773" i="22"/>
  <c r="L774" i="22"/>
  <c r="AF774" i="22"/>
  <c r="W772" i="22"/>
  <c r="M773" i="22"/>
  <c r="T774" i="22"/>
  <c r="J775" i="22"/>
  <c r="X772" i="22"/>
  <c r="N773" i="22"/>
  <c r="U774" i="22"/>
  <c r="K775" i="22"/>
  <c r="AF779" i="22"/>
  <c r="AE786" i="22"/>
  <c r="U738" i="22"/>
  <c r="O739" i="22"/>
  <c r="L740" i="22"/>
  <c r="AA740" i="22"/>
  <c r="K741" i="22"/>
  <c r="AF765" i="22"/>
  <c r="AE772" i="22"/>
  <c r="O775" i="22"/>
  <c r="AA775" i="22"/>
  <c r="AA772" i="22"/>
  <c r="O773" i="22"/>
  <c r="W774" i="22"/>
  <c r="AB774" i="22"/>
  <c r="P774" i="22"/>
  <c r="AC773" i="22"/>
  <c r="Q773" i="22"/>
  <c r="AD772" i="22"/>
  <c r="R772" i="22"/>
  <c r="AA774" i="22"/>
  <c r="O774" i="22"/>
  <c r="AB773" i="22"/>
  <c r="P773" i="22"/>
  <c r="AC772" i="22"/>
  <c r="Q772" i="22"/>
  <c r="W775" i="22"/>
  <c r="AD774" i="22"/>
  <c r="N774" i="22"/>
  <c r="U773" i="22"/>
  <c r="Z772" i="22"/>
  <c r="L772" i="22"/>
  <c r="AB740" i="22"/>
  <c r="P740" i="22"/>
  <c r="AC739" i="22"/>
  <c r="Y774" i="22"/>
  <c r="J774" i="22"/>
  <c r="AA773" i="22"/>
  <c r="L773" i="22"/>
  <c r="N772" i="22"/>
  <c r="T740" i="22"/>
  <c r="AD739" i="22"/>
  <c r="Q739" i="22"/>
  <c r="AD738" i="22"/>
  <c r="R738" i="22"/>
  <c r="V774" i="22"/>
  <c r="X773" i="22"/>
  <c r="I773" i="22"/>
  <c r="Y772" i="22"/>
  <c r="J772" i="22"/>
  <c r="AD740" i="22"/>
  <c r="Q740" i="22"/>
  <c r="Z739" i="22"/>
  <c r="N739" i="22"/>
  <c r="AA738" i="22"/>
  <c r="O738" i="22"/>
  <c r="V738" i="22"/>
  <c r="P739" i="22"/>
  <c r="M740" i="22"/>
  <c r="AC740" i="22"/>
  <c r="I772" i="22"/>
  <c r="AB772" i="22"/>
  <c r="R773" i="22"/>
  <c r="X774" i="22"/>
  <c r="M775" i="22"/>
  <c r="I775" i="22"/>
  <c r="V787" i="22"/>
  <c r="J787" i="22"/>
  <c r="W786" i="22"/>
  <c r="K786" i="22"/>
  <c r="X785" i="22"/>
  <c r="L785" i="22"/>
  <c r="U787" i="22"/>
  <c r="I787" i="22"/>
  <c r="V786" i="22"/>
  <c r="J786" i="22"/>
  <c r="W785" i="22"/>
  <c r="K785" i="22"/>
  <c r="S753" i="22"/>
  <c r="T752" i="22"/>
  <c r="U751" i="22"/>
  <c r="I751" i="22"/>
  <c r="AC788" i="22"/>
  <c r="Q788" i="22"/>
  <c r="AD787" i="22"/>
  <c r="R787" i="22"/>
  <c r="S786" i="22"/>
  <c r="T785" i="22"/>
  <c r="V751" i="22"/>
  <c r="L752" i="22"/>
  <c r="Y752" i="22"/>
  <c r="O753" i="22"/>
  <c r="AB753" i="22"/>
  <c r="I788" i="22"/>
  <c r="U788" i="22"/>
  <c r="J785" i="22"/>
  <c r="AA785" i="22"/>
  <c r="I786" i="22"/>
  <c r="Z786" i="22"/>
  <c r="Y787" i="22"/>
  <c r="H899" i="23"/>
  <c r="H904" i="23"/>
  <c r="A19" i="116" l="1"/>
  <c r="AJ778" i="22"/>
  <c r="AI785" i="22"/>
  <c r="AF739" i="22"/>
  <c r="AG732" i="22"/>
  <c r="AG779" i="22"/>
  <c r="AF786" i="22"/>
  <c r="AF788" i="22"/>
  <c r="AG773" i="22"/>
  <c r="AH766" i="22"/>
  <c r="AF741" i="22"/>
  <c r="AF738" i="22"/>
  <c r="AG731" i="22"/>
  <c r="AL774" i="22"/>
  <c r="AM767" i="22"/>
  <c r="AH745" i="22"/>
  <c r="AG752" i="22"/>
  <c r="AJ759" i="22"/>
  <c r="AK725" i="22"/>
  <c r="AG740" i="22"/>
  <c r="AH733" i="22"/>
  <c r="AG765" i="22"/>
  <c r="AF775" i="22"/>
  <c r="AF772" i="22"/>
  <c r="AI744" i="22"/>
  <c r="AH751" i="22"/>
  <c r="AG787" i="22"/>
  <c r="AH780" i="22"/>
  <c r="AF753" i="22"/>
  <c r="AG746" i="22"/>
  <c r="K75" i="22"/>
  <c r="K49" i="22"/>
  <c r="K29" i="22"/>
  <c r="K50" i="22"/>
  <c r="K74" i="22"/>
  <c r="K73" i="22"/>
  <c r="K78" i="22"/>
  <c r="L6" i="22"/>
  <c r="K77" i="22"/>
  <c r="K72" i="22"/>
  <c r="K26" i="22"/>
  <c r="K27" i="22"/>
  <c r="K76" i="22"/>
  <c r="K28" i="22"/>
  <c r="K51" i="22"/>
  <c r="K52" i="22"/>
  <c r="A20" i="116" l="1"/>
  <c r="AH787" i="22"/>
  <c r="AI780" i="22"/>
  <c r="AI733" i="22"/>
  <c r="AH740" i="22"/>
  <c r="L50" i="22"/>
  <c r="L49" i="22"/>
  <c r="L78" i="22"/>
  <c r="L77" i="22"/>
  <c r="L28" i="22"/>
  <c r="L74" i="22"/>
  <c r="M6" i="22"/>
  <c r="L73" i="22"/>
  <c r="L29" i="22"/>
  <c r="L76" i="22"/>
  <c r="L75" i="22"/>
  <c r="L52" i="22"/>
  <c r="L26" i="22"/>
  <c r="L72" i="22"/>
  <c r="L51" i="22"/>
  <c r="L27" i="22"/>
  <c r="AK759" i="22"/>
  <c r="AH779" i="22"/>
  <c r="AG786" i="22"/>
  <c r="AG788" i="22"/>
  <c r="AG739" i="22"/>
  <c r="AH732" i="22"/>
  <c r="AL725" i="22"/>
  <c r="AI751" i="22"/>
  <c r="AJ744" i="22"/>
  <c r="AI745" i="22"/>
  <c r="AH752" i="22"/>
  <c r="AH773" i="22"/>
  <c r="AI766" i="22"/>
  <c r="AM774" i="22"/>
  <c r="AN767" i="22"/>
  <c r="AH746" i="22"/>
  <c r="AG753" i="22"/>
  <c r="AG754" i="22"/>
  <c r="AG775" i="22"/>
  <c r="AH765" i="22"/>
  <c r="AG772" i="22"/>
  <c r="AG741" i="22"/>
  <c r="AG738" i="22"/>
  <c r="AH731" i="22"/>
  <c r="AJ785" i="22"/>
  <c r="AK778" i="22"/>
  <c r="A21" i="116" l="1"/>
  <c r="AI773" i="22"/>
  <c r="AJ766" i="22"/>
  <c r="AJ751" i="22"/>
  <c r="AK744" i="22"/>
  <c r="AH775" i="22"/>
  <c r="AI765" i="22"/>
  <c r="AH772" i="22"/>
  <c r="AI731" i="22"/>
  <c r="AH741" i="22"/>
  <c r="AH738" i="22"/>
  <c r="AH786" i="22"/>
  <c r="AI779" i="22"/>
  <c r="AH788" i="22"/>
  <c r="M74" i="22"/>
  <c r="M49" i="22"/>
  <c r="M27" i="22"/>
  <c r="M78" i="22"/>
  <c r="N6" i="22"/>
  <c r="M73" i="22"/>
  <c r="M29" i="22"/>
  <c r="M77" i="22"/>
  <c r="M28" i="22"/>
  <c r="M76" i="22"/>
  <c r="M26" i="22"/>
  <c r="M72" i="22"/>
  <c r="M50" i="22"/>
  <c r="M51" i="22"/>
  <c r="M75" i="22"/>
  <c r="M52" i="22"/>
  <c r="AL759" i="22"/>
  <c r="AI752" i="22"/>
  <c r="AJ745" i="22"/>
  <c r="AI754" i="22"/>
  <c r="AM725" i="22"/>
  <c r="AI746" i="22"/>
  <c r="AH753" i="22"/>
  <c r="AH754" i="22"/>
  <c r="AH739" i="22"/>
  <c r="AI732" i="22"/>
  <c r="AJ733" i="22"/>
  <c r="AI740" i="22"/>
  <c r="AK785" i="22"/>
  <c r="AL778" i="22"/>
  <c r="AN774" i="22"/>
  <c r="AO767" i="22"/>
  <c r="AI787" i="22"/>
  <c r="AJ780" i="22"/>
  <c r="A22" i="116" l="1"/>
  <c r="AO774" i="22"/>
  <c r="AP767" i="22"/>
  <c r="AK733" i="22"/>
  <c r="AJ740" i="22"/>
  <c r="N74" i="22"/>
  <c r="N49" i="22"/>
  <c r="O6" i="22"/>
  <c r="N73" i="22"/>
  <c r="N29" i="22"/>
  <c r="N72" i="22"/>
  <c r="N26" i="22"/>
  <c r="N78" i="22"/>
  <c r="N77" i="22"/>
  <c r="N28" i="22"/>
  <c r="N27" i="22"/>
  <c r="N52" i="22"/>
  <c r="N76" i="22"/>
  <c r="N51" i="22"/>
  <c r="N75" i="22"/>
  <c r="N50" i="22"/>
  <c r="AI775" i="22"/>
  <c r="AI772" i="22"/>
  <c r="AJ765" i="22"/>
  <c r="AI786" i="22"/>
  <c r="AJ779" i="22"/>
  <c r="AI788" i="22"/>
  <c r="AL785" i="22"/>
  <c r="AM778" i="22"/>
  <c r="AL744" i="22"/>
  <c r="AK751" i="22"/>
  <c r="AK745" i="22"/>
  <c r="AJ752" i="22"/>
  <c r="AI741" i="22"/>
  <c r="AI738" i="22"/>
  <c r="AJ731" i="22"/>
  <c r="AM759" i="22"/>
  <c r="AJ732" i="22"/>
  <c r="AI739" i="22"/>
  <c r="AK780" i="22"/>
  <c r="AJ787" i="22"/>
  <c r="AN725" i="22"/>
  <c r="AI753" i="22"/>
  <c r="AJ746" i="22"/>
  <c r="AJ773" i="22"/>
  <c r="AK766" i="22"/>
  <c r="A23" i="116" l="1"/>
  <c r="AJ753" i="22"/>
  <c r="AK746" i="22"/>
  <c r="AJ754" i="22"/>
  <c r="AL745" i="22"/>
  <c r="AK752" i="22"/>
  <c r="AL751" i="22"/>
  <c r="AM744" i="22"/>
  <c r="O78" i="22"/>
  <c r="O29" i="22"/>
  <c r="O77" i="22"/>
  <c r="O28" i="22"/>
  <c r="O76" i="22"/>
  <c r="P6" i="22"/>
  <c r="O73" i="22"/>
  <c r="O27" i="22"/>
  <c r="O72" i="22"/>
  <c r="O52" i="22"/>
  <c r="O26" i="22"/>
  <c r="O51" i="22"/>
  <c r="O49" i="22"/>
  <c r="O50" i="22"/>
  <c r="O75" i="22"/>
  <c r="O74" i="22"/>
  <c r="AK754" i="22"/>
  <c r="AK765" i="22"/>
  <c r="AJ772" i="22"/>
  <c r="AJ775" i="22"/>
  <c r="AN778" i="22"/>
  <c r="AM785" i="22"/>
  <c r="AK787" i="22"/>
  <c r="AL780" i="22"/>
  <c r="AK732" i="22"/>
  <c r="AJ739" i="22"/>
  <c r="AO725" i="22"/>
  <c r="AK740" i="22"/>
  <c r="AL733" i="22"/>
  <c r="AL766" i="22"/>
  <c r="AK773" i="22"/>
  <c r="AN759" i="22"/>
  <c r="AP774" i="22"/>
  <c r="AQ767" i="22"/>
  <c r="AJ738" i="22"/>
  <c r="AK731" i="22"/>
  <c r="AJ741" i="22"/>
  <c r="AK779" i="22"/>
  <c r="AJ786" i="22"/>
  <c r="AJ788" i="22"/>
  <c r="A24" i="116" l="1"/>
  <c r="AL754" i="22"/>
  <c r="AQ774" i="22"/>
  <c r="AR767" i="22"/>
  <c r="AM751" i="22"/>
  <c r="AN744" i="22"/>
  <c r="AL787" i="22"/>
  <c r="AM780" i="22"/>
  <c r="AO759" i="22"/>
  <c r="AK739" i="22"/>
  <c r="AL732" i="22"/>
  <c r="AO778" i="22"/>
  <c r="AN785" i="22"/>
  <c r="AM766" i="22"/>
  <c r="AL773" i="22"/>
  <c r="AL752" i="22"/>
  <c r="AM745" i="22"/>
  <c r="AP725" i="22"/>
  <c r="AL731" i="22"/>
  <c r="AK738" i="22"/>
  <c r="AK741" i="22"/>
  <c r="AM733" i="22"/>
  <c r="AL740" i="22"/>
  <c r="AL765" i="22"/>
  <c r="AK775" i="22"/>
  <c r="AK772" i="22"/>
  <c r="Q6" i="22"/>
  <c r="P27" i="22"/>
  <c r="P73" i="22"/>
  <c r="P29" i="22"/>
  <c r="P51" i="22"/>
  <c r="P77" i="22"/>
  <c r="P28" i="22"/>
  <c r="P72" i="22"/>
  <c r="P52" i="22"/>
  <c r="P26" i="22"/>
  <c r="P76" i="22"/>
  <c r="P74" i="22"/>
  <c r="P75" i="22"/>
  <c r="P50" i="22"/>
  <c r="P49" i="22"/>
  <c r="P78" i="22"/>
  <c r="AL746" i="22"/>
  <c r="AK753" i="22"/>
  <c r="AK786" i="22"/>
  <c r="AL779" i="22"/>
  <c r="AK788" i="22"/>
  <c r="A25" i="116" l="1"/>
  <c r="AQ725" i="22"/>
  <c r="AM752" i="22"/>
  <c r="AN745" i="22"/>
  <c r="AM731" i="22"/>
  <c r="AL738" i="22"/>
  <c r="AL741" i="22"/>
  <c r="Q73" i="22"/>
  <c r="Q29" i="22"/>
  <c r="Q52" i="22"/>
  <c r="Q26" i="22"/>
  <c r="Q75" i="22"/>
  <c r="Q77" i="22"/>
  <c r="Q28" i="22"/>
  <c r="Q27" i="22"/>
  <c r="Q72" i="22"/>
  <c r="Q76" i="22"/>
  <c r="Q51" i="22"/>
  <c r="Q49" i="22"/>
  <c r="R6" i="22"/>
  <c r="Q50" i="22"/>
  <c r="Q74" i="22"/>
  <c r="Q78" i="22"/>
  <c r="AN751" i="22"/>
  <c r="AO744" i="22"/>
  <c r="AM740" i="22"/>
  <c r="AN733" i="22"/>
  <c r="AM732" i="22"/>
  <c r="AL739" i="22"/>
  <c r="AM746" i="22"/>
  <c r="AM754" i="22" s="1"/>
  <c r="AL753" i="22"/>
  <c r="AP759" i="22"/>
  <c r="AN780" i="22"/>
  <c r="AM787" i="22"/>
  <c r="AM773" i="22"/>
  <c r="AN766" i="22"/>
  <c r="AL775" i="22"/>
  <c r="AM765" i="22"/>
  <c r="AL772" i="22"/>
  <c r="AR774" i="22"/>
  <c r="AS767" i="22"/>
  <c r="AL786" i="22"/>
  <c r="AM779" i="22"/>
  <c r="AL788" i="22"/>
  <c r="AO785" i="22"/>
  <c r="AP778" i="22"/>
  <c r="A26" i="116" l="1"/>
  <c r="AO780" i="22"/>
  <c r="AN787" i="22"/>
  <c r="AM739" i="22"/>
  <c r="AN732" i="22"/>
  <c r="AT767" i="22"/>
  <c r="AS774" i="22"/>
  <c r="AM775" i="22"/>
  <c r="AN765" i="22"/>
  <c r="AM772" i="22"/>
  <c r="AM738" i="22"/>
  <c r="AN731" i="22"/>
  <c r="AM741" i="22"/>
  <c r="AN779" i="22"/>
  <c r="AM786" i="22"/>
  <c r="AM788" i="22"/>
  <c r="R77" i="22"/>
  <c r="R28" i="22"/>
  <c r="R52" i="22"/>
  <c r="R26" i="22"/>
  <c r="R76" i="22"/>
  <c r="R27" i="22"/>
  <c r="R50" i="22"/>
  <c r="R72" i="22"/>
  <c r="R51" i="22"/>
  <c r="R75" i="22"/>
  <c r="R49" i="22"/>
  <c r="R29" i="22"/>
  <c r="R73" i="22"/>
  <c r="S6" i="22"/>
  <c r="R78" i="22"/>
  <c r="R74" i="22"/>
  <c r="AN740" i="22"/>
  <c r="AO733" i="22"/>
  <c r="AN752" i="22"/>
  <c r="AO745" i="22"/>
  <c r="AQ759" i="22"/>
  <c r="AN773" i="22"/>
  <c r="AO766" i="22"/>
  <c r="AM753" i="22"/>
  <c r="AN746" i="22"/>
  <c r="AP785" i="22"/>
  <c r="AQ778" i="22"/>
  <c r="AO751" i="22"/>
  <c r="AP744" i="22"/>
  <c r="AR725" i="22"/>
  <c r="A27" i="116" l="1"/>
  <c r="AP733" i="22"/>
  <c r="AO740" i="22"/>
  <c r="AS725" i="22"/>
  <c r="AP745" i="22"/>
  <c r="AO752" i="22"/>
  <c r="AN753" i="22"/>
  <c r="AO746" i="22"/>
  <c r="AN754" i="22"/>
  <c r="S27" i="22"/>
  <c r="S51" i="22"/>
  <c r="S72" i="22"/>
  <c r="S52" i="22"/>
  <c r="S26" i="22"/>
  <c r="S76" i="22"/>
  <c r="S75" i="22"/>
  <c r="S50" i="22"/>
  <c r="S78" i="22"/>
  <c r="S73" i="22"/>
  <c r="S49" i="22"/>
  <c r="S74" i="22"/>
  <c r="S77" i="22"/>
  <c r="S28" i="22"/>
  <c r="T6" i="22"/>
  <c r="S29" i="22"/>
  <c r="AU767" i="22"/>
  <c r="AT774" i="22"/>
  <c r="AQ785" i="22"/>
  <c r="AR778" i="22"/>
  <c r="AO732" i="22"/>
  <c r="AN739" i="22"/>
  <c r="AP751" i="22"/>
  <c r="AQ744" i="22"/>
  <c r="AO765" i="22"/>
  <c r="AN772" i="22"/>
  <c r="AN775" i="22"/>
  <c r="AO773" i="22"/>
  <c r="AP766" i="22"/>
  <c r="AO731" i="22"/>
  <c r="AN738" i="22"/>
  <c r="AN741" i="22"/>
  <c r="AR759" i="22"/>
  <c r="AO779" i="22"/>
  <c r="AN786" i="22"/>
  <c r="AN788" i="22"/>
  <c r="AP780" i="22"/>
  <c r="AO787" i="22"/>
  <c r="A28" i="116" l="1"/>
  <c r="T72" i="22"/>
  <c r="T52" i="22"/>
  <c r="T26" i="22"/>
  <c r="T51" i="22"/>
  <c r="T75" i="22"/>
  <c r="T49" i="22"/>
  <c r="T76" i="22"/>
  <c r="T50" i="22"/>
  <c r="T74" i="22"/>
  <c r="T77" i="22"/>
  <c r="T73" i="22"/>
  <c r="U6" i="22"/>
  <c r="T29" i="22"/>
  <c r="T78" i="22"/>
  <c r="T28" i="22"/>
  <c r="T27" i="22"/>
  <c r="AO739" i="22"/>
  <c r="AP732" i="22"/>
  <c r="AO753" i="22"/>
  <c r="AP746" i="22"/>
  <c r="AP731" i="22"/>
  <c r="AO738" i="22"/>
  <c r="AO741" i="22"/>
  <c r="AR785" i="22"/>
  <c r="AS778" i="22"/>
  <c r="AO754" i="22"/>
  <c r="AQ766" i="22"/>
  <c r="AP773" i="22"/>
  <c r="AP752" i="22"/>
  <c r="AQ745" i="22"/>
  <c r="AT725" i="22"/>
  <c r="AO786" i="22"/>
  <c r="AP779" i="22"/>
  <c r="AO788" i="22"/>
  <c r="AS759" i="22"/>
  <c r="AP787" i="22"/>
  <c r="AQ780" i="22"/>
  <c r="AV767" i="22"/>
  <c r="AU774" i="22"/>
  <c r="AQ751" i="22"/>
  <c r="AR744" i="22"/>
  <c r="AP765" i="22"/>
  <c r="AO772" i="22"/>
  <c r="AO775" i="22"/>
  <c r="AP740" i="22"/>
  <c r="AQ733" i="22"/>
  <c r="A29" i="116" l="1"/>
  <c r="AQ752" i="22"/>
  <c r="AR745" i="22"/>
  <c r="AP786" i="22"/>
  <c r="AQ779" i="22"/>
  <c r="AP788" i="22"/>
  <c r="AP753" i="22"/>
  <c r="AQ746" i="22"/>
  <c r="AP754" i="22"/>
  <c r="AQ732" i="22"/>
  <c r="AP739" i="22"/>
  <c r="AP738" i="22"/>
  <c r="AP741" i="22"/>
  <c r="AQ731" i="22"/>
  <c r="AW767" i="22"/>
  <c r="AV774" i="22"/>
  <c r="AR780" i="22"/>
  <c r="AQ787" i="22"/>
  <c r="AR766" i="22"/>
  <c r="AQ773" i="22"/>
  <c r="U76" i="22"/>
  <c r="U50" i="22"/>
  <c r="U51" i="22"/>
  <c r="U75" i="22"/>
  <c r="U78" i="22"/>
  <c r="U74" i="22"/>
  <c r="U49" i="22"/>
  <c r="U77" i="22"/>
  <c r="U72" i="22"/>
  <c r="U26" i="22"/>
  <c r="U73" i="22"/>
  <c r="U27" i="22"/>
  <c r="U28" i="22"/>
  <c r="V6" i="22"/>
  <c r="U52" i="22"/>
  <c r="U29" i="22"/>
  <c r="AS744" i="22"/>
  <c r="AR751" i="22"/>
  <c r="AU725" i="22"/>
  <c r="AQ740" i="22"/>
  <c r="AR733" i="22"/>
  <c r="AT759" i="22"/>
  <c r="AP772" i="22"/>
  <c r="AP775" i="22"/>
  <c r="AQ765" i="22"/>
  <c r="AT778" i="22"/>
  <c r="AS785" i="22"/>
  <c r="A30" i="116" l="1"/>
  <c r="AQ772" i="22"/>
  <c r="AQ775" i="22"/>
  <c r="AR765" i="22"/>
  <c r="V51" i="22"/>
  <c r="V50" i="22"/>
  <c r="V75" i="22"/>
  <c r="V74" i="22"/>
  <c r="V49" i="22"/>
  <c r="W6" i="22"/>
  <c r="V78" i="22"/>
  <c r="V73" i="22"/>
  <c r="V76" i="22"/>
  <c r="V28" i="22"/>
  <c r="V26" i="22"/>
  <c r="V27" i="22"/>
  <c r="V77" i="22"/>
  <c r="V52" i="22"/>
  <c r="V29" i="22"/>
  <c r="V72" i="22"/>
  <c r="AQ753" i="22"/>
  <c r="AR746" i="22"/>
  <c r="AQ754" i="22"/>
  <c r="AS733" i="22"/>
  <c r="AR740" i="22"/>
  <c r="AR773" i="22"/>
  <c r="AS766" i="22"/>
  <c r="AQ739" i="22"/>
  <c r="AR732" i="22"/>
  <c r="AS780" i="22"/>
  <c r="AR787" i="22"/>
  <c r="AR779" i="22"/>
  <c r="AQ786" i="22"/>
  <c r="AQ788" i="22"/>
  <c r="AS751" i="22"/>
  <c r="AT744" i="22"/>
  <c r="AV725" i="22"/>
  <c r="AU759" i="22"/>
  <c r="AX767" i="22"/>
  <c r="AW774" i="22"/>
  <c r="AR752" i="22"/>
  <c r="AS745" i="22"/>
  <c r="AU778" i="22"/>
  <c r="AT785" i="22"/>
  <c r="AQ741" i="22"/>
  <c r="AQ738" i="22"/>
  <c r="AR731" i="22"/>
  <c r="A31" i="116" l="1"/>
  <c r="AS740" i="22"/>
  <c r="AT733" i="22"/>
  <c r="AS779" i="22"/>
  <c r="AR786" i="22"/>
  <c r="AR788" i="22"/>
  <c r="AT751" i="22"/>
  <c r="AU744" i="22"/>
  <c r="AV759" i="22"/>
  <c r="AR775" i="22"/>
  <c r="AR772" i="22"/>
  <c r="AS765" i="22"/>
  <c r="AV778" i="22"/>
  <c r="AU785" i="22"/>
  <c r="W75" i="22"/>
  <c r="W74" i="22"/>
  <c r="W49" i="22"/>
  <c r="W73" i="22"/>
  <c r="W29" i="22"/>
  <c r="W50" i="22"/>
  <c r="W78" i="22"/>
  <c r="X6" i="22"/>
  <c r="W27" i="22"/>
  <c r="W28" i="22"/>
  <c r="W26" i="22"/>
  <c r="W52" i="22"/>
  <c r="W51" i="22"/>
  <c r="W72" i="22"/>
  <c r="W77" i="22"/>
  <c r="W76" i="22"/>
  <c r="AS752" i="22"/>
  <c r="AT745" i="22"/>
  <c r="AY767" i="22"/>
  <c r="AX774" i="22"/>
  <c r="AS787" i="22"/>
  <c r="AT780" i="22"/>
  <c r="AR741" i="22"/>
  <c r="AR738" i="22"/>
  <c r="AS731" i="22"/>
  <c r="AW725" i="22"/>
  <c r="AS773" i="22"/>
  <c r="AT766" i="22"/>
  <c r="AR753" i="22"/>
  <c r="AS746" i="22"/>
  <c r="AR754" i="22"/>
  <c r="AR739" i="22"/>
  <c r="AS732" i="22"/>
  <c r="A32" i="116" l="1"/>
  <c r="AT754" i="22"/>
  <c r="X50" i="22"/>
  <c r="X49" i="22"/>
  <c r="X28" i="22"/>
  <c r="X74" i="22"/>
  <c r="X78" i="22"/>
  <c r="Y6" i="22"/>
  <c r="X77" i="22"/>
  <c r="X73" i="22"/>
  <c r="X29" i="22"/>
  <c r="X27" i="22"/>
  <c r="X51" i="22"/>
  <c r="X75" i="22"/>
  <c r="X76" i="22"/>
  <c r="X72" i="22"/>
  <c r="X52" i="22"/>
  <c r="X26" i="22"/>
  <c r="AX725" i="22"/>
  <c r="AU751" i="22"/>
  <c r="AV744" i="22"/>
  <c r="AT731" i="22"/>
  <c r="AS738" i="22"/>
  <c r="AS741" i="22"/>
  <c r="AY774" i="22"/>
  <c r="AZ767" i="22"/>
  <c r="AT779" i="22"/>
  <c r="AS786" i="22"/>
  <c r="AS788" i="22"/>
  <c r="AS753" i="22"/>
  <c r="AT746" i="22"/>
  <c r="AS754" i="22"/>
  <c r="AW759" i="22"/>
  <c r="AU766" i="22"/>
  <c r="AT773" i="22"/>
  <c r="AS739" i="22"/>
  <c r="AT732" i="22"/>
  <c r="AT787" i="22"/>
  <c r="AU780" i="22"/>
  <c r="AV785" i="22"/>
  <c r="AW778" i="22"/>
  <c r="AT740" i="22"/>
  <c r="AU733" i="22"/>
  <c r="AU745" i="22"/>
  <c r="AT752" i="22"/>
  <c r="AT765" i="22"/>
  <c r="AS775" i="22"/>
  <c r="AS772" i="22"/>
  <c r="A33" i="116" l="1"/>
  <c r="AU773" i="22"/>
  <c r="AV766" i="22"/>
  <c r="AV745" i="22"/>
  <c r="AU752" i="22"/>
  <c r="AX759" i="22"/>
  <c r="AT741" i="22"/>
  <c r="AT738" i="22"/>
  <c r="AU731" i="22"/>
  <c r="AV751" i="22"/>
  <c r="AW744" i="22"/>
  <c r="AV733" i="22"/>
  <c r="AU740" i="22"/>
  <c r="AX778" i="22"/>
  <c r="AW785" i="22"/>
  <c r="AU746" i="22"/>
  <c r="AT753" i="22"/>
  <c r="AY725" i="22"/>
  <c r="Z6" i="22"/>
  <c r="Y74" i="22"/>
  <c r="Y49" i="22"/>
  <c r="Y78" i="22"/>
  <c r="Y73" i="22"/>
  <c r="Y29" i="22"/>
  <c r="Y27" i="22"/>
  <c r="Y77" i="22"/>
  <c r="Y28" i="22"/>
  <c r="Y50" i="22"/>
  <c r="Y51" i="22"/>
  <c r="Y75" i="22"/>
  <c r="Y76" i="22"/>
  <c r="Y72" i="22"/>
  <c r="Y26" i="22"/>
  <c r="Y52" i="22"/>
  <c r="AU787" i="22"/>
  <c r="AV780" i="22"/>
  <c r="AT786" i="22"/>
  <c r="AU779" i="22"/>
  <c r="AT788" i="22"/>
  <c r="AT739" i="22"/>
  <c r="AU732" i="22"/>
  <c r="AZ774" i="22"/>
  <c r="BA767" i="22"/>
  <c r="AT775" i="22"/>
  <c r="AT772" i="22"/>
  <c r="AU765" i="22"/>
  <c r="A34" i="116" l="1"/>
  <c r="BB767" i="22"/>
  <c r="BA774" i="22"/>
  <c r="Z74" i="22"/>
  <c r="Z49" i="22"/>
  <c r="AA6" i="22"/>
  <c r="Z29" i="22"/>
  <c r="Z26" i="22"/>
  <c r="Z78" i="22"/>
  <c r="Z72" i="22"/>
  <c r="Z52" i="22"/>
  <c r="Z73" i="22"/>
  <c r="Z77" i="22"/>
  <c r="Z28" i="22"/>
  <c r="Z27" i="22"/>
  <c r="Z50" i="22"/>
  <c r="Z51" i="22"/>
  <c r="Z75" i="22"/>
  <c r="Z76" i="22"/>
  <c r="AV732" i="22"/>
  <c r="AU739" i="22"/>
  <c r="AZ725" i="22"/>
  <c r="AU741" i="22"/>
  <c r="AU738" i="22"/>
  <c r="AV731" i="22"/>
  <c r="AU753" i="22"/>
  <c r="AV746" i="22"/>
  <c r="AU754" i="22"/>
  <c r="AU786" i="22"/>
  <c r="AV779" i="22"/>
  <c r="AU788" i="22"/>
  <c r="AY759" i="22"/>
  <c r="AX785" i="22"/>
  <c r="AY778" i="22"/>
  <c r="AV752" i="22"/>
  <c r="AW745" i="22"/>
  <c r="AX744" i="22"/>
  <c r="AW751" i="22"/>
  <c r="AW780" i="22"/>
  <c r="AV787" i="22"/>
  <c r="AW766" i="22"/>
  <c r="AV773" i="22"/>
  <c r="AU775" i="22"/>
  <c r="AU772" i="22"/>
  <c r="AV765" i="22"/>
  <c r="AV740" i="22"/>
  <c r="AW733" i="22"/>
  <c r="A35" i="116" l="1"/>
  <c r="AV772" i="22"/>
  <c r="AW765" i="22"/>
  <c r="AV775" i="22"/>
  <c r="AZ778" i="22"/>
  <c r="AY785" i="22"/>
  <c r="BA725" i="22"/>
  <c r="AV739" i="22"/>
  <c r="AW732" i="22"/>
  <c r="AZ759" i="22"/>
  <c r="AX780" i="22"/>
  <c r="AW787" i="22"/>
  <c r="AV786" i="22"/>
  <c r="AW779" i="22"/>
  <c r="AV788" i="22"/>
  <c r="AX751" i="22"/>
  <c r="AY744" i="22"/>
  <c r="AW746" i="22"/>
  <c r="AV753" i="22"/>
  <c r="AV754" i="22"/>
  <c r="AA78" i="22"/>
  <c r="AA29" i="22"/>
  <c r="AA28" i="22"/>
  <c r="AB6" i="22"/>
  <c r="AA73" i="22"/>
  <c r="AA77" i="22"/>
  <c r="AA27" i="22"/>
  <c r="AA76" i="22"/>
  <c r="AA72" i="22"/>
  <c r="AA52" i="22"/>
  <c r="AA26" i="22"/>
  <c r="AA51" i="22"/>
  <c r="AA75" i="22"/>
  <c r="AA74" i="22"/>
  <c r="AA49" i="22"/>
  <c r="AA50" i="22"/>
  <c r="AW740" i="22"/>
  <c r="AX733" i="22"/>
  <c r="AW752" i="22"/>
  <c r="AX745" i="22"/>
  <c r="AX766" i="22"/>
  <c r="AW773" i="22"/>
  <c r="AV741" i="22"/>
  <c r="AW731" i="22"/>
  <c r="AV738" i="22"/>
  <c r="BB774" i="22"/>
  <c r="BC767" i="22"/>
  <c r="A36" i="116" l="1"/>
  <c r="AY766" i="22"/>
  <c r="AX773" i="22"/>
  <c r="AY751" i="22"/>
  <c r="AZ744" i="22"/>
  <c r="AY745" i="22"/>
  <c r="AX752" i="22"/>
  <c r="BB725" i="22"/>
  <c r="BA759" i="22"/>
  <c r="AW786" i="22"/>
  <c r="AX779" i="22"/>
  <c r="AW788" i="22"/>
  <c r="AW738" i="22"/>
  <c r="AX731" i="22"/>
  <c r="AW741" i="22"/>
  <c r="AC6" i="22"/>
  <c r="AB28" i="22"/>
  <c r="AB27" i="22"/>
  <c r="AB73" i="22"/>
  <c r="AB29" i="22"/>
  <c r="AB51" i="22"/>
  <c r="AB77" i="22"/>
  <c r="AB72" i="22"/>
  <c r="AB52" i="22"/>
  <c r="AB26" i="22"/>
  <c r="AB76" i="22"/>
  <c r="AB78" i="22"/>
  <c r="AB49" i="22"/>
  <c r="AB74" i="22"/>
  <c r="AB50" i="22"/>
  <c r="AB75" i="22"/>
  <c r="AX740" i="22"/>
  <c r="AY733" i="22"/>
  <c r="AZ785" i="22"/>
  <c r="BA778" i="22"/>
  <c r="BD767" i="22"/>
  <c r="BC774" i="22"/>
  <c r="AX765" i="22"/>
  <c r="AW775" i="22"/>
  <c r="AW772" i="22"/>
  <c r="AX732" i="22"/>
  <c r="AW739" i="22"/>
  <c r="AW753" i="22"/>
  <c r="AX746" i="22"/>
  <c r="AW754" i="22"/>
  <c r="AX787" i="22"/>
  <c r="AY780" i="22"/>
  <c r="A37" i="116" l="1"/>
  <c r="AY732" i="22"/>
  <c r="AX739" i="22"/>
  <c r="BC725" i="22"/>
  <c r="AC73" i="22"/>
  <c r="AC29" i="22"/>
  <c r="AC72" i="22"/>
  <c r="AC52" i="22"/>
  <c r="AC26" i="22"/>
  <c r="AC77" i="22"/>
  <c r="AC28" i="22"/>
  <c r="AC27" i="22"/>
  <c r="AC75" i="22"/>
  <c r="AC76" i="22"/>
  <c r="AC51" i="22"/>
  <c r="AC78" i="22"/>
  <c r="AC74" i="22"/>
  <c r="AC49" i="22"/>
  <c r="AD6" i="22"/>
  <c r="AC50" i="22"/>
  <c r="AY752" i="22"/>
  <c r="AZ745" i="22"/>
  <c r="AY740" i="22"/>
  <c r="AZ733" i="22"/>
  <c r="AX775" i="22"/>
  <c r="AY765" i="22"/>
  <c r="AX772" i="22"/>
  <c r="AZ751" i="22"/>
  <c r="BA744" i="22"/>
  <c r="AY746" i="22"/>
  <c r="AX753" i="22"/>
  <c r="AX754" i="22"/>
  <c r="BB759" i="22"/>
  <c r="AY731" i="22"/>
  <c r="AX738" i="22"/>
  <c r="AX741" i="22"/>
  <c r="AZ780" i="22"/>
  <c r="AY787" i="22"/>
  <c r="BB778" i="22"/>
  <c r="BA785" i="22"/>
  <c r="BE767" i="22"/>
  <c r="BE774" i="22" s="1"/>
  <c r="BD774" i="22"/>
  <c r="AX786" i="22"/>
  <c r="AY779" i="22"/>
  <c r="AX788" i="22"/>
  <c r="AY773" i="22"/>
  <c r="AZ766" i="22"/>
  <c r="A38" i="116" l="1"/>
  <c r="AY738" i="22"/>
  <c r="AZ731" i="22"/>
  <c r="AY741" i="22"/>
  <c r="AZ746" i="22"/>
  <c r="AY753" i="22"/>
  <c r="AY754" i="22"/>
  <c r="AD77" i="22"/>
  <c r="AD28" i="22"/>
  <c r="AD52" i="22"/>
  <c r="AD27" i="22"/>
  <c r="AD50" i="22"/>
  <c r="AD72" i="22"/>
  <c r="AD26" i="22"/>
  <c r="AD76" i="22"/>
  <c r="AD51" i="22"/>
  <c r="AD75" i="22"/>
  <c r="AD74" i="22"/>
  <c r="AE6" i="22"/>
  <c r="AD78" i="22"/>
  <c r="AD29" i="22"/>
  <c r="AD49" i="22"/>
  <c r="AD73" i="22"/>
  <c r="BC759" i="22"/>
  <c r="BB785" i="22"/>
  <c r="BC778" i="22"/>
  <c r="BB744" i="22"/>
  <c r="BA751" i="22"/>
  <c r="BD725" i="22"/>
  <c r="BA780" i="22"/>
  <c r="AZ787" i="22"/>
  <c r="AZ740" i="22"/>
  <c r="BA733" i="22"/>
  <c r="AY786" i="22"/>
  <c r="AZ779" i="22"/>
  <c r="AY788" i="22"/>
  <c r="AZ752" i="22"/>
  <c r="BA745" i="22"/>
  <c r="AZ773" i="22"/>
  <c r="BA766" i="22"/>
  <c r="AY775" i="22"/>
  <c r="AY772" i="22"/>
  <c r="AZ765" i="22"/>
  <c r="AZ732" i="22"/>
  <c r="AY739" i="22"/>
  <c r="A39" i="116" l="1"/>
  <c r="BA773" i="22"/>
  <c r="BB766" i="22"/>
  <c r="BA765" i="22"/>
  <c r="AZ772" i="22"/>
  <c r="AZ775" i="22"/>
  <c r="AE27" i="22"/>
  <c r="AE51" i="22"/>
  <c r="AE72" i="22"/>
  <c r="AE52" i="22"/>
  <c r="AE26" i="22"/>
  <c r="AE76" i="22"/>
  <c r="AE75" i="22"/>
  <c r="AE50" i="22"/>
  <c r="AF6" i="22"/>
  <c r="AE78" i="22"/>
  <c r="AE49" i="22"/>
  <c r="AE29" i="22"/>
  <c r="AE73" i="22"/>
  <c r="AE77" i="22"/>
  <c r="AE74" i="22"/>
  <c r="AE28" i="22"/>
  <c r="AZ739" i="22"/>
  <c r="BA732" i="22"/>
  <c r="BE725" i="22"/>
  <c r="BB745" i="22"/>
  <c r="BA752" i="22"/>
  <c r="BC744" i="22"/>
  <c r="BB751" i="22"/>
  <c r="BA746" i="22"/>
  <c r="AZ753" i="22"/>
  <c r="BC785" i="22"/>
  <c r="BD778" i="22"/>
  <c r="BB780" i="22"/>
  <c r="BA787" i="22"/>
  <c r="BA779" i="22"/>
  <c r="AZ786" i="22"/>
  <c r="AZ788" i="22"/>
  <c r="BA731" i="22"/>
  <c r="AZ741" i="22"/>
  <c r="AZ738" i="22"/>
  <c r="BD759" i="22"/>
  <c r="BB733" i="22"/>
  <c r="BA740" i="22"/>
  <c r="AZ754" i="22"/>
  <c r="A40" i="116" l="1"/>
  <c r="BB787" i="22"/>
  <c r="BC780" i="22"/>
  <c r="BA739" i="22"/>
  <c r="BB732" i="22"/>
  <c r="BB731" i="22"/>
  <c r="BA741" i="22"/>
  <c r="BA738" i="22"/>
  <c r="BC751" i="22"/>
  <c r="BD744" i="22"/>
  <c r="BC733" i="22"/>
  <c r="BB740" i="22"/>
  <c r="BE759" i="22"/>
  <c r="BB746" i="22"/>
  <c r="BA753" i="22"/>
  <c r="BA754" i="22"/>
  <c r="BB765" i="22"/>
  <c r="BA772" i="22"/>
  <c r="BA775" i="22"/>
  <c r="BD785" i="22"/>
  <c r="BE778" i="22"/>
  <c r="BA786" i="22"/>
  <c r="BB779" i="22"/>
  <c r="BA788" i="22"/>
  <c r="BC745" i="22"/>
  <c r="BB752" i="22"/>
  <c r="AF72" i="22"/>
  <c r="AF52" i="22"/>
  <c r="AF26" i="22"/>
  <c r="AF51" i="22"/>
  <c r="AF76" i="22"/>
  <c r="AF74" i="22"/>
  <c r="AF49" i="22"/>
  <c r="AF75" i="22"/>
  <c r="AF50" i="22"/>
  <c r="AG6" i="22"/>
  <c r="AF28" i="22"/>
  <c r="AF29" i="22"/>
  <c r="AF27" i="22"/>
  <c r="AF73" i="22"/>
  <c r="AF77" i="22"/>
  <c r="AF78" i="22"/>
  <c r="BC766" i="22"/>
  <c r="BB773" i="22"/>
  <c r="A41" i="116" l="1"/>
  <c r="BC779" i="22"/>
  <c r="BB786" i="22"/>
  <c r="BB788" i="22"/>
  <c r="BE744" i="22"/>
  <c r="BD751" i="22"/>
  <c r="BC773" i="22"/>
  <c r="BD766" i="22"/>
  <c r="BE785" i="22"/>
  <c r="BB772" i="22"/>
  <c r="BB775" i="22"/>
  <c r="BC765" i="22"/>
  <c r="BC732" i="22"/>
  <c r="BB739" i="22"/>
  <c r="BD745" i="22"/>
  <c r="BC752" i="22"/>
  <c r="BB753" i="22"/>
  <c r="BC746" i="22"/>
  <c r="BB754" i="22"/>
  <c r="BD733" i="22"/>
  <c r="BC740" i="22"/>
  <c r="BB738" i="22"/>
  <c r="BB741" i="22"/>
  <c r="BC731" i="22"/>
  <c r="AG76" i="22"/>
  <c r="AG50" i="22"/>
  <c r="AG78" i="22"/>
  <c r="AG51" i="22"/>
  <c r="AG75" i="22"/>
  <c r="AG74" i="22"/>
  <c r="AG49" i="22"/>
  <c r="AG28" i="22"/>
  <c r="AG72" i="22"/>
  <c r="AG52" i="22"/>
  <c r="AG73" i="22"/>
  <c r="AG77" i="22"/>
  <c r="AG26" i="22"/>
  <c r="AG29" i="22"/>
  <c r="AG27" i="22"/>
  <c r="AH6" i="22"/>
  <c r="BC787" i="22"/>
  <c r="BD780" i="22"/>
  <c r="A42" i="116" l="1"/>
  <c r="BD787" i="22"/>
  <c r="BE780" i="22"/>
  <c r="BE787" i="22" s="1"/>
  <c r="BC753" i="22"/>
  <c r="BD746" i="22"/>
  <c r="BC754" i="22"/>
  <c r="AI720" i="22"/>
  <c r="AJ720" i="22" s="1"/>
  <c r="AK720" i="22" s="1"/>
  <c r="AL720" i="22" s="1"/>
  <c r="AM720" i="22" s="1"/>
  <c r="AN720" i="22" s="1"/>
  <c r="AO720" i="22" s="1"/>
  <c r="AP720" i="22" s="1"/>
  <c r="AQ720" i="22" s="1"/>
  <c r="AR720" i="22" s="1"/>
  <c r="AS720" i="22" s="1"/>
  <c r="AT720" i="22" s="1"/>
  <c r="AU720" i="22" s="1"/>
  <c r="AV720" i="22" s="1"/>
  <c r="AW720" i="22" s="1"/>
  <c r="AX720" i="22" s="1"/>
  <c r="AY720" i="22" s="1"/>
  <c r="AZ720" i="22" s="1"/>
  <c r="BA720" i="22" s="1"/>
  <c r="BB720" i="22" s="1"/>
  <c r="BC720" i="22" s="1"/>
  <c r="BD720" i="22" s="1"/>
  <c r="BE720" i="22" s="1"/>
  <c r="AI718" i="22"/>
  <c r="AJ718" i="22" s="1"/>
  <c r="AK718" i="22" s="1"/>
  <c r="AL718" i="22" s="1"/>
  <c r="AM718" i="22" s="1"/>
  <c r="AN718" i="22" s="1"/>
  <c r="AO718" i="22" s="1"/>
  <c r="AP718" i="22" s="1"/>
  <c r="AQ718" i="22" s="1"/>
  <c r="AR718" i="22" s="1"/>
  <c r="AS718" i="22" s="1"/>
  <c r="AT718" i="22" s="1"/>
  <c r="AU718" i="22" s="1"/>
  <c r="AV718" i="22" s="1"/>
  <c r="AW718" i="22" s="1"/>
  <c r="AX718" i="22" s="1"/>
  <c r="AY718" i="22" s="1"/>
  <c r="AZ718" i="22" s="1"/>
  <c r="BA718" i="22" s="1"/>
  <c r="BB718" i="22" s="1"/>
  <c r="BC718" i="22" s="1"/>
  <c r="BD718" i="22" s="1"/>
  <c r="BE718" i="22" s="1"/>
  <c r="AI716" i="22"/>
  <c r="AJ716" i="22" s="1"/>
  <c r="AK716" i="22" s="1"/>
  <c r="AL716" i="22" s="1"/>
  <c r="AM716" i="22" s="1"/>
  <c r="AN716" i="22" s="1"/>
  <c r="AO716" i="22" s="1"/>
  <c r="AP716" i="22" s="1"/>
  <c r="AQ716" i="22" s="1"/>
  <c r="AR716" i="22" s="1"/>
  <c r="AS716" i="22" s="1"/>
  <c r="AT716" i="22" s="1"/>
  <c r="AU716" i="22" s="1"/>
  <c r="AV716" i="22" s="1"/>
  <c r="AW716" i="22" s="1"/>
  <c r="AX716" i="22" s="1"/>
  <c r="AY716" i="22" s="1"/>
  <c r="AZ716" i="22" s="1"/>
  <c r="BA716" i="22" s="1"/>
  <c r="BB716" i="22" s="1"/>
  <c r="BC716" i="22" s="1"/>
  <c r="BD716" i="22" s="1"/>
  <c r="BE716" i="22" s="1"/>
  <c r="AI714" i="22"/>
  <c r="AJ714" i="22" s="1"/>
  <c r="AK714" i="22" s="1"/>
  <c r="AL714" i="22" s="1"/>
  <c r="AM714" i="22" s="1"/>
  <c r="AN714" i="22" s="1"/>
  <c r="AO714" i="22" s="1"/>
  <c r="AP714" i="22" s="1"/>
  <c r="AQ714" i="22" s="1"/>
  <c r="AR714" i="22" s="1"/>
  <c r="AS714" i="22" s="1"/>
  <c r="AT714" i="22" s="1"/>
  <c r="AU714" i="22" s="1"/>
  <c r="AV714" i="22" s="1"/>
  <c r="AW714" i="22" s="1"/>
  <c r="AX714" i="22" s="1"/>
  <c r="AY714" i="22" s="1"/>
  <c r="AZ714" i="22" s="1"/>
  <c r="BA714" i="22" s="1"/>
  <c r="BB714" i="22" s="1"/>
  <c r="BC714" i="22" s="1"/>
  <c r="BD714" i="22" s="1"/>
  <c r="BE714" i="22" s="1"/>
  <c r="AI712" i="22"/>
  <c r="AJ712" i="22" s="1"/>
  <c r="AK712" i="22" s="1"/>
  <c r="AL712" i="22" s="1"/>
  <c r="AM712" i="22" s="1"/>
  <c r="AN712" i="22" s="1"/>
  <c r="AO712" i="22" s="1"/>
  <c r="AP712" i="22" s="1"/>
  <c r="AQ712" i="22" s="1"/>
  <c r="AR712" i="22" s="1"/>
  <c r="AS712" i="22" s="1"/>
  <c r="AT712" i="22" s="1"/>
  <c r="AU712" i="22" s="1"/>
  <c r="AV712" i="22" s="1"/>
  <c r="AW712" i="22" s="1"/>
  <c r="AX712" i="22" s="1"/>
  <c r="AY712" i="22" s="1"/>
  <c r="AZ712" i="22" s="1"/>
  <c r="BA712" i="22" s="1"/>
  <c r="BB712" i="22" s="1"/>
  <c r="BC712" i="22" s="1"/>
  <c r="BD712" i="22" s="1"/>
  <c r="BE712" i="22" s="1"/>
  <c r="AI710" i="22"/>
  <c r="AJ710" i="22" s="1"/>
  <c r="AK710" i="22" s="1"/>
  <c r="AL710" i="22" s="1"/>
  <c r="AM710" i="22" s="1"/>
  <c r="AN710" i="22" s="1"/>
  <c r="AO710" i="22" s="1"/>
  <c r="AP710" i="22" s="1"/>
  <c r="AQ710" i="22" s="1"/>
  <c r="AR710" i="22" s="1"/>
  <c r="AS710" i="22" s="1"/>
  <c r="AT710" i="22" s="1"/>
  <c r="AU710" i="22" s="1"/>
  <c r="AV710" i="22" s="1"/>
  <c r="AW710" i="22" s="1"/>
  <c r="AX710" i="22" s="1"/>
  <c r="AY710" i="22" s="1"/>
  <c r="AZ710" i="22" s="1"/>
  <c r="BA710" i="22" s="1"/>
  <c r="BB710" i="22" s="1"/>
  <c r="BC710" i="22" s="1"/>
  <c r="BD710" i="22" s="1"/>
  <c r="BE710" i="22" s="1"/>
  <c r="O719" i="22"/>
  <c r="P719" i="22" s="1"/>
  <c r="Q719" i="22" s="1"/>
  <c r="R719" i="22" s="1"/>
  <c r="S719" i="22" s="1"/>
  <c r="T719" i="22" s="1"/>
  <c r="U719" i="22" s="1"/>
  <c r="V719" i="22" s="1"/>
  <c r="W719" i="22" s="1"/>
  <c r="X719" i="22" s="1"/>
  <c r="Y719" i="22" s="1"/>
  <c r="Z719" i="22" s="1"/>
  <c r="AA719" i="22" s="1"/>
  <c r="AB719" i="22" s="1"/>
  <c r="AC719" i="22" s="1"/>
  <c r="AD719" i="22" s="1"/>
  <c r="AE719" i="22" s="1"/>
  <c r="AF719" i="22" s="1"/>
  <c r="AG719" i="22" s="1"/>
  <c r="O717" i="22"/>
  <c r="P717" i="22" s="1"/>
  <c r="Q717" i="22" s="1"/>
  <c r="R717" i="22" s="1"/>
  <c r="S717" i="22" s="1"/>
  <c r="T717" i="22" s="1"/>
  <c r="U717" i="22" s="1"/>
  <c r="V717" i="22" s="1"/>
  <c r="W717" i="22" s="1"/>
  <c r="X717" i="22" s="1"/>
  <c r="Y717" i="22" s="1"/>
  <c r="Z717" i="22" s="1"/>
  <c r="AA717" i="22" s="1"/>
  <c r="AB717" i="22" s="1"/>
  <c r="AC717" i="22" s="1"/>
  <c r="AD717" i="22" s="1"/>
  <c r="AE717" i="22" s="1"/>
  <c r="AF717" i="22" s="1"/>
  <c r="AG717" i="22" s="1"/>
  <c r="O715" i="22"/>
  <c r="P715" i="22" s="1"/>
  <c r="Q715" i="22" s="1"/>
  <c r="R715" i="22" s="1"/>
  <c r="S715" i="22" s="1"/>
  <c r="T715" i="22" s="1"/>
  <c r="U715" i="22" s="1"/>
  <c r="V715" i="22" s="1"/>
  <c r="W715" i="22" s="1"/>
  <c r="X715" i="22" s="1"/>
  <c r="Y715" i="22" s="1"/>
  <c r="Z715" i="22" s="1"/>
  <c r="AA715" i="22" s="1"/>
  <c r="AB715" i="22" s="1"/>
  <c r="AC715" i="22" s="1"/>
  <c r="AD715" i="22" s="1"/>
  <c r="AE715" i="22" s="1"/>
  <c r="AF715" i="22" s="1"/>
  <c r="AG715" i="22" s="1"/>
  <c r="O713" i="22"/>
  <c r="P713" i="22" s="1"/>
  <c r="Q713" i="22" s="1"/>
  <c r="R713" i="22" s="1"/>
  <c r="S713" i="22" s="1"/>
  <c r="T713" i="22" s="1"/>
  <c r="U713" i="22" s="1"/>
  <c r="V713" i="22" s="1"/>
  <c r="W713" i="22" s="1"/>
  <c r="X713" i="22" s="1"/>
  <c r="Y713" i="22" s="1"/>
  <c r="Z713" i="22" s="1"/>
  <c r="AA713" i="22" s="1"/>
  <c r="AB713" i="22" s="1"/>
  <c r="AC713" i="22" s="1"/>
  <c r="AD713" i="22" s="1"/>
  <c r="AE713" i="22" s="1"/>
  <c r="AF713" i="22" s="1"/>
  <c r="AG713" i="22" s="1"/>
  <c r="O711" i="22"/>
  <c r="P711" i="22" s="1"/>
  <c r="Q711" i="22" s="1"/>
  <c r="R711" i="22" s="1"/>
  <c r="S711" i="22" s="1"/>
  <c r="T711" i="22" s="1"/>
  <c r="U711" i="22" s="1"/>
  <c r="V711" i="22" s="1"/>
  <c r="W711" i="22" s="1"/>
  <c r="X711" i="22" s="1"/>
  <c r="Y711" i="22" s="1"/>
  <c r="Z711" i="22" s="1"/>
  <c r="AA711" i="22" s="1"/>
  <c r="AB711" i="22" s="1"/>
  <c r="AC711" i="22" s="1"/>
  <c r="AD711" i="22" s="1"/>
  <c r="AE711" i="22" s="1"/>
  <c r="AF711" i="22" s="1"/>
  <c r="AG711" i="22" s="1"/>
  <c r="O709" i="22"/>
  <c r="P709" i="22" s="1"/>
  <c r="Q709" i="22" s="1"/>
  <c r="R709" i="22" s="1"/>
  <c r="S709" i="22" s="1"/>
  <c r="T709" i="22" s="1"/>
  <c r="U709" i="22" s="1"/>
  <c r="V709" i="22" s="1"/>
  <c r="W709" i="22" s="1"/>
  <c r="X709" i="22" s="1"/>
  <c r="Y709" i="22" s="1"/>
  <c r="Z709" i="22" s="1"/>
  <c r="AA709" i="22" s="1"/>
  <c r="AB709" i="22" s="1"/>
  <c r="AC709" i="22" s="1"/>
  <c r="AD709" i="22" s="1"/>
  <c r="AE709" i="22" s="1"/>
  <c r="AF709" i="22" s="1"/>
  <c r="AG709" i="22" s="1"/>
  <c r="O718" i="22"/>
  <c r="P718" i="22" s="1"/>
  <c r="Q718" i="22" s="1"/>
  <c r="R718" i="22" s="1"/>
  <c r="S718" i="22" s="1"/>
  <c r="T718" i="22" s="1"/>
  <c r="U718" i="22" s="1"/>
  <c r="V718" i="22" s="1"/>
  <c r="W718" i="22" s="1"/>
  <c r="X718" i="22" s="1"/>
  <c r="Y718" i="22" s="1"/>
  <c r="Z718" i="22" s="1"/>
  <c r="AA718" i="22" s="1"/>
  <c r="AB718" i="22" s="1"/>
  <c r="AC718" i="22" s="1"/>
  <c r="AD718" i="22" s="1"/>
  <c r="AE718" i="22" s="1"/>
  <c r="AF718" i="22" s="1"/>
  <c r="AG718" i="22" s="1"/>
  <c r="O712" i="22"/>
  <c r="P712" i="22" s="1"/>
  <c r="Q712" i="22" s="1"/>
  <c r="R712" i="22" s="1"/>
  <c r="S712" i="22" s="1"/>
  <c r="T712" i="22" s="1"/>
  <c r="U712" i="22" s="1"/>
  <c r="V712" i="22" s="1"/>
  <c r="W712" i="22" s="1"/>
  <c r="X712" i="22" s="1"/>
  <c r="Y712" i="22" s="1"/>
  <c r="Z712" i="22" s="1"/>
  <c r="AA712" i="22" s="1"/>
  <c r="AB712" i="22" s="1"/>
  <c r="AC712" i="22" s="1"/>
  <c r="AD712" i="22" s="1"/>
  <c r="AE712" i="22" s="1"/>
  <c r="AF712" i="22" s="1"/>
  <c r="AG712" i="22" s="1"/>
  <c r="AI709" i="22"/>
  <c r="AJ709" i="22" s="1"/>
  <c r="AK709" i="22" s="1"/>
  <c r="AL709" i="22" s="1"/>
  <c r="AM709" i="22" s="1"/>
  <c r="AN709" i="22" s="1"/>
  <c r="AO709" i="22" s="1"/>
  <c r="AP709" i="22" s="1"/>
  <c r="AQ709" i="22" s="1"/>
  <c r="AR709" i="22" s="1"/>
  <c r="AS709" i="22" s="1"/>
  <c r="AT709" i="22" s="1"/>
  <c r="AU709" i="22" s="1"/>
  <c r="AV709" i="22" s="1"/>
  <c r="AW709" i="22" s="1"/>
  <c r="AX709" i="22" s="1"/>
  <c r="AY709" i="22" s="1"/>
  <c r="AZ709" i="22" s="1"/>
  <c r="BA709" i="22" s="1"/>
  <c r="BB709" i="22" s="1"/>
  <c r="BC709" i="22" s="1"/>
  <c r="BD709" i="22" s="1"/>
  <c r="BE709" i="22" s="1"/>
  <c r="O699" i="22"/>
  <c r="P699" i="22" s="1"/>
  <c r="Q699" i="22" s="1"/>
  <c r="R699" i="22" s="1"/>
  <c r="S699" i="22" s="1"/>
  <c r="T699" i="22" s="1"/>
  <c r="U699" i="22" s="1"/>
  <c r="V699" i="22" s="1"/>
  <c r="W699" i="22" s="1"/>
  <c r="X699" i="22" s="1"/>
  <c r="Y699" i="22" s="1"/>
  <c r="Z699" i="22" s="1"/>
  <c r="AA699" i="22" s="1"/>
  <c r="AB699" i="22" s="1"/>
  <c r="AC699" i="22" s="1"/>
  <c r="AD699" i="22" s="1"/>
  <c r="AE699" i="22" s="1"/>
  <c r="AF699" i="22" s="1"/>
  <c r="AG699" i="22" s="1"/>
  <c r="O698" i="22"/>
  <c r="P698" i="22" s="1"/>
  <c r="Q698" i="22" s="1"/>
  <c r="R698" i="22" s="1"/>
  <c r="S698" i="22" s="1"/>
  <c r="T698" i="22" s="1"/>
  <c r="U698" i="22" s="1"/>
  <c r="V698" i="22" s="1"/>
  <c r="W698" i="22" s="1"/>
  <c r="X698" i="22" s="1"/>
  <c r="Y698" i="22" s="1"/>
  <c r="Z698" i="22" s="1"/>
  <c r="AA698" i="22" s="1"/>
  <c r="AB698" i="22" s="1"/>
  <c r="AC698" i="22" s="1"/>
  <c r="AD698" i="22" s="1"/>
  <c r="AE698" i="22" s="1"/>
  <c r="AF698" i="22" s="1"/>
  <c r="AG698" i="22" s="1"/>
  <c r="O687" i="22"/>
  <c r="P687" i="22" s="1"/>
  <c r="Q687" i="22" s="1"/>
  <c r="R687" i="22" s="1"/>
  <c r="S687" i="22" s="1"/>
  <c r="T687" i="22" s="1"/>
  <c r="U687" i="22" s="1"/>
  <c r="V687" i="22" s="1"/>
  <c r="W687" i="22" s="1"/>
  <c r="X687" i="22" s="1"/>
  <c r="Y687" i="22" s="1"/>
  <c r="Z687" i="22" s="1"/>
  <c r="AA687" i="22" s="1"/>
  <c r="AB687" i="22" s="1"/>
  <c r="AC687" i="22" s="1"/>
  <c r="AD687" i="22" s="1"/>
  <c r="AE687" i="22" s="1"/>
  <c r="AF687" i="22" s="1"/>
  <c r="AG687" i="22" s="1"/>
  <c r="O686" i="22"/>
  <c r="P686" i="22" s="1"/>
  <c r="Q686" i="22" s="1"/>
  <c r="R686" i="22" s="1"/>
  <c r="S686" i="22" s="1"/>
  <c r="T686" i="22" s="1"/>
  <c r="U686" i="22" s="1"/>
  <c r="V686" i="22" s="1"/>
  <c r="W686" i="22" s="1"/>
  <c r="X686" i="22" s="1"/>
  <c r="Y686" i="22" s="1"/>
  <c r="Z686" i="22" s="1"/>
  <c r="AA686" i="22" s="1"/>
  <c r="AB686" i="22" s="1"/>
  <c r="AC686" i="22" s="1"/>
  <c r="AD686" i="22" s="1"/>
  <c r="AE686" i="22" s="1"/>
  <c r="AF686" i="22" s="1"/>
  <c r="AG686" i="22" s="1"/>
  <c r="O682" i="22"/>
  <c r="P682" i="22" s="1"/>
  <c r="Q682" i="22" s="1"/>
  <c r="R682" i="22" s="1"/>
  <c r="S682" i="22" s="1"/>
  <c r="T682" i="22" s="1"/>
  <c r="U682" i="22" s="1"/>
  <c r="V682" i="22" s="1"/>
  <c r="W682" i="22" s="1"/>
  <c r="X682" i="22" s="1"/>
  <c r="Y682" i="22" s="1"/>
  <c r="Z682" i="22" s="1"/>
  <c r="AA682" i="22" s="1"/>
  <c r="AB682" i="22" s="1"/>
  <c r="AC682" i="22" s="1"/>
  <c r="AD682" i="22" s="1"/>
  <c r="AE682" i="22" s="1"/>
  <c r="AF682" i="22" s="1"/>
  <c r="AG682" i="22" s="1"/>
  <c r="O680" i="22"/>
  <c r="P680" i="22" s="1"/>
  <c r="Q680" i="22" s="1"/>
  <c r="R680" i="22" s="1"/>
  <c r="S680" i="22" s="1"/>
  <c r="T680" i="22" s="1"/>
  <c r="U680" i="22" s="1"/>
  <c r="V680" i="22" s="1"/>
  <c r="W680" i="22" s="1"/>
  <c r="X680" i="22" s="1"/>
  <c r="Y680" i="22" s="1"/>
  <c r="Z680" i="22" s="1"/>
  <c r="AA680" i="22" s="1"/>
  <c r="AB680" i="22" s="1"/>
  <c r="AC680" i="22" s="1"/>
  <c r="AD680" i="22" s="1"/>
  <c r="AE680" i="22" s="1"/>
  <c r="AF680" i="22" s="1"/>
  <c r="AG680" i="22" s="1"/>
  <c r="O678" i="22"/>
  <c r="P678" i="22" s="1"/>
  <c r="Q678" i="22" s="1"/>
  <c r="R678" i="22" s="1"/>
  <c r="S678" i="22" s="1"/>
  <c r="T678" i="22" s="1"/>
  <c r="U678" i="22" s="1"/>
  <c r="V678" i="22" s="1"/>
  <c r="W678" i="22" s="1"/>
  <c r="X678" i="22" s="1"/>
  <c r="Y678" i="22" s="1"/>
  <c r="Z678" i="22" s="1"/>
  <c r="AA678" i="22" s="1"/>
  <c r="AB678" i="22" s="1"/>
  <c r="AC678" i="22" s="1"/>
  <c r="AD678" i="22" s="1"/>
  <c r="AE678" i="22" s="1"/>
  <c r="AF678" i="22" s="1"/>
  <c r="AG678" i="22" s="1"/>
  <c r="O676" i="22"/>
  <c r="P676" i="22" s="1"/>
  <c r="Q676" i="22" s="1"/>
  <c r="R676" i="22" s="1"/>
  <c r="S676" i="22" s="1"/>
  <c r="T676" i="22" s="1"/>
  <c r="U676" i="22" s="1"/>
  <c r="V676" i="22" s="1"/>
  <c r="W676" i="22" s="1"/>
  <c r="X676" i="22" s="1"/>
  <c r="Y676" i="22" s="1"/>
  <c r="Z676" i="22" s="1"/>
  <c r="AA676" i="22" s="1"/>
  <c r="AB676" i="22" s="1"/>
  <c r="AC676" i="22" s="1"/>
  <c r="AD676" i="22" s="1"/>
  <c r="AE676" i="22" s="1"/>
  <c r="AF676" i="22" s="1"/>
  <c r="AG676" i="22" s="1"/>
  <c r="O674" i="22"/>
  <c r="P674" i="22" s="1"/>
  <c r="Q674" i="22" s="1"/>
  <c r="R674" i="22" s="1"/>
  <c r="S674" i="22" s="1"/>
  <c r="T674" i="22" s="1"/>
  <c r="U674" i="22" s="1"/>
  <c r="V674" i="22" s="1"/>
  <c r="W674" i="22" s="1"/>
  <c r="X674" i="22" s="1"/>
  <c r="Y674" i="22" s="1"/>
  <c r="Z674" i="22" s="1"/>
  <c r="AA674" i="22" s="1"/>
  <c r="AB674" i="22" s="1"/>
  <c r="AC674" i="22" s="1"/>
  <c r="AD674" i="22" s="1"/>
  <c r="AE674" i="22" s="1"/>
  <c r="AF674" i="22" s="1"/>
  <c r="AG674" i="22" s="1"/>
  <c r="O672" i="22"/>
  <c r="P672" i="22" s="1"/>
  <c r="Q672" i="22" s="1"/>
  <c r="R672" i="22" s="1"/>
  <c r="S672" i="22" s="1"/>
  <c r="T672" i="22" s="1"/>
  <c r="U672" i="22" s="1"/>
  <c r="V672" i="22" s="1"/>
  <c r="W672" i="22" s="1"/>
  <c r="X672" i="22" s="1"/>
  <c r="Y672" i="22" s="1"/>
  <c r="Z672" i="22" s="1"/>
  <c r="AA672" i="22" s="1"/>
  <c r="AB672" i="22" s="1"/>
  <c r="AC672" i="22" s="1"/>
  <c r="AD672" i="22" s="1"/>
  <c r="AE672" i="22" s="1"/>
  <c r="AF672" i="22" s="1"/>
  <c r="AG672" i="22" s="1"/>
  <c r="O670" i="22"/>
  <c r="P670" i="22" s="1"/>
  <c r="Q670" i="22" s="1"/>
  <c r="R670" i="22" s="1"/>
  <c r="S670" i="22" s="1"/>
  <c r="T670" i="22" s="1"/>
  <c r="U670" i="22" s="1"/>
  <c r="V670" i="22" s="1"/>
  <c r="W670" i="22" s="1"/>
  <c r="X670" i="22" s="1"/>
  <c r="Y670" i="22" s="1"/>
  <c r="Z670" i="22" s="1"/>
  <c r="AA670" i="22" s="1"/>
  <c r="AB670" i="22" s="1"/>
  <c r="AC670" i="22" s="1"/>
  <c r="AD670" i="22" s="1"/>
  <c r="AE670" i="22" s="1"/>
  <c r="AF670" i="22" s="1"/>
  <c r="AG670" i="22" s="1"/>
  <c r="O668" i="22"/>
  <c r="P668" i="22" s="1"/>
  <c r="Q668" i="22" s="1"/>
  <c r="R668" i="22" s="1"/>
  <c r="S668" i="22" s="1"/>
  <c r="T668" i="22" s="1"/>
  <c r="U668" i="22" s="1"/>
  <c r="V668" i="22" s="1"/>
  <c r="W668" i="22" s="1"/>
  <c r="X668" i="22" s="1"/>
  <c r="Y668" i="22" s="1"/>
  <c r="Z668" i="22" s="1"/>
  <c r="AA668" i="22" s="1"/>
  <c r="AB668" i="22" s="1"/>
  <c r="AC668" i="22" s="1"/>
  <c r="AD668" i="22" s="1"/>
  <c r="AE668" i="22" s="1"/>
  <c r="AF668" i="22" s="1"/>
  <c r="AG668" i="22" s="1"/>
  <c r="O666" i="22"/>
  <c r="P666" i="22" s="1"/>
  <c r="Q666" i="22" s="1"/>
  <c r="R666" i="22" s="1"/>
  <c r="S666" i="22" s="1"/>
  <c r="T666" i="22" s="1"/>
  <c r="U666" i="22" s="1"/>
  <c r="V666" i="22" s="1"/>
  <c r="W666" i="22" s="1"/>
  <c r="X666" i="22" s="1"/>
  <c r="Y666" i="22" s="1"/>
  <c r="Z666" i="22" s="1"/>
  <c r="AA666" i="22" s="1"/>
  <c r="AB666" i="22" s="1"/>
  <c r="AC666" i="22" s="1"/>
  <c r="AD666" i="22" s="1"/>
  <c r="AE666" i="22" s="1"/>
  <c r="AF666" i="22" s="1"/>
  <c r="AG666" i="22" s="1"/>
  <c r="AI711" i="22"/>
  <c r="AJ711" i="22" s="1"/>
  <c r="AK711" i="22" s="1"/>
  <c r="AL711" i="22" s="1"/>
  <c r="AM711" i="22" s="1"/>
  <c r="AN711" i="22" s="1"/>
  <c r="AO711" i="22" s="1"/>
  <c r="AP711" i="22" s="1"/>
  <c r="AQ711" i="22" s="1"/>
  <c r="AR711" i="22" s="1"/>
  <c r="AS711" i="22" s="1"/>
  <c r="AT711" i="22" s="1"/>
  <c r="AU711" i="22" s="1"/>
  <c r="AV711" i="22" s="1"/>
  <c r="AW711" i="22" s="1"/>
  <c r="AX711" i="22" s="1"/>
  <c r="AY711" i="22" s="1"/>
  <c r="AZ711" i="22" s="1"/>
  <c r="BA711" i="22" s="1"/>
  <c r="BB711" i="22" s="1"/>
  <c r="BC711" i="22" s="1"/>
  <c r="BD711" i="22" s="1"/>
  <c r="BE711" i="22" s="1"/>
  <c r="O701" i="22"/>
  <c r="P701" i="22" s="1"/>
  <c r="Q701" i="22" s="1"/>
  <c r="R701" i="22" s="1"/>
  <c r="S701" i="22" s="1"/>
  <c r="T701" i="22" s="1"/>
  <c r="U701" i="22" s="1"/>
  <c r="V701" i="22" s="1"/>
  <c r="W701" i="22" s="1"/>
  <c r="X701" i="22" s="1"/>
  <c r="Y701" i="22" s="1"/>
  <c r="Z701" i="22" s="1"/>
  <c r="AA701" i="22" s="1"/>
  <c r="AB701" i="22" s="1"/>
  <c r="AC701" i="22" s="1"/>
  <c r="AD701" i="22" s="1"/>
  <c r="AE701" i="22" s="1"/>
  <c r="AF701" i="22" s="1"/>
  <c r="AG701" i="22" s="1"/>
  <c r="O700" i="22"/>
  <c r="P700" i="22" s="1"/>
  <c r="Q700" i="22" s="1"/>
  <c r="R700" i="22" s="1"/>
  <c r="S700" i="22" s="1"/>
  <c r="T700" i="22" s="1"/>
  <c r="U700" i="22" s="1"/>
  <c r="V700" i="22" s="1"/>
  <c r="W700" i="22" s="1"/>
  <c r="X700" i="22" s="1"/>
  <c r="Y700" i="22" s="1"/>
  <c r="Z700" i="22" s="1"/>
  <c r="AA700" i="22" s="1"/>
  <c r="AB700" i="22" s="1"/>
  <c r="AC700" i="22" s="1"/>
  <c r="AD700" i="22" s="1"/>
  <c r="AE700" i="22" s="1"/>
  <c r="AF700" i="22" s="1"/>
  <c r="AG700" i="22" s="1"/>
  <c r="O716" i="22"/>
  <c r="P716" i="22" s="1"/>
  <c r="Q716" i="22" s="1"/>
  <c r="R716" i="22" s="1"/>
  <c r="S716" i="22" s="1"/>
  <c r="T716" i="22" s="1"/>
  <c r="U716" i="22" s="1"/>
  <c r="V716" i="22" s="1"/>
  <c r="W716" i="22" s="1"/>
  <c r="X716" i="22" s="1"/>
  <c r="Y716" i="22" s="1"/>
  <c r="Z716" i="22" s="1"/>
  <c r="AA716" i="22" s="1"/>
  <c r="AB716" i="22" s="1"/>
  <c r="AC716" i="22" s="1"/>
  <c r="AD716" i="22" s="1"/>
  <c r="AE716" i="22" s="1"/>
  <c r="AF716" i="22" s="1"/>
  <c r="AG716" i="22" s="1"/>
  <c r="AI704" i="22"/>
  <c r="AJ704" i="22" s="1"/>
  <c r="AK704" i="22" s="1"/>
  <c r="AL704" i="22" s="1"/>
  <c r="AM704" i="22" s="1"/>
  <c r="AN704" i="22" s="1"/>
  <c r="AO704" i="22" s="1"/>
  <c r="AP704" i="22" s="1"/>
  <c r="AQ704" i="22" s="1"/>
  <c r="AR704" i="22" s="1"/>
  <c r="AS704" i="22" s="1"/>
  <c r="AT704" i="22" s="1"/>
  <c r="AU704" i="22" s="1"/>
  <c r="AV704" i="22" s="1"/>
  <c r="AW704" i="22" s="1"/>
  <c r="AX704" i="22" s="1"/>
  <c r="AY704" i="22" s="1"/>
  <c r="AZ704" i="22" s="1"/>
  <c r="BA704" i="22" s="1"/>
  <c r="BB704" i="22" s="1"/>
  <c r="BC704" i="22" s="1"/>
  <c r="BD704" i="22" s="1"/>
  <c r="BE704" i="22" s="1"/>
  <c r="O702" i="22"/>
  <c r="P702" i="22" s="1"/>
  <c r="Q702" i="22" s="1"/>
  <c r="R702" i="22" s="1"/>
  <c r="S702" i="22" s="1"/>
  <c r="T702" i="22" s="1"/>
  <c r="U702" i="22" s="1"/>
  <c r="V702" i="22" s="1"/>
  <c r="W702" i="22" s="1"/>
  <c r="X702" i="22" s="1"/>
  <c r="Y702" i="22" s="1"/>
  <c r="Z702" i="22" s="1"/>
  <c r="AA702" i="22" s="1"/>
  <c r="AB702" i="22" s="1"/>
  <c r="AC702" i="22" s="1"/>
  <c r="AD702" i="22" s="1"/>
  <c r="AE702" i="22" s="1"/>
  <c r="AF702" i="22" s="1"/>
  <c r="AG702" i="22" s="1"/>
  <c r="AI719" i="22"/>
  <c r="AJ719" i="22" s="1"/>
  <c r="AK719" i="22" s="1"/>
  <c r="AL719" i="22" s="1"/>
  <c r="AM719" i="22" s="1"/>
  <c r="AN719" i="22" s="1"/>
  <c r="AO719" i="22" s="1"/>
  <c r="AP719" i="22" s="1"/>
  <c r="AQ719" i="22" s="1"/>
  <c r="AR719" i="22" s="1"/>
  <c r="AS719" i="22" s="1"/>
  <c r="AT719" i="22" s="1"/>
  <c r="AU719" i="22" s="1"/>
  <c r="AV719" i="22" s="1"/>
  <c r="AW719" i="22" s="1"/>
  <c r="AX719" i="22" s="1"/>
  <c r="AY719" i="22" s="1"/>
  <c r="AZ719" i="22" s="1"/>
  <c r="BA719" i="22" s="1"/>
  <c r="BB719" i="22" s="1"/>
  <c r="BC719" i="22" s="1"/>
  <c r="BD719" i="22" s="1"/>
  <c r="BE719" i="22" s="1"/>
  <c r="O710" i="22"/>
  <c r="P710" i="22" s="1"/>
  <c r="Q710" i="22" s="1"/>
  <c r="R710" i="22" s="1"/>
  <c r="S710" i="22" s="1"/>
  <c r="T710" i="22" s="1"/>
  <c r="U710" i="22" s="1"/>
  <c r="V710" i="22" s="1"/>
  <c r="W710" i="22" s="1"/>
  <c r="X710" i="22" s="1"/>
  <c r="Y710" i="22" s="1"/>
  <c r="Z710" i="22" s="1"/>
  <c r="AA710" i="22" s="1"/>
  <c r="AB710" i="22" s="1"/>
  <c r="AC710" i="22" s="1"/>
  <c r="AD710" i="22" s="1"/>
  <c r="AE710" i="22" s="1"/>
  <c r="AF710" i="22" s="1"/>
  <c r="AG710" i="22" s="1"/>
  <c r="AI699" i="22"/>
  <c r="AJ699" i="22" s="1"/>
  <c r="AK699" i="22" s="1"/>
  <c r="AL699" i="22" s="1"/>
  <c r="AM699" i="22" s="1"/>
  <c r="AN699" i="22" s="1"/>
  <c r="AO699" i="22" s="1"/>
  <c r="AP699" i="22" s="1"/>
  <c r="AQ699" i="22" s="1"/>
  <c r="AR699" i="22" s="1"/>
  <c r="AS699" i="22" s="1"/>
  <c r="AT699" i="22" s="1"/>
  <c r="AU699" i="22" s="1"/>
  <c r="AV699" i="22" s="1"/>
  <c r="AW699" i="22" s="1"/>
  <c r="AX699" i="22" s="1"/>
  <c r="AY699" i="22" s="1"/>
  <c r="AZ699" i="22" s="1"/>
  <c r="BA699" i="22" s="1"/>
  <c r="BB699" i="22" s="1"/>
  <c r="BC699" i="22" s="1"/>
  <c r="BD699" i="22" s="1"/>
  <c r="BE699" i="22" s="1"/>
  <c r="AI697" i="22"/>
  <c r="AJ697" i="22" s="1"/>
  <c r="AK697" i="22" s="1"/>
  <c r="AL697" i="22" s="1"/>
  <c r="AM697" i="22" s="1"/>
  <c r="AN697" i="22" s="1"/>
  <c r="AO697" i="22" s="1"/>
  <c r="AP697" i="22" s="1"/>
  <c r="AQ697" i="22" s="1"/>
  <c r="AR697" i="22" s="1"/>
  <c r="AS697" i="22" s="1"/>
  <c r="AT697" i="22" s="1"/>
  <c r="AU697" i="22" s="1"/>
  <c r="AV697" i="22" s="1"/>
  <c r="AW697" i="22" s="1"/>
  <c r="AX697" i="22" s="1"/>
  <c r="AY697" i="22" s="1"/>
  <c r="AZ697" i="22" s="1"/>
  <c r="BA697" i="22" s="1"/>
  <c r="BB697" i="22" s="1"/>
  <c r="BC697" i="22" s="1"/>
  <c r="BD697" i="22" s="1"/>
  <c r="BE697" i="22" s="1"/>
  <c r="AI713" i="22"/>
  <c r="AJ713" i="22" s="1"/>
  <c r="AK713" i="22" s="1"/>
  <c r="AL713" i="22" s="1"/>
  <c r="AM713" i="22" s="1"/>
  <c r="AN713" i="22" s="1"/>
  <c r="AO713" i="22" s="1"/>
  <c r="AP713" i="22" s="1"/>
  <c r="AQ713" i="22" s="1"/>
  <c r="AR713" i="22" s="1"/>
  <c r="AS713" i="22" s="1"/>
  <c r="AT713" i="22" s="1"/>
  <c r="AU713" i="22" s="1"/>
  <c r="AV713" i="22" s="1"/>
  <c r="AW713" i="22" s="1"/>
  <c r="AX713" i="22" s="1"/>
  <c r="AY713" i="22" s="1"/>
  <c r="AZ713" i="22" s="1"/>
  <c r="BA713" i="22" s="1"/>
  <c r="BB713" i="22" s="1"/>
  <c r="BC713" i="22" s="1"/>
  <c r="BD713" i="22" s="1"/>
  <c r="BE713" i="22" s="1"/>
  <c r="AI692" i="22"/>
  <c r="AJ692" i="22" s="1"/>
  <c r="AK692" i="22" s="1"/>
  <c r="AL692" i="22" s="1"/>
  <c r="AM692" i="22" s="1"/>
  <c r="AN692" i="22" s="1"/>
  <c r="AO692" i="22" s="1"/>
  <c r="AP692" i="22" s="1"/>
  <c r="AQ692" i="22" s="1"/>
  <c r="AR692" i="22" s="1"/>
  <c r="AS692" i="22" s="1"/>
  <c r="AT692" i="22" s="1"/>
  <c r="AU692" i="22" s="1"/>
  <c r="AV692" i="22" s="1"/>
  <c r="AW692" i="22" s="1"/>
  <c r="AX692" i="22" s="1"/>
  <c r="AY692" i="22" s="1"/>
  <c r="AZ692" i="22" s="1"/>
  <c r="BA692" i="22" s="1"/>
  <c r="BB692" i="22" s="1"/>
  <c r="BC692" i="22" s="1"/>
  <c r="BD692" i="22" s="1"/>
  <c r="BE692" i="22" s="1"/>
  <c r="AI689" i="22"/>
  <c r="AJ689" i="22" s="1"/>
  <c r="AK689" i="22" s="1"/>
  <c r="AL689" i="22" s="1"/>
  <c r="AM689" i="22" s="1"/>
  <c r="AN689" i="22" s="1"/>
  <c r="AO689" i="22" s="1"/>
  <c r="AP689" i="22" s="1"/>
  <c r="AQ689" i="22" s="1"/>
  <c r="AR689" i="22" s="1"/>
  <c r="AS689" i="22" s="1"/>
  <c r="AT689" i="22" s="1"/>
  <c r="AU689" i="22" s="1"/>
  <c r="AV689" i="22" s="1"/>
  <c r="AW689" i="22" s="1"/>
  <c r="AX689" i="22" s="1"/>
  <c r="AY689" i="22" s="1"/>
  <c r="AZ689" i="22" s="1"/>
  <c r="BA689" i="22" s="1"/>
  <c r="BB689" i="22" s="1"/>
  <c r="BC689" i="22" s="1"/>
  <c r="BD689" i="22" s="1"/>
  <c r="BE689" i="22" s="1"/>
  <c r="AI683" i="22"/>
  <c r="AJ683" i="22" s="1"/>
  <c r="AK683" i="22" s="1"/>
  <c r="AL683" i="22" s="1"/>
  <c r="AM683" i="22" s="1"/>
  <c r="AN683" i="22" s="1"/>
  <c r="AO683" i="22" s="1"/>
  <c r="AP683" i="22" s="1"/>
  <c r="AQ683" i="22" s="1"/>
  <c r="AR683" i="22" s="1"/>
  <c r="AS683" i="22" s="1"/>
  <c r="AT683" i="22" s="1"/>
  <c r="AU683" i="22" s="1"/>
  <c r="AV683" i="22" s="1"/>
  <c r="AW683" i="22" s="1"/>
  <c r="AX683" i="22" s="1"/>
  <c r="AY683" i="22" s="1"/>
  <c r="AZ683" i="22" s="1"/>
  <c r="BA683" i="22" s="1"/>
  <c r="BB683" i="22" s="1"/>
  <c r="BC683" i="22" s="1"/>
  <c r="BD683" i="22" s="1"/>
  <c r="BE683" i="22" s="1"/>
  <c r="AI681" i="22"/>
  <c r="AJ681" i="22" s="1"/>
  <c r="AK681" i="22" s="1"/>
  <c r="AL681" i="22" s="1"/>
  <c r="AM681" i="22" s="1"/>
  <c r="AN681" i="22" s="1"/>
  <c r="AO681" i="22" s="1"/>
  <c r="AP681" i="22" s="1"/>
  <c r="AQ681" i="22" s="1"/>
  <c r="AR681" i="22" s="1"/>
  <c r="AS681" i="22" s="1"/>
  <c r="AT681" i="22" s="1"/>
  <c r="AU681" i="22" s="1"/>
  <c r="AV681" i="22" s="1"/>
  <c r="AW681" i="22" s="1"/>
  <c r="AX681" i="22" s="1"/>
  <c r="AY681" i="22" s="1"/>
  <c r="AZ681" i="22" s="1"/>
  <c r="BA681" i="22" s="1"/>
  <c r="BB681" i="22" s="1"/>
  <c r="BC681" i="22" s="1"/>
  <c r="BD681" i="22" s="1"/>
  <c r="BE681" i="22" s="1"/>
  <c r="AI676" i="22"/>
  <c r="AJ676" i="22" s="1"/>
  <c r="AK676" i="22" s="1"/>
  <c r="AL676" i="22" s="1"/>
  <c r="AM676" i="22" s="1"/>
  <c r="AN676" i="22" s="1"/>
  <c r="AO676" i="22" s="1"/>
  <c r="AP676" i="22" s="1"/>
  <c r="AQ676" i="22" s="1"/>
  <c r="AR676" i="22" s="1"/>
  <c r="AS676" i="22" s="1"/>
  <c r="AT676" i="22" s="1"/>
  <c r="AU676" i="22" s="1"/>
  <c r="AV676" i="22" s="1"/>
  <c r="AW676" i="22" s="1"/>
  <c r="AX676" i="22" s="1"/>
  <c r="AY676" i="22" s="1"/>
  <c r="AZ676" i="22" s="1"/>
  <c r="BA676" i="22" s="1"/>
  <c r="BB676" i="22" s="1"/>
  <c r="BC676" i="22" s="1"/>
  <c r="BD676" i="22" s="1"/>
  <c r="BE676" i="22" s="1"/>
  <c r="AI715" i="22"/>
  <c r="AJ715" i="22" s="1"/>
  <c r="AK715" i="22" s="1"/>
  <c r="AL715" i="22" s="1"/>
  <c r="AM715" i="22" s="1"/>
  <c r="AN715" i="22" s="1"/>
  <c r="AO715" i="22" s="1"/>
  <c r="AP715" i="22" s="1"/>
  <c r="AQ715" i="22" s="1"/>
  <c r="AR715" i="22" s="1"/>
  <c r="AS715" i="22" s="1"/>
  <c r="AT715" i="22" s="1"/>
  <c r="AU715" i="22" s="1"/>
  <c r="AV715" i="22" s="1"/>
  <c r="AW715" i="22" s="1"/>
  <c r="AX715" i="22" s="1"/>
  <c r="AY715" i="22" s="1"/>
  <c r="AZ715" i="22" s="1"/>
  <c r="BA715" i="22" s="1"/>
  <c r="BB715" i="22" s="1"/>
  <c r="BC715" i="22" s="1"/>
  <c r="BD715" i="22" s="1"/>
  <c r="BE715" i="22" s="1"/>
  <c r="AI702" i="22"/>
  <c r="AJ702" i="22" s="1"/>
  <c r="AK702" i="22" s="1"/>
  <c r="AL702" i="22" s="1"/>
  <c r="AM702" i="22" s="1"/>
  <c r="AN702" i="22" s="1"/>
  <c r="AO702" i="22" s="1"/>
  <c r="AP702" i="22" s="1"/>
  <c r="AQ702" i="22" s="1"/>
  <c r="AR702" i="22" s="1"/>
  <c r="AS702" i="22" s="1"/>
  <c r="AT702" i="22" s="1"/>
  <c r="AU702" i="22" s="1"/>
  <c r="AV702" i="22" s="1"/>
  <c r="AW702" i="22" s="1"/>
  <c r="AX702" i="22" s="1"/>
  <c r="AY702" i="22" s="1"/>
  <c r="AZ702" i="22" s="1"/>
  <c r="BA702" i="22" s="1"/>
  <c r="BB702" i="22" s="1"/>
  <c r="BC702" i="22" s="1"/>
  <c r="BD702" i="22" s="1"/>
  <c r="BE702" i="22" s="1"/>
  <c r="AI694" i="22"/>
  <c r="AJ694" i="22" s="1"/>
  <c r="AK694" i="22" s="1"/>
  <c r="AL694" i="22" s="1"/>
  <c r="AM694" i="22" s="1"/>
  <c r="AN694" i="22" s="1"/>
  <c r="AO694" i="22" s="1"/>
  <c r="AP694" i="22" s="1"/>
  <c r="AQ694" i="22" s="1"/>
  <c r="AR694" i="22" s="1"/>
  <c r="AS694" i="22" s="1"/>
  <c r="AT694" i="22" s="1"/>
  <c r="AU694" i="22" s="1"/>
  <c r="AV694" i="22" s="1"/>
  <c r="AW694" i="22" s="1"/>
  <c r="AX694" i="22" s="1"/>
  <c r="AY694" i="22" s="1"/>
  <c r="AZ694" i="22" s="1"/>
  <c r="BA694" i="22" s="1"/>
  <c r="BB694" i="22" s="1"/>
  <c r="BC694" i="22" s="1"/>
  <c r="BD694" i="22" s="1"/>
  <c r="BE694" i="22" s="1"/>
  <c r="AI682" i="22"/>
  <c r="AJ682" i="22" s="1"/>
  <c r="AK682" i="22" s="1"/>
  <c r="AL682" i="22" s="1"/>
  <c r="AM682" i="22" s="1"/>
  <c r="AN682" i="22" s="1"/>
  <c r="AO682" i="22" s="1"/>
  <c r="AP682" i="22" s="1"/>
  <c r="AQ682" i="22" s="1"/>
  <c r="AR682" i="22" s="1"/>
  <c r="AS682" i="22" s="1"/>
  <c r="AT682" i="22" s="1"/>
  <c r="AU682" i="22" s="1"/>
  <c r="AV682" i="22" s="1"/>
  <c r="AW682" i="22" s="1"/>
  <c r="AX682" i="22" s="1"/>
  <c r="AY682" i="22" s="1"/>
  <c r="AZ682" i="22" s="1"/>
  <c r="BA682" i="22" s="1"/>
  <c r="BB682" i="22" s="1"/>
  <c r="BC682" i="22" s="1"/>
  <c r="BD682" i="22" s="1"/>
  <c r="BE682" i="22" s="1"/>
  <c r="O677" i="22"/>
  <c r="P677" i="22" s="1"/>
  <c r="Q677" i="22" s="1"/>
  <c r="R677" i="22" s="1"/>
  <c r="S677" i="22" s="1"/>
  <c r="T677" i="22" s="1"/>
  <c r="U677" i="22" s="1"/>
  <c r="V677" i="22" s="1"/>
  <c r="W677" i="22" s="1"/>
  <c r="X677" i="22" s="1"/>
  <c r="Y677" i="22" s="1"/>
  <c r="Z677" i="22" s="1"/>
  <c r="AA677" i="22" s="1"/>
  <c r="AB677" i="22" s="1"/>
  <c r="AC677" i="22" s="1"/>
  <c r="AD677" i="22" s="1"/>
  <c r="AE677" i="22" s="1"/>
  <c r="AF677" i="22" s="1"/>
  <c r="AG677" i="22" s="1"/>
  <c r="AI666" i="22"/>
  <c r="AJ666" i="22" s="1"/>
  <c r="AK666" i="22" s="1"/>
  <c r="AL666" i="22" s="1"/>
  <c r="AM666" i="22" s="1"/>
  <c r="AN666" i="22" s="1"/>
  <c r="AO666" i="22" s="1"/>
  <c r="AP666" i="22" s="1"/>
  <c r="AQ666" i="22" s="1"/>
  <c r="AR666" i="22" s="1"/>
  <c r="AS666" i="22" s="1"/>
  <c r="AT666" i="22" s="1"/>
  <c r="AU666" i="22" s="1"/>
  <c r="AV666" i="22" s="1"/>
  <c r="AW666" i="22" s="1"/>
  <c r="AX666" i="22" s="1"/>
  <c r="AY666" i="22" s="1"/>
  <c r="AZ666" i="22" s="1"/>
  <c r="BA666" i="22" s="1"/>
  <c r="BB666" i="22" s="1"/>
  <c r="BC666" i="22" s="1"/>
  <c r="BD666" i="22" s="1"/>
  <c r="BE666" i="22" s="1"/>
  <c r="AI665" i="22"/>
  <c r="AJ665" i="22" s="1"/>
  <c r="AK665" i="22" s="1"/>
  <c r="AL665" i="22" s="1"/>
  <c r="AM665" i="22" s="1"/>
  <c r="AN665" i="22" s="1"/>
  <c r="AO665" i="22" s="1"/>
  <c r="AP665" i="22" s="1"/>
  <c r="AQ665" i="22" s="1"/>
  <c r="AR665" i="22" s="1"/>
  <c r="AS665" i="22" s="1"/>
  <c r="AT665" i="22" s="1"/>
  <c r="AU665" i="22" s="1"/>
  <c r="AV665" i="22" s="1"/>
  <c r="AW665" i="22" s="1"/>
  <c r="AX665" i="22" s="1"/>
  <c r="AY665" i="22" s="1"/>
  <c r="AZ665" i="22" s="1"/>
  <c r="BA665" i="22" s="1"/>
  <c r="BB665" i="22" s="1"/>
  <c r="BC665" i="22" s="1"/>
  <c r="BD665" i="22" s="1"/>
  <c r="BE665" i="22" s="1"/>
  <c r="AI664" i="22"/>
  <c r="AJ664" i="22" s="1"/>
  <c r="AK664" i="22" s="1"/>
  <c r="AL664" i="22" s="1"/>
  <c r="AM664" i="22" s="1"/>
  <c r="AN664" i="22" s="1"/>
  <c r="AO664" i="22" s="1"/>
  <c r="AP664" i="22" s="1"/>
  <c r="AQ664" i="22" s="1"/>
  <c r="AR664" i="22" s="1"/>
  <c r="AS664" i="22" s="1"/>
  <c r="AT664" i="22" s="1"/>
  <c r="AU664" i="22" s="1"/>
  <c r="AV664" i="22" s="1"/>
  <c r="AW664" i="22" s="1"/>
  <c r="AX664" i="22" s="1"/>
  <c r="AY664" i="22" s="1"/>
  <c r="AZ664" i="22" s="1"/>
  <c r="BA664" i="22" s="1"/>
  <c r="BB664" i="22" s="1"/>
  <c r="BC664" i="22" s="1"/>
  <c r="BD664" i="22" s="1"/>
  <c r="BE664" i="22" s="1"/>
  <c r="AI659" i="22"/>
  <c r="AJ659" i="22" s="1"/>
  <c r="AK659" i="22" s="1"/>
  <c r="AL659" i="22" s="1"/>
  <c r="AM659" i="22" s="1"/>
  <c r="AN659" i="22" s="1"/>
  <c r="AO659" i="22" s="1"/>
  <c r="AP659" i="22" s="1"/>
  <c r="AQ659" i="22" s="1"/>
  <c r="AR659" i="22" s="1"/>
  <c r="AS659" i="22" s="1"/>
  <c r="AT659" i="22" s="1"/>
  <c r="AU659" i="22" s="1"/>
  <c r="AV659" i="22" s="1"/>
  <c r="AW659" i="22" s="1"/>
  <c r="AX659" i="22" s="1"/>
  <c r="AY659" i="22" s="1"/>
  <c r="AZ659" i="22" s="1"/>
  <c r="BA659" i="22" s="1"/>
  <c r="BB659" i="22" s="1"/>
  <c r="BC659" i="22" s="1"/>
  <c r="BD659" i="22" s="1"/>
  <c r="BE659" i="22" s="1"/>
  <c r="AI690" i="22"/>
  <c r="AJ690" i="22" s="1"/>
  <c r="AK690" i="22" s="1"/>
  <c r="AL690" i="22" s="1"/>
  <c r="AM690" i="22" s="1"/>
  <c r="AN690" i="22" s="1"/>
  <c r="AO690" i="22" s="1"/>
  <c r="AP690" i="22" s="1"/>
  <c r="AQ690" i="22" s="1"/>
  <c r="AR690" i="22" s="1"/>
  <c r="AS690" i="22" s="1"/>
  <c r="AT690" i="22" s="1"/>
  <c r="AU690" i="22" s="1"/>
  <c r="AV690" i="22" s="1"/>
  <c r="AW690" i="22" s="1"/>
  <c r="AX690" i="22" s="1"/>
  <c r="AY690" i="22" s="1"/>
  <c r="AZ690" i="22" s="1"/>
  <c r="BA690" i="22" s="1"/>
  <c r="BB690" i="22" s="1"/>
  <c r="BC690" i="22" s="1"/>
  <c r="BD690" i="22" s="1"/>
  <c r="BE690" i="22" s="1"/>
  <c r="O681" i="22"/>
  <c r="P681" i="22" s="1"/>
  <c r="Q681" i="22" s="1"/>
  <c r="R681" i="22" s="1"/>
  <c r="S681" i="22" s="1"/>
  <c r="T681" i="22" s="1"/>
  <c r="U681" i="22" s="1"/>
  <c r="V681" i="22" s="1"/>
  <c r="W681" i="22" s="1"/>
  <c r="X681" i="22" s="1"/>
  <c r="Y681" i="22" s="1"/>
  <c r="Z681" i="22" s="1"/>
  <c r="AA681" i="22" s="1"/>
  <c r="AB681" i="22" s="1"/>
  <c r="AC681" i="22" s="1"/>
  <c r="AD681" i="22" s="1"/>
  <c r="AE681" i="22" s="1"/>
  <c r="AF681" i="22" s="1"/>
  <c r="AG681" i="22" s="1"/>
  <c r="AI670" i="22"/>
  <c r="AJ670" i="22" s="1"/>
  <c r="AK670" i="22" s="1"/>
  <c r="AL670" i="22" s="1"/>
  <c r="AM670" i="22" s="1"/>
  <c r="AN670" i="22" s="1"/>
  <c r="AO670" i="22" s="1"/>
  <c r="AP670" i="22" s="1"/>
  <c r="AQ670" i="22" s="1"/>
  <c r="AR670" i="22" s="1"/>
  <c r="AS670" i="22" s="1"/>
  <c r="AT670" i="22" s="1"/>
  <c r="AU670" i="22" s="1"/>
  <c r="AV670" i="22" s="1"/>
  <c r="AW670" i="22" s="1"/>
  <c r="AX670" i="22" s="1"/>
  <c r="AY670" i="22" s="1"/>
  <c r="AZ670" i="22" s="1"/>
  <c r="BA670" i="22" s="1"/>
  <c r="BB670" i="22" s="1"/>
  <c r="BC670" i="22" s="1"/>
  <c r="BD670" i="22" s="1"/>
  <c r="BE670" i="22" s="1"/>
  <c r="AI669" i="22"/>
  <c r="AJ669" i="22" s="1"/>
  <c r="AK669" i="22" s="1"/>
  <c r="AL669" i="22" s="1"/>
  <c r="AM669" i="22" s="1"/>
  <c r="AN669" i="22" s="1"/>
  <c r="AO669" i="22" s="1"/>
  <c r="AP669" i="22" s="1"/>
  <c r="AQ669" i="22" s="1"/>
  <c r="AR669" i="22" s="1"/>
  <c r="AS669" i="22" s="1"/>
  <c r="AT669" i="22" s="1"/>
  <c r="AU669" i="22" s="1"/>
  <c r="AV669" i="22" s="1"/>
  <c r="AW669" i="22" s="1"/>
  <c r="AX669" i="22" s="1"/>
  <c r="AY669" i="22" s="1"/>
  <c r="AZ669" i="22" s="1"/>
  <c r="BA669" i="22" s="1"/>
  <c r="BB669" i="22" s="1"/>
  <c r="BC669" i="22" s="1"/>
  <c r="BD669" i="22" s="1"/>
  <c r="BE669" i="22" s="1"/>
  <c r="O703" i="22"/>
  <c r="P703" i="22" s="1"/>
  <c r="Q703" i="22" s="1"/>
  <c r="R703" i="22" s="1"/>
  <c r="S703" i="22" s="1"/>
  <c r="T703" i="22" s="1"/>
  <c r="U703" i="22" s="1"/>
  <c r="V703" i="22" s="1"/>
  <c r="W703" i="22" s="1"/>
  <c r="X703" i="22" s="1"/>
  <c r="Y703" i="22" s="1"/>
  <c r="Z703" i="22" s="1"/>
  <c r="AA703" i="22" s="1"/>
  <c r="AB703" i="22" s="1"/>
  <c r="AC703" i="22" s="1"/>
  <c r="AD703" i="22" s="1"/>
  <c r="AE703" i="22" s="1"/>
  <c r="AF703" i="22" s="1"/>
  <c r="AG703" i="22" s="1"/>
  <c r="AI700" i="22"/>
  <c r="AJ700" i="22" s="1"/>
  <c r="AK700" i="22" s="1"/>
  <c r="AL700" i="22" s="1"/>
  <c r="AM700" i="22" s="1"/>
  <c r="AN700" i="22" s="1"/>
  <c r="AO700" i="22" s="1"/>
  <c r="AP700" i="22" s="1"/>
  <c r="AQ700" i="22" s="1"/>
  <c r="AR700" i="22" s="1"/>
  <c r="AS700" i="22" s="1"/>
  <c r="AT700" i="22" s="1"/>
  <c r="AU700" i="22" s="1"/>
  <c r="AV700" i="22" s="1"/>
  <c r="AW700" i="22" s="1"/>
  <c r="AX700" i="22" s="1"/>
  <c r="AY700" i="22" s="1"/>
  <c r="AZ700" i="22" s="1"/>
  <c r="BA700" i="22" s="1"/>
  <c r="BB700" i="22" s="1"/>
  <c r="BC700" i="22" s="1"/>
  <c r="BD700" i="22" s="1"/>
  <c r="BE700" i="22" s="1"/>
  <c r="AI698" i="22"/>
  <c r="AJ698" i="22" s="1"/>
  <c r="AK698" i="22" s="1"/>
  <c r="AL698" i="22" s="1"/>
  <c r="AM698" i="22" s="1"/>
  <c r="AN698" i="22" s="1"/>
  <c r="AO698" i="22" s="1"/>
  <c r="AP698" i="22" s="1"/>
  <c r="AQ698" i="22" s="1"/>
  <c r="AR698" i="22" s="1"/>
  <c r="AS698" i="22" s="1"/>
  <c r="AT698" i="22" s="1"/>
  <c r="AU698" i="22" s="1"/>
  <c r="AV698" i="22" s="1"/>
  <c r="AW698" i="22" s="1"/>
  <c r="AX698" i="22" s="1"/>
  <c r="AY698" i="22" s="1"/>
  <c r="AZ698" i="22" s="1"/>
  <c r="BA698" i="22" s="1"/>
  <c r="BB698" i="22" s="1"/>
  <c r="BC698" i="22" s="1"/>
  <c r="BD698" i="22" s="1"/>
  <c r="BE698" i="22" s="1"/>
  <c r="O693" i="22"/>
  <c r="P693" i="22" s="1"/>
  <c r="Q693" i="22" s="1"/>
  <c r="R693" i="22" s="1"/>
  <c r="S693" i="22" s="1"/>
  <c r="T693" i="22" s="1"/>
  <c r="U693" i="22" s="1"/>
  <c r="V693" i="22" s="1"/>
  <c r="W693" i="22" s="1"/>
  <c r="X693" i="22" s="1"/>
  <c r="Y693" i="22" s="1"/>
  <c r="Z693" i="22" s="1"/>
  <c r="AA693" i="22" s="1"/>
  <c r="AB693" i="22" s="1"/>
  <c r="AC693" i="22" s="1"/>
  <c r="AD693" i="22" s="1"/>
  <c r="AE693" i="22" s="1"/>
  <c r="AF693" i="22" s="1"/>
  <c r="AG693" i="22" s="1"/>
  <c r="AI691" i="22"/>
  <c r="AJ691" i="22" s="1"/>
  <c r="AK691" i="22" s="1"/>
  <c r="AL691" i="22" s="1"/>
  <c r="AM691" i="22" s="1"/>
  <c r="AN691" i="22" s="1"/>
  <c r="AO691" i="22" s="1"/>
  <c r="AP691" i="22" s="1"/>
  <c r="AQ691" i="22" s="1"/>
  <c r="AR691" i="22" s="1"/>
  <c r="AS691" i="22" s="1"/>
  <c r="AT691" i="22" s="1"/>
  <c r="AU691" i="22" s="1"/>
  <c r="AV691" i="22" s="1"/>
  <c r="AW691" i="22" s="1"/>
  <c r="AX691" i="22" s="1"/>
  <c r="AY691" i="22" s="1"/>
  <c r="AZ691" i="22" s="1"/>
  <c r="BA691" i="22" s="1"/>
  <c r="BB691" i="22" s="1"/>
  <c r="BC691" i="22" s="1"/>
  <c r="BD691" i="22" s="1"/>
  <c r="BE691" i="22" s="1"/>
  <c r="O688" i="22"/>
  <c r="P688" i="22" s="1"/>
  <c r="Q688" i="22" s="1"/>
  <c r="R688" i="22" s="1"/>
  <c r="S688" i="22" s="1"/>
  <c r="T688" i="22" s="1"/>
  <c r="U688" i="22" s="1"/>
  <c r="V688" i="22" s="1"/>
  <c r="W688" i="22" s="1"/>
  <c r="X688" i="22" s="1"/>
  <c r="Y688" i="22" s="1"/>
  <c r="Z688" i="22" s="1"/>
  <c r="AA688" i="22" s="1"/>
  <c r="AB688" i="22" s="1"/>
  <c r="AC688" i="22" s="1"/>
  <c r="AD688" i="22" s="1"/>
  <c r="AE688" i="22" s="1"/>
  <c r="AF688" i="22" s="1"/>
  <c r="AG688" i="22" s="1"/>
  <c r="AI674" i="22"/>
  <c r="AJ674" i="22" s="1"/>
  <c r="AK674" i="22" s="1"/>
  <c r="AL674" i="22" s="1"/>
  <c r="AM674" i="22" s="1"/>
  <c r="AN674" i="22" s="1"/>
  <c r="AO674" i="22" s="1"/>
  <c r="AP674" i="22" s="1"/>
  <c r="AQ674" i="22" s="1"/>
  <c r="AR674" i="22" s="1"/>
  <c r="AS674" i="22" s="1"/>
  <c r="AT674" i="22" s="1"/>
  <c r="AU674" i="22" s="1"/>
  <c r="AV674" i="22" s="1"/>
  <c r="AW674" i="22" s="1"/>
  <c r="AX674" i="22" s="1"/>
  <c r="AY674" i="22" s="1"/>
  <c r="AZ674" i="22" s="1"/>
  <c r="BA674" i="22" s="1"/>
  <c r="BB674" i="22" s="1"/>
  <c r="BC674" i="22" s="1"/>
  <c r="BD674" i="22" s="1"/>
  <c r="BE674" i="22" s="1"/>
  <c r="AI662" i="22"/>
  <c r="AJ662" i="22" s="1"/>
  <c r="AK662" i="22" s="1"/>
  <c r="AL662" i="22" s="1"/>
  <c r="AM662" i="22" s="1"/>
  <c r="AN662" i="22" s="1"/>
  <c r="AO662" i="22" s="1"/>
  <c r="AP662" i="22" s="1"/>
  <c r="AQ662" i="22" s="1"/>
  <c r="AR662" i="22" s="1"/>
  <c r="AS662" i="22" s="1"/>
  <c r="AT662" i="22" s="1"/>
  <c r="AU662" i="22" s="1"/>
  <c r="AV662" i="22" s="1"/>
  <c r="AW662" i="22" s="1"/>
  <c r="AX662" i="22" s="1"/>
  <c r="AY662" i="22" s="1"/>
  <c r="AZ662" i="22" s="1"/>
  <c r="BA662" i="22" s="1"/>
  <c r="BB662" i="22" s="1"/>
  <c r="BC662" i="22" s="1"/>
  <c r="BD662" i="22" s="1"/>
  <c r="BE662" i="22" s="1"/>
  <c r="O654" i="22"/>
  <c r="P654" i="22" s="1"/>
  <c r="Q654" i="22" s="1"/>
  <c r="R654" i="22" s="1"/>
  <c r="S654" i="22" s="1"/>
  <c r="T654" i="22" s="1"/>
  <c r="U654" i="22" s="1"/>
  <c r="V654" i="22" s="1"/>
  <c r="W654" i="22" s="1"/>
  <c r="X654" i="22" s="1"/>
  <c r="Y654" i="22" s="1"/>
  <c r="Z654" i="22" s="1"/>
  <c r="AA654" i="22" s="1"/>
  <c r="AB654" i="22" s="1"/>
  <c r="AC654" i="22" s="1"/>
  <c r="AD654" i="22" s="1"/>
  <c r="AE654" i="22" s="1"/>
  <c r="AF654" i="22" s="1"/>
  <c r="AG654" i="22" s="1"/>
  <c r="AI649" i="22"/>
  <c r="AJ649" i="22" s="1"/>
  <c r="AK649" i="22" s="1"/>
  <c r="AL649" i="22" s="1"/>
  <c r="AM649" i="22" s="1"/>
  <c r="AN649" i="22" s="1"/>
  <c r="AO649" i="22" s="1"/>
  <c r="AP649" i="22" s="1"/>
  <c r="AQ649" i="22" s="1"/>
  <c r="AR649" i="22" s="1"/>
  <c r="AS649" i="22" s="1"/>
  <c r="AT649" i="22" s="1"/>
  <c r="AU649" i="22" s="1"/>
  <c r="AV649" i="22" s="1"/>
  <c r="AW649" i="22" s="1"/>
  <c r="AX649" i="22" s="1"/>
  <c r="AY649" i="22" s="1"/>
  <c r="AZ649" i="22" s="1"/>
  <c r="BA649" i="22" s="1"/>
  <c r="BB649" i="22" s="1"/>
  <c r="BC649" i="22" s="1"/>
  <c r="BD649" i="22" s="1"/>
  <c r="BE649" i="22" s="1"/>
  <c r="AI647" i="22"/>
  <c r="AJ647" i="22" s="1"/>
  <c r="AK647" i="22" s="1"/>
  <c r="AL647" i="22" s="1"/>
  <c r="AM647" i="22" s="1"/>
  <c r="AN647" i="22" s="1"/>
  <c r="AO647" i="22" s="1"/>
  <c r="AP647" i="22" s="1"/>
  <c r="AQ647" i="22" s="1"/>
  <c r="AR647" i="22" s="1"/>
  <c r="AS647" i="22" s="1"/>
  <c r="AT647" i="22" s="1"/>
  <c r="AU647" i="22" s="1"/>
  <c r="AV647" i="22" s="1"/>
  <c r="AW647" i="22" s="1"/>
  <c r="AX647" i="22" s="1"/>
  <c r="AY647" i="22" s="1"/>
  <c r="AZ647" i="22" s="1"/>
  <c r="BA647" i="22" s="1"/>
  <c r="BB647" i="22" s="1"/>
  <c r="BC647" i="22" s="1"/>
  <c r="BD647" i="22" s="1"/>
  <c r="BE647" i="22" s="1"/>
  <c r="AI645" i="22"/>
  <c r="AJ645" i="22" s="1"/>
  <c r="AK645" i="22" s="1"/>
  <c r="AL645" i="22" s="1"/>
  <c r="AM645" i="22" s="1"/>
  <c r="AN645" i="22" s="1"/>
  <c r="AO645" i="22" s="1"/>
  <c r="AP645" i="22" s="1"/>
  <c r="AQ645" i="22" s="1"/>
  <c r="AR645" i="22" s="1"/>
  <c r="AS645" i="22" s="1"/>
  <c r="AT645" i="22" s="1"/>
  <c r="AU645" i="22" s="1"/>
  <c r="AV645" i="22" s="1"/>
  <c r="AW645" i="22" s="1"/>
  <c r="AX645" i="22" s="1"/>
  <c r="AY645" i="22" s="1"/>
  <c r="AZ645" i="22" s="1"/>
  <c r="BA645" i="22" s="1"/>
  <c r="BB645" i="22" s="1"/>
  <c r="BC645" i="22" s="1"/>
  <c r="BD645" i="22" s="1"/>
  <c r="BE645" i="22" s="1"/>
  <c r="AI643" i="22"/>
  <c r="AJ643" i="22" s="1"/>
  <c r="AK643" i="22" s="1"/>
  <c r="AL643" i="22" s="1"/>
  <c r="AM643" i="22" s="1"/>
  <c r="AN643" i="22" s="1"/>
  <c r="AO643" i="22" s="1"/>
  <c r="AP643" i="22" s="1"/>
  <c r="AQ643" i="22" s="1"/>
  <c r="AR643" i="22" s="1"/>
  <c r="AS643" i="22" s="1"/>
  <c r="AT643" i="22" s="1"/>
  <c r="AU643" i="22" s="1"/>
  <c r="AV643" i="22" s="1"/>
  <c r="AW643" i="22" s="1"/>
  <c r="AX643" i="22" s="1"/>
  <c r="AY643" i="22" s="1"/>
  <c r="AZ643" i="22" s="1"/>
  <c r="BA643" i="22" s="1"/>
  <c r="BB643" i="22" s="1"/>
  <c r="BC643" i="22" s="1"/>
  <c r="BD643" i="22" s="1"/>
  <c r="BE643" i="22" s="1"/>
  <c r="AI641" i="22"/>
  <c r="AJ641" i="22" s="1"/>
  <c r="AK641" i="22" s="1"/>
  <c r="AL641" i="22" s="1"/>
  <c r="AM641" i="22" s="1"/>
  <c r="AN641" i="22" s="1"/>
  <c r="AO641" i="22" s="1"/>
  <c r="AP641" i="22" s="1"/>
  <c r="AQ641" i="22" s="1"/>
  <c r="AR641" i="22" s="1"/>
  <c r="AS641" i="22" s="1"/>
  <c r="AT641" i="22" s="1"/>
  <c r="AU641" i="22" s="1"/>
  <c r="AV641" i="22" s="1"/>
  <c r="AW641" i="22" s="1"/>
  <c r="AX641" i="22" s="1"/>
  <c r="AY641" i="22" s="1"/>
  <c r="AZ641" i="22" s="1"/>
  <c r="BA641" i="22" s="1"/>
  <c r="BB641" i="22" s="1"/>
  <c r="BC641" i="22" s="1"/>
  <c r="BD641" i="22" s="1"/>
  <c r="BE641" i="22" s="1"/>
  <c r="AI639" i="22"/>
  <c r="AJ639" i="22" s="1"/>
  <c r="AK639" i="22" s="1"/>
  <c r="AL639" i="22" s="1"/>
  <c r="AM639" i="22" s="1"/>
  <c r="AN639" i="22" s="1"/>
  <c r="AO639" i="22" s="1"/>
  <c r="AP639" i="22" s="1"/>
  <c r="AQ639" i="22" s="1"/>
  <c r="AR639" i="22" s="1"/>
  <c r="AS639" i="22" s="1"/>
  <c r="AT639" i="22" s="1"/>
  <c r="AU639" i="22" s="1"/>
  <c r="AV639" i="22" s="1"/>
  <c r="AW639" i="22" s="1"/>
  <c r="AX639" i="22" s="1"/>
  <c r="AY639" i="22" s="1"/>
  <c r="AZ639" i="22" s="1"/>
  <c r="BA639" i="22" s="1"/>
  <c r="BB639" i="22" s="1"/>
  <c r="BC639" i="22" s="1"/>
  <c r="BD639" i="22" s="1"/>
  <c r="BE639" i="22" s="1"/>
  <c r="AI637" i="22"/>
  <c r="AJ637" i="22" s="1"/>
  <c r="AK637" i="22" s="1"/>
  <c r="AL637" i="22" s="1"/>
  <c r="AM637" i="22" s="1"/>
  <c r="AN637" i="22" s="1"/>
  <c r="AO637" i="22" s="1"/>
  <c r="AP637" i="22" s="1"/>
  <c r="AQ637" i="22" s="1"/>
  <c r="AR637" i="22" s="1"/>
  <c r="AS637" i="22" s="1"/>
  <c r="AT637" i="22" s="1"/>
  <c r="AU637" i="22" s="1"/>
  <c r="AV637" i="22" s="1"/>
  <c r="AW637" i="22" s="1"/>
  <c r="AX637" i="22" s="1"/>
  <c r="AY637" i="22" s="1"/>
  <c r="AZ637" i="22" s="1"/>
  <c r="BA637" i="22" s="1"/>
  <c r="BB637" i="22" s="1"/>
  <c r="BC637" i="22" s="1"/>
  <c r="BD637" i="22" s="1"/>
  <c r="BE637" i="22" s="1"/>
  <c r="AI635" i="22"/>
  <c r="AJ635" i="22" s="1"/>
  <c r="AK635" i="22" s="1"/>
  <c r="AL635" i="22" s="1"/>
  <c r="AM635" i="22" s="1"/>
  <c r="AN635" i="22" s="1"/>
  <c r="AO635" i="22" s="1"/>
  <c r="AP635" i="22" s="1"/>
  <c r="AQ635" i="22" s="1"/>
  <c r="AR635" i="22" s="1"/>
  <c r="AS635" i="22" s="1"/>
  <c r="AT635" i="22" s="1"/>
  <c r="AU635" i="22" s="1"/>
  <c r="AV635" i="22" s="1"/>
  <c r="AW635" i="22" s="1"/>
  <c r="AX635" i="22" s="1"/>
  <c r="AY635" i="22" s="1"/>
  <c r="AZ635" i="22" s="1"/>
  <c r="BA635" i="22" s="1"/>
  <c r="BB635" i="22" s="1"/>
  <c r="BC635" i="22" s="1"/>
  <c r="BD635" i="22" s="1"/>
  <c r="BE635" i="22" s="1"/>
  <c r="AI633" i="22"/>
  <c r="AJ633" i="22" s="1"/>
  <c r="AK633" i="22" s="1"/>
  <c r="AL633" i="22" s="1"/>
  <c r="AM633" i="22" s="1"/>
  <c r="AN633" i="22" s="1"/>
  <c r="AO633" i="22" s="1"/>
  <c r="AP633" i="22" s="1"/>
  <c r="AQ633" i="22" s="1"/>
  <c r="AR633" i="22" s="1"/>
  <c r="AS633" i="22" s="1"/>
  <c r="AT633" i="22" s="1"/>
  <c r="AU633" i="22" s="1"/>
  <c r="AV633" i="22" s="1"/>
  <c r="AW633" i="22" s="1"/>
  <c r="AX633" i="22" s="1"/>
  <c r="AY633" i="22" s="1"/>
  <c r="AZ633" i="22" s="1"/>
  <c r="BA633" i="22" s="1"/>
  <c r="BB633" i="22" s="1"/>
  <c r="BC633" i="22" s="1"/>
  <c r="BD633" i="22" s="1"/>
  <c r="BE633" i="22" s="1"/>
  <c r="AI631" i="22"/>
  <c r="AJ631" i="22" s="1"/>
  <c r="AK631" i="22" s="1"/>
  <c r="AL631" i="22" s="1"/>
  <c r="AM631" i="22" s="1"/>
  <c r="AN631" i="22" s="1"/>
  <c r="AO631" i="22" s="1"/>
  <c r="AP631" i="22" s="1"/>
  <c r="AQ631" i="22" s="1"/>
  <c r="AR631" i="22" s="1"/>
  <c r="AS631" i="22" s="1"/>
  <c r="AT631" i="22" s="1"/>
  <c r="AU631" i="22" s="1"/>
  <c r="AV631" i="22" s="1"/>
  <c r="AW631" i="22" s="1"/>
  <c r="AX631" i="22" s="1"/>
  <c r="AY631" i="22" s="1"/>
  <c r="AZ631" i="22" s="1"/>
  <c r="BA631" i="22" s="1"/>
  <c r="BB631" i="22" s="1"/>
  <c r="BC631" i="22" s="1"/>
  <c r="BD631" i="22" s="1"/>
  <c r="BE631" i="22" s="1"/>
  <c r="AI629" i="22"/>
  <c r="AJ629" i="22" s="1"/>
  <c r="AK629" i="22" s="1"/>
  <c r="AL629" i="22" s="1"/>
  <c r="AM629" i="22" s="1"/>
  <c r="AN629" i="22" s="1"/>
  <c r="AO629" i="22" s="1"/>
  <c r="AP629" i="22" s="1"/>
  <c r="AQ629" i="22" s="1"/>
  <c r="AR629" i="22" s="1"/>
  <c r="AS629" i="22" s="1"/>
  <c r="AT629" i="22" s="1"/>
  <c r="AU629" i="22" s="1"/>
  <c r="AV629" i="22" s="1"/>
  <c r="AW629" i="22" s="1"/>
  <c r="AX629" i="22" s="1"/>
  <c r="AY629" i="22" s="1"/>
  <c r="AZ629" i="22" s="1"/>
  <c r="BA629" i="22" s="1"/>
  <c r="BB629" i="22" s="1"/>
  <c r="BC629" i="22" s="1"/>
  <c r="BD629" i="22" s="1"/>
  <c r="BE629" i="22" s="1"/>
  <c r="AI627" i="22"/>
  <c r="AJ627" i="22" s="1"/>
  <c r="AK627" i="22" s="1"/>
  <c r="AL627" i="22" s="1"/>
  <c r="AM627" i="22" s="1"/>
  <c r="AN627" i="22" s="1"/>
  <c r="AO627" i="22" s="1"/>
  <c r="AP627" i="22" s="1"/>
  <c r="AQ627" i="22" s="1"/>
  <c r="AR627" i="22" s="1"/>
  <c r="AS627" i="22" s="1"/>
  <c r="AT627" i="22" s="1"/>
  <c r="AU627" i="22" s="1"/>
  <c r="AV627" i="22" s="1"/>
  <c r="AW627" i="22" s="1"/>
  <c r="AX627" i="22" s="1"/>
  <c r="AY627" i="22" s="1"/>
  <c r="AZ627" i="22" s="1"/>
  <c r="BA627" i="22" s="1"/>
  <c r="BB627" i="22" s="1"/>
  <c r="BC627" i="22" s="1"/>
  <c r="BD627" i="22" s="1"/>
  <c r="BE627" i="22" s="1"/>
  <c r="AI625" i="22"/>
  <c r="AJ625" i="22" s="1"/>
  <c r="AK625" i="22" s="1"/>
  <c r="AL625" i="22" s="1"/>
  <c r="AM625" i="22" s="1"/>
  <c r="AN625" i="22" s="1"/>
  <c r="AO625" i="22" s="1"/>
  <c r="AP625" i="22" s="1"/>
  <c r="AQ625" i="22" s="1"/>
  <c r="AR625" i="22" s="1"/>
  <c r="AS625" i="22" s="1"/>
  <c r="AT625" i="22" s="1"/>
  <c r="AU625" i="22" s="1"/>
  <c r="AV625" i="22" s="1"/>
  <c r="AW625" i="22" s="1"/>
  <c r="AX625" i="22" s="1"/>
  <c r="AY625" i="22" s="1"/>
  <c r="AZ625" i="22" s="1"/>
  <c r="BA625" i="22" s="1"/>
  <c r="BB625" i="22" s="1"/>
  <c r="BC625" i="22" s="1"/>
  <c r="BD625" i="22" s="1"/>
  <c r="BE625" i="22" s="1"/>
  <c r="AI623" i="22"/>
  <c r="AJ623" i="22" s="1"/>
  <c r="AK623" i="22" s="1"/>
  <c r="AL623" i="22" s="1"/>
  <c r="AM623" i="22" s="1"/>
  <c r="AN623" i="22" s="1"/>
  <c r="AO623" i="22" s="1"/>
  <c r="AP623" i="22" s="1"/>
  <c r="AQ623" i="22" s="1"/>
  <c r="AR623" i="22" s="1"/>
  <c r="AS623" i="22" s="1"/>
  <c r="AT623" i="22" s="1"/>
  <c r="AU623" i="22" s="1"/>
  <c r="AV623" i="22" s="1"/>
  <c r="AW623" i="22" s="1"/>
  <c r="AX623" i="22" s="1"/>
  <c r="AY623" i="22" s="1"/>
  <c r="AZ623" i="22" s="1"/>
  <c r="BA623" i="22" s="1"/>
  <c r="BB623" i="22" s="1"/>
  <c r="BC623" i="22" s="1"/>
  <c r="BD623" i="22" s="1"/>
  <c r="BE623" i="22" s="1"/>
  <c r="AI621" i="22"/>
  <c r="AJ621" i="22" s="1"/>
  <c r="AK621" i="22" s="1"/>
  <c r="AL621" i="22" s="1"/>
  <c r="AM621" i="22" s="1"/>
  <c r="AN621" i="22" s="1"/>
  <c r="AO621" i="22" s="1"/>
  <c r="AP621" i="22" s="1"/>
  <c r="AQ621" i="22" s="1"/>
  <c r="AR621" i="22" s="1"/>
  <c r="AS621" i="22" s="1"/>
  <c r="AT621" i="22" s="1"/>
  <c r="AU621" i="22" s="1"/>
  <c r="AV621" i="22" s="1"/>
  <c r="AW621" i="22" s="1"/>
  <c r="AX621" i="22" s="1"/>
  <c r="AY621" i="22" s="1"/>
  <c r="AZ621" i="22" s="1"/>
  <c r="BA621" i="22" s="1"/>
  <c r="BB621" i="22" s="1"/>
  <c r="BC621" i="22" s="1"/>
  <c r="BD621" i="22" s="1"/>
  <c r="BE621" i="22" s="1"/>
  <c r="AI619" i="22"/>
  <c r="AJ619" i="22" s="1"/>
  <c r="AK619" i="22" s="1"/>
  <c r="AL619" i="22" s="1"/>
  <c r="AM619" i="22" s="1"/>
  <c r="AN619" i="22" s="1"/>
  <c r="AO619" i="22" s="1"/>
  <c r="AP619" i="22" s="1"/>
  <c r="AQ619" i="22" s="1"/>
  <c r="AR619" i="22" s="1"/>
  <c r="AS619" i="22" s="1"/>
  <c r="AT619" i="22" s="1"/>
  <c r="AU619" i="22" s="1"/>
  <c r="AV619" i="22" s="1"/>
  <c r="AW619" i="22" s="1"/>
  <c r="AX619" i="22" s="1"/>
  <c r="AY619" i="22" s="1"/>
  <c r="AZ619" i="22" s="1"/>
  <c r="BA619" i="22" s="1"/>
  <c r="BB619" i="22" s="1"/>
  <c r="BC619" i="22" s="1"/>
  <c r="BD619" i="22" s="1"/>
  <c r="BE619" i="22" s="1"/>
  <c r="AI617" i="22"/>
  <c r="AJ617" i="22" s="1"/>
  <c r="AK617" i="22" s="1"/>
  <c r="AL617" i="22" s="1"/>
  <c r="AM617" i="22" s="1"/>
  <c r="AN617" i="22" s="1"/>
  <c r="AO617" i="22" s="1"/>
  <c r="AP617" i="22" s="1"/>
  <c r="AQ617" i="22" s="1"/>
  <c r="AR617" i="22" s="1"/>
  <c r="AS617" i="22" s="1"/>
  <c r="AT617" i="22" s="1"/>
  <c r="AU617" i="22" s="1"/>
  <c r="AV617" i="22" s="1"/>
  <c r="AW617" i="22" s="1"/>
  <c r="AX617" i="22" s="1"/>
  <c r="AY617" i="22" s="1"/>
  <c r="AZ617" i="22" s="1"/>
  <c r="BA617" i="22" s="1"/>
  <c r="BB617" i="22" s="1"/>
  <c r="BC617" i="22" s="1"/>
  <c r="BD617" i="22" s="1"/>
  <c r="BE617" i="22" s="1"/>
  <c r="AI615" i="22"/>
  <c r="AJ615" i="22" s="1"/>
  <c r="AK615" i="22" s="1"/>
  <c r="AL615" i="22" s="1"/>
  <c r="AM615" i="22" s="1"/>
  <c r="AN615" i="22" s="1"/>
  <c r="AO615" i="22" s="1"/>
  <c r="AP615" i="22" s="1"/>
  <c r="AQ615" i="22" s="1"/>
  <c r="AR615" i="22" s="1"/>
  <c r="AS615" i="22" s="1"/>
  <c r="AT615" i="22" s="1"/>
  <c r="AU615" i="22" s="1"/>
  <c r="AV615" i="22" s="1"/>
  <c r="AW615" i="22" s="1"/>
  <c r="AX615" i="22" s="1"/>
  <c r="AY615" i="22" s="1"/>
  <c r="AZ615" i="22" s="1"/>
  <c r="BA615" i="22" s="1"/>
  <c r="BB615" i="22" s="1"/>
  <c r="BC615" i="22" s="1"/>
  <c r="BD615" i="22" s="1"/>
  <c r="BE615" i="22" s="1"/>
  <c r="AI613" i="22"/>
  <c r="AJ613" i="22" s="1"/>
  <c r="AK613" i="22" s="1"/>
  <c r="AL613" i="22" s="1"/>
  <c r="AM613" i="22" s="1"/>
  <c r="AN613" i="22" s="1"/>
  <c r="AO613" i="22" s="1"/>
  <c r="AP613" i="22" s="1"/>
  <c r="AQ613" i="22" s="1"/>
  <c r="AR613" i="22" s="1"/>
  <c r="AS613" i="22" s="1"/>
  <c r="AT613" i="22" s="1"/>
  <c r="AU613" i="22" s="1"/>
  <c r="AV613" i="22" s="1"/>
  <c r="AW613" i="22" s="1"/>
  <c r="AX613" i="22" s="1"/>
  <c r="AY613" i="22" s="1"/>
  <c r="AZ613" i="22" s="1"/>
  <c r="BA613" i="22" s="1"/>
  <c r="BB613" i="22" s="1"/>
  <c r="BC613" i="22" s="1"/>
  <c r="BD613" i="22" s="1"/>
  <c r="BE613" i="22" s="1"/>
  <c r="AI611" i="22"/>
  <c r="AJ611" i="22" s="1"/>
  <c r="AK611" i="22" s="1"/>
  <c r="AL611" i="22" s="1"/>
  <c r="AM611" i="22" s="1"/>
  <c r="AN611" i="22" s="1"/>
  <c r="AO611" i="22" s="1"/>
  <c r="AP611" i="22" s="1"/>
  <c r="AQ611" i="22" s="1"/>
  <c r="AR611" i="22" s="1"/>
  <c r="AS611" i="22" s="1"/>
  <c r="AT611" i="22" s="1"/>
  <c r="AU611" i="22" s="1"/>
  <c r="AV611" i="22" s="1"/>
  <c r="AW611" i="22" s="1"/>
  <c r="AX611" i="22" s="1"/>
  <c r="AY611" i="22" s="1"/>
  <c r="AZ611" i="22" s="1"/>
  <c r="BA611" i="22" s="1"/>
  <c r="BB611" i="22" s="1"/>
  <c r="BC611" i="22" s="1"/>
  <c r="BD611" i="22" s="1"/>
  <c r="BE611" i="22" s="1"/>
  <c r="AI609" i="22"/>
  <c r="AJ609" i="22" s="1"/>
  <c r="AK609" i="22" s="1"/>
  <c r="AL609" i="22" s="1"/>
  <c r="AM609" i="22" s="1"/>
  <c r="AN609" i="22" s="1"/>
  <c r="AO609" i="22" s="1"/>
  <c r="AP609" i="22" s="1"/>
  <c r="AQ609" i="22" s="1"/>
  <c r="AR609" i="22" s="1"/>
  <c r="AS609" i="22" s="1"/>
  <c r="AT609" i="22" s="1"/>
  <c r="AU609" i="22" s="1"/>
  <c r="AV609" i="22" s="1"/>
  <c r="AW609" i="22" s="1"/>
  <c r="AX609" i="22" s="1"/>
  <c r="AY609" i="22" s="1"/>
  <c r="AZ609" i="22" s="1"/>
  <c r="BA609" i="22" s="1"/>
  <c r="BB609" i="22" s="1"/>
  <c r="BC609" i="22" s="1"/>
  <c r="BD609" i="22" s="1"/>
  <c r="BE609" i="22" s="1"/>
  <c r="AI607" i="22"/>
  <c r="AJ607" i="22" s="1"/>
  <c r="AK607" i="22" s="1"/>
  <c r="AL607" i="22" s="1"/>
  <c r="AM607" i="22" s="1"/>
  <c r="AN607" i="22" s="1"/>
  <c r="AO607" i="22" s="1"/>
  <c r="AP607" i="22" s="1"/>
  <c r="AQ607" i="22" s="1"/>
  <c r="AR607" i="22" s="1"/>
  <c r="AS607" i="22" s="1"/>
  <c r="AT607" i="22" s="1"/>
  <c r="AU607" i="22" s="1"/>
  <c r="AV607" i="22" s="1"/>
  <c r="AW607" i="22" s="1"/>
  <c r="AX607" i="22" s="1"/>
  <c r="AY607" i="22" s="1"/>
  <c r="AZ607" i="22" s="1"/>
  <c r="BA607" i="22" s="1"/>
  <c r="BB607" i="22" s="1"/>
  <c r="BC607" i="22" s="1"/>
  <c r="BD607" i="22" s="1"/>
  <c r="BE607" i="22" s="1"/>
  <c r="AI605" i="22"/>
  <c r="AJ605" i="22" s="1"/>
  <c r="AK605" i="22" s="1"/>
  <c r="AL605" i="22" s="1"/>
  <c r="AM605" i="22" s="1"/>
  <c r="AN605" i="22" s="1"/>
  <c r="AO605" i="22" s="1"/>
  <c r="AP605" i="22" s="1"/>
  <c r="AQ605" i="22" s="1"/>
  <c r="AR605" i="22" s="1"/>
  <c r="AS605" i="22" s="1"/>
  <c r="AT605" i="22" s="1"/>
  <c r="AU605" i="22" s="1"/>
  <c r="AV605" i="22" s="1"/>
  <c r="AW605" i="22" s="1"/>
  <c r="AX605" i="22" s="1"/>
  <c r="AY605" i="22" s="1"/>
  <c r="AZ605" i="22" s="1"/>
  <c r="BA605" i="22" s="1"/>
  <c r="BB605" i="22" s="1"/>
  <c r="BC605" i="22" s="1"/>
  <c r="BD605" i="22" s="1"/>
  <c r="BE605" i="22" s="1"/>
  <c r="AI688" i="22"/>
  <c r="AJ688" i="22" s="1"/>
  <c r="AK688" i="22" s="1"/>
  <c r="AL688" i="22" s="1"/>
  <c r="AM688" i="22" s="1"/>
  <c r="AN688" i="22" s="1"/>
  <c r="AO688" i="22" s="1"/>
  <c r="AP688" i="22" s="1"/>
  <c r="AQ688" i="22" s="1"/>
  <c r="AR688" i="22" s="1"/>
  <c r="AS688" i="22" s="1"/>
  <c r="AT688" i="22" s="1"/>
  <c r="AU688" i="22" s="1"/>
  <c r="AV688" i="22" s="1"/>
  <c r="AW688" i="22" s="1"/>
  <c r="AX688" i="22" s="1"/>
  <c r="AY688" i="22" s="1"/>
  <c r="AZ688" i="22" s="1"/>
  <c r="BA688" i="22" s="1"/>
  <c r="BB688" i="22" s="1"/>
  <c r="BC688" i="22" s="1"/>
  <c r="BD688" i="22" s="1"/>
  <c r="BE688" i="22" s="1"/>
  <c r="O720" i="22"/>
  <c r="P720" i="22" s="1"/>
  <c r="Q720" i="22" s="1"/>
  <c r="R720" i="22" s="1"/>
  <c r="S720" i="22" s="1"/>
  <c r="T720" i="22" s="1"/>
  <c r="U720" i="22" s="1"/>
  <c r="V720" i="22" s="1"/>
  <c r="W720" i="22" s="1"/>
  <c r="X720" i="22" s="1"/>
  <c r="Y720" i="22" s="1"/>
  <c r="Z720" i="22" s="1"/>
  <c r="AA720" i="22" s="1"/>
  <c r="AB720" i="22" s="1"/>
  <c r="AC720" i="22" s="1"/>
  <c r="AD720" i="22" s="1"/>
  <c r="AE720" i="22" s="1"/>
  <c r="AF720" i="22" s="1"/>
  <c r="AG720" i="22" s="1"/>
  <c r="O714" i="22"/>
  <c r="P714" i="22" s="1"/>
  <c r="Q714" i="22" s="1"/>
  <c r="R714" i="22" s="1"/>
  <c r="S714" i="22" s="1"/>
  <c r="T714" i="22" s="1"/>
  <c r="U714" i="22" s="1"/>
  <c r="V714" i="22" s="1"/>
  <c r="W714" i="22" s="1"/>
  <c r="X714" i="22" s="1"/>
  <c r="Y714" i="22" s="1"/>
  <c r="Z714" i="22" s="1"/>
  <c r="AA714" i="22" s="1"/>
  <c r="AB714" i="22" s="1"/>
  <c r="AC714" i="22" s="1"/>
  <c r="AD714" i="22" s="1"/>
  <c r="AE714" i="22" s="1"/>
  <c r="AF714" i="22" s="1"/>
  <c r="AG714" i="22" s="1"/>
  <c r="AI685" i="22"/>
  <c r="AJ685" i="22" s="1"/>
  <c r="AK685" i="22" s="1"/>
  <c r="AL685" i="22" s="1"/>
  <c r="AM685" i="22" s="1"/>
  <c r="AN685" i="22" s="1"/>
  <c r="AO685" i="22" s="1"/>
  <c r="AP685" i="22" s="1"/>
  <c r="AQ685" i="22" s="1"/>
  <c r="AR685" i="22" s="1"/>
  <c r="AS685" i="22" s="1"/>
  <c r="AT685" i="22" s="1"/>
  <c r="AU685" i="22" s="1"/>
  <c r="AV685" i="22" s="1"/>
  <c r="AW685" i="22" s="1"/>
  <c r="AX685" i="22" s="1"/>
  <c r="AY685" i="22" s="1"/>
  <c r="AZ685" i="22" s="1"/>
  <c r="BA685" i="22" s="1"/>
  <c r="BB685" i="22" s="1"/>
  <c r="BC685" i="22" s="1"/>
  <c r="BD685" i="22" s="1"/>
  <c r="BE685" i="22" s="1"/>
  <c r="AI678" i="22"/>
  <c r="AJ678" i="22" s="1"/>
  <c r="AK678" i="22" s="1"/>
  <c r="AL678" i="22" s="1"/>
  <c r="AM678" i="22" s="1"/>
  <c r="AN678" i="22" s="1"/>
  <c r="AO678" i="22" s="1"/>
  <c r="AP678" i="22" s="1"/>
  <c r="AQ678" i="22" s="1"/>
  <c r="AR678" i="22" s="1"/>
  <c r="AS678" i="22" s="1"/>
  <c r="AT678" i="22" s="1"/>
  <c r="AU678" i="22" s="1"/>
  <c r="AV678" i="22" s="1"/>
  <c r="AW678" i="22" s="1"/>
  <c r="AX678" i="22" s="1"/>
  <c r="AY678" i="22" s="1"/>
  <c r="AZ678" i="22" s="1"/>
  <c r="BA678" i="22" s="1"/>
  <c r="BB678" i="22" s="1"/>
  <c r="BC678" i="22" s="1"/>
  <c r="BD678" i="22" s="1"/>
  <c r="BE678" i="22" s="1"/>
  <c r="O664" i="22"/>
  <c r="P664" i="22" s="1"/>
  <c r="Q664" i="22" s="1"/>
  <c r="R664" i="22" s="1"/>
  <c r="S664" i="22" s="1"/>
  <c r="T664" i="22" s="1"/>
  <c r="U664" i="22" s="1"/>
  <c r="V664" i="22" s="1"/>
  <c r="W664" i="22" s="1"/>
  <c r="X664" i="22" s="1"/>
  <c r="Y664" i="22" s="1"/>
  <c r="Z664" i="22" s="1"/>
  <c r="AA664" i="22" s="1"/>
  <c r="AB664" i="22" s="1"/>
  <c r="AC664" i="22" s="1"/>
  <c r="AD664" i="22" s="1"/>
  <c r="AE664" i="22" s="1"/>
  <c r="AF664" i="22" s="1"/>
  <c r="AG664" i="22" s="1"/>
  <c r="O643" i="22"/>
  <c r="P643" i="22" s="1"/>
  <c r="Q643" i="22" s="1"/>
  <c r="R643" i="22" s="1"/>
  <c r="S643" i="22" s="1"/>
  <c r="T643" i="22" s="1"/>
  <c r="U643" i="22" s="1"/>
  <c r="V643" i="22" s="1"/>
  <c r="W643" i="22" s="1"/>
  <c r="X643" i="22" s="1"/>
  <c r="Y643" i="22" s="1"/>
  <c r="Z643" i="22" s="1"/>
  <c r="AA643" i="22" s="1"/>
  <c r="AB643" i="22" s="1"/>
  <c r="AC643" i="22" s="1"/>
  <c r="AD643" i="22" s="1"/>
  <c r="AE643" i="22" s="1"/>
  <c r="AF643" i="22" s="1"/>
  <c r="AG643" i="22" s="1"/>
  <c r="O638" i="22"/>
  <c r="P638" i="22" s="1"/>
  <c r="Q638" i="22" s="1"/>
  <c r="R638" i="22" s="1"/>
  <c r="S638" i="22" s="1"/>
  <c r="T638" i="22" s="1"/>
  <c r="U638" i="22" s="1"/>
  <c r="V638" i="22" s="1"/>
  <c r="W638" i="22" s="1"/>
  <c r="X638" i="22" s="1"/>
  <c r="Y638" i="22" s="1"/>
  <c r="Z638" i="22" s="1"/>
  <c r="AA638" i="22" s="1"/>
  <c r="AB638" i="22" s="1"/>
  <c r="AC638" i="22" s="1"/>
  <c r="AD638" i="22" s="1"/>
  <c r="AE638" i="22" s="1"/>
  <c r="AF638" i="22" s="1"/>
  <c r="AG638" i="22" s="1"/>
  <c r="AI636" i="22"/>
  <c r="AJ636" i="22" s="1"/>
  <c r="AK636" i="22" s="1"/>
  <c r="AL636" i="22" s="1"/>
  <c r="AM636" i="22" s="1"/>
  <c r="AN636" i="22" s="1"/>
  <c r="AO636" i="22" s="1"/>
  <c r="AP636" i="22" s="1"/>
  <c r="AQ636" i="22" s="1"/>
  <c r="AR636" i="22" s="1"/>
  <c r="AS636" i="22" s="1"/>
  <c r="AT636" i="22" s="1"/>
  <c r="AU636" i="22" s="1"/>
  <c r="AV636" i="22" s="1"/>
  <c r="AW636" i="22" s="1"/>
  <c r="AX636" i="22" s="1"/>
  <c r="AY636" i="22" s="1"/>
  <c r="AZ636" i="22" s="1"/>
  <c r="BA636" i="22" s="1"/>
  <c r="BB636" i="22" s="1"/>
  <c r="BC636" i="22" s="1"/>
  <c r="BD636" i="22" s="1"/>
  <c r="BE636" i="22" s="1"/>
  <c r="AI717" i="22"/>
  <c r="AJ717" i="22" s="1"/>
  <c r="AK717" i="22" s="1"/>
  <c r="AL717" i="22" s="1"/>
  <c r="AM717" i="22" s="1"/>
  <c r="AN717" i="22" s="1"/>
  <c r="AO717" i="22" s="1"/>
  <c r="AP717" i="22" s="1"/>
  <c r="AQ717" i="22" s="1"/>
  <c r="AR717" i="22" s="1"/>
  <c r="AS717" i="22" s="1"/>
  <c r="AT717" i="22" s="1"/>
  <c r="AU717" i="22" s="1"/>
  <c r="AV717" i="22" s="1"/>
  <c r="AW717" i="22" s="1"/>
  <c r="AX717" i="22" s="1"/>
  <c r="AY717" i="22" s="1"/>
  <c r="AZ717" i="22" s="1"/>
  <c r="BA717" i="22" s="1"/>
  <c r="BB717" i="22" s="1"/>
  <c r="BC717" i="22" s="1"/>
  <c r="BD717" i="22" s="1"/>
  <c r="BE717" i="22" s="1"/>
  <c r="O708" i="22"/>
  <c r="P708" i="22" s="1"/>
  <c r="Q708" i="22" s="1"/>
  <c r="R708" i="22" s="1"/>
  <c r="S708" i="22" s="1"/>
  <c r="T708" i="22" s="1"/>
  <c r="U708" i="22" s="1"/>
  <c r="V708" i="22" s="1"/>
  <c r="W708" i="22" s="1"/>
  <c r="X708" i="22" s="1"/>
  <c r="Y708" i="22" s="1"/>
  <c r="Z708" i="22" s="1"/>
  <c r="AA708" i="22" s="1"/>
  <c r="AB708" i="22" s="1"/>
  <c r="AC708" i="22" s="1"/>
  <c r="AD708" i="22" s="1"/>
  <c r="AE708" i="22" s="1"/>
  <c r="AF708" i="22" s="1"/>
  <c r="AG708" i="22" s="1"/>
  <c r="O692" i="22"/>
  <c r="P692" i="22" s="1"/>
  <c r="Q692" i="22" s="1"/>
  <c r="R692" i="22" s="1"/>
  <c r="S692" i="22" s="1"/>
  <c r="T692" i="22" s="1"/>
  <c r="U692" i="22" s="1"/>
  <c r="V692" i="22" s="1"/>
  <c r="W692" i="22" s="1"/>
  <c r="X692" i="22" s="1"/>
  <c r="Y692" i="22" s="1"/>
  <c r="Z692" i="22" s="1"/>
  <c r="AA692" i="22" s="1"/>
  <c r="AB692" i="22" s="1"/>
  <c r="AC692" i="22" s="1"/>
  <c r="AD692" i="22" s="1"/>
  <c r="AE692" i="22" s="1"/>
  <c r="AF692" i="22" s="1"/>
  <c r="AG692" i="22" s="1"/>
  <c r="O690" i="22"/>
  <c r="P690" i="22" s="1"/>
  <c r="Q690" i="22" s="1"/>
  <c r="R690" i="22" s="1"/>
  <c r="S690" i="22" s="1"/>
  <c r="T690" i="22" s="1"/>
  <c r="U690" i="22" s="1"/>
  <c r="V690" i="22" s="1"/>
  <c r="W690" i="22" s="1"/>
  <c r="X690" i="22" s="1"/>
  <c r="Y690" i="22" s="1"/>
  <c r="Z690" i="22" s="1"/>
  <c r="AA690" i="22" s="1"/>
  <c r="AB690" i="22" s="1"/>
  <c r="AC690" i="22" s="1"/>
  <c r="AD690" i="22" s="1"/>
  <c r="AE690" i="22" s="1"/>
  <c r="AF690" i="22" s="1"/>
  <c r="AG690" i="22" s="1"/>
  <c r="O679" i="22"/>
  <c r="P679" i="22" s="1"/>
  <c r="Q679" i="22" s="1"/>
  <c r="R679" i="22" s="1"/>
  <c r="S679" i="22" s="1"/>
  <c r="T679" i="22" s="1"/>
  <c r="U679" i="22" s="1"/>
  <c r="V679" i="22" s="1"/>
  <c r="W679" i="22" s="1"/>
  <c r="X679" i="22" s="1"/>
  <c r="Y679" i="22" s="1"/>
  <c r="Z679" i="22" s="1"/>
  <c r="AA679" i="22" s="1"/>
  <c r="AB679" i="22" s="1"/>
  <c r="AC679" i="22" s="1"/>
  <c r="AD679" i="22" s="1"/>
  <c r="AE679" i="22" s="1"/>
  <c r="AF679" i="22" s="1"/>
  <c r="AG679" i="22" s="1"/>
  <c r="O695" i="22"/>
  <c r="P695" i="22" s="1"/>
  <c r="Q695" i="22" s="1"/>
  <c r="R695" i="22" s="1"/>
  <c r="S695" i="22" s="1"/>
  <c r="T695" i="22" s="1"/>
  <c r="U695" i="22" s="1"/>
  <c r="V695" i="22" s="1"/>
  <c r="W695" i="22" s="1"/>
  <c r="X695" i="22" s="1"/>
  <c r="Y695" i="22" s="1"/>
  <c r="Z695" i="22" s="1"/>
  <c r="AA695" i="22" s="1"/>
  <c r="AB695" i="22" s="1"/>
  <c r="AC695" i="22" s="1"/>
  <c r="AD695" i="22" s="1"/>
  <c r="AE695" i="22" s="1"/>
  <c r="AF695" i="22" s="1"/>
  <c r="AG695" i="22" s="1"/>
  <c r="AI701" i="22"/>
  <c r="AJ701" i="22" s="1"/>
  <c r="AK701" i="22" s="1"/>
  <c r="AL701" i="22" s="1"/>
  <c r="AM701" i="22" s="1"/>
  <c r="AN701" i="22" s="1"/>
  <c r="AO701" i="22" s="1"/>
  <c r="AP701" i="22" s="1"/>
  <c r="AQ701" i="22" s="1"/>
  <c r="AR701" i="22" s="1"/>
  <c r="AS701" i="22" s="1"/>
  <c r="AT701" i="22" s="1"/>
  <c r="AU701" i="22" s="1"/>
  <c r="AV701" i="22" s="1"/>
  <c r="AW701" i="22" s="1"/>
  <c r="AX701" i="22" s="1"/>
  <c r="AY701" i="22" s="1"/>
  <c r="AZ701" i="22" s="1"/>
  <c r="BA701" i="22" s="1"/>
  <c r="BB701" i="22" s="1"/>
  <c r="BC701" i="22" s="1"/>
  <c r="BD701" i="22" s="1"/>
  <c r="BE701" i="22" s="1"/>
  <c r="O696" i="22"/>
  <c r="P696" i="22" s="1"/>
  <c r="Q696" i="22" s="1"/>
  <c r="R696" i="22" s="1"/>
  <c r="S696" i="22" s="1"/>
  <c r="T696" i="22" s="1"/>
  <c r="U696" i="22" s="1"/>
  <c r="V696" i="22" s="1"/>
  <c r="W696" i="22" s="1"/>
  <c r="X696" i="22" s="1"/>
  <c r="Y696" i="22" s="1"/>
  <c r="Z696" i="22" s="1"/>
  <c r="AA696" i="22" s="1"/>
  <c r="AB696" i="22" s="1"/>
  <c r="AC696" i="22" s="1"/>
  <c r="AD696" i="22" s="1"/>
  <c r="AE696" i="22" s="1"/>
  <c r="AF696" i="22" s="1"/>
  <c r="AG696" i="22" s="1"/>
  <c r="O694" i="22"/>
  <c r="P694" i="22" s="1"/>
  <c r="Q694" i="22" s="1"/>
  <c r="R694" i="22" s="1"/>
  <c r="S694" i="22" s="1"/>
  <c r="T694" i="22" s="1"/>
  <c r="U694" i="22" s="1"/>
  <c r="V694" i="22" s="1"/>
  <c r="W694" i="22" s="1"/>
  <c r="X694" i="22" s="1"/>
  <c r="Y694" i="22" s="1"/>
  <c r="Z694" i="22" s="1"/>
  <c r="AA694" i="22" s="1"/>
  <c r="AB694" i="22" s="1"/>
  <c r="AC694" i="22" s="1"/>
  <c r="AD694" i="22" s="1"/>
  <c r="AE694" i="22" s="1"/>
  <c r="AF694" i="22" s="1"/>
  <c r="AG694" i="22" s="1"/>
  <c r="O663" i="22"/>
  <c r="P663" i="22" s="1"/>
  <c r="Q663" i="22" s="1"/>
  <c r="R663" i="22" s="1"/>
  <c r="S663" i="22" s="1"/>
  <c r="T663" i="22" s="1"/>
  <c r="U663" i="22" s="1"/>
  <c r="V663" i="22" s="1"/>
  <c r="W663" i="22" s="1"/>
  <c r="X663" i="22" s="1"/>
  <c r="Y663" i="22" s="1"/>
  <c r="Z663" i="22" s="1"/>
  <c r="AA663" i="22" s="1"/>
  <c r="AB663" i="22" s="1"/>
  <c r="AC663" i="22" s="1"/>
  <c r="AD663" i="22" s="1"/>
  <c r="AE663" i="22" s="1"/>
  <c r="AF663" i="22" s="1"/>
  <c r="AG663" i="22" s="1"/>
  <c r="O657" i="22"/>
  <c r="P657" i="22" s="1"/>
  <c r="Q657" i="22" s="1"/>
  <c r="R657" i="22" s="1"/>
  <c r="S657" i="22" s="1"/>
  <c r="T657" i="22" s="1"/>
  <c r="U657" i="22" s="1"/>
  <c r="V657" i="22" s="1"/>
  <c r="W657" i="22" s="1"/>
  <c r="X657" i="22" s="1"/>
  <c r="Y657" i="22" s="1"/>
  <c r="Z657" i="22" s="1"/>
  <c r="AA657" i="22" s="1"/>
  <c r="AB657" i="22" s="1"/>
  <c r="AC657" i="22" s="1"/>
  <c r="AD657" i="22" s="1"/>
  <c r="AE657" i="22" s="1"/>
  <c r="AF657" i="22" s="1"/>
  <c r="AG657" i="22" s="1"/>
  <c r="AI644" i="22"/>
  <c r="AJ644" i="22" s="1"/>
  <c r="AK644" i="22" s="1"/>
  <c r="AL644" i="22" s="1"/>
  <c r="AM644" i="22" s="1"/>
  <c r="AN644" i="22" s="1"/>
  <c r="AO644" i="22" s="1"/>
  <c r="AP644" i="22" s="1"/>
  <c r="AQ644" i="22" s="1"/>
  <c r="AR644" i="22" s="1"/>
  <c r="AS644" i="22" s="1"/>
  <c r="AT644" i="22" s="1"/>
  <c r="AU644" i="22" s="1"/>
  <c r="AV644" i="22" s="1"/>
  <c r="AW644" i="22" s="1"/>
  <c r="AX644" i="22" s="1"/>
  <c r="AY644" i="22" s="1"/>
  <c r="AZ644" i="22" s="1"/>
  <c r="BA644" i="22" s="1"/>
  <c r="BB644" i="22" s="1"/>
  <c r="BC644" i="22" s="1"/>
  <c r="BD644" i="22" s="1"/>
  <c r="BE644" i="22" s="1"/>
  <c r="O625" i="22"/>
  <c r="P625" i="22" s="1"/>
  <c r="Q625" i="22" s="1"/>
  <c r="R625" i="22" s="1"/>
  <c r="S625" i="22" s="1"/>
  <c r="T625" i="22" s="1"/>
  <c r="U625" i="22" s="1"/>
  <c r="V625" i="22" s="1"/>
  <c r="W625" i="22" s="1"/>
  <c r="X625" i="22" s="1"/>
  <c r="Y625" i="22" s="1"/>
  <c r="Z625" i="22" s="1"/>
  <c r="AA625" i="22" s="1"/>
  <c r="AB625" i="22" s="1"/>
  <c r="AC625" i="22" s="1"/>
  <c r="AD625" i="22" s="1"/>
  <c r="AE625" i="22" s="1"/>
  <c r="AF625" i="22" s="1"/>
  <c r="AG625" i="22" s="1"/>
  <c r="O620" i="22"/>
  <c r="P620" i="22" s="1"/>
  <c r="Q620" i="22" s="1"/>
  <c r="R620" i="22" s="1"/>
  <c r="S620" i="22" s="1"/>
  <c r="T620" i="22" s="1"/>
  <c r="U620" i="22" s="1"/>
  <c r="V620" i="22" s="1"/>
  <c r="W620" i="22" s="1"/>
  <c r="X620" i="22" s="1"/>
  <c r="Y620" i="22" s="1"/>
  <c r="Z620" i="22" s="1"/>
  <c r="AA620" i="22" s="1"/>
  <c r="AB620" i="22" s="1"/>
  <c r="AC620" i="22" s="1"/>
  <c r="AD620" i="22" s="1"/>
  <c r="AE620" i="22" s="1"/>
  <c r="AF620" i="22" s="1"/>
  <c r="AG620" i="22" s="1"/>
  <c r="AI618" i="22"/>
  <c r="AJ618" i="22" s="1"/>
  <c r="AK618" i="22" s="1"/>
  <c r="AL618" i="22" s="1"/>
  <c r="AM618" i="22" s="1"/>
  <c r="AN618" i="22" s="1"/>
  <c r="AO618" i="22" s="1"/>
  <c r="AP618" i="22" s="1"/>
  <c r="AQ618" i="22" s="1"/>
  <c r="AR618" i="22" s="1"/>
  <c r="AS618" i="22" s="1"/>
  <c r="AT618" i="22" s="1"/>
  <c r="AU618" i="22" s="1"/>
  <c r="AV618" i="22" s="1"/>
  <c r="AW618" i="22" s="1"/>
  <c r="AX618" i="22" s="1"/>
  <c r="AY618" i="22" s="1"/>
  <c r="AZ618" i="22" s="1"/>
  <c r="BA618" i="22" s="1"/>
  <c r="BB618" i="22" s="1"/>
  <c r="BC618" i="22" s="1"/>
  <c r="BD618" i="22" s="1"/>
  <c r="BE618" i="22" s="1"/>
  <c r="O707" i="22"/>
  <c r="P707" i="22" s="1"/>
  <c r="Q707" i="22" s="1"/>
  <c r="R707" i="22" s="1"/>
  <c r="S707" i="22" s="1"/>
  <c r="T707" i="22" s="1"/>
  <c r="U707" i="22" s="1"/>
  <c r="V707" i="22" s="1"/>
  <c r="W707" i="22" s="1"/>
  <c r="X707" i="22" s="1"/>
  <c r="Y707" i="22" s="1"/>
  <c r="Z707" i="22" s="1"/>
  <c r="AA707" i="22" s="1"/>
  <c r="AB707" i="22" s="1"/>
  <c r="AC707" i="22" s="1"/>
  <c r="AD707" i="22" s="1"/>
  <c r="AE707" i="22" s="1"/>
  <c r="AF707" i="22" s="1"/>
  <c r="AG707" i="22" s="1"/>
  <c r="O669" i="22"/>
  <c r="P669" i="22" s="1"/>
  <c r="Q669" i="22" s="1"/>
  <c r="R669" i="22" s="1"/>
  <c r="S669" i="22" s="1"/>
  <c r="T669" i="22" s="1"/>
  <c r="U669" i="22" s="1"/>
  <c r="V669" i="22" s="1"/>
  <c r="W669" i="22" s="1"/>
  <c r="X669" i="22" s="1"/>
  <c r="Y669" i="22" s="1"/>
  <c r="Z669" i="22" s="1"/>
  <c r="AA669" i="22" s="1"/>
  <c r="AB669" i="22" s="1"/>
  <c r="AC669" i="22" s="1"/>
  <c r="AD669" i="22" s="1"/>
  <c r="AE669" i="22" s="1"/>
  <c r="AF669" i="22" s="1"/>
  <c r="AG669" i="22" s="1"/>
  <c r="AI668" i="22"/>
  <c r="AJ668" i="22" s="1"/>
  <c r="AK668" i="22" s="1"/>
  <c r="AL668" i="22" s="1"/>
  <c r="AM668" i="22" s="1"/>
  <c r="AN668" i="22" s="1"/>
  <c r="AO668" i="22" s="1"/>
  <c r="AP668" i="22" s="1"/>
  <c r="AQ668" i="22" s="1"/>
  <c r="AR668" i="22" s="1"/>
  <c r="AS668" i="22" s="1"/>
  <c r="AT668" i="22" s="1"/>
  <c r="AU668" i="22" s="1"/>
  <c r="AV668" i="22" s="1"/>
  <c r="AW668" i="22" s="1"/>
  <c r="AX668" i="22" s="1"/>
  <c r="AY668" i="22" s="1"/>
  <c r="AZ668" i="22" s="1"/>
  <c r="BA668" i="22" s="1"/>
  <c r="BB668" i="22" s="1"/>
  <c r="BC668" i="22" s="1"/>
  <c r="BD668" i="22" s="1"/>
  <c r="BE668" i="22" s="1"/>
  <c r="AI708" i="22"/>
  <c r="AJ708" i="22" s="1"/>
  <c r="AK708" i="22" s="1"/>
  <c r="AL708" i="22" s="1"/>
  <c r="AM708" i="22" s="1"/>
  <c r="AN708" i="22" s="1"/>
  <c r="AO708" i="22" s="1"/>
  <c r="AP708" i="22" s="1"/>
  <c r="AQ708" i="22" s="1"/>
  <c r="AR708" i="22" s="1"/>
  <c r="AS708" i="22" s="1"/>
  <c r="AT708" i="22" s="1"/>
  <c r="AU708" i="22" s="1"/>
  <c r="AV708" i="22" s="1"/>
  <c r="AW708" i="22" s="1"/>
  <c r="AX708" i="22" s="1"/>
  <c r="AY708" i="22" s="1"/>
  <c r="AZ708" i="22" s="1"/>
  <c r="BA708" i="22" s="1"/>
  <c r="BB708" i="22" s="1"/>
  <c r="BC708" i="22" s="1"/>
  <c r="BD708" i="22" s="1"/>
  <c r="BE708" i="22" s="1"/>
  <c r="AI684" i="22"/>
  <c r="AJ684" i="22" s="1"/>
  <c r="AK684" i="22" s="1"/>
  <c r="AL684" i="22" s="1"/>
  <c r="AM684" i="22" s="1"/>
  <c r="AN684" i="22" s="1"/>
  <c r="AO684" i="22" s="1"/>
  <c r="AP684" i="22" s="1"/>
  <c r="AQ684" i="22" s="1"/>
  <c r="AR684" i="22" s="1"/>
  <c r="AS684" i="22" s="1"/>
  <c r="AT684" i="22" s="1"/>
  <c r="AU684" i="22" s="1"/>
  <c r="AV684" i="22" s="1"/>
  <c r="AW684" i="22" s="1"/>
  <c r="AX684" i="22" s="1"/>
  <c r="AY684" i="22" s="1"/>
  <c r="AZ684" i="22" s="1"/>
  <c r="BA684" i="22" s="1"/>
  <c r="BB684" i="22" s="1"/>
  <c r="BC684" i="22" s="1"/>
  <c r="BD684" i="22" s="1"/>
  <c r="BE684" i="22" s="1"/>
  <c r="AI671" i="22"/>
  <c r="AJ671" i="22" s="1"/>
  <c r="AK671" i="22" s="1"/>
  <c r="AL671" i="22" s="1"/>
  <c r="AM671" i="22" s="1"/>
  <c r="AN671" i="22" s="1"/>
  <c r="AO671" i="22" s="1"/>
  <c r="AP671" i="22" s="1"/>
  <c r="AQ671" i="22" s="1"/>
  <c r="AR671" i="22" s="1"/>
  <c r="AS671" i="22" s="1"/>
  <c r="AT671" i="22" s="1"/>
  <c r="AU671" i="22" s="1"/>
  <c r="AV671" i="22" s="1"/>
  <c r="AW671" i="22" s="1"/>
  <c r="AX671" i="22" s="1"/>
  <c r="AY671" i="22" s="1"/>
  <c r="AZ671" i="22" s="1"/>
  <c r="BA671" i="22" s="1"/>
  <c r="BB671" i="22" s="1"/>
  <c r="BC671" i="22" s="1"/>
  <c r="BD671" i="22" s="1"/>
  <c r="BE671" i="22" s="1"/>
  <c r="AI680" i="22"/>
  <c r="AJ680" i="22" s="1"/>
  <c r="AK680" i="22" s="1"/>
  <c r="AL680" i="22" s="1"/>
  <c r="AM680" i="22" s="1"/>
  <c r="AN680" i="22" s="1"/>
  <c r="AO680" i="22" s="1"/>
  <c r="AP680" i="22" s="1"/>
  <c r="AQ680" i="22" s="1"/>
  <c r="AR680" i="22" s="1"/>
  <c r="AS680" i="22" s="1"/>
  <c r="AT680" i="22" s="1"/>
  <c r="AU680" i="22" s="1"/>
  <c r="AV680" i="22" s="1"/>
  <c r="AW680" i="22" s="1"/>
  <c r="AX680" i="22" s="1"/>
  <c r="AY680" i="22" s="1"/>
  <c r="AZ680" i="22" s="1"/>
  <c r="BA680" i="22" s="1"/>
  <c r="BB680" i="22" s="1"/>
  <c r="BC680" i="22" s="1"/>
  <c r="BD680" i="22" s="1"/>
  <c r="BE680" i="22" s="1"/>
  <c r="AI679" i="22"/>
  <c r="AJ679" i="22" s="1"/>
  <c r="AK679" i="22" s="1"/>
  <c r="AL679" i="22" s="1"/>
  <c r="AM679" i="22" s="1"/>
  <c r="AN679" i="22" s="1"/>
  <c r="AO679" i="22" s="1"/>
  <c r="AP679" i="22" s="1"/>
  <c r="AQ679" i="22" s="1"/>
  <c r="AR679" i="22" s="1"/>
  <c r="AS679" i="22" s="1"/>
  <c r="AT679" i="22" s="1"/>
  <c r="AU679" i="22" s="1"/>
  <c r="AV679" i="22" s="1"/>
  <c r="AW679" i="22" s="1"/>
  <c r="AX679" i="22" s="1"/>
  <c r="AY679" i="22" s="1"/>
  <c r="AZ679" i="22" s="1"/>
  <c r="BA679" i="22" s="1"/>
  <c r="BB679" i="22" s="1"/>
  <c r="BC679" i="22" s="1"/>
  <c r="BD679" i="22" s="1"/>
  <c r="BE679" i="22" s="1"/>
  <c r="O675" i="22"/>
  <c r="P675" i="22" s="1"/>
  <c r="Q675" i="22" s="1"/>
  <c r="R675" i="22" s="1"/>
  <c r="S675" i="22" s="1"/>
  <c r="T675" i="22" s="1"/>
  <c r="U675" i="22" s="1"/>
  <c r="V675" i="22" s="1"/>
  <c r="W675" i="22" s="1"/>
  <c r="X675" i="22" s="1"/>
  <c r="Y675" i="22" s="1"/>
  <c r="Z675" i="22" s="1"/>
  <c r="AA675" i="22" s="1"/>
  <c r="AB675" i="22" s="1"/>
  <c r="AC675" i="22" s="1"/>
  <c r="AD675" i="22" s="1"/>
  <c r="AE675" i="22" s="1"/>
  <c r="AF675" i="22" s="1"/>
  <c r="AG675" i="22" s="1"/>
  <c r="O641" i="22"/>
  <c r="P641" i="22" s="1"/>
  <c r="Q641" i="22" s="1"/>
  <c r="R641" i="22" s="1"/>
  <c r="S641" i="22" s="1"/>
  <c r="T641" i="22" s="1"/>
  <c r="U641" i="22" s="1"/>
  <c r="V641" i="22" s="1"/>
  <c r="W641" i="22" s="1"/>
  <c r="X641" i="22" s="1"/>
  <c r="Y641" i="22" s="1"/>
  <c r="Z641" i="22" s="1"/>
  <c r="AA641" i="22" s="1"/>
  <c r="AB641" i="22" s="1"/>
  <c r="AC641" i="22" s="1"/>
  <c r="AD641" i="22" s="1"/>
  <c r="AE641" i="22" s="1"/>
  <c r="AF641" i="22" s="1"/>
  <c r="AG641" i="22" s="1"/>
  <c r="O629" i="22"/>
  <c r="P629" i="22" s="1"/>
  <c r="Q629" i="22" s="1"/>
  <c r="R629" i="22" s="1"/>
  <c r="S629" i="22" s="1"/>
  <c r="T629" i="22" s="1"/>
  <c r="U629" i="22" s="1"/>
  <c r="V629" i="22" s="1"/>
  <c r="W629" i="22" s="1"/>
  <c r="X629" i="22" s="1"/>
  <c r="Y629" i="22" s="1"/>
  <c r="Z629" i="22" s="1"/>
  <c r="AA629" i="22" s="1"/>
  <c r="AB629" i="22" s="1"/>
  <c r="AC629" i="22" s="1"/>
  <c r="AD629" i="22" s="1"/>
  <c r="AE629" i="22" s="1"/>
  <c r="AF629" i="22" s="1"/>
  <c r="AG629" i="22" s="1"/>
  <c r="O612" i="22"/>
  <c r="P612" i="22" s="1"/>
  <c r="Q612" i="22" s="1"/>
  <c r="R612" i="22" s="1"/>
  <c r="S612" i="22" s="1"/>
  <c r="T612" i="22" s="1"/>
  <c r="U612" i="22" s="1"/>
  <c r="V612" i="22" s="1"/>
  <c r="W612" i="22" s="1"/>
  <c r="X612" i="22" s="1"/>
  <c r="Y612" i="22" s="1"/>
  <c r="Z612" i="22" s="1"/>
  <c r="AA612" i="22" s="1"/>
  <c r="AB612" i="22" s="1"/>
  <c r="AC612" i="22" s="1"/>
  <c r="AD612" i="22" s="1"/>
  <c r="AE612" i="22" s="1"/>
  <c r="AF612" i="22" s="1"/>
  <c r="AG612" i="22" s="1"/>
  <c r="O611" i="22"/>
  <c r="P611" i="22" s="1"/>
  <c r="Q611" i="22" s="1"/>
  <c r="R611" i="22" s="1"/>
  <c r="S611" i="22" s="1"/>
  <c r="T611" i="22" s="1"/>
  <c r="U611" i="22" s="1"/>
  <c r="V611" i="22" s="1"/>
  <c r="W611" i="22" s="1"/>
  <c r="X611" i="22" s="1"/>
  <c r="Y611" i="22" s="1"/>
  <c r="Z611" i="22" s="1"/>
  <c r="AA611" i="22" s="1"/>
  <c r="AB611" i="22" s="1"/>
  <c r="AC611" i="22" s="1"/>
  <c r="AD611" i="22" s="1"/>
  <c r="AE611" i="22" s="1"/>
  <c r="AF611" i="22" s="1"/>
  <c r="AG611" i="22" s="1"/>
  <c r="O594" i="22"/>
  <c r="P594" i="22" s="1"/>
  <c r="Q594" i="22" s="1"/>
  <c r="R594" i="22" s="1"/>
  <c r="S594" i="22" s="1"/>
  <c r="T594" i="22" s="1"/>
  <c r="U594" i="22" s="1"/>
  <c r="V594" i="22" s="1"/>
  <c r="W594" i="22" s="1"/>
  <c r="X594" i="22" s="1"/>
  <c r="Y594" i="22" s="1"/>
  <c r="Z594" i="22" s="1"/>
  <c r="AA594" i="22" s="1"/>
  <c r="AB594" i="22" s="1"/>
  <c r="AC594" i="22" s="1"/>
  <c r="AD594" i="22" s="1"/>
  <c r="AE594" i="22" s="1"/>
  <c r="AF594" i="22" s="1"/>
  <c r="AG594" i="22" s="1"/>
  <c r="O589" i="22"/>
  <c r="P589" i="22" s="1"/>
  <c r="Q589" i="22" s="1"/>
  <c r="R589" i="22" s="1"/>
  <c r="S589" i="22" s="1"/>
  <c r="T589" i="22" s="1"/>
  <c r="U589" i="22" s="1"/>
  <c r="V589" i="22" s="1"/>
  <c r="W589" i="22" s="1"/>
  <c r="X589" i="22" s="1"/>
  <c r="Y589" i="22" s="1"/>
  <c r="Z589" i="22" s="1"/>
  <c r="AA589" i="22" s="1"/>
  <c r="AB589" i="22" s="1"/>
  <c r="AC589" i="22" s="1"/>
  <c r="AD589" i="22" s="1"/>
  <c r="AE589" i="22" s="1"/>
  <c r="AF589" i="22" s="1"/>
  <c r="AG589" i="22" s="1"/>
  <c r="AI587" i="22"/>
  <c r="AJ587" i="22" s="1"/>
  <c r="AK587" i="22" s="1"/>
  <c r="AL587" i="22" s="1"/>
  <c r="AM587" i="22" s="1"/>
  <c r="AN587" i="22" s="1"/>
  <c r="AO587" i="22" s="1"/>
  <c r="AP587" i="22" s="1"/>
  <c r="AQ587" i="22" s="1"/>
  <c r="AR587" i="22" s="1"/>
  <c r="AS587" i="22" s="1"/>
  <c r="AT587" i="22" s="1"/>
  <c r="AU587" i="22" s="1"/>
  <c r="AV587" i="22" s="1"/>
  <c r="AW587" i="22" s="1"/>
  <c r="AX587" i="22" s="1"/>
  <c r="AY587" i="22" s="1"/>
  <c r="AZ587" i="22" s="1"/>
  <c r="BA587" i="22" s="1"/>
  <c r="BB587" i="22" s="1"/>
  <c r="BC587" i="22" s="1"/>
  <c r="BD587" i="22" s="1"/>
  <c r="BE587" i="22" s="1"/>
  <c r="AI579" i="22"/>
  <c r="AJ579" i="22" s="1"/>
  <c r="AK579" i="22" s="1"/>
  <c r="AL579" i="22" s="1"/>
  <c r="AM579" i="22" s="1"/>
  <c r="AN579" i="22" s="1"/>
  <c r="AO579" i="22" s="1"/>
  <c r="AP579" i="22" s="1"/>
  <c r="AQ579" i="22" s="1"/>
  <c r="AR579" i="22" s="1"/>
  <c r="AS579" i="22" s="1"/>
  <c r="AT579" i="22" s="1"/>
  <c r="AU579" i="22" s="1"/>
  <c r="AV579" i="22" s="1"/>
  <c r="AW579" i="22" s="1"/>
  <c r="AX579" i="22" s="1"/>
  <c r="AY579" i="22" s="1"/>
  <c r="AZ579" i="22" s="1"/>
  <c r="BA579" i="22" s="1"/>
  <c r="BB579" i="22" s="1"/>
  <c r="BC579" i="22" s="1"/>
  <c r="BD579" i="22" s="1"/>
  <c r="BE579" i="22" s="1"/>
  <c r="AI705" i="22"/>
  <c r="AJ705" i="22" s="1"/>
  <c r="AK705" i="22" s="1"/>
  <c r="AL705" i="22" s="1"/>
  <c r="AM705" i="22" s="1"/>
  <c r="AN705" i="22" s="1"/>
  <c r="AO705" i="22" s="1"/>
  <c r="AP705" i="22" s="1"/>
  <c r="AQ705" i="22" s="1"/>
  <c r="AR705" i="22" s="1"/>
  <c r="AS705" i="22" s="1"/>
  <c r="AT705" i="22" s="1"/>
  <c r="AU705" i="22" s="1"/>
  <c r="AV705" i="22" s="1"/>
  <c r="AW705" i="22" s="1"/>
  <c r="AX705" i="22" s="1"/>
  <c r="AY705" i="22" s="1"/>
  <c r="AZ705" i="22" s="1"/>
  <c r="BA705" i="22" s="1"/>
  <c r="BB705" i="22" s="1"/>
  <c r="BC705" i="22" s="1"/>
  <c r="BD705" i="22" s="1"/>
  <c r="BE705" i="22" s="1"/>
  <c r="AI677" i="22"/>
  <c r="AJ677" i="22" s="1"/>
  <c r="AK677" i="22" s="1"/>
  <c r="AL677" i="22" s="1"/>
  <c r="AM677" i="22" s="1"/>
  <c r="AN677" i="22" s="1"/>
  <c r="AO677" i="22" s="1"/>
  <c r="AP677" i="22" s="1"/>
  <c r="AQ677" i="22" s="1"/>
  <c r="AR677" i="22" s="1"/>
  <c r="AS677" i="22" s="1"/>
  <c r="AT677" i="22" s="1"/>
  <c r="AU677" i="22" s="1"/>
  <c r="AV677" i="22" s="1"/>
  <c r="AW677" i="22" s="1"/>
  <c r="AX677" i="22" s="1"/>
  <c r="AY677" i="22" s="1"/>
  <c r="AZ677" i="22" s="1"/>
  <c r="BA677" i="22" s="1"/>
  <c r="BB677" i="22" s="1"/>
  <c r="BC677" i="22" s="1"/>
  <c r="BD677" i="22" s="1"/>
  <c r="BE677" i="22" s="1"/>
  <c r="O671" i="22"/>
  <c r="P671" i="22" s="1"/>
  <c r="Q671" i="22" s="1"/>
  <c r="R671" i="22" s="1"/>
  <c r="S671" i="22" s="1"/>
  <c r="T671" i="22" s="1"/>
  <c r="U671" i="22" s="1"/>
  <c r="V671" i="22" s="1"/>
  <c r="W671" i="22" s="1"/>
  <c r="X671" i="22" s="1"/>
  <c r="Y671" i="22" s="1"/>
  <c r="Z671" i="22" s="1"/>
  <c r="AA671" i="22" s="1"/>
  <c r="AB671" i="22" s="1"/>
  <c r="AC671" i="22" s="1"/>
  <c r="AD671" i="22" s="1"/>
  <c r="AE671" i="22" s="1"/>
  <c r="AF671" i="22" s="1"/>
  <c r="AG671" i="22" s="1"/>
  <c r="AI703" i="22"/>
  <c r="AJ703" i="22" s="1"/>
  <c r="AK703" i="22" s="1"/>
  <c r="AL703" i="22" s="1"/>
  <c r="AM703" i="22" s="1"/>
  <c r="AN703" i="22" s="1"/>
  <c r="AO703" i="22" s="1"/>
  <c r="AP703" i="22" s="1"/>
  <c r="AQ703" i="22" s="1"/>
  <c r="AR703" i="22" s="1"/>
  <c r="AS703" i="22" s="1"/>
  <c r="AT703" i="22" s="1"/>
  <c r="AU703" i="22" s="1"/>
  <c r="AV703" i="22" s="1"/>
  <c r="AW703" i="22" s="1"/>
  <c r="AX703" i="22" s="1"/>
  <c r="AY703" i="22" s="1"/>
  <c r="AZ703" i="22" s="1"/>
  <c r="BA703" i="22" s="1"/>
  <c r="BB703" i="22" s="1"/>
  <c r="BC703" i="22" s="1"/>
  <c r="BD703" i="22" s="1"/>
  <c r="BE703" i="22" s="1"/>
  <c r="O689" i="22"/>
  <c r="P689" i="22" s="1"/>
  <c r="Q689" i="22" s="1"/>
  <c r="R689" i="22" s="1"/>
  <c r="S689" i="22" s="1"/>
  <c r="T689" i="22" s="1"/>
  <c r="U689" i="22" s="1"/>
  <c r="V689" i="22" s="1"/>
  <c r="W689" i="22" s="1"/>
  <c r="X689" i="22" s="1"/>
  <c r="Y689" i="22" s="1"/>
  <c r="Z689" i="22" s="1"/>
  <c r="AA689" i="22" s="1"/>
  <c r="AB689" i="22" s="1"/>
  <c r="AC689" i="22" s="1"/>
  <c r="AD689" i="22" s="1"/>
  <c r="AE689" i="22" s="1"/>
  <c r="AF689" i="22" s="1"/>
  <c r="AG689" i="22" s="1"/>
  <c r="AI675" i="22"/>
  <c r="AJ675" i="22" s="1"/>
  <c r="AK675" i="22" s="1"/>
  <c r="AL675" i="22" s="1"/>
  <c r="AM675" i="22" s="1"/>
  <c r="AN675" i="22" s="1"/>
  <c r="AO675" i="22" s="1"/>
  <c r="AP675" i="22" s="1"/>
  <c r="AQ675" i="22" s="1"/>
  <c r="AR675" i="22" s="1"/>
  <c r="AS675" i="22" s="1"/>
  <c r="AT675" i="22" s="1"/>
  <c r="AU675" i="22" s="1"/>
  <c r="AV675" i="22" s="1"/>
  <c r="AW675" i="22" s="1"/>
  <c r="AX675" i="22" s="1"/>
  <c r="AY675" i="22" s="1"/>
  <c r="AZ675" i="22" s="1"/>
  <c r="BA675" i="22" s="1"/>
  <c r="BB675" i="22" s="1"/>
  <c r="BC675" i="22" s="1"/>
  <c r="BD675" i="22" s="1"/>
  <c r="BE675" i="22" s="1"/>
  <c r="AI646" i="22"/>
  <c r="AJ646" i="22" s="1"/>
  <c r="AK646" i="22" s="1"/>
  <c r="AL646" i="22" s="1"/>
  <c r="AM646" i="22" s="1"/>
  <c r="AN646" i="22" s="1"/>
  <c r="AO646" i="22" s="1"/>
  <c r="AP646" i="22" s="1"/>
  <c r="AQ646" i="22" s="1"/>
  <c r="AR646" i="22" s="1"/>
  <c r="AS646" i="22" s="1"/>
  <c r="AT646" i="22" s="1"/>
  <c r="AU646" i="22" s="1"/>
  <c r="AV646" i="22" s="1"/>
  <c r="AW646" i="22" s="1"/>
  <c r="AX646" i="22" s="1"/>
  <c r="AY646" i="22" s="1"/>
  <c r="AZ646" i="22" s="1"/>
  <c r="BA646" i="22" s="1"/>
  <c r="BB646" i="22" s="1"/>
  <c r="BC646" i="22" s="1"/>
  <c r="BD646" i="22" s="1"/>
  <c r="BE646" i="22" s="1"/>
  <c r="AI640" i="22"/>
  <c r="AJ640" i="22" s="1"/>
  <c r="AK640" i="22" s="1"/>
  <c r="AL640" i="22" s="1"/>
  <c r="AM640" i="22" s="1"/>
  <c r="AN640" i="22" s="1"/>
  <c r="AO640" i="22" s="1"/>
  <c r="AP640" i="22" s="1"/>
  <c r="AQ640" i="22" s="1"/>
  <c r="AR640" i="22" s="1"/>
  <c r="AS640" i="22" s="1"/>
  <c r="AT640" i="22" s="1"/>
  <c r="AU640" i="22" s="1"/>
  <c r="AV640" i="22" s="1"/>
  <c r="AW640" i="22" s="1"/>
  <c r="AX640" i="22" s="1"/>
  <c r="AY640" i="22" s="1"/>
  <c r="AZ640" i="22" s="1"/>
  <c r="BA640" i="22" s="1"/>
  <c r="BB640" i="22" s="1"/>
  <c r="BC640" i="22" s="1"/>
  <c r="BD640" i="22" s="1"/>
  <c r="BE640" i="22" s="1"/>
  <c r="AI638" i="22"/>
  <c r="AJ638" i="22" s="1"/>
  <c r="AK638" i="22" s="1"/>
  <c r="AL638" i="22" s="1"/>
  <c r="AM638" i="22" s="1"/>
  <c r="AN638" i="22" s="1"/>
  <c r="AO638" i="22" s="1"/>
  <c r="AP638" i="22" s="1"/>
  <c r="AQ638" i="22" s="1"/>
  <c r="AR638" i="22" s="1"/>
  <c r="AS638" i="22" s="1"/>
  <c r="AT638" i="22" s="1"/>
  <c r="AU638" i="22" s="1"/>
  <c r="AV638" i="22" s="1"/>
  <c r="AW638" i="22" s="1"/>
  <c r="AX638" i="22" s="1"/>
  <c r="AY638" i="22" s="1"/>
  <c r="AZ638" i="22" s="1"/>
  <c r="BA638" i="22" s="1"/>
  <c r="BB638" i="22" s="1"/>
  <c r="BC638" i="22" s="1"/>
  <c r="BD638" i="22" s="1"/>
  <c r="BE638" i="22" s="1"/>
  <c r="O636" i="22"/>
  <c r="P636" i="22" s="1"/>
  <c r="Q636" i="22" s="1"/>
  <c r="R636" i="22" s="1"/>
  <c r="S636" i="22" s="1"/>
  <c r="T636" i="22" s="1"/>
  <c r="U636" i="22" s="1"/>
  <c r="V636" i="22" s="1"/>
  <c r="W636" i="22" s="1"/>
  <c r="X636" i="22" s="1"/>
  <c r="Y636" i="22" s="1"/>
  <c r="Z636" i="22" s="1"/>
  <c r="AA636" i="22" s="1"/>
  <c r="AB636" i="22" s="1"/>
  <c r="AC636" i="22" s="1"/>
  <c r="AD636" i="22" s="1"/>
  <c r="AE636" i="22" s="1"/>
  <c r="AF636" i="22" s="1"/>
  <c r="AG636" i="22" s="1"/>
  <c r="O634" i="22"/>
  <c r="P634" i="22" s="1"/>
  <c r="Q634" i="22" s="1"/>
  <c r="R634" i="22" s="1"/>
  <c r="S634" i="22" s="1"/>
  <c r="T634" i="22" s="1"/>
  <c r="U634" i="22" s="1"/>
  <c r="V634" i="22" s="1"/>
  <c r="W634" i="22" s="1"/>
  <c r="X634" i="22" s="1"/>
  <c r="Y634" i="22" s="1"/>
  <c r="Z634" i="22" s="1"/>
  <c r="AA634" i="22" s="1"/>
  <c r="AB634" i="22" s="1"/>
  <c r="AC634" i="22" s="1"/>
  <c r="AD634" i="22" s="1"/>
  <c r="AE634" i="22" s="1"/>
  <c r="AF634" i="22" s="1"/>
  <c r="AG634" i="22" s="1"/>
  <c r="AI630" i="22"/>
  <c r="AJ630" i="22" s="1"/>
  <c r="AK630" i="22" s="1"/>
  <c r="AL630" i="22" s="1"/>
  <c r="AM630" i="22" s="1"/>
  <c r="AN630" i="22" s="1"/>
  <c r="AO630" i="22" s="1"/>
  <c r="AP630" i="22" s="1"/>
  <c r="AQ630" i="22" s="1"/>
  <c r="AR630" i="22" s="1"/>
  <c r="AS630" i="22" s="1"/>
  <c r="AT630" i="22" s="1"/>
  <c r="AU630" i="22" s="1"/>
  <c r="AV630" i="22" s="1"/>
  <c r="AW630" i="22" s="1"/>
  <c r="AX630" i="22" s="1"/>
  <c r="AY630" i="22" s="1"/>
  <c r="AZ630" i="22" s="1"/>
  <c r="BA630" i="22" s="1"/>
  <c r="BB630" i="22" s="1"/>
  <c r="BC630" i="22" s="1"/>
  <c r="BD630" i="22" s="1"/>
  <c r="BE630" i="22" s="1"/>
  <c r="O626" i="22"/>
  <c r="P626" i="22" s="1"/>
  <c r="Q626" i="22" s="1"/>
  <c r="R626" i="22" s="1"/>
  <c r="S626" i="22" s="1"/>
  <c r="T626" i="22" s="1"/>
  <c r="U626" i="22" s="1"/>
  <c r="V626" i="22" s="1"/>
  <c r="W626" i="22" s="1"/>
  <c r="X626" i="22" s="1"/>
  <c r="Y626" i="22" s="1"/>
  <c r="Z626" i="22" s="1"/>
  <c r="AA626" i="22" s="1"/>
  <c r="AB626" i="22" s="1"/>
  <c r="AC626" i="22" s="1"/>
  <c r="AD626" i="22" s="1"/>
  <c r="AE626" i="22" s="1"/>
  <c r="AF626" i="22" s="1"/>
  <c r="AG626" i="22" s="1"/>
  <c r="O613" i="22"/>
  <c r="P613" i="22" s="1"/>
  <c r="Q613" i="22" s="1"/>
  <c r="R613" i="22" s="1"/>
  <c r="S613" i="22" s="1"/>
  <c r="T613" i="22" s="1"/>
  <c r="U613" i="22" s="1"/>
  <c r="V613" i="22" s="1"/>
  <c r="W613" i="22" s="1"/>
  <c r="X613" i="22" s="1"/>
  <c r="Y613" i="22" s="1"/>
  <c r="Z613" i="22" s="1"/>
  <c r="AA613" i="22" s="1"/>
  <c r="AB613" i="22" s="1"/>
  <c r="AC613" i="22" s="1"/>
  <c r="AD613" i="22" s="1"/>
  <c r="AE613" i="22" s="1"/>
  <c r="AF613" i="22" s="1"/>
  <c r="AG613" i="22" s="1"/>
  <c r="AI600" i="22"/>
  <c r="AJ600" i="22" s="1"/>
  <c r="AK600" i="22" s="1"/>
  <c r="AL600" i="22" s="1"/>
  <c r="AM600" i="22" s="1"/>
  <c r="AN600" i="22" s="1"/>
  <c r="AO600" i="22" s="1"/>
  <c r="AP600" i="22" s="1"/>
  <c r="AQ600" i="22" s="1"/>
  <c r="AR600" i="22" s="1"/>
  <c r="AS600" i="22" s="1"/>
  <c r="AT600" i="22" s="1"/>
  <c r="AU600" i="22" s="1"/>
  <c r="AV600" i="22" s="1"/>
  <c r="AW600" i="22" s="1"/>
  <c r="AX600" i="22" s="1"/>
  <c r="AY600" i="22" s="1"/>
  <c r="AZ600" i="22" s="1"/>
  <c r="BA600" i="22" s="1"/>
  <c r="BB600" i="22" s="1"/>
  <c r="BC600" i="22" s="1"/>
  <c r="BD600" i="22" s="1"/>
  <c r="BE600" i="22" s="1"/>
  <c r="AI599" i="22"/>
  <c r="AJ599" i="22" s="1"/>
  <c r="AK599" i="22" s="1"/>
  <c r="AL599" i="22" s="1"/>
  <c r="AM599" i="22" s="1"/>
  <c r="AN599" i="22" s="1"/>
  <c r="AO599" i="22" s="1"/>
  <c r="AP599" i="22" s="1"/>
  <c r="AQ599" i="22" s="1"/>
  <c r="AR599" i="22" s="1"/>
  <c r="AS599" i="22" s="1"/>
  <c r="AT599" i="22" s="1"/>
  <c r="AU599" i="22" s="1"/>
  <c r="AV599" i="22" s="1"/>
  <c r="AW599" i="22" s="1"/>
  <c r="AX599" i="22" s="1"/>
  <c r="AY599" i="22" s="1"/>
  <c r="AZ599" i="22" s="1"/>
  <c r="BA599" i="22" s="1"/>
  <c r="BB599" i="22" s="1"/>
  <c r="BC599" i="22" s="1"/>
  <c r="BD599" i="22" s="1"/>
  <c r="BE599" i="22" s="1"/>
  <c r="O574" i="22"/>
  <c r="P574" i="22" s="1"/>
  <c r="Q574" i="22" s="1"/>
  <c r="R574" i="22" s="1"/>
  <c r="S574" i="22" s="1"/>
  <c r="T574" i="22" s="1"/>
  <c r="U574" i="22" s="1"/>
  <c r="V574" i="22" s="1"/>
  <c r="W574" i="22" s="1"/>
  <c r="X574" i="22" s="1"/>
  <c r="Y574" i="22" s="1"/>
  <c r="Z574" i="22" s="1"/>
  <c r="AA574" i="22" s="1"/>
  <c r="AB574" i="22" s="1"/>
  <c r="AC574" i="22" s="1"/>
  <c r="AD574" i="22" s="1"/>
  <c r="AE574" i="22" s="1"/>
  <c r="AF574" i="22" s="1"/>
  <c r="AG574" i="22" s="1"/>
  <c r="O573" i="22"/>
  <c r="P573" i="22" s="1"/>
  <c r="Q573" i="22" s="1"/>
  <c r="R573" i="22" s="1"/>
  <c r="S573" i="22" s="1"/>
  <c r="T573" i="22" s="1"/>
  <c r="U573" i="22" s="1"/>
  <c r="V573" i="22" s="1"/>
  <c r="W573" i="22" s="1"/>
  <c r="X573" i="22" s="1"/>
  <c r="Y573" i="22" s="1"/>
  <c r="Z573" i="22" s="1"/>
  <c r="AA573" i="22" s="1"/>
  <c r="AB573" i="22" s="1"/>
  <c r="AC573" i="22" s="1"/>
  <c r="AD573" i="22" s="1"/>
  <c r="AE573" i="22" s="1"/>
  <c r="AF573" i="22" s="1"/>
  <c r="AG573" i="22" s="1"/>
  <c r="O566" i="22"/>
  <c r="P566" i="22" s="1"/>
  <c r="Q566" i="22" s="1"/>
  <c r="R566" i="22" s="1"/>
  <c r="S566" i="22" s="1"/>
  <c r="T566" i="22" s="1"/>
  <c r="U566" i="22" s="1"/>
  <c r="V566" i="22" s="1"/>
  <c r="W566" i="22" s="1"/>
  <c r="X566" i="22" s="1"/>
  <c r="Y566" i="22" s="1"/>
  <c r="Z566" i="22" s="1"/>
  <c r="AA566" i="22" s="1"/>
  <c r="AB566" i="22" s="1"/>
  <c r="AC566" i="22" s="1"/>
  <c r="AD566" i="22" s="1"/>
  <c r="AE566" i="22" s="1"/>
  <c r="AF566" i="22" s="1"/>
  <c r="AG566" i="22" s="1"/>
  <c r="O561" i="22"/>
  <c r="P561" i="22" s="1"/>
  <c r="Q561" i="22" s="1"/>
  <c r="R561" i="22" s="1"/>
  <c r="S561" i="22" s="1"/>
  <c r="T561" i="22" s="1"/>
  <c r="U561" i="22" s="1"/>
  <c r="V561" i="22" s="1"/>
  <c r="W561" i="22" s="1"/>
  <c r="X561" i="22" s="1"/>
  <c r="Y561" i="22" s="1"/>
  <c r="Z561" i="22" s="1"/>
  <c r="AA561" i="22" s="1"/>
  <c r="AB561" i="22" s="1"/>
  <c r="AC561" i="22" s="1"/>
  <c r="AD561" i="22" s="1"/>
  <c r="AE561" i="22" s="1"/>
  <c r="AF561" i="22" s="1"/>
  <c r="AG561" i="22" s="1"/>
  <c r="AI559" i="22"/>
  <c r="AJ559" i="22" s="1"/>
  <c r="AK559" i="22" s="1"/>
  <c r="AL559" i="22" s="1"/>
  <c r="AM559" i="22" s="1"/>
  <c r="AN559" i="22" s="1"/>
  <c r="AO559" i="22" s="1"/>
  <c r="AP559" i="22" s="1"/>
  <c r="AQ559" i="22" s="1"/>
  <c r="AR559" i="22" s="1"/>
  <c r="AS559" i="22" s="1"/>
  <c r="AT559" i="22" s="1"/>
  <c r="AU559" i="22" s="1"/>
  <c r="AV559" i="22" s="1"/>
  <c r="AW559" i="22" s="1"/>
  <c r="AX559" i="22" s="1"/>
  <c r="AY559" i="22" s="1"/>
  <c r="AZ559" i="22" s="1"/>
  <c r="BA559" i="22" s="1"/>
  <c r="BB559" i="22" s="1"/>
  <c r="BC559" i="22" s="1"/>
  <c r="BD559" i="22" s="1"/>
  <c r="BE559" i="22" s="1"/>
  <c r="AI557" i="22"/>
  <c r="AJ557" i="22" s="1"/>
  <c r="AK557" i="22" s="1"/>
  <c r="AL557" i="22" s="1"/>
  <c r="AM557" i="22" s="1"/>
  <c r="AN557" i="22" s="1"/>
  <c r="AO557" i="22" s="1"/>
  <c r="AP557" i="22" s="1"/>
  <c r="AQ557" i="22" s="1"/>
  <c r="AR557" i="22" s="1"/>
  <c r="AS557" i="22" s="1"/>
  <c r="AT557" i="22" s="1"/>
  <c r="AU557" i="22" s="1"/>
  <c r="AV557" i="22" s="1"/>
  <c r="AW557" i="22" s="1"/>
  <c r="AX557" i="22" s="1"/>
  <c r="AY557" i="22" s="1"/>
  <c r="AZ557" i="22" s="1"/>
  <c r="BA557" i="22" s="1"/>
  <c r="BB557" i="22" s="1"/>
  <c r="BC557" i="22" s="1"/>
  <c r="BD557" i="22" s="1"/>
  <c r="BE557" i="22" s="1"/>
  <c r="AI555" i="22"/>
  <c r="AJ555" i="22" s="1"/>
  <c r="AK555" i="22" s="1"/>
  <c r="AL555" i="22" s="1"/>
  <c r="AM555" i="22" s="1"/>
  <c r="AN555" i="22" s="1"/>
  <c r="AO555" i="22" s="1"/>
  <c r="AP555" i="22" s="1"/>
  <c r="AQ555" i="22" s="1"/>
  <c r="AR555" i="22" s="1"/>
  <c r="AS555" i="22" s="1"/>
  <c r="AT555" i="22" s="1"/>
  <c r="AU555" i="22" s="1"/>
  <c r="AV555" i="22" s="1"/>
  <c r="AW555" i="22" s="1"/>
  <c r="AX555" i="22" s="1"/>
  <c r="AY555" i="22" s="1"/>
  <c r="AZ555" i="22" s="1"/>
  <c r="BA555" i="22" s="1"/>
  <c r="BB555" i="22" s="1"/>
  <c r="BC555" i="22" s="1"/>
  <c r="BD555" i="22" s="1"/>
  <c r="BE555" i="22" s="1"/>
  <c r="AI553" i="22"/>
  <c r="AJ553" i="22" s="1"/>
  <c r="AK553" i="22" s="1"/>
  <c r="AL553" i="22" s="1"/>
  <c r="AM553" i="22" s="1"/>
  <c r="AN553" i="22" s="1"/>
  <c r="AO553" i="22" s="1"/>
  <c r="AP553" i="22" s="1"/>
  <c r="AQ553" i="22" s="1"/>
  <c r="AR553" i="22" s="1"/>
  <c r="AS553" i="22" s="1"/>
  <c r="AT553" i="22" s="1"/>
  <c r="AU553" i="22" s="1"/>
  <c r="AV553" i="22" s="1"/>
  <c r="AW553" i="22" s="1"/>
  <c r="AX553" i="22" s="1"/>
  <c r="AY553" i="22" s="1"/>
  <c r="AZ553" i="22" s="1"/>
  <c r="BA553" i="22" s="1"/>
  <c r="BB553" i="22" s="1"/>
  <c r="BC553" i="22" s="1"/>
  <c r="BD553" i="22" s="1"/>
  <c r="BE553" i="22" s="1"/>
  <c r="AI551" i="22"/>
  <c r="AJ551" i="22" s="1"/>
  <c r="AK551" i="22" s="1"/>
  <c r="AL551" i="22" s="1"/>
  <c r="AM551" i="22" s="1"/>
  <c r="AN551" i="22" s="1"/>
  <c r="AO551" i="22" s="1"/>
  <c r="AP551" i="22" s="1"/>
  <c r="AQ551" i="22" s="1"/>
  <c r="AR551" i="22" s="1"/>
  <c r="AS551" i="22" s="1"/>
  <c r="AT551" i="22" s="1"/>
  <c r="AU551" i="22" s="1"/>
  <c r="AV551" i="22" s="1"/>
  <c r="AW551" i="22" s="1"/>
  <c r="AX551" i="22" s="1"/>
  <c r="AY551" i="22" s="1"/>
  <c r="AZ551" i="22" s="1"/>
  <c r="BA551" i="22" s="1"/>
  <c r="BB551" i="22" s="1"/>
  <c r="BC551" i="22" s="1"/>
  <c r="BD551" i="22" s="1"/>
  <c r="BE551" i="22" s="1"/>
  <c r="AI549" i="22"/>
  <c r="AJ549" i="22" s="1"/>
  <c r="AK549" i="22" s="1"/>
  <c r="AL549" i="22" s="1"/>
  <c r="AM549" i="22" s="1"/>
  <c r="AN549" i="22" s="1"/>
  <c r="AO549" i="22" s="1"/>
  <c r="AP549" i="22" s="1"/>
  <c r="AQ549" i="22" s="1"/>
  <c r="AR549" i="22" s="1"/>
  <c r="AS549" i="22" s="1"/>
  <c r="AT549" i="22" s="1"/>
  <c r="AU549" i="22" s="1"/>
  <c r="AV549" i="22" s="1"/>
  <c r="AW549" i="22" s="1"/>
  <c r="AX549" i="22" s="1"/>
  <c r="AY549" i="22" s="1"/>
  <c r="AZ549" i="22" s="1"/>
  <c r="BA549" i="22" s="1"/>
  <c r="BB549" i="22" s="1"/>
  <c r="BC549" i="22" s="1"/>
  <c r="BD549" i="22" s="1"/>
  <c r="BE549" i="22" s="1"/>
  <c r="AI547" i="22"/>
  <c r="AJ547" i="22" s="1"/>
  <c r="AK547" i="22" s="1"/>
  <c r="AL547" i="22" s="1"/>
  <c r="AM547" i="22" s="1"/>
  <c r="AN547" i="22" s="1"/>
  <c r="AO547" i="22" s="1"/>
  <c r="AP547" i="22" s="1"/>
  <c r="AQ547" i="22" s="1"/>
  <c r="AR547" i="22" s="1"/>
  <c r="AS547" i="22" s="1"/>
  <c r="AT547" i="22" s="1"/>
  <c r="AU547" i="22" s="1"/>
  <c r="AV547" i="22" s="1"/>
  <c r="AW547" i="22" s="1"/>
  <c r="AX547" i="22" s="1"/>
  <c r="AY547" i="22" s="1"/>
  <c r="AZ547" i="22" s="1"/>
  <c r="BA547" i="22" s="1"/>
  <c r="BB547" i="22" s="1"/>
  <c r="BC547" i="22" s="1"/>
  <c r="BD547" i="22" s="1"/>
  <c r="BE547" i="22" s="1"/>
  <c r="AI545" i="22"/>
  <c r="AJ545" i="22" s="1"/>
  <c r="AK545" i="22" s="1"/>
  <c r="AL545" i="22" s="1"/>
  <c r="AM545" i="22" s="1"/>
  <c r="AN545" i="22" s="1"/>
  <c r="AO545" i="22" s="1"/>
  <c r="AP545" i="22" s="1"/>
  <c r="AQ545" i="22" s="1"/>
  <c r="AR545" i="22" s="1"/>
  <c r="AS545" i="22" s="1"/>
  <c r="AT545" i="22" s="1"/>
  <c r="AU545" i="22" s="1"/>
  <c r="AV545" i="22" s="1"/>
  <c r="AW545" i="22" s="1"/>
  <c r="AX545" i="22" s="1"/>
  <c r="AY545" i="22" s="1"/>
  <c r="AZ545" i="22" s="1"/>
  <c r="BA545" i="22" s="1"/>
  <c r="BB545" i="22" s="1"/>
  <c r="BC545" i="22" s="1"/>
  <c r="BD545" i="22" s="1"/>
  <c r="BE545" i="22" s="1"/>
  <c r="AI543" i="22"/>
  <c r="AJ543" i="22" s="1"/>
  <c r="AK543" i="22" s="1"/>
  <c r="AL543" i="22" s="1"/>
  <c r="AM543" i="22" s="1"/>
  <c r="AN543" i="22" s="1"/>
  <c r="AO543" i="22" s="1"/>
  <c r="AP543" i="22" s="1"/>
  <c r="AQ543" i="22" s="1"/>
  <c r="AR543" i="22" s="1"/>
  <c r="AS543" i="22" s="1"/>
  <c r="AT543" i="22" s="1"/>
  <c r="AU543" i="22" s="1"/>
  <c r="AV543" i="22" s="1"/>
  <c r="AW543" i="22" s="1"/>
  <c r="AX543" i="22" s="1"/>
  <c r="AY543" i="22" s="1"/>
  <c r="AZ543" i="22" s="1"/>
  <c r="BA543" i="22" s="1"/>
  <c r="BB543" i="22" s="1"/>
  <c r="BC543" i="22" s="1"/>
  <c r="BD543" i="22" s="1"/>
  <c r="BE543" i="22" s="1"/>
  <c r="AI541" i="22"/>
  <c r="AJ541" i="22" s="1"/>
  <c r="AK541" i="22" s="1"/>
  <c r="AL541" i="22" s="1"/>
  <c r="AM541" i="22" s="1"/>
  <c r="AN541" i="22" s="1"/>
  <c r="AO541" i="22" s="1"/>
  <c r="AP541" i="22" s="1"/>
  <c r="AQ541" i="22" s="1"/>
  <c r="AR541" i="22" s="1"/>
  <c r="AS541" i="22" s="1"/>
  <c r="AT541" i="22" s="1"/>
  <c r="AU541" i="22" s="1"/>
  <c r="AV541" i="22" s="1"/>
  <c r="AW541" i="22" s="1"/>
  <c r="AX541" i="22" s="1"/>
  <c r="AY541" i="22" s="1"/>
  <c r="AZ541" i="22" s="1"/>
  <c r="BA541" i="22" s="1"/>
  <c r="BB541" i="22" s="1"/>
  <c r="BC541" i="22" s="1"/>
  <c r="BD541" i="22" s="1"/>
  <c r="BE541" i="22" s="1"/>
  <c r="AI539" i="22"/>
  <c r="AJ539" i="22" s="1"/>
  <c r="AK539" i="22" s="1"/>
  <c r="AL539" i="22" s="1"/>
  <c r="AM539" i="22" s="1"/>
  <c r="AN539" i="22" s="1"/>
  <c r="AO539" i="22" s="1"/>
  <c r="AP539" i="22" s="1"/>
  <c r="AQ539" i="22" s="1"/>
  <c r="AR539" i="22" s="1"/>
  <c r="AS539" i="22" s="1"/>
  <c r="AT539" i="22" s="1"/>
  <c r="AU539" i="22" s="1"/>
  <c r="AV539" i="22" s="1"/>
  <c r="AW539" i="22" s="1"/>
  <c r="AX539" i="22" s="1"/>
  <c r="AY539" i="22" s="1"/>
  <c r="AZ539" i="22" s="1"/>
  <c r="BA539" i="22" s="1"/>
  <c r="BB539" i="22" s="1"/>
  <c r="BC539" i="22" s="1"/>
  <c r="BD539" i="22" s="1"/>
  <c r="BE539" i="22" s="1"/>
  <c r="AI537" i="22"/>
  <c r="AJ537" i="22" s="1"/>
  <c r="AK537" i="22" s="1"/>
  <c r="AL537" i="22" s="1"/>
  <c r="AM537" i="22" s="1"/>
  <c r="AN537" i="22" s="1"/>
  <c r="AO537" i="22" s="1"/>
  <c r="AP537" i="22" s="1"/>
  <c r="AQ537" i="22" s="1"/>
  <c r="AR537" i="22" s="1"/>
  <c r="AS537" i="22" s="1"/>
  <c r="AT537" i="22" s="1"/>
  <c r="AU537" i="22" s="1"/>
  <c r="AV537" i="22" s="1"/>
  <c r="AW537" i="22" s="1"/>
  <c r="AX537" i="22" s="1"/>
  <c r="AY537" i="22" s="1"/>
  <c r="AZ537" i="22" s="1"/>
  <c r="BA537" i="22" s="1"/>
  <c r="BB537" i="22" s="1"/>
  <c r="BC537" i="22" s="1"/>
  <c r="BD537" i="22" s="1"/>
  <c r="BE537" i="22" s="1"/>
  <c r="AI535" i="22"/>
  <c r="AJ535" i="22" s="1"/>
  <c r="AK535" i="22" s="1"/>
  <c r="AL535" i="22" s="1"/>
  <c r="AM535" i="22" s="1"/>
  <c r="AN535" i="22" s="1"/>
  <c r="AO535" i="22" s="1"/>
  <c r="AP535" i="22" s="1"/>
  <c r="AQ535" i="22" s="1"/>
  <c r="AR535" i="22" s="1"/>
  <c r="AS535" i="22" s="1"/>
  <c r="AT535" i="22" s="1"/>
  <c r="AU535" i="22" s="1"/>
  <c r="AV535" i="22" s="1"/>
  <c r="AW535" i="22" s="1"/>
  <c r="AX535" i="22" s="1"/>
  <c r="AY535" i="22" s="1"/>
  <c r="AZ535" i="22" s="1"/>
  <c r="BA535" i="22" s="1"/>
  <c r="BB535" i="22" s="1"/>
  <c r="BC535" i="22" s="1"/>
  <c r="BD535" i="22" s="1"/>
  <c r="BE535" i="22" s="1"/>
  <c r="AI533" i="22"/>
  <c r="AJ533" i="22" s="1"/>
  <c r="AK533" i="22" s="1"/>
  <c r="AL533" i="22" s="1"/>
  <c r="AM533" i="22" s="1"/>
  <c r="AN533" i="22" s="1"/>
  <c r="AO533" i="22" s="1"/>
  <c r="AP533" i="22" s="1"/>
  <c r="AQ533" i="22" s="1"/>
  <c r="AR533" i="22" s="1"/>
  <c r="AS533" i="22" s="1"/>
  <c r="AT533" i="22" s="1"/>
  <c r="AU533" i="22" s="1"/>
  <c r="AV533" i="22" s="1"/>
  <c r="AW533" i="22" s="1"/>
  <c r="AX533" i="22" s="1"/>
  <c r="AY533" i="22" s="1"/>
  <c r="AZ533" i="22" s="1"/>
  <c r="BA533" i="22" s="1"/>
  <c r="BB533" i="22" s="1"/>
  <c r="BC533" i="22" s="1"/>
  <c r="BD533" i="22" s="1"/>
  <c r="BE533" i="22" s="1"/>
  <c r="AI531" i="22"/>
  <c r="AJ531" i="22" s="1"/>
  <c r="AK531" i="22" s="1"/>
  <c r="AL531" i="22" s="1"/>
  <c r="AM531" i="22" s="1"/>
  <c r="AN531" i="22" s="1"/>
  <c r="AO531" i="22" s="1"/>
  <c r="AP531" i="22" s="1"/>
  <c r="AQ531" i="22" s="1"/>
  <c r="AR531" i="22" s="1"/>
  <c r="AS531" i="22" s="1"/>
  <c r="AT531" i="22" s="1"/>
  <c r="AU531" i="22" s="1"/>
  <c r="AV531" i="22" s="1"/>
  <c r="AW531" i="22" s="1"/>
  <c r="AX531" i="22" s="1"/>
  <c r="AY531" i="22" s="1"/>
  <c r="AZ531" i="22" s="1"/>
  <c r="BA531" i="22" s="1"/>
  <c r="BB531" i="22" s="1"/>
  <c r="BC531" i="22" s="1"/>
  <c r="BD531" i="22" s="1"/>
  <c r="BE531" i="22" s="1"/>
  <c r="AI529" i="22"/>
  <c r="AJ529" i="22" s="1"/>
  <c r="AK529" i="22" s="1"/>
  <c r="AL529" i="22" s="1"/>
  <c r="AM529" i="22" s="1"/>
  <c r="AN529" i="22" s="1"/>
  <c r="AO529" i="22" s="1"/>
  <c r="AP529" i="22" s="1"/>
  <c r="AQ529" i="22" s="1"/>
  <c r="AR529" i="22" s="1"/>
  <c r="AS529" i="22" s="1"/>
  <c r="AT529" i="22" s="1"/>
  <c r="AU529" i="22" s="1"/>
  <c r="AV529" i="22" s="1"/>
  <c r="AW529" i="22" s="1"/>
  <c r="AX529" i="22" s="1"/>
  <c r="AY529" i="22" s="1"/>
  <c r="AZ529" i="22" s="1"/>
  <c r="BA529" i="22" s="1"/>
  <c r="BB529" i="22" s="1"/>
  <c r="BC529" i="22" s="1"/>
  <c r="BD529" i="22" s="1"/>
  <c r="BE529" i="22" s="1"/>
  <c r="AI527" i="22"/>
  <c r="AJ527" i="22" s="1"/>
  <c r="AK527" i="22" s="1"/>
  <c r="AL527" i="22" s="1"/>
  <c r="AM527" i="22" s="1"/>
  <c r="AN527" i="22" s="1"/>
  <c r="AO527" i="22" s="1"/>
  <c r="AP527" i="22" s="1"/>
  <c r="AQ527" i="22" s="1"/>
  <c r="AR527" i="22" s="1"/>
  <c r="AS527" i="22" s="1"/>
  <c r="AT527" i="22" s="1"/>
  <c r="AU527" i="22" s="1"/>
  <c r="AV527" i="22" s="1"/>
  <c r="AW527" i="22" s="1"/>
  <c r="AX527" i="22" s="1"/>
  <c r="AY527" i="22" s="1"/>
  <c r="AZ527" i="22" s="1"/>
  <c r="BA527" i="22" s="1"/>
  <c r="BB527" i="22" s="1"/>
  <c r="BC527" i="22" s="1"/>
  <c r="BD527" i="22" s="1"/>
  <c r="BE527" i="22" s="1"/>
  <c r="AI525" i="22"/>
  <c r="AJ525" i="22" s="1"/>
  <c r="AK525" i="22" s="1"/>
  <c r="AL525" i="22" s="1"/>
  <c r="AM525" i="22" s="1"/>
  <c r="AN525" i="22" s="1"/>
  <c r="AO525" i="22" s="1"/>
  <c r="AP525" i="22" s="1"/>
  <c r="AQ525" i="22" s="1"/>
  <c r="AR525" i="22" s="1"/>
  <c r="AS525" i="22" s="1"/>
  <c r="AT525" i="22" s="1"/>
  <c r="AU525" i="22" s="1"/>
  <c r="AV525" i="22" s="1"/>
  <c r="AW525" i="22" s="1"/>
  <c r="AX525" i="22" s="1"/>
  <c r="AY525" i="22" s="1"/>
  <c r="AZ525" i="22" s="1"/>
  <c r="BA525" i="22" s="1"/>
  <c r="BB525" i="22" s="1"/>
  <c r="BC525" i="22" s="1"/>
  <c r="BD525" i="22" s="1"/>
  <c r="BE525" i="22" s="1"/>
  <c r="AI523" i="22"/>
  <c r="AJ523" i="22" s="1"/>
  <c r="AK523" i="22" s="1"/>
  <c r="AL523" i="22" s="1"/>
  <c r="AM523" i="22" s="1"/>
  <c r="AN523" i="22" s="1"/>
  <c r="AO523" i="22" s="1"/>
  <c r="AP523" i="22" s="1"/>
  <c r="AQ523" i="22" s="1"/>
  <c r="AR523" i="22" s="1"/>
  <c r="AS523" i="22" s="1"/>
  <c r="AT523" i="22" s="1"/>
  <c r="AU523" i="22" s="1"/>
  <c r="AV523" i="22" s="1"/>
  <c r="AW523" i="22" s="1"/>
  <c r="AX523" i="22" s="1"/>
  <c r="AY523" i="22" s="1"/>
  <c r="AZ523" i="22" s="1"/>
  <c r="BA523" i="22" s="1"/>
  <c r="BB523" i="22" s="1"/>
  <c r="BC523" i="22" s="1"/>
  <c r="BD523" i="22" s="1"/>
  <c r="BE523" i="22" s="1"/>
  <c r="AI521" i="22"/>
  <c r="AJ521" i="22" s="1"/>
  <c r="AK521" i="22" s="1"/>
  <c r="AL521" i="22" s="1"/>
  <c r="AM521" i="22" s="1"/>
  <c r="AN521" i="22" s="1"/>
  <c r="AO521" i="22" s="1"/>
  <c r="AP521" i="22" s="1"/>
  <c r="AQ521" i="22" s="1"/>
  <c r="AR521" i="22" s="1"/>
  <c r="AS521" i="22" s="1"/>
  <c r="AT521" i="22" s="1"/>
  <c r="AU521" i="22" s="1"/>
  <c r="AV521" i="22" s="1"/>
  <c r="AW521" i="22" s="1"/>
  <c r="AX521" i="22" s="1"/>
  <c r="AY521" i="22" s="1"/>
  <c r="AZ521" i="22" s="1"/>
  <c r="BA521" i="22" s="1"/>
  <c r="BB521" i="22" s="1"/>
  <c r="BC521" i="22" s="1"/>
  <c r="BD521" i="22" s="1"/>
  <c r="BE521" i="22" s="1"/>
  <c r="AI519" i="22"/>
  <c r="AJ519" i="22" s="1"/>
  <c r="AK519" i="22" s="1"/>
  <c r="AL519" i="22" s="1"/>
  <c r="AM519" i="22" s="1"/>
  <c r="AN519" i="22" s="1"/>
  <c r="AO519" i="22" s="1"/>
  <c r="AP519" i="22" s="1"/>
  <c r="AQ519" i="22" s="1"/>
  <c r="AR519" i="22" s="1"/>
  <c r="AS519" i="22" s="1"/>
  <c r="AT519" i="22" s="1"/>
  <c r="AU519" i="22" s="1"/>
  <c r="AV519" i="22" s="1"/>
  <c r="AW519" i="22" s="1"/>
  <c r="AX519" i="22" s="1"/>
  <c r="AY519" i="22" s="1"/>
  <c r="AZ519" i="22" s="1"/>
  <c r="BA519" i="22" s="1"/>
  <c r="BB519" i="22" s="1"/>
  <c r="BC519" i="22" s="1"/>
  <c r="BD519" i="22" s="1"/>
  <c r="BE519" i="22" s="1"/>
  <c r="AI517" i="22"/>
  <c r="AJ517" i="22" s="1"/>
  <c r="AK517" i="22" s="1"/>
  <c r="AL517" i="22" s="1"/>
  <c r="AM517" i="22" s="1"/>
  <c r="AN517" i="22" s="1"/>
  <c r="AO517" i="22" s="1"/>
  <c r="AP517" i="22" s="1"/>
  <c r="AQ517" i="22" s="1"/>
  <c r="AR517" i="22" s="1"/>
  <c r="AS517" i="22" s="1"/>
  <c r="AT517" i="22" s="1"/>
  <c r="AU517" i="22" s="1"/>
  <c r="AV517" i="22" s="1"/>
  <c r="AW517" i="22" s="1"/>
  <c r="AX517" i="22" s="1"/>
  <c r="AY517" i="22" s="1"/>
  <c r="AZ517" i="22" s="1"/>
  <c r="BA517" i="22" s="1"/>
  <c r="BB517" i="22" s="1"/>
  <c r="BC517" i="22" s="1"/>
  <c r="BD517" i="22" s="1"/>
  <c r="BE517" i="22" s="1"/>
  <c r="AI515" i="22"/>
  <c r="AJ515" i="22" s="1"/>
  <c r="AK515" i="22" s="1"/>
  <c r="AL515" i="22" s="1"/>
  <c r="AM515" i="22" s="1"/>
  <c r="AN515" i="22" s="1"/>
  <c r="AO515" i="22" s="1"/>
  <c r="AP515" i="22" s="1"/>
  <c r="AQ515" i="22" s="1"/>
  <c r="AR515" i="22" s="1"/>
  <c r="AS515" i="22" s="1"/>
  <c r="AT515" i="22" s="1"/>
  <c r="AU515" i="22" s="1"/>
  <c r="AV515" i="22" s="1"/>
  <c r="AW515" i="22" s="1"/>
  <c r="AX515" i="22" s="1"/>
  <c r="AY515" i="22" s="1"/>
  <c r="AZ515" i="22" s="1"/>
  <c r="BA515" i="22" s="1"/>
  <c r="BB515" i="22" s="1"/>
  <c r="BC515" i="22" s="1"/>
  <c r="BD515" i="22" s="1"/>
  <c r="BE515" i="22" s="1"/>
  <c r="AI506" i="22"/>
  <c r="AJ506" i="22" s="1"/>
  <c r="AK506" i="22" s="1"/>
  <c r="AL506" i="22" s="1"/>
  <c r="AM506" i="22" s="1"/>
  <c r="AN506" i="22" s="1"/>
  <c r="AO506" i="22" s="1"/>
  <c r="AP506" i="22" s="1"/>
  <c r="AQ506" i="22" s="1"/>
  <c r="AR506" i="22" s="1"/>
  <c r="AS506" i="22" s="1"/>
  <c r="AT506" i="22" s="1"/>
  <c r="AU506" i="22" s="1"/>
  <c r="AV506" i="22" s="1"/>
  <c r="AW506" i="22" s="1"/>
  <c r="AX506" i="22" s="1"/>
  <c r="AY506" i="22" s="1"/>
  <c r="AZ506" i="22" s="1"/>
  <c r="BA506" i="22" s="1"/>
  <c r="BB506" i="22" s="1"/>
  <c r="BC506" i="22" s="1"/>
  <c r="BD506" i="22" s="1"/>
  <c r="BE506" i="22" s="1"/>
  <c r="AI504" i="22"/>
  <c r="AJ504" i="22" s="1"/>
  <c r="AK504" i="22" s="1"/>
  <c r="AL504" i="22" s="1"/>
  <c r="AM504" i="22" s="1"/>
  <c r="AN504" i="22" s="1"/>
  <c r="AO504" i="22" s="1"/>
  <c r="AP504" i="22" s="1"/>
  <c r="AQ504" i="22" s="1"/>
  <c r="AR504" i="22" s="1"/>
  <c r="AS504" i="22" s="1"/>
  <c r="AT504" i="22" s="1"/>
  <c r="AU504" i="22" s="1"/>
  <c r="AV504" i="22" s="1"/>
  <c r="AW504" i="22" s="1"/>
  <c r="AX504" i="22" s="1"/>
  <c r="AY504" i="22" s="1"/>
  <c r="AZ504" i="22" s="1"/>
  <c r="BA504" i="22" s="1"/>
  <c r="BB504" i="22" s="1"/>
  <c r="BC504" i="22" s="1"/>
  <c r="BD504" i="22" s="1"/>
  <c r="BE504" i="22" s="1"/>
  <c r="AI502" i="22"/>
  <c r="AJ502" i="22" s="1"/>
  <c r="AK502" i="22" s="1"/>
  <c r="AL502" i="22" s="1"/>
  <c r="AM502" i="22" s="1"/>
  <c r="AN502" i="22" s="1"/>
  <c r="AO502" i="22" s="1"/>
  <c r="AP502" i="22" s="1"/>
  <c r="AQ502" i="22" s="1"/>
  <c r="AR502" i="22" s="1"/>
  <c r="AS502" i="22" s="1"/>
  <c r="AT502" i="22" s="1"/>
  <c r="AU502" i="22" s="1"/>
  <c r="AV502" i="22" s="1"/>
  <c r="AW502" i="22" s="1"/>
  <c r="AX502" i="22" s="1"/>
  <c r="AY502" i="22" s="1"/>
  <c r="AZ502" i="22" s="1"/>
  <c r="BA502" i="22" s="1"/>
  <c r="BB502" i="22" s="1"/>
  <c r="BC502" i="22" s="1"/>
  <c r="BD502" i="22" s="1"/>
  <c r="BE502" i="22" s="1"/>
  <c r="AI500" i="22"/>
  <c r="AJ500" i="22" s="1"/>
  <c r="AK500" i="22" s="1"/>
  <c r="AL500" i="22" s="1"/>
  <c r="AM500" i="22" s="1"/>
  <c r="AN500" i="22" s="1"/>
  <c r="AO500" i="22" s="1"/>
  <c r="AP500" i="22" s="1"/>
  <c r="AQ500" i="22" s="1"/>
  <c r="AR500" i="22" s="1"/>
  <c r="AS500" i="22" s="1"/>
  <c r="AT500" i="22" s="1"/>
  <c r="AU500" i="22" s="1"/>
  <c r="AV500" i="22" s="1"/>
  <c r="AW500" i="22" s="1"/>
  <c r="AX500" i="22" s="1"/>
  <c r="AY500" i="22" s="1"/>
  <c r="AZ500" i="22" s="1"/>
  <c r="BA500" i="22" s="1"/>
  <c r="BB500" i="22" s="1"/>
  <c r="BC500" i="22" s="1"/>
  <c r="BD500" i="22" s="1"/>
  <c r="BE500" i="22" s="1"/>
  <c r="AI498" i="22"/>
  <c r="AJ498" i="22" s="1"/>
  <c r="AK498" i="22" s="1"/>
  <c r="AL498" i="22" s="1"/>
  <c r="AM498" i="22" s="1"/>
  <c r="AN498" i="22" s="1"/>
  <c r="AO498" i="22" s="1"/>
  <c r="AP498" i="22" s="1"/>
  <c r="AQ498" i="22" s="1"/>
  <c r="AR498" i="22" s="1"/>
  <c r="AS498" i="22" s="1"/>
  <c r="AT498" i="22" s="1"/>
  <c r="AU498" i="22" s="1"/>
  <c r="AV498" i="22" s="1"/>
  <c r="AW498" i="22" s="1"/>
  <c r="AX498" i="22" s="1"/>
  <c r="AY498" i="22" s="1"/>
  <c r="AZ498" i="22" s="1"/>
  <c r="BA498" i="22" s="1"/>
  <c r="BB498" i="22" s="1"/>
  <c r="BC498" i="22" s="1"/>
  <c r="BD498" i="22" s="1"/>
  <c r="BE498" i="22" s="1"/>
  <c r="AI496" i="22"/>
  <c r="AJ496" i="22" s="1"/>
  <c r="AK496" i="22" s="1"/>
  <c r="AL496" i="22" s="1"/>
  <c r="AM496" i="22" s="1"/>
  <c r="AN496" i="22" s="1"/>
  <c r="AO496" i="22" s="1"/>
  <c r="AP496" i="22" s="1"/>
  <c r="AQ496" i="22" s="1"/>
  <c r="AR496" i="22" s="1"/>
  <c r="AS496" i="22" s="1"/>
  <c r="AT496" i="22" s="1"/>
  <c r="AU496" i="22" s="1"/>
  <c r="AV496" i="22" s="1"/>
  <c r="AW496" i="22" s="1"/>
  <c r="AX496" i="22" s="1"/>
  <c r="AY496" i="22" s="1"/>
  <c r="AZ496" i="22" s="1"/>
  <c r="BA496" i="22" s="1"/>
  <c r="BB496" i="22" s="1"/>
  <c r="BC496" i="22" s="1"/>
  <c r="BD496" i="22" s="1"/>
  <c r="BE496" i="22" s="1"/>
  <c r="AI494" i="22"/>
  <c r="AJ494" i="22" s="1"/>
  <c r="AK494" i="22" s="1"/>
  <c r="AL494" i="22" s="1"/>
  <c r="AM494" i="22" s="1"/>
  <c r="AN494" i="22" s="1"/>
  <c r="AO494" i="22" s="1"/>
  <c r="AP494" i="22" s="1"/>
  <c r="AQ494" i="22" s="1"/>
  <c r="AR494" i="22" s="1"/>
  <c r="AS494" i="22" s="1"/>
  <c r="AT494" i="22" s="1"/>
  <c r="AU494" i="22" s="1"/>
  <c r="AV494" i="22" s="1"/>
  <c r="AW494" i="22" s="1"/>
  <c r="AX494" i="22" s="1"/>
  <c r="AY494" i="22" s="1"/>
  <c r="AZ494" i="22" s="1"/>
  <c r="BA494" i="22" s="1"/>
  <c r="BB494" i="22" s="1"/>
  <c r="BC494" i="22" s="1"/>
  <c r="BD494" i="22" s="1"/>
  <c r="BE494" i="22" s="1"/>
  <c r="AI492" i="22"/>
  <c r="AJ492" i="22" s="1"/>
  <c r="AK492" i="22" s="1"/>
  <c r="AL492" i="22" s="1"/>
  <c r="AM492" i="22" s="1"/>
  <c r="AN492" i="22" s="1"/>
  <c r="AO492" i="22" s="1"/>
  <c r="AP492" i="22" s="1"/>
  <c r="AQ492" i="22" s="1"/>
  <c r="AR492" i="22" s="1"/>
  <c r="AS492" i="22" s="1"/>
  <c r="AT492" i="22" s="1"/>
  <c r="AU492" i="22" s="1"/>
  <c r="AV492" i="22" s="1"/>
  <c r="AW492" i="22" s="1"/>
  <c r="AX492" i="22" s="1"/>
  <c r="AY492" i="22" s="1"/>
  <c r="AZ492" i="22" s="1"/>
  <c r="BA492" i="22" s="1"/>
  <c r="BB492" i="22" s="1"/>
  <c r="BC492" i="22" s="1"/>
  <c r="BD492" i="22" s="1"/>
  <c r="BE492" i="22" s="1"/>
  <c r="AI490" i="22"/>
  <c r="AJ490" i="22" s="1"/>
  <c r="AK490" i="22" s="1"/>
  <c r="AL490" i="22" s="1"/>
  <c r="AM490" i="22" s="1"/>
  <c r="AN490" i="22" s="1"/>
  <c r="AO490" i="22" s="1"/>
  <c r="AP490" i="22" s="1"/>
  <c r="AQ490" i="22" s="1"/>
  <c r="AR490" i="22" s="1"/>
  <c r="AS490" i="22" s="1"/>
  <c r="AT490" i="22" s="1"/>
  <c r="AU490" i="22" s="1"/>
  <c r="AV490" i="22" s="1"/>
  <c r="AW490" i="22" s="1"/>
  <c r="AX490" i="22" s="1"/>
  <c r="AY490" i="22" s="1"/>
  <c r="AZ490" i="22" s="1"/>
  <c r="BA490" i="22" s="1"/>
  <c r="BB490" i="22" s="1"/>
  <c r="BC490" i="22" s="1"/>
  <c r="BD490" i="22" s="1"/>
  <c r="BE490" i="22" s="1"/>
  <c r="AI488" i="22"/>
  <c r="AJ488" i="22" s="1"/>
  <c r="AK488" i="22" s="1"/>
  <c r="AL488" i="22" s="1"/>
  <c r="AM488" i="22" s="1"/>
  <c r="AN488" i="22" s="1"/>
  <c r="AO488" i="22" s="1"/>
  <c r="AP488" i="22" s="1"/>
  <c r="AQ488" i="22" s="1"/>
  <c r="AR488" i="22" s="1"/>
  <c r="AS488" i="22" s="1"/>
  <c r="AT488" i="22" s="1"/>
  <c r="AU488" i="22" s="1"/>
  <c r="AV488" i="22" s="1"/>
  <c r="AW488" i="22" s="1"/>
  <c r="AX488" i="22" s="1"/>
  <c r="AY488" i="22" s="1"/>
  <c r="AZ488" i="22" s="1"/>
  <c r="BA488" i="22" s="1"/>
  <c r="BB488" i="22" s="1"/>
  <c r="BC488" i="22" s="1"/>
  <c r="BD488" i="22" s="1"/>
  <c r="BE488" i="22" s="1"/>
  <c r="AI486" i="22"/>
  <c r="AJ486" i="22" s="1"/>
  <c r="AK486" i="22" s="1"/>
  <c r="AL486" i="22" s="1"/>
  <c r="AM486" i="22" s="1"/>
  <c r="AN486" i="22" s="1"/>
  <c r="AO486" i="22" s="1"/>
  <c r="AP486" i="22" s="1"/>
  <c r="AQ486" i="22" s="1"/>
  <c r="AR486" i="22" s="1"/>
  <c r="AS486" i="22" s="1"/>
  <c r="AT486" i="22" s="1"/>
  <c r="AU486" i="22" s="1"/>
  <c r="AV486" i="22" s="1"/>
  <c r="AW486" i="22" s="1"/>
  <c r="AX486" i="22" s="1"/>
  <c r="AY486" i="22" s="1"/>
  <c r="AZ486" i="22" s="1"/>
  <c r="BA486" i="22" s="1"/>
  <c r="BB486" i="22" s="1"/>
  <c r="BC486" i="22" s="1"/>
  <c r="BD486" i="22" s="1"/>
  <c r="BE486" i="22" s="1"/>
  <c r="AI484" i="22"/>
  <c r="AJ484" i="22" s="1"/>
  <c r="AK484" i="22" s="1"/>
  <c r="AL484" i="22" s="1"/>
  <c r="AM484" i="22" s="1"/>
  <c r="AN484" i="22" s="1"/>
  <c r="AO484" i="22" s="1"/>
  <c r="AP484" i="22" s="1"/>
  <c r="AQ484" i="22" s="1"/>
  <c r="AR484" i="22" s="1"/>
  <c r="AS484" i="22" s="1"/>
  <c r="AT484" i="22" s="1"/>
  <c r="AU484" i="22" s="1"/>
  <c r="AV484" i="22" s="1"/>
  <c r="AW484" i="22" s="1"/>
  <c r="AX484" i="22" s="1"/>
  <c r="AY484" i="22" s="1"/>
  <c r="AZ484" i="22" s="1"/>
  <c r="BA484" i="22" s="1"/>
  <c r="BB484" i="22" s="1"/>
  <c r="BC484" i="22" s="1"/>
  <c r="BD484" i="22" s="1"/>
  <c r="BE484" i="22" s="1"/>
  <c r="AI482" i="22"/>
  <c r="AJ482" i="22" s="1"/>
  <c r="AK482" i="22" s="1"/>
  <c r="AL482" i="22" s="1"/>
  <c r="AM482" i="22" s="1"/>
  <c r="AN482" i="22" s="1"/>
  <c r="AO482" i="22" s="1"/>
  <c r="AP482" i="22" s="1"/>
  <c r="AQ482" i="22" s="1"/>
  <c r="AR482" i="22" s="1"/>
  <c r="AS482" i="22" s="1"/>
  <c r="AT482" i="22" s="1"/>
  <c r="AU482" i="22" s="1"/>
  <c r="AV482" i="22" s="1"/>
  <c r="AW482" i="22" s="1"/>
  <c r="AX482" i="22" s="1"/>
  <c r="AY482" i="22" s="1"/>
  <c r="AZ482" i="22" s="1"/>
  <c r="BA482" i="22" s="1"/>
  <c r="BB482" i="22" s="1"/>
  <c r="BC482" i="22" s="1"/>
  <c r="BD482" i="22" s="1"/>
  <c r="BE482" i="22" s="1"/>
  <c r="AI480" i="22"/>
  <c r="AJ480" i="22" s="1"/>
  <c r="AK480" i="22" s="1"/>
  <c r="AL480" i="22" s="1"/>
  <c r="AM480" i="22" s="1"/>
  <c r="AN480" i="22" s="1"/>
  <c r="AO480" i="22" s="1"/>
  <c r="AP480" i="22" s="1"/>
  <c r="AQ480" i="22" s="1"/>
  <c r="AR480" i="22" s="1"/>
  <c r="AS480" i="22" s="1"/>
  <c r="AT480" i="22" s="1"/>
  <c r="AU480" i="22" s="1"/>
  <c r="AV480" i="22" s="1"/>
  <c r="AW480" i="22" s="1"/>
  <c r="AX480" i="22" s="1"/>
  <c r="AY480" i="22" s="1"/>
  <c r="AZ480" i="22" s="1"/>
  <c r="BA480" i="22" s="1"/>
  <c r="BB480" i="22" s="1"/>
  <c r="BC480" i="22" s="1"/>
  <c r="BD480" i="22" s="1"/>
  <c r="BE480" i="22" s="1"/>
  <c r="AI478" i="22"/>
  <c r="AJ478" i="22" s="1"/>
  <c r="AK478" i="22" s="1"/>
  <c r="AL478" i="22" s="1"/>
  <c r="AM478" i="22" s="1"/>
  <c r="AN478" i="22" s="1"/>
  <c r="AO478" i="22" s="1"/>
  <c r="AP478" i="22" s="1"/>
  <c r="AQ478" i="22" s="1"/>
  <c r="AR478" i="22" s="1"/>
  <c r="AS478" i="22" s="1"/>
  <c r="AT478" i="22" s="1"/>
  <c r="AU478" i="22" s="1"/>
  <c r="AV478" i="22" s="1"/>
  <c r="AW478" i="22" s="1"/>
  <c r="AX478" i="22" s="1"/>
  <c r="AY478" i="22" s="1"/>
  <c r="AZ478" i="22" s="1"/>
  <c r="BA478" i="22" s="1"/>
  <c r="BB478" i="22" s="1"/>
  <c r="BC478" i="22" s="1"/>
  <c r="BD478" i="22" s="1"/>
  <c r="BE478" i="22" s="1"/>
  <c r="AI476" i="22"/>
  <c r="AJ476" i="22" s="1"/>
  <c r="AK476" i="22" s="1"/>
  <c r="AL476" i="22" s="1"/>
  <c r="AM476" i="22" s="1"/>
  <c r="AN476" i="22" s="1"/>
  <c r="AO476" i="22" s="1"/>
  <c r="AP476" i="22" s="1"/>
  <c r="AQ476" i="22" s="1"/>
  <c r="AR476" i="22" s="1"/>
  <c r="AS476" i="22" s="1"/>
  <c r="AT476" i="22" s="1"/>
  <c r="AU476" i="22" s="1"/>
  <c r="AV476" i="22" s="1"/>
  <c r="AW476" i="22" s="1"/>
  <c r="AX476" i="22" s="1"/>
  <c r="AY476" i="22" s="1"/>
  <c r="AZ476" i="22" s="1"/>
  <c r="BA476" i="22" s="1"/>
  <c r="BB476" i="22" s="1"/>
  <c r="BC476" i="22" s="1"/>
  <c r="BD476" i="22" s="1"/>
  <c r="BE476" i="22" s="1"/>
  <c r="AI474" i="22"/>
  <c r="AJ474" i="22" s="1"/>
  <c r="AK474" i="22" s="1"/>
  <c r="AL474" i="22" s="1"/>
  <c r="AM474" i="22" s="1"/>
  <c r="AN474" i="22" s="1"/>
  <c r="AO474" i="22" s="1"/>
  <c r="AP474" i="22" s="1"/>
  <c r="AQ474" i="22" s="1"/>
  <c r="AR474" i="22" s="1"/>
  <c r="AS474" i="22" s="1"/>
  <c r="AT474" i="22" s="1"/>
  <c r="AU474" i="22" s="1"/>
  <c r="AV474" i="22" s="1"/>
  <c r="AW474" i="22" s="1"/>
  <c r="AX474" i="22" s="1"/>
  <c r="AY474" i="22" s="1"/>
  <c r="AZ474" i="22" s="1"/>
  <c r="BA474" i="22" s="1"/>
  <c r="BB474" i="22" s="1"/>
  <c r="BC474" i="22" s="1"/>
  <c r="BD474" i="22" s="1"/>
  <c r="BE474" i="22" s="1"/>
  <c r="AI472" i="22"/>
  <c r="AJ472" i="22" s="1"/>
  <c r="AK472" i="22" s="1"/>
  <c r="AL472" i="22" s="1"/>
  <c r="AM472" i="22" s="1"/>
  <c r="AN472" i="22" s="1"/>
  <c r="AO472" i="22" s="1"/>
  <c r="AP472" i="22" s="1"/>
  <c r="AQ472" i="22" s="1"/>
  <c r="AR472" i="22" s="1"/>
  <c r="AS472" i="22" s="1"/>
  <c r="AT472" i="22" s="1"/>
  <c r="AU472" i="22" s="1"/>
  <c r="AV472" i="22" s="1"/>
  <c r="AW472" i="22" s="1"/>
  <c r="AX472" i="22" s="1"/>
  <c r="AY472" i="22" s="1"/>
  <c r="AZ472" i="22" s="1"/>
  <c r="BA472" i="22" s="1"/>
  <c r="BB472" i="22" s="1"/>
  <c r="BC472" i="22" s="1"/>
  <c r="BD472" i="22" s="1"/>
  <c r="BE472" i="22" s="1"/>
  <c r="AI470" i="22"/>
  <c r="AJ470" i="22" s="1"/>
  <c r="AK470" i="22" s="1"/>
  <c r="AL470" i="22" s="1"/>
  <c r="AM470" i="22" s="1"/>
  <c r="AN470" i="22" s="1"/>
  <c r="AO470" i="22" s="1"/>
  <c r="AP470" i="22" s="1"/>
  <c r="AQ470" i="22" s="1"/>
  <c r="AR470" i="22" s="1"/>
  <c r="AS470" i="22" s="1"/>
  <c r="AT470" i="22" s="1"/>
  <c r="AU470" i="22" s="1"/>
  <c r="AV470" i="22" s="1"/>
  <c r="AW470" i="22" s="1"/>
  <c r="AX470" i="22" s="1"/>
  <c r="AY470" i="22" s="1"/>
  <c r="AZ470" i="22" s="1"/>
  <c r="BA470" i="22" s="1"/>
  <c r="BB470" i="22" s="1"/>
  <c r="BC470" i="22" s="1"/>
  <c r="BD470" i="22" s="1"/>
  <c r="BE470" i="22" s="1"/>
  <c r="AI468" i="22"/>
  <c r="AJ468" i="22" s="1"/>
  <c r="AK468" i="22" s="1"/>
  <c r="AL468" i="22" s="1"/>
  <c r="AM468" i="22" s="1"/>
  <c r="AN468" i="22" s="1"/>
  <c r="AO468" i="22" s="1"/>
  <c r="AP468" i="22" s="1"/>
  <c r="AQ468" i="22" s="1"/>
  <c r="AR468" i="22" s="1"/>
  <c r="AS468" i="22" s="1"/>
  <c r="AT468" i="22" s="1"/>
  <c r="AU468" i="22" s="1"/>
  <c r="AV468" i="22" s="1"/>
  <c r="AW468" i="22" s="1"/>
  <c r="AX468" i="22" s="1"/>
  <c r="AY468" i="22" s="1"/>
  <c r="AZ468" i="22" s="1"/>
  <c r="BA468" i="22" s="1"/>
  <c r="BB468" i="22" s="1"/>
  <c r="BC468" i="22" s="1"/>
  <c r="BD468" i="22" s="1"/>
  <c r="BE468" i="22" s="1"/>
  <c r="AI466" i="22"/>
  <c r="AJ466" i="22" s="1"/>
  <c r="AK466" i="22" s="1"/>
  <c r="AL466" i="22" s="1"/>
  <c r="AM466" i="22" s="1"/>
  <c r="AN466" i="22" s="1"/>
  <c r="AO466" i="22" s="1"/>
  <c r="AP466" i="22" s="1"/>
  <c r="AQ466" i="22" s="1"/>
  <c r="AR466" i="22" s="1"/>
  <c r="AS466" i="22" s="1"/>
  <c r="AT466" i="22" s="1"/>
  <c r="AU466" i="22" s="1"/>
  <c r="AV466" i="22" s="1"/>
  <c r="AW466" i="22" s="1"/>
  <c r="AX466" i="22" s="1"/>
  <c r="AY466" i="22" s="1"/>
  <c r="AZ466" i="22" s="1"/>
  <c r="BA466" i="22" s="1"/>
  <c r="BB466" i="22" s="1"/>
  <c r="BC466" i="22" s="1"/>
  <c r="BD466" i="22" s="1"/>
  <c r="BE466" i="22" s="1"/>
  <c r="AI464" i="22"/>
  <c r="AJ464" i="22" s="1"/>
  <c r="AK464" i="22" s="1"/>
  <c r="AL464" i="22" s="1"/>
  <c r="AM464" i="22" s="1"/>
  <c r="AN464" i="22" s="1"/>
  <c r="AO464" i="22" s="1"/>
  <c r="AP464" i="22" s="1"/>
  <c r="AQ464" i="22" s="1"/>
  <c r="AR464" i="22" s="1"/>
  <c r="AS464" i="22" s="1"/>
  <c r="AT464" i="22" s="1"/>
  <c r="AU464" i="22" s="1"/>
  <c r="AV464" i="22" s="1"/>
  <c r="AW464" i="22" s="1"/>
  <c r="AX464" i="22" s="1"/>
  <c r="AY464" i="22" s="1"/>
  <c r="AZ464" i="22" s="1"/>
  <c r="BA464" i="22" s="1"/>
  <c r="BB464" i="22" s="1"/>
  <c r="BC464" i="22" s="1"/>
  <c r="BD464" i="22" s="1"/>
  <c r="BE464" i="22" s="1"/>
  <c r="AI462" i="22"/>
  <c r="AJ462" i="22" s="1"/>
  <c r="AK462" i="22" s="1"/>
  <c r="AL462" i="22" s="1"/>
  <c r="AM462" i="22" s="1"/>
  <c r="AN462" i="22" s="1"/>
  <c r="AO462" i="22" s="1"/>
  <c r="AP462" i="22" s="1"/>
  <c r="AQ462" i="22" s="1"/>
  <c r="AR462" i="22" s="1"/>
  <c r="AS462" i="22" s="1"/>
  <c r="AT462" i="22" s="1"/>
  <c r="AU462" i="22" s="1"/>
  <c r="AV462" i="22" s="1"/>
  <c r="AW462" i="22" s="1"/>
  <c r="AX462" i="22" s="1"/>
  <c r="AY462" i="22" s="1"/>
  <c r="AZ462" i="22" s="1"/>
  <c r="BA462" i="22" s="1"/>
  <c r="BB462" i="22" s="1"/>
  <c r="BC462" i="22" s="1"/>
  <c r="BD462" i="22" s="1"/>
  <c r="BE462" i="22" s="1"/>
  <c r="AI460" i="22"/>
  <c r="AJ460" i="22" s="1"/>
  <c r="AK460" i="22" s="1"/>
  <c r="AL460" i="22" s="1"/>
  <c r="AM460" i="22" s="1"/>
  <c r="AN460" i="22" s="1"/>
  <c r="AO460" i="22" s="1"/>
  <c r="AP460" i="22" s="1"/>
  <c r="AQ460" i="22" s="1"/>
  <c r="AR460" i="22" s="1"/>
  <c r="AS460" i="22" s="1"/>
  <c r="AT460" i="22" s="1"/>
  <c r="AU460" i="22" s="1"/>
  <c r="AV460" i="22" s="1"/>
  <c r="AW460" i="22" s="1"/>
  <c r="AX460" i="22" s="1"/>
  <c r="AY460" i="22" s="1"/>
  <c r="AZ460" i="22" s="1"/>
  <c r="BA460" i="22" s="1"/>
  <c r="BB460" i="22" s="1"/>
  <c r="BC460" i="22" s="1"/>
  <c r="BD460" i="22" s="1"/>
  <c r="BE460" i="22" s="1"/>
  <c r="AI458" i="22"/>
  <c r="AJ458" i="22" s="1"/>
  <c r="AK458" i="22" s="1"/>
  <c r="AL458" i="22" s="1"/>
  <c r="AM458" i="22" s="1"/>
  <c r="AN458" i="22" s="1"/>
  <c r="AO458" i="22" s="1"/>
  <c r="AP458" i="22" s="1"/>
  <c r="AQ458" i="22" s="1"/>
  <c r="AR458" i="22" s="1"/>
  <c r="AS458" i="22" s="1"/>
  <c r="AT458" i="22" s="1"/>
  <c r="AU458" i="22" s="1"/>
  <c r="AV458" i="22" s="1"/>
  <c r="AW458" i="22" s="1"/>
  <c r="AX458" i="22" s="1"/>
  <c r="AY458" i="22" s="1"/>
  <c r="AZ458" i="22" s="1"/>
  <c r="BA458" i="22" s="1"/>
  <c r="BB458" i="22" s="1"/>
  <c r="BC458" i="22" s="1"/>
  <c r="BD458" i="22" s="1"/>
  <c r="BE458" i="22" s="1"/>
  <c r="AI456" i="22"/>
  <c r="AJ456" i="22" s="1"/>
  <c r="AK456" i="22" s="1"/>
  <c r="AL456" i="22" s="1"/>
  <c r="AM456" i="22" s="1"/>
  <c r="AN456" i="22" s="1"/>
  <c r="AO456" i="22" s="1"/>
  <c r="AP456" i="22" s="1"/>
  <c r="AQ456" i="22" s="1"/>
  <c r="AR456" i="22" s="1"/>
  <c r="AS456" i="22" s="1"/>
  <c r="AT456" i="22" s="1"/>
  <c r="AU456" i="22" s="1"/>
  <c r="AV456" i="22" s="1"/>
  <c r="AW456" i="22" s="1"/>
  <c r="AX456" i="22" s="1"/>
  <c r="AY456" i="22" s="1"/>
  <c r="AZ456" i="22" s="1"/>
  <c r="BA456" i="22" s="1"/>
  <c r="BB456" i="22" s="1"/>
  <c r="BC456" i="22" s="1"/>
  <c r="BD456" i="22" s="1"/>
  <c r="BE456" i="22" s="1"/>
  <c r="AI454" i="22"/>
  <c r="AJ454" i="22" s="1"/>
  <c r="AK454" i="22" s="1"/>
  <c r="AL454" i="22" s="1"/>
  <c r="AM454" i="22" s="1"/>
  <c r="AN454" i="22" s="1"/>
  <c r="AO454" i="22" s="1"/>
  <c r="AP454" i="22" s="1"/>
  <c r="AQ454" i="22" s="1"/>
  <c r="AR454" i="22" s="1"/>
  <c r="AS454" i="22" s="1"/>
  <c r="AT454" i="22" s="1"/>
  <c r="AU454" i="22" s="1"/>
  <c r="AV454" i="22" s="1"/>
  <c r="AW454" i="22" s="1"/>
  <c r="AX454" i="22" s="1"/>
  <c r="AY454" i="22" s="1"/>
  <c r="AZ454" i="22" s="1"/>
  <c r="BA454" i="22" s="1"/>
  <c r="BB454" i="22" s="1"/>
  <c r="BC454" i="22" s="1"/>
  <c r="BD454" i="22" s="1"/>
  <c r="BE454" i="22" s="1"/>
  <c r="AI452" i="22"/>
  <c r="AJ452" i="22" s="1"/>
  <c r="AK452" i="22" s="1"/>
  <c r="AL452" i="22" s="1"/>
  <c r="AM452" i="22" s="1"/>
  <c r="AN452" i="22" s="1"/>
  <c r="AO452" i="22" s="1"/>
  <c r="AP452" i="22" s="1"/>
  <c r="AQ452" i="22" s="1"/>
  <c r="AR452" i="22" s="1"/>
  <c r="AS452" i="22" s="1"/>
  <c r="AT452" i="22" s="1"/>
  <c r="AU452" i="22" s="1"/>
  <c r="AV452" i="22" s="1"/>
  <c r="AW452" i="22" s="1"/>
  <c r="AX452" i="22" s="1"/>
  <c r="AY452" i="22" s="1"/>
  <c r="AZ452" i="22" s="1"/>
  <c r="BA452" i="22" s="1"/>
  <c r="BB452" i="22" s="1"/>
  <c r="BC452" i="22" s="1"/>
  <c r="BD452" i="22" s="1"/>
  <c r="BE452" i="22" s="1"/>
  <c r="AI450" i="22"/>
  <c r="AJ450" i="22" s="1"/>
  <c r="AK450" i="22" s="1"/>
  <c r="AL450" i="22" s="1"/>
  <c r="AM450" i="22" s="1"/>
  <c r="AN450" i="22" s="1"/>
  <c r="AO450" i="22" s="1"/>
  <c r="AP450" i="22" s="1"/>
  <c r="AQ450" i="22" s="1"/>
  <c r="AR450" i="22" s="1"/>
  <c r="AS450" i="22" s="1"/>
  <c r="AT450" i="22" s="1"/>
  <c r="AU450" i="22" s="1"/>
  <c r="AV450" i="22" s="1"/>
  <c r="AW450" i="22" s="1"/>
  <c r="AX450" i="22" s="1"/>
  <c r="AY450" i="22" s="1"/>
  <c r="AZ450" i="22" s="1"/>
  <c r="BA450" i="22" s="1"/>
  <c r="BB450" i="22" s="1"/>
  <c r="BC450" i="22" s="1"/>
  <c r="BD450" i="22" s="1"/>
  <c r="BE450" i="22" s="1"/>
  <c r="AI448" i="22"/>
  <c r="AJ448" i="22" s="1"/>
  <c r="AK448" i="22" s="1"/>
  <c r="AL448" i="22" s="1"/>
  <c r="AM448" i="22" s="1"/>
  <c r="AN448" i="22" s="1"/>
  <c r="AO448" i="22" s="1"/>
  <c r="AP448" i="22" s="1"/>
  <c r="AQ448" i="22" s="1"/>
  <c r="AR448" i="22" s="1"/>
  <c r="AS448" i="22" s="1"/>
  <c r="AT448" i="22" s="1"/>
  <c r="AU448" i="22" s="1"/>
  <c r="AV448" i="22" s="1"/>
  <c r="AW448" i="22" s="1"/>
  <c r="AX448" i="22" s="1"/>
  <c r="AY448" i="22" s="1"/>
  <c r="AZ448" i="22" s="1"/>
  <c r="BA448" i="22" s="1"/>
  <c r="BB448" i="22" s="1"/>
  <c r="BC448" i="22" s="1"/>
  <c r="BD448" i="22" s="1"/>
  <c r="BE448" i="22" s="1"/>
  <c r="AI446" i="22"/>
  <c r="AJ446" i="22" s="1"/>
  <c r="AK446" i="22" s="1"/>
  <c r="AL446" i="22" s="1"/>
  <c r="AM446" i="22" s="1"/>
  <c r="AN446" i="22" s="1"/>
  <c r="AO446" i="22" s="1"/>
  <c r="AP446" i="22" s="1"/>
  <c r="AQ446" i="22" s="1"/>
  <c r="AR446" i="22" s="1"/>
  <c r="AS446" i="22" s="1"/>
  <c r="AT446" i="22" s="1"/>
  <c r="AU446" i="22" s="1"/>
  <c r="AV446" i="22" s="1"/>
  <c r="AW446" i="22" s="1"/>
  <c r="AX446" i="22" s="1"/>
  <c r="AY446" i="22" s="1"/>
  <c r="AZ446" i="22" s="1"/>
  <c r="BA446" i="22" s="1"/>
  <c r="BB446" i="22" s="1"/>
  <c r="BC446" i="22" s="1"/>
  <c r="BD446" i="22" s="1"/>
  <c r="BE446" i="22" s="1"/>
  <c r="AI444" i="22"/>
  <c r="AJ444" i="22" s="1"/>
  <c r="AK444" i="22" s="1"/>
  <c r="AL444" i="22" s="1"/>
  <c r="AM444" i="22" s="1"/>
  <c r="AN444" i="22" s="1"/>
  <c r="AO444" i="22" s="1"/>
  <c r="AP444" i="22" s="1"/>
  <c r="AQ444" i="22" s="1"/>
  <c r="AR444" i="22" s="1"/>
  <c r="AS444" i="22" s="1"/>
  <c r="AT444" i="22" s="1"/>
  <c r="AU444" i="22" s="1"/>
  <c r="AV444" i="22" s="1"/>
  <c r="AW444" i="22" s="1"/>
  <c r="AX444" i="22" s="1"/>
  <c r="AY444" i="22" s="1"/>
  <c r="AZ444" i="22" s="1"/>
  <c r="BA444" i="22" s="1"/>
  <c r="BB444" i="22" s="1"/>
  <c r="BC444" i="22" s="1"/>
  <c r="BD444" i="22" s="1"/>
  <c r="BE444" i="22" s="1"/>
  <c r="AI706" i="22"/>
  <c r="AJ706" i="22" s="1"/>
  <c r="AK706" i="22" s="1"/>
  <c r="AL706" i="22" s="1"/>
  <c r="AM706" i="22" s="1"/>
  <c r="AN706" i="22" s="1"/>
  <c r="AO706" i="22" s="1"/>
  <c r="AP706" i="22" s="1"/>
  <c r="AQ706" i="22" s="1"/>
  <c r="AR706" i="22" s="1"/>
  <c r="AS706" i="22" s="1"/>
  <c r="AT706" i="22" s="1"/>
  <c r="AU706" i="22" s="1"/>
  <c r="AV706" i="22" s="1"/>
  <c r="AW706" i="22" s="1"/>
  <c r="AX706" i="22" s="1"/>
  <c r="AY706" i="22" s="1"/>
  <c r="AZ706" i="22" s="1"/>
  <c r="BA706" i="22" s="1"/>
  <c r="BB706" i="22" s="1"/>
  <c r="BC706" i="22" s="1"/>
  <c r="BD706" i="22" s="1"/>
  <c r="BE706" i="22" s="1"/>
  <c r="AI696" i="22"/>
  <c r="AJ696" i="22" s="1"/>
  <c r="AK696" i="22" s="1"/>
  <c r="AL696" i="22" s="1"/>
  <c r="AM696" i="22" s="1"/>
  <c r="AN696" i="22" s="1"/>
  <c r="AO696" i="22" s="1"/>
  <c r="AP696" i="22" s="1"/>
  <c r="AQ696" i="22" s="1"/>
  <c r="AR696" i="22" s="1"/>
  <c r="AS696" i="22" s="1"/>
  <c r="AT696" i="22" s="1"/>
  <c r="AU696" i="22" s="1"/>
  <c r="AV696" i="22" s="1"/>
  <c r="AW696" i="22" s="1"/>
  <c r="AX696" i="22" s="1"/>
  <c r="AY696" i="22" s="1"/>
  <c r="AZ696" i="22" s="1"/>
  <c r="BA696" i="22" s="1"/>
  <c r="BB696" i="22" s="1"/>
  <c r="BC696" i="22" s="1"/>
  <c r="BD696" i="22" s="1"/>
  <c r="BE696" i="22" s="1"/>
  <c r="O660" i="22"/>
  <c r="P660" i="22" s="1"/>
  <c r="Q660" i="22" s="1"/>
  <c r="R660" i="22" s="1"/>
  <c r="S660" i="22" s="1"/>
  <c r="T660" i="22" s="1"/>
  <c r="U660" i="22" s="1"/>
  <c r="V660" i="22" s="1"/>
  <c r="W660" i="22" s="1"/>
  <c r="X660" i="22" s="1"/>
  <c r="Y660" i="22" s="1"/>
  <c r="Z660" i="22" s="1"/>
  <c r="AA660" i="22" s="1"/>
  <c r="AB660" i="22" s="1"/>
  <c r="AC660" i="22" s="1"/>
  <c r="AD660" i="22" s="1"/>
  <c r="AE660" i="22" s="1"/>
  <c r="AF660" i="22" s="1"/>
  <c r="AG660" i="22" s="1"/>
  <c r="AI648" i="22"/>
  <c r="AJ648" i="22" s="1"/>
  <c r="AK648" i="22" s="1"/>
  <c r="AL648" i="22" s="1"/>
  <c r="AM648" i="22" s="1"/>
  <c r="AN648" i="22" s="1"/>
  <c r="AO648" i="22" s="1"/>
  <c r="AP648" i="22" s="1"/>
  <c r="AQ648" i="22" s="1"/>
  <c r="AR648" i="22" s="1"/>
  <c r="AS648" i="22" s="1"/>
  <c r="AT648" i="22" s="1"/>
  <c r="AU648" i="22" s="1"/>
  <c r="AV648" i="22" s="1"/>
  <c r="AW648" i="22" s="1"/>
  <c r="AX648" i="22" s="1"/>
  <c r="AY648" i="22" s="1"/>
  <c r="AZ648" i="22" s="1"/>
  <c r="BA648" i="22" s="1"/>
  <c r="BB648" i="22" s="1"/>
  <c r="BC648" i="22" s="1"/>
  <c r="BD648" i="22" s="1"/>
  <c r="BE648" i="22" s="1"/>
  <c r="O648" i="22"/>
  <c r="P648" i="22" s="1"/>
  <c r="Q648" i="22" s="1"/>
  <c r="R648" i="22" s="1"/>
  <c r="S648" i="22" s="1"/>
  <c r="T648" i="22" s="1"/>
  <c r="U648" i="22" s="1"/>
  <c r="V648" i="22" s="1"/>
  <c r="W648" i="22" s="1"/>
  <c r="X648" i="22" s="1"/>
  <c r="Y648" i="22" s="1"/>
  <c r="Z648" i="22" s="1"/>
  <c r="AA648" i="22" s="1"/>
  <c r="AB648" i="22" s="1"/>
  <c r="AC648" i="22" s="1"/>
  <c r="AD648" i="22" s="1"/>
  <c r="AE648" i="22" s="1"/>
  <c r="AF648" i="22" s="1"/>
  <c r="AG648" i="22" s="1"/>
  <c r="O644" i="22"/>
  <c r="P644" i="22" s="1"/>
  <c r="Q644" i="22" s="1"/>
  <c r="R644" i="22" s="1"/>
  <c r="S644" i="22" s="1"/>
  <c r="T644" i="22" s="1"/>
  <c r="U644" i="22" s="1"/>
  <c r="V644" i="22" s="1"/>
  <c r="W644" i="22" s="1"/>
  <c r="X644" i="22" s="1"/>
  <c r="Y644" i="22" s="1"/>
  <c r="Z644" i="22" s="1"/>
  <c r="AA644" i="22" s="1"/>
  <c r="AB644" i="22" s="1"/>
  <c r="AC644" i="22" s="1"/>
  <c r="AD644" i="22" s="1"/>
  <c r="AE644" i="22" s="1"/>
  <c r="AF644" i="22" s="1"/>
  <c r="AG644" i="22" s="1"/>
  <c r="O640" i="22"/>
  <c r="P640" i="22" s="1"/>
  <c r="Q640" i="22" s="1"/>
  <c r="R640" i="22" s="1"/>
  <c r="S640" i="22" s="1"/>
  <c r="T640" i="22" s="1"/>
  <c r="U640" i="22" s="1"/>
  <c r="V640" i="22" s="1"/>
  <c r="W640" i="22" s="1"/>
  <c r="X640" i="22" s="1"/>
  <c r="Y640" i="22" s="1"/>
  <c r="Z640" i="22" s="1"/>
  <c r="AA640" i="22" s="1"/>
  <c r="AB640" i="22" s="1"/>
  <c r="AC640" i="22" s="1"/>
  <c r="AD640" i="22" s="1"/>
  <c r="AE640" i="22" s="1"/>
  <c r="AF640" i="22" s="1"/>
  <c r="AG640" i="22" s="1"/>
  <c r="O623" i="22"/>
  <c r="P623" i="22" s="1"/>
  <c r="Q623" i="22" s="1"/>
  <c r="R623" i="22" s="1"/>
  <c r="S623" i="22" s="1"/>
  <c r="T623" i="22" s="1"/>
  <c r="U623" i="22" s="1"/>
  <c r="V623" i="22" s="1"/>
  <c r="W623" i="22" s="1"/>
  <c r="X623" i="22" s="1"/>
  <c r="Y623" i="22" s="1"/>
  <c r="Z623" i="22" s="1"/>
  <c r="AA623" i="22" s="1"/>
  <c r="AB623" i="22" s="1"/>
  <c r="AC623" i="22" s="1"/>
  <c r="AD623" i="22" s="1"/>
  <c r="AE623" i="22" s="1"/>
  <c r="AF623" i="22" s="1"/>
  <c r="AG623" i="22" s="1"/>
  <c r="O691" i="22"/>
  <c r="P691" i="22" s="1"/>
  <c r="Q691" i="22" s="1"/>
  <c r="R691" i="22" s="1"/>
  <c r="S691" i="22" s="1"/>
  <c r="T691" i="22" s="1"/>
  <c r="U691" i="22" s="1"/>
  <c r="V691" i="22" s="1"/>
  <c r="W691" i="22" s="1"/>
  <c r="X691" i="22" s="1"/>
  <c r="Y691" i="22" s="1"/>
  <c r="Z691" i="22" s="1"/>
  <c r="AA691" i="22" s="1"/>
  <c r="AB691" i="22" s="1"/>
  <c r="AC691" i="22" s="1"/>
  <c r="AD691" i="22" s="1"/>
  <c r="AE691" i="22" s="1"/>
  <c r="AF691" i="22" s="1"/>
  <c r="AG691" i="22" s="1"/>
  <c r="AI667" i="22"/>
  <c r="AJ667" i="22" s="1"/>
  <c r="AK667" i="22" s="1"/>
  <c r="AL667" i="22" s="1"/>
  <c r="AM667" i="22" s="1"/>
  <c r="AN667" i="22" s="1"/>
  <c r="AO667" i="22" s="1"/>
  <c r="AP667" i="22" s="1"/>
  <c r="AQ667" i="22" s="1"/>
  <c r="AR667" i="22" s="1"/>
  <c r="AS667" i="22" s="1"/>
  <c r="AT667" i="22" s="1"/>
  <c r="AU667" i="22" s="1"/>
  <c r="AV667" i="22" s="1"/>
  <c r="AW667" i="22" s="1"/>
  <c r="AX667" i="22" s="1"/>
  <c r="AY667" i="22" s="1"/>
  <c r="AZ667" i="22" s="1"/>
  <c r="BA667" i="22" s="1"/>
  <c r="BB667" i="22" s="1"/>
  <c r="BC667" i="22" s="1"/>
  <c r="BD667" i="22" s="1"/>
  <c r="BE667" i="22" s="1"/>
  <c r="O683" i="22"/>
  <c r="P683" i="22" s="1"/>
  <c r="Q683" i="22" s="1"/>
  <c r="R683" i="22" s="1"/>
  <c r="S683" i="22" s="1"/>
  <c r="T683" i="22" s="1"/>
  <c r="U683" i="22" s="1"/>
  <c r="V683" i="22" s="1"/>
  <c r="W683" i="22" s="1"/>
  <c r="X683" i="22" s="1"/>
  <c r="Y683" i="22" s="1"/>
  <c r="Z683" i="22" s="1"/>
  <c r="AA683" i="22" s="1"/>
  <c r="AB683" i="22" s="1"/>
  <c r="AC683" i="22" s="1"/>
  <c r="AD683" i="22" s="1"/>
  <c r="AE683" i="22" s="1"/>
  <c r="AF683" i="22" s="1"/>
  <c r="AG683" i="22" s="1"/>
  <c r="AI673" i="22"/>
  <c r="AJ673" i="22" s="1"/>
  <c r="AK673" i="22" s="1"/>
  <c r="AL673" i="22" s="1"/>
  <c r="AM673" i="22" s="1"/>
  <c r="AN673" i="22" s="1"/>
  <c r="AO673" i="22" s="1"/>
  <c r="AP673" i="22" s="1"/>
  <c r="AQ673" i="22" s="1"/>
  <c r="AR673" i="22" s="1"/>
  <c r="AS673" i="22" s="1"/>
  <c r="AT673" i="22" s="1"/>
  <c r="AU673" i="22" s="1"/>
  <c r="AV673" i="22" s="1"/>
  <c r="AW673" i="22" s="1"/>
  <c r="AX673" i="22" s="1"/>
  <c r="AY673" i="22" s="1"/>
  <c r="AZ673" i="22" s="1"/>
  <c r="BA673" i="22" s="1"/>
  <c r="BB673" i="22" s="1"/>
  <c r="BC673" i="22" s="1"/>
  <c r="BD673" i="22" s="1"/>
  <c r="BE673" i="22" s="1"/>
  <c r="O661" i="22"/>
  <c r="P661" i="22" s="1"/>
  <c r="Q661" i="22" s="1"/>
  <c r="R661" i="22" s="1"/>
  <c r="S661" i="22" s="1"/>
  <c r="T661" i="22" s="1"/>
  <c r="U661" i="22" s="1"/>
  <c r="V661" i="22" s="1"/>
  <c r="W661" i="22" s="1"/>
  <c r="X661" i="22" s="1"/>
  <c r="Y661" i="22" s="1"/>
  <c r="Z661" i="22" s="1"/>
  <c r="AA661" i="22" s="1"/>
  <c r="AB661" i="22" s="1"/>
  <c r="AC661" i="22" s="1"/>
  <c r="AD661" i="22" s="1"/>
  <c r="AE661" i="22" s="1"/>
  <c r="AF661" i="22" s="1"/>
  <c r="AG661" i="22" s="1"/>
  <c r="AI656" i="22"/>
  <c r="AJ656" i="22" s="1"/>
  <c r="AK656" i="22" s="1"/>
  <c r="AL656" i="22" s="1"/>
  <c r="AM656" i="22" s="1"/>
  <c r="AN656" i="22" s="1"/>
  <c r="AO656" i="22" s="1"/>
  <c r="AP656" i="22" s="1"/>
  <c r="AQ656" i="22" s="1"/>
  <c r="AR656" i="22" s="1"/>
  <c r="AS656" i="22" s="1"/>
  <c r="AT656" i="22" s="1"/>
  <c r="AU656" i="22" s="1"/>
  <c r="AV656" i="22" s="1"/>
  <c r="AW656" i="22" s="1"/>
  <c r="AX656" i="22" s="1"/>
  <c r="AY656" i="22" s="1"/>
  <c r="AZ656" i="22" s="1"/>
  <c r="BA656" i="22" s="1"/>
  <c r="BB656" i="22" s="1"/>
  <c r="BC656" i="22" s="1"/>
  <c r="BD656" i="22" s="1"/>
  <c r="BE656" i="22" s="1"/>
  <c r="O656" i="22"/>
  <c r="P656" i="22" s="1"/>
  <c r="Q656" i="22" s="1"/>
  <c r="R656" i="22" s="1"/>
  <c r="S656" i="22" s="1"/>
  <c r="T656" i="22" s="1"/>
  <c r="U656" i="22" s="1"/>
  <c r="V656" i="22" s="1"/>
  <c r="W656" i="22" s="1"/>
  <c r="X656" i="22" s="1"/>
  <c r="Y656" i="22" s="1"/>
  <c r="Z656" i="22" s="1"/>
  <c r="AA656" i="22" s="1"/>
  <c r="AB656" i="22" s="1"/>
  <c r="AC656" i="22" s="1"/>
  <c r="AD656" i="22" s="1"/>
  <c r="AE656" i="22" s="1"/>
  <c r="AF656" i="22" s="1"/>
  <c r="AG656" i="22" s="1"/>
  <c r="O646" i="22"/>
  <c r="P646" i="22" s="1"/>
  <c r="Q646" i="22" s="1"/>
  <c r="R646" i="22" s="1"/>
  <c r="S646" i="22" s="1"/>
  <c r="T646" i="22" s="1"/>
  <c r="U646" i="22" s="1"/>
  <c r="V646" i="22" s="1"/>
  <c r="W646" i="22" s="1"/>
  <c r="X646" i="22" s="1"/>
  <c r="Y646" i="22" s="1"/>
  <c r="Z646" i="22" s="1"/>
  <c r="AA646" i="22" s="1"/>
  <c r="AB646" i="22" s="1"/>
  <c r="AC646" i="22" s="1"/>
  <c r="AD646" i="22" s="1"/>
  <c r="AE646" i="22" s="1"/>
  <c r="AF646" i="22" s="1"/>
  <c r="AG646" i="22" s="1"/>
  <c r="O642" i="22"/>
  <c r="P642" i="22" s="1"/>
  <c r="Q642" i="22" s="1"/>
  <c r="R642" i="22" s="1"/>
  <c r="S642" i="22" s="1"/>
  <c r="T642" i="22" s="1"/>
  <c r="U642" i="22" s="1"/>
  <c r="V642" i="22" s="1"/>
  <c r="W642" i="22" s="1"/>
  <c r="X642" i="22" s="1"/>
  <c r="Y642" i="22" s="1"/>
  <c r="Z642" i="22" s="1"/>
  <c r="AA642" i="22" s="1"/>
  <c r="AB642" i="22" s="1"/>
  <c r="AC642" i="22" s="1"/>
  <c r="AD642" i="22" s="1"/>
  <c r="AE642" i="22" s="1"/>
  <c r="AF642" i="22" s="1"/>
  <c r="AG642" i="22" s="1"/>
  <c r="O635" i="22"/>
  <c r="P635" i="22" s="1"/>
  <c r="Q635" i="22" s="1"/>
  <c r="R635" i="22" s="1"/>
  <c r="S635" i="22" s="1"/>
  <c r="T635" i="22" s="1"/>
  <c r="U635" i="22" s="1"/>
  <c r="V635" i="22" s="1"/>
  <c r="W635" i="22" s="1"/>
  <c r="X635" i="22" s="1"/>
  <c r="Y635" i="22" s="1"/>
  <c r="Z635" i="22" s="1"/>
  <c r="AA635" i="22" s="1"/>
  <c r="AB635" i="22" s="1"/>
  <c r="AC635" i="22" s="1"/>
  <c r="AD635" i="22" s="1"/>
  <c r="AE635" i="22" s="1"/>
  <c r="AF635" i="22" s="1"/>
  <c r="AG635" i="22" s="1"/>
  <c r="O631" i="22"/>
  <c r="P631" i="22" s="1"/>
  <c r="Q631" i="22" s="1"/>
  <c r="R631" i="22" s="1"/>
  <c r="S631" i="22" s="1"/>
  <c r="T631" i="22" s="1"/>
  <c r="U631" i="22" s="1"/>
  <c r="V631" i="22" s="1"/>
  <c r="W631" i="22" s="1"/>
  <c r="X631" i="22" s="1"/>
  <c r="Y631" i="22" s="1"/>
  <c r="Z631" i="22" s="1"/>
  <c r="AA631" i="22" s="1"/>
  <c r="AB631" i="22" s="1"/>
  <c r="AC631" i="22" s="1"/>
  <c r="AD631" i="22" s="1"/>
  <c r="AE631" i="22" s="1"/>
  <c r="AF631" i="22" s="1"/>
  <c r="AG631" i="22" s="1"/>
  <c r="AI622" i="22"/>
  <c r="AJ622" i="22" s="1"/>
  <c r="AK622" i="22" s="1"/>
  <c r="AL622" i="22" s="1"/>
  <c r="AM622" i="22" s="1"/>
  <c r="AN622" i="22" s="1"/>
  <c r="AO622" i="22" s="1"/>
  <c r="AP622" i="22" s="1"/>
  <c r="AQ622" i="22" s="1"/>
  <c r="AR622" i="22" s="1"/>
  <c r="AS622" i="22" s="1"/>
  <c r="AT622" i="22" s="1"/>
  <c r="AU622" i="22" s="1"/>
  <c r="AV622" i="22" s="1"/>
  <c r="AW622" i="22" s="1"/>
  <c r="AX622" i="22" s="1"/>
  <c r="AY622" i="22" s="1"/>
  <c r="AZ622" i="22" s="1"/>
  <c r="BA622" i="22" s="1"/>
  <c r="BB622" i="22" s="1"/>
  <c r="BC622" i="22" s="1"/>
  <c r="BD622" i="22" s="1"/>
  <c r="BE622" i="22" s="1"/>
  <c r="O621" i="22"/>
  <c r="P621" i="22" s="1"/>
  <c r="Q621" i="22" s="1"/>
  <c r="R621" i="22" s="1"/>
  <c r="S621" i="22" s="1"/>
  <c r="T621" i="22" s="1"/>
  <c r="U621" i="22" s="1"/>
  <c r="V621" i="22" s="1"/>
  <c r="W621" i="22" s="1"/>
  <c r="X621" i="22" s="1"/>
  <c r="Y621" i="22" s="1"/>
  <c r="Z621" i="22" s="1"/>
  <c r="AA621" i="22" s="1"/>
  <c r="AB621" i="22" s="1"/>
  <c r="AC621" i="22" s="1"/>
  <c r="AD621" i="22" s="1"/>
  <c r="AE621" i="22" s="1"/>
  <c r="AF621" i="22" s="1"/>
  <c r="AG621" i="22" s="1"/>
  <c r="O618" i="22"/>
  <c r="P618" i="22" s="1"/>
  <c r="Q618" i="22" s="1"/>
  <c r="R618" i="22" s="1"/>
  <c r="S618" i="22" s="1"/>
  <c r="T618" i="22" s="1"/>
  <c r="U618" i="22" s="1"/>
  <c r="V618" i="22" s="1"/>
  <c r="W618" i="22" s="1"/>
  <c r="X618" i="22" s="1"/>
  <c r="Y618" i="22" s="1"/>
  <c r="Z618" i="22" s="1"/>
  <c r="AA618" i="22" s="1"/>
  <c r="AB618" i="22" s="1"/>
  <c r="AC618" i="22" s="1"/>
  <c r="AD618" i="22" s="1"/>
  <c r="AE618" i="22" s="1"/>
  <c r="AF618" i="22" s="1"/>
  <c r="AG618" i="22" s="1"/>
  <c r="O665" i="22"/>
  <c r="P665" i="22" s="1"/>
  <c r="Q665" i="22" s="1"/>
  <c r="R665" i="22" s="1"/>
  <c r="S665" i="22" s="1"/>
  <c r="T665" i="22" s="1"/>
  <c r="U665" i="22" s="1"/>
  <c r="V665" i="22" s="1"/>
  <c r="W665" i="22" s="1"/>
  <c r="X665" i="22" s="1"/>
  <c r="Y665" i="22" s="1"/>
  <c r="Z665" i="22" s="1"/>
  <c r="AA665" i="22" s="1"/>
  <c r="AB665" i="22" s="1"/>
  <c r="AC665" i="22" s="1"/>
  <c r="AD665" i="22" s="1"/>
  <c r="AE665" i="22" s="1"/>
  <c r="AF665" i="22" s="1"/>
  <c r="AG665" i="22" s="1"/>
  <c r="AI658" i="22"/>
  <c r="AJ658" i="22" s="1"/>
  <c r="AK658" i="22" s="1"/>
  <c r="AL658" i="22" s="1"/>
  <c r="AM658" i="22" s="1"/>
  <c r="AN658" i="22" s="1"/>
  <c r="AO658" i="22" s="1"/>
  <c r="AP658" i="22" s="1"/>
  <c r="AQ658" i="22" s="1"/>
  <c r="AR658" i="22" s="1"/>
  <c r="AS658" i="22" s="1"/>
  <c r="AT658" i="22" s="1"/>
  <c r="AU658" i="22" s="1"/>
  <c r="AV658" i="22" s="1"/>
  <c r="AW658" i="22" s="1"/>
  <c r="AX658" i="22" s="1"/>
  <c r="AY658" i="22" s="1"/>
  <c r="AZ658" i="22" s="1"/>
  <c r="BA658" i="22" s="1"/>
  <c r="BB658" i="22" s="1"/>
  <c r="BC658" i="22" s="1"/>
  <c r="BD658" i="22" s="1"/>
  <c r="BE658" i="22" s="1"/>
  <c r="O655" i="22"/>
  <c r="P655" i="22" s="1"/>
  <c r="Q655" i="22" s="1"/>
  <c r="R655" i="22" s="1"/>
  <c r="S655" i="22" s="1"/>
  <c r="T655" i="22" s="1"/>
  <c r="U655" i="22" s="1"/>
  <c r="V655" i="22" s="1"/>
  <c r="W655" i="22" s="1"/>
  <c r="X655" i="22" s="1"/>
  <c r="Y655" i="22" s="1"/>
  <c r="Z655" i="22" s="1"/>
  <c r="AA655" i="22" s="1"/>
  <c r="AB655" i="22" s="1"/>
  <c r="AC655" i="22" s="1"/>
  <c r="AD655" i="22" s="1"/>
  <c r="AE655" i="22" s="1"/>
  <c r="AF655" i="22" s="1"/>
  <c r="AG655" i="22" s="1"/>
  <c r="O619" i="22"/>
  <c r="P619" i="22" s="1"/>
  <c r="Q619" i="22" s="1"/>
  <c r="R619" i="22" s="1"/>
  <c r="S619" i="22" s="1"/>
  <c r="T619" i="22" s="1"/>
  <c r="U619" i="22" s="1"/>
  <c r="V619" i="22" s="1"/>
  <c r="W619" i="22" s="1"/>
  <c r="X619" i="22" s="1"/>
  <c r="Y619" i="22" s="1"/>
  <c r="Z619" i="22" s="1"/>
  <c r="AA619" i="22" s="1"/>
  <c r="AB619" i="22" s="1"/>
  <c r="AC619" i="22" s="1"/>
  <c r="AD619" i="22" s="1"/>
  <c r="AE619" i="22" s="1"/>
  <c r="AF619" i="22" s="1"/>
  <c r="AG619" i="22" s="1"/>
  <c r="O616" i="22"/>
  <c r="P616" i="22" s="1"/>
  <c r="Q616" i="22" s="1"/>
  <c r="R616" i="22" s="1"/>
  <c r="S616" i="22" s="1"/>
  <c r="T616" i="22" s="1"/>
  <c r="U616" i="22" s="1"/>
  <c r="V616" i="22" s="1"/>
  <c r="W616" i="22" s="1"/>
  <c r="X616" i="22" s="1"/>
  <c r="Y616" i="22" s="1"/>
  <c r="Z616" i="22" s="1"/>
  <c r="AA616" i="22" s="1"/>
  <c r="AB616" i="22" s="1"/>
  <c r="AC616" i="22" s="1"/>
  <c r="AD616" i="22" s="1"/>
  <c r="AE616" i="22" s="1"/>
  <c r="AF616" i="22" s="1"/>
  <c r="AG616" i="22" s="1"/>
  <c r="O604" i="22"/>
  <c r="P604" i="22" s="1"/>
  <c r="Q604" i="22" s="1"/>
  <c r="R604" i="22" s="1"/>
  <c r="S604" i="22" s="1"/>
  <c r="T604" i="22" s="1"/>
  <c r="U604" i="22" s="1"/>
  <c r="V604" i="22" s="1"/>
  <c r="W604" i="22" s="1"/>
  <c r="X604" i="22" s="1"/>
  <c r="Y604" i="22" s="1"/>
  <c r="Z604" i="22" s="1"/>
  <c r="AA604" i="22" s="1"/>
  <c r="AB604" i="22" s="1"/>
  <c r="AC604" i="22" s="1"/>
  <c r="AD604" i="22" s="1"/>
  <c r="AE604" i="22" s="1"/>
  <c r="AF604" i="22" s="1"/>
  <c r="AG604" i="22" s="1"/>
  <c r="O601" i="22"/>
  <c r="P601" i="22" s="1"/>
  <c r="Q601" i="22" s="1"/>
  <c r="R601" i="22" s="1"/>
  <c r="S601" i="22" s="1"/>
  <c r="T601" i="22" s="1"/>
  <c r="U601" i="22" s="1"/>
  <c r="V601" i="22" s="1"/>
  <c r="W601" i="22" s="1"/>
  <c r="X601" i="22" s="1"/>
  <c r="Y601" i="22" s="1"/>
  <c r="Z601" i="22" s="1"/>
  <c r="AA601" i="22" s="1"/>
  <c r="AB601" i="22" s="1"/>
  <c r="AC601" i="22" s="1"/>
  <c r="AD601" i="22" s="1"/>
  <c r="AE601" i="22" s="1"/>
  <c r="AF601" i="22" s="1"/>
  <c r="AG601" i="22" s="1"/>
  <c r="AI595" i="22"/>
  <c r="AJ595" i="22" s="1"/>
  <c r="AK595" i="22" s="1"/>
  <c r="AL595" i="22" s="1"/>
  <c r="AM595" i="22" s="1"/>
  <c r="AN595" i="22" s="1"/>
  <c r="AO595" i="22" s="1"/>
  <c r="AP595" i="22" s="1"/>
  <c r="AQ595" i="22" s="1"/>
  <c r="AR595" i="22" s="1"/>
  <c r="AS595" i="22" s="1"/>
  <c r="AT595" i="22" s="1"/>
  <c r="AU595" i="22" s="1"/>
  <c r="AV595" i="22" s="1"/>
  <c r="AW595" i="22" s="1"/>
  <c r="AX595" i="22" s="1"/>
  <c r="AY595" i="22" s="1"/>
  <c r="AZ595" i="22" s="1"/>
  <c r="BA595" i="22" s="1"/>
  <c r="BB595" i="22" s="1"/>
  <c r="BC595" i="22" s="1"/>
  <c r="BD595" i="22" s="1"/>
  <c r="BE595" i="22" s="1"/>
  <c r="O591" i="22"/>
  <c r="P591" i="22" s="1"/>
  <c r="Q591" i="22" s="1"/>
  <c r="R591" i="22" s="1"/>
  <c r="S591" i="22" s="1"/>
  <c r="T591" i="22" s="1"/>
  <c r="U591" i="22" s="1"/>
  <c r="V591" i="22" s="1"/>
  <c r="W591" i="22" s="1"/>
  <c r="X591" i="22" s="1"/>
  <c r="Y591" i="22" s="1"/>
  <c r="Z591" i="22" s="1"/>
  <c r="AA591" i="22" s="1"/>
  <c r="AB591" i="22" s="1"/>
  <c r="AC591" i="22" s="1"/>
  <c r="AD591" i="22" s="1"/>
  <c r="AE591" i="22" s="1"/>
  <c r="AF591" i="22" s="1"/>
  <c r="AG591" i="22" s="1"/>
  <c r="O575" i="22"/>
  <c r="P575" i="22" s="1"/>
  <c r="Q575" i="22" s="1"/>
  <c r="R575" i="22" s="1"/>
  <c r="S575" i="22" s="1"/>
  <c r="T575" i="22" s="1"/>
  <c r="U575" i="22" s="1"/>
  <c r="V575" i="22" s="1"/>
  <c r="W575" i="22" s="1"/>
  <c r="X575" i="22" s="1"/>
  <c r="Y575" i="22" s="1"/>
  <c r="Z575" i="22" s="1"/>
  <c r="AA575" i="22" s="1"/>
  <c r="AB575" i="22" s="1"/>
  <c r="AC575" i="22" s="1"/>
  <c r="AD575" i="22" s="1"/>
  <c r="AE575" i="22" s="1"/>
  <c r="AF575" i="22" s="1"/>
  <c r="AG575" i="22" s="1"/>
  <c r="AI562" i="22"/>
  <c r="AJ562" i="22" s="1"/>
  <c r="AK562" i="22" s="1"/>
  <c r="AL562" i="22" s="1"/>
  <c r="AM562" i="22" s="1"/>
  <c r="AN562" i="22" s="1"/>
  <c r="AO562" i="22" s="1"/>
  <c r="AP562" i="22" s="1"/>
  <c r="AQ562" i="22" s="1"/>
  <c r="AR562" i="22" s="1"/>
  <c r="AS562" i="22" s="1"/>
  <c r="AT562" i="22" s="1"/>
  <c r="AU562" i="22" s="1"/>
  <c r="AV562" i="22" s="1"/>
  <c r="AW562" i="22" s="1"/>
  <c r="AX562" i="22" s="1"/>
  <c r="AY562" i="22" s="1"/>
  <c r="AZ562" i="22" s="1"/>
  <c r="BA562" i="22" s="1"/>
  <c r="BB562" i="22" s="1"/>
  <c r="BC562" i="22" s="1"/>
  <c r="BD562" i="22" s="1"/>
  <c r="BE562" i="22" s="1"/>
  <c r="AI561" i="22"/>
  <c r="AJ561" i="22" s="1"/>
  <c r="AK561" i="22" s="1"/>
  <c r="AL561" i="22" s="1"/>
  <c r="AM561" i="22" s="1"/>
  <c r="AN561" i="22" s="1"/>
  <c r="AO561" i="22" s="1"/>
  <c r="AP561" i="22" s="1"/>
  <c r="AQ561" i="22" s="1"/>
  <c r="AR561" i="22" s="1"/>
  <c r="AS561" i="22" s="1"/>
  <c r="AT561" i="22" s="1"/>
  <c r="AU561" i="22" s="1"/>
  <c r="AV561" i="22" s="1"/>
  <c r="AW561" i="22" s="1"/>
  <c r="AX561" i="22" s="1"/>
  <c r="AY561" i="22" s="1"/>
  <c r="AZ561" i="22" s="1"/>
  <c r="BA561" i="22" s="1"/>
  <c r="BB561" i="22" s="1"/>
  <c r="BC561" i="22" s="1"/>
  <c r="BD561" i="22" s="1"/>
  <c r="BE561" i="22" s="1"/>
  <c r="O551" i="22"/>
  <c r="P551" i="22" s="1"/>
  <c r="Q551" i="22" s="1"/>
  <c r="R551" i="22" s="1"/>
  <c r="S551" i="22" s="1"/>
  <c r="T551" i="22" s="1"/>
  <c r="U551" i="22" s="1"/>
  <c r="V551" i="22" s="1"/>
  <c r="W551" i="22" s="1"/>
  <c r="X551" i="22" s="1"/>
  <c r="Y551" i="22" s="1"/>
  <c r="Z551" i="22" s="1"/>
  <c r="AA551" i="22" s="1"/>
  <c r="AB551" i="22" s="1"/>
  <c r="AC551" i="22" s="1"/>
  <c r="AD551" i="22" s="1"/>
  <c r="AE551" i="22" s="1"/>
  <c r="AF551" i="22" s="1"/>
  <c r="AG551" i="22" s="1"/>
  <c r="O546" i="22"/>
  <c r="P546" i="22" s="1"/>
  <c r="Q546" i="22" s="1"/>
  <c r="R546" i="22" s="1"/>
  <c r="S546" i="22" s="1"/>
  <c r="T546" i="22" s="1"/>
  <c r="U546" i="22" s="1"/>
  <c r="V546" i="22" s="1"/>
  <c r="W546" i="22" s="1"/>
  <c r="X546" i="22" s="1"/>
  <c r="Y546" i="22" s="1"/>
  <c r="Z546" i="22" s="1"/>
  <c r="AA546" i="22" s="1"/>
  <c r="AB546" i="22" s="1"/>
  <c r="AC546" i="22" s="1"/>
  <c r="AD546" i="22" s="1"/>
  <c r="AE546" i="22" s="1"/>
  <c r="AF546" i="22" s="1"/>
  <c r="AG546" i="22" s="1"/>
  <c r="AI544" i="22"/>
  <c r="AJ544" i="22" s="1"/>
  <c r="AK544" i="22" s="1"/>
  <c r="AL544" i="22" s="1"/>
  <c r="AM544" i="22" s="1"/>
  <c r="AN544" i="22" s="1"/>
  <c r="AO544" i="22" s="1"/>
  <c r="AP544" i="22" s="1"/>
  <c r="AQ544" i="22" s="1"/>
  <c r="AR544" i="22" s="1"/>
  <c r="AS544" i="22" s="1"/>
  <c r="AT544" i="22" s="1"/>
  <c r="AU544" i="22" s="1"/>
  <c r="AV544" i="22" s="1"/>
  <c r="AW544" i="22" s="1"/>
  <c r="AX544" i="22" s="1"/>
  <c r="AY544" i="22" s="1"/>
  <c r="AZ544" i="22" s="1"/>
  <c r="BA544" i="22" s="1"/>
  <c r="BB544" i="22" s="1"/>
  <c r="BC544" i="22" s="1"/>
  <c r="BD544" i="22" s="1"/>
  <c r="BE544" i="22" s="1"/>
  <c r="O650" i="22"/>
  <c r="P650" i="22" s="1"/>
  <c r="Q650" i="22" s="1"/>
  <c r="R650" i="22" s="1"/>
  <c r="S650" i="22" s="1"/>
  <c r="T650" i="22" s="1"/>
  <c r="U650" i="22" s="1"/>
  <c r="V650" i="22" s="1"/>
  <c r="W650" i="22" s="1"/>
  <c r="X650" i="22" s="1"/>
  <c r="Y650" i="22" s="1"/>
  <c r="Z650" i="22" s="1"/>
  <c r="AA650" i="22" s="1"/>
  <c r="AB650" i="22" s="1"/>
  <c r="AC650" i="22" s="1"/>
  <c r="AD650" i="22" s="1"/>
  <c r="AE650" i="22" s="1"/>
  <c r="AF650" i="22" s="1"/>
  <c r="AG650" i="22" s="1"/>
  <c r="O647" i="22"/>
  <c r="P647" i="22" s="1"/>
  <c r="Q647" i="22" s="1"/>
  <c r="R647" i="22" s="1"/>
  <c r="S647" i="22" s="1"/>
  <c r="T647" i="22" s="1"/>
  <c r="U647" i="22" s="1"/>
  <c r="V647" i="22" s="1"/>
  <c r="W647" i="22" s="1"/>
  <c r="X647" i="22" s="1"/>
  <c r="Y647" i="22" s="1"/>
  <c r="Z647" i="22" s="1"/>
  <c r="AA647" i="22" s="1"/>
  <c r="AB647" i="22" s="1"/>
  <c r="AC647" i="22" s="1"/>
  <c r="AD647" i="22" s="1"/>
  <c r="AE647" i="22" s="1"/>
  <c r="AF647" i="22" s="1"/>
  <c r="AG647" i="22" s="1"/>
  <c r="AI620" i="22"/>
  <c r="AJ620" i="22" s="1"/>
  <c r="AK620" i="22" s="1"/>
  <c r="AL620" i="22" s="1"/>
  <c r="AM620" i="22" s="1"/>
  <c r="AN620" i="22" s="1"/>
  <c r="AO620" i="22" s="1"/>
  <c r="AP620" i="22" s="1"/>
  <c r="AQ620" i="22" s="1"/>
  <c r="AR620" i="22" s="1"/>
  <c r="AS620" i="22" s="1"/>
  <c r="AT620" i="22" s="1"/>
  <c r="AU620" i="22" s="1"/>
  <c r="AV620" i="22" s="1"/>
  <c r="AW620" i="22" s="1"/>
  <c r="AX620" i="22" s="1"/>
  <c r="AY620" i="22" s="1"/>
  <c r="AZ620" i="22" s="1"/>
  <c r="BA620" i="22" s="1"/>
  <c r="BB620" i="22" s="1"/>
  <c r="BC620" i="22" s="1"/>
  <c r="BD620" i="22" s="1"/>
  <c r="BE620" i="22" s="1"/>
  <c r="AI602" i="22"/>
  <c r="AJ602" i="22" s="1"/>
  <c r="AK602" i="22" s="1"/>
  <c r="AL602" i="22" s="1"/>
  <c r="AM602" i="22" s="1"/>
  <c r="AN602" i="22" s="1"/>
  <c r="AO602" i="22" s="1"/>
  <c r="AP602" i="22" s="1"/>
  <c r="AQ602" i="22" s="1"/>
  <c r="AR602" i="22" s="1"/>
  <c r="AS602" i="22" s="1"/>
  <c r="AT602" i="22" s="1"/>
  <c r="AU602" i="22" s="1"/>
  <c r="AV602" i="22" s="1"/>
  <c r="AW602" i="22" s="1"/>
  <c r="AX602" i="22" s="1"/>
  <c r="AY602" i="22" s="1"/>
  <c r="AZ602" i="22" s="1"/>
  <c r="BA602" i="22" s="1"/>
  <c r="BB602" i="22" s="1"/>
  <c r="BC602" i="22" s="1"/>
  <c r="BD602" i="22" s="1"/>
  <c r="BE602" i="22" s="1"/>
  <c r="O598" i="22"/>
  <c r="P598" i="22" s="1"/>
  <c r="Q598" i="22" s="1"/>
  <c r="R598" i="22" s="1"/>
  <c r="S598" i="22" s="1"/>
  <c r="T598" i="22" s="1"/>
  <c r="U598" i="22" s="1"/>
  <c r="V598" i="22" s="1"/>
  <c r="W598" i="22" s="1"/>
  <c r="X598" i="22" s="1"/>
  <c r="Y598" i="22" s="1"/>
  <c r="Z598" i="22" s="1"/>
  <c r="AA598" i="22" s="1"/>
  <c r="AB598" i="22" s="1"/>
  <c r="AC598" i="22" s="1"/>
  <c r="AD598" i="22" s="1"/>
  <c r="AE598" i="22" s="1"/>
  <c r="AF598" i="22" s="1"/>
  <c r="AG598" i="22" s="1"/>
  <c r="AI592" i="22"/>
  <c r="AJ592" i="22" s="1"/>
  <c r="AK592" i="22" s="1"/>
  <c r="AL592" i="22" s="1"/>
  <c r="AM592" i="22" s="1"/>
  <c r="AN592" i="22" s="1"/>
  <c r="AO592" i="22" s="1"/>
  <c r="AP592" i="22" s="1"/>
  <c r="AQ592" i="22" s="1"/>
  <c r="AR592" i="22" s="1"/>
  <c r="AS592" i="22" s="1"/>
  <c r="AT592" i="22" s="1"/>
  <c r="AU592" i="22" s="1"/>
  <c r="AV592" i="22" s="1"/>
  <c r="AW592" i="22" s="1"/>
  <c r="AX592" i="22" s="1"/>
  <c r="AY592" i="22" s="1"/>
  <c r="AZ592" i="22" s="1"/>
  <c r="BA592" i="22" s="1"/>
  <c r="BB592" i="22" s="1"/>
  <c r="BC592" i="22" s="1"/>
  <c r="BD592" i="22" s="1"/>
  <c r="BE592" i="22" s="1"/>
  <c r="O588" i="22"/>
  <c r="P588" i="22" s="1"/>
  <c r="Q588" i="22" s="1"/>
  <c r="R588" i="22" s="1"/>
  <c r="S588" i="22" s="1"/>
  <c r="T588" i="22" s="1"/>
  <c r="U588" i="22" s="1"/>
  <c r="V588" i="22" s="1"/>
  <c r="W588" i="22" s="1"/>
  <c r="X588" i="22" s="1"/>
  <c r="Y588" i="22" s="1"/>
  <c r="Z588" i="22" s="1"/>
  <c r="AA588" i="22" s="1"/>
  <c r="AB588" i="22" s="1"/>
  <c r="AC588" i="22" s="1"/>
  <c r="AD588" i="22" s="1"/>
  <c r="AE588" i="22" s="1"/>
  <c r="AF588" i="22" s="1"/>
  <c r="AG588" i="22" s="1"/>
  <c r="AI563" i="22"/>
  <c r="AJ563" i="22" s="1"/>
  <c r="AK563" i="22" s="1"/>
  <c r="AL563" i="22" s="1"/>
  <c r="AM563" i="22" s="1"/>
  <c r="AN563" i="22" s="1"/>
  <c r="AO563" i="22" s="1"/>
  <c r="AP563" i="22" s="1"/>
  <c r="AQ563" i="22" s="1"/>
  <c r="AR563" i="22" s="1"/>
  <c r="AS563" i="22" s="1"/>
  <c r="AT563" i="22" s="1"/>
  <c r="AU563" i="22" s="1"/>
  <c r="AV563" i="22" s="1"/>
  <c r="AW563" i="22" s="1"/>
  <c r="AX563" i="22" s="1"/>
  <c r="AY563" i="22" s="1"/>
  <c r="AZ563" i="22" s="1"/>
  <c r="BA563" i="22" s="1"/>
  <c r="BB563" i="22" s="1"/>
  <c r="BC563" i="22" s="1"/>
  <c r="BD563" i="22" s="1"/>
  <c r="BE563" i="22" s="1"/>
  <c r="AI558" i="22"/>
  <c r="AJ558" i="22" s="1"/>
  <c r="AK558" i="22" s="1"/>
  <c r="AL558" i="22" s="1"/>
  <c r="AM558" i="22" s="1"/>
  <c r="AN558" i="22" s="1"/>
  <c r="AO558" i="22" s="1"/>
  <c r="AP558" i="22" s="1"/>
  <c r="AQ558" i="22" s="1"/>
  <c r="AR558" i="22" s="1"/>
  <c r="AS558" i="22" s="1"/>
  <c r="AT558" i="22" s="1"/>
  <c r="AU558" i="22" s="1"/>
  <c r="AV558" i="22" s="1"/>
  <c r="AW558" i="22" s="1"/>
  <c r="AX558" i="22" s="1"/>
  <c r="AY558" i="22" s="1"/>
  <c r="AZ558" i="22" s="1"/>
  <c r="BA558" i="22" s="1"/>
  <c r="BB558" i="22" s="1"/>
  <c r="BC558" i="22" s="1"/>
  <c r="BD558" i="22" s="1"/>
  <c r="BE558" i="22" s="1"/>
  <c r="O541" i="22"/>
  <c r="P541" i="22" s="1"/>
  <c r="Q541" i="22" s="1"/>
  <c r="R541" i="22" s="1"/>
  <c r="S541" i="22" s="1"/>
  <c r="T541" i="22" s="1"/>
  <c r="U541" i="22" s="1"/>
  <c r="V541" i="22" s="1"/>
  <c r="W541" i="22" s="1"/>
  <c r="X541" i="22" s="1"/>
  <c r="Y541" i="22" s="1"/>
  <c r="Z541" i="22" s="1"/>
  <c r="AA541" i="22" s="1"/>
  <c r="AB541" i="22" s="1"/>
  <c r="AC541" i="22" s="1"/>
  <c r="AD541" i="22" s="1"/>
  <c r="AE541" i="22" s="1"/>
  <c r="AF541" i="22" s="1"/>
  <c r="AG541" i="22" s="1"/>
  <c r="AI686" i="22"/>
  <c r="AJ686" i="22" s="1"/>
  <c r="AK686" i="22" s="1"/>
  <c r="AL686" i="22" s="1"/>
  <c r="AM686" i="22" s="1"/>
  <c r="AN686" i="22" s="1"/>
  <c r="AO686" i="22" s="1"/>
  <c r="AP686" i="22" s="1"/>
  <c r="AQ686" i="22" s="1"/>
  <c r="AR686" i="22" s="1"/>
  <c r="AS686" i="22" s="1"/>
  <c r="AT686" i="22" s="1"/>
  <c r="AU686" i="22" s="1"/>
  <c r="AV686" i="22" s="1"/>
  <c r="AW686" i="22" s="1"/>
  <c r="AX686" i="22" s="1"/>
  <c r="AY686" i="22" s="1"/>
  <c r="AZ686" i="22" s="1"/>
  <c r="BA686" i="22" s="1"/>
  <c r="BB686" i="22" s="1"/>
  <c r="BC686" i="22" s="1"/>
  <c r="BD686" i="22" s="1"/>
  <c r="BE686" i="22" s="1"/>
  <c r="O673" i="22"/>
  <c r="P673" i="22" s="1"/>
  <c r="Q673" i="22" s="1"/>
  <c r="R673" i="22" s="1"/>
  <c r="S673" i="22" s="1"/>
  <c r="T673" i="22" s="1"/>
  <c r="U673" i="22" s="1"/>
  <c r="V673" i="22" s="1"/>
  <c r="W673" i="22" s="1"/>
  <c r="X673" i="22" s="1"/>
  <c r="Y673" i="22" s="1"/>
  <c r="Z673" i="22" s="1"/>
  <c r="AA673" i="22" s="1"/>
  <c r="AB673" i="22" s="1"/>
  <c r="AC673" i="22" s="1"/>
  <c r="AD673" i="22" s="1"/>
  <c r="AE673" i="22" s="1"/>
  <c r="AF673" i="22" s="1"/>
  <c r="AG673" i="22" s="1"/>
  <c r="AI661" i="22"/>
  <c r="AJ661" i="22" s="1"/>
  <c r="AK661" i="22" s="1"/>
  <c r="AL661" i="22" s="1"/>
  <c r="AM661" i="22" s="1"/>
  <c r="AN661" i="22" s="1"/>
  <c r="AO661" i="22" s="1"/>
  <c r="AP661" i="22" s="1"/>
  <c r="AQ661" i="22" s="1"/>
  <c r="AR661" i="22" s="1"/>
  <c r="AS661" i="22" s="1"/>
  <c r="AT661" i="22" s="1"/>
  <c r="AU661" i="22" s="1"/>
  <c r="AV661" i="22" s="1"/>
  <c r="AW661" i="22" s="1"/>
  <c r="AX661" i="22" s="1"/>
  <c r="AY661" i="22" s="1"/>
  <c r="AZ661" i="22" s="1"/>
  <c r="BA661" i="22" s="1"/>
  <c r="BB661" i="22" s="1"/>
  <c r="BC661" i="22" s="1"/>
  <c r="BD661" i="22" s="1"/>
  <c r="BE661" i="22" s="1"/>
  <c r="O595" i="22"/>
  <c r="P595" i="22" s="1"/>
  <c r="Q595" i="22" s="1"/>
  <c r="R595" i="22" s="1"/>
  <c r="S595" i="22" s="1"/>
  <c r="T595" i="22" s="1"/>
  <c r="U595" i="22" s="1"/>
  <c r="V595" i="22" s="1"/>
  <c r="W595" i="22" s="1"/>
  <c r="X595" i="22" s="1"/>
  <c r="Y595" i="22" s="1"/>
  <c r="Z595" i="22" s="1"/>
  <c r="AA595" i="22" s="1"/>
  <c r="AB595" i="22" s="1"/>
  <c r="AC595" i="22" s="1"/>
  <c r="AD595" i="22" s="1"/>
  <c r="AE595" i="22" s="1"/>
  <c r="AF595" i="22" s="1"/>
  <c r="AG595" i="22" s="1"/>
  <c r="AI589" i="22"/>
  <c r="AJ589" i="22" s="1"/>
  <c r="AK589" i="22" s="1"/>
  <c r="AL589" i="22" s="1"/>
  <c r="AM589" i="22" s="1"/>
  <c r="AN589" i="22" s="1"/>
  <c r="AO589" i="22" s="1"/>
  <c r="AP589" i="22" s="1"/>
  <c r="AQ589" i="22" s="1"/>
  <c r="AR589" i="22" s="1"/>
  <c r="AS589" i="22" s="1"/>
  <c r="AT589" i="22" s="1"/>
  <c r="AU589" i="22" s="1"/>
  <c r="AV589" i="22" s="1"/>
  <c r="AW589" i="22" s="1"/>
  <c r="AX589" i="22" s="1"/>
  <c r="AY589" i="22" s="1"/>
  <c r="AZ589" i="22" s="1"/>
  <c r="BA589" i="22" s="1"/>
  <c r="BB589" i="22" s="1"/>
  <c r="BC589" i="22" s="1"/>
  <c r="BD589" i="22" s="1"/>
  <c r="BE589" i="22" s="1"/>
  <c r="AI586" i="22"/>
  <c r="AJ586" i="22" s="1"/>
  <c r="AK586" i="22" s="1"/>
  <c r="AL586" i="22" s="1"/>
  <c r="AM586" i="22" s="1"/>
  <c r="AN586" i="22" s="1"/>
  <c r="AO586" i="22" s="1"/>
  <c r="AP586" i="22" s="1"/>
  <c r="AQ586" i="22" s="1"/>
  <c r="AR586" i="22" s="1"/>
  <c r="AS586" i="22" s="1"/>
  <c r="AT586" i="22" s="1"/>
  <c r="AU586" i="22" s="1"/>
  <c r="AV586" i="22" s="1"/>
  <c r="AW586" i="22" s="1"/>
  <c r="AX586" i="22" s="1"/>
  <c r="AY586" i="22" s="1"/>
  <c r="AZ586" i="22" s="1"/>
  <c r="BA586" i="22" s="1"/>
  <c r="BB586" i="22" s="1"/>
  <c r="BC586" i="22" s="1"/>
  <c r="BD586" i="22" s="1"/>
  <c r="BE586" i="22" s="1"/>
  <c r="O585" i="22"/>
  <c r="P585" i="22" s="1"/>
  <c r="Q585" i="22" s="1"/>
  <c r="R585" i="22" s="1"/>
  <c r="S585" i="22" s="1"/>
  <c r="T585" i="22" s="1"/>
  <c r="U585" i="22" s="1"/>
  <c r="V585" i="22" s="1"/>
  <c r="W585" i="22" s="1"/>
  <c r="X585" i="22" s="1"/>
  <c r="Y585" i="22" s="1"/>
  <c r="Z585" i="22" s="1"/>
  <c r="AA585" i="22" s="1"/>
  <c r="AB585" i="22" s="1"/>
  <c r="AC585" i="22" s="1"/>
  <c r="AD585" i="22" s="1"/>
  <c r="AE585" i="22" s="1"/>
  <c r="AF585" i="22" s="1"/>
  <c r="AG585" i="22" s="1"/>
  <c r="AI576" i="22"/>
  <c r="AJ576" i="22" s="1"/>
  <c r="AK576" i="22" s="1"/>
  <c r="AL576" i="22" s="1"/>
  <c r="AM576" i="22" s="1"/>
  <c r="AN576" i="22" s="1"/>
  <c r="AO576" i="22" s="1"/>
  <c r="AP576" i="22" s="1"/>
  <c r="AQ576" i="22" s="1"/>
  <c r="AR576" i="22" s="1"/>
  <c r="AS576" i="22" s="1"/>
  <c r="AT576" i="22" s="1"/>
  <c r="AU576" i="22" s="1"/>
  <c r="AV576" i="22" s="1"/>
  <c r="AW576" i="22" s="1"/>
  <c r="AX576" i="22" s="1"/>
  <c r="AY576" i="22" s="1"/>
  <c r="AZ576" i="22" s="1"/>
  <c r="BA576" i="22" s="1"/>
  <c r="BB576" i="22" s="1"/>
  <c r="BC576" i="22" s="1"/>
  <c r="BD576" i="22" s="1"/>
  <c r="BE576" i="22" s="1"/>
  <c r="AI573" i="22"/>
  <c r="AJ573" i="22" s="1"/>
  <c r="AK573" i="22" s="1"/>
  <c r="AL573" i="22" s="1"/>
  <c r="AM573" i="22" s="1"/>
  <c r="AN573" i="22" s="1"/>
  <c r="AO573" i="22" s="1"/>
  <c r="AP573" i="22" s="1"/>
  <c r="AQ573" i="22" s="1"/>
  <c r="AR573" i="22" s="1"/>
  <c r="AS573" i="22" s="1"/>
  <c r="AT573" i="22" s="1"/>
  <c r="AU573" i="22" s="1"/>
  <c r="AV573" i="22" s="1"/>
  <c r="AW573" i="22" s="1"/>
  <c r="AX573" i="22" s="1"/>
  <c r="AY573" i="22" s="1"/>
  <c r="AZ573" i="22" s="1"/>
  <c r="BA573" i="22" s="1"/>
  <c r="BB573" i="22" s="1"/>
  <c r="BC573" i="22" s="1"/>
  <c r="BD573" i="22" s="1"/>
  <c r="BE573" i="22" s="1"/>
  <c r="O572" i="22"/>
  <c r="P572" i="22" s="1"/>
  <c r="Q572" i="22" s="1"/>
  <c r="R572" i="22" s="1"/>
  <c r="S572" i="22" s="1"/>
  <c r="T572" i="22" s="1"/>
  <c r="U572" i="22" s="1"/>
  <c r="V572" i="22" s="1"/>
  <c r="W572" i="22" s="1"/>
  <c r="X572" i="22" s="1"/>
  <c r="Y572" i="22" s="1"/>
  <c r="Z572" i="22" s="1"/>
  <c r="AA572" i="22" s="1"/>
  <c r="AB572" i="22" s="1"/>
  <c r="AC572" i="22" s="1"/>
  <c r="AD572" i="22" s="1"/>
  <c r="AE572" i="22" s="1"/>
  <c r="AF572" i="22" s="1"/>
  <c r="AG572" i="22" s="1"/>
  <c r="AI564" i="22"/>
  <c r="AJ564" i="22" s="1"/>
  <c r="AK564" i="22" s="1"/>
  <c r="AL564" i="22" s="1"/>
  <c r="AM564" i="22" s="1"/>
  <c r="AN564" i="22" s="1"/>
  <c r="AO564" i="22" s="1"/>
  <c r="AP564" i="22" s="1"/>
  <c r="AQ564" i="22" s="1"/>
  <c r="AR564" i="22" s="1"/>
  <c r="AS564" i="22" s="1"/>
  <c r="AT564" i="22" s="1"/>
  <c r="AU564" i="22" s="1"/>
  <c r="AV564" i="22" s="1"/>
  <c r="AW564" i="22" s="1"/>
  <c r="AX564" i="22" s="1"/>
  <c r="AY564" i="22" s="1"/>
  <c r="AZ564" i="22" s="1"/>
  <c r="BA564" i="22" s="1"/>
  <c r="BB564" i="22" s="1"/>
  <c r="BC564" i="22" s="1"/>
  <c r="BD564" i="22" s="1"/>
  <c r="BE564" i="22" s="1"/>
  <c r="O555" i="22"/>
  <c r="P555" i="22" s="1"/>
  <c r="Q555" i="22" s="1"/>
  <c r="R555" i="22" s="1"/>
  <c r="S555" i="22" s="1"/>
  <c r="T555" i="22" s="1"/>
  <c r="U555" i="22" s="1"/>
  <c r="V555" i="22" s="1"/>
  <c r="W555" i="22" s="1"/>
  <c r="X555" i="22" s="1"/>
  <c r="Y555" i="22" s="1"/>
  <c r="Z555" i="22" s="1"/>
  <c r="AA555" i="22" s="1"/>
  <c r="AB555" i="22" s="1"/>
  <c r="AC555" i="22" s="1"/>
  <c r="AD555" i="22" s="1"/>
  <c r="AE555" i="22" s="1"/>
  <c r="AF555" i="22" s="1"/>
  <c r="AG555" i="22" s="1"/>
  <c r="O550" i="22"/>
  <c r="P550" i="22" s="1"/>
  <c r="Q550" i="22" s="1"/>
  <c r="R550" i="22" s="1"/>
  <c r="S550" i="22" s="1"/>
  <c r="T550" i="22" s="1"/>
  <c r="U550" i="22" s="1"/>
  <c r="V550" i="22" s="1"/>
  <c r="W550" i="22" s="1"/>
  <c r="X550" i="22" s="1"/>
  <c r="Y550" i="22" s="1"/>
  <c r="Z550" i="22" s="1"/>
  <c r="AA550" i="22" s="1"/>
  <c r="AB550" i="22" s="1"/>
  <c r="AC550" i="22" s="1"/>
  <c r="AD550" i="22" s="1"/>
  <c r="AE550" i="22" s="1"/>
  <c r="AF550" i="22" s="1"/>
  <c r="AG550" i="22" s="1"/>
  <c r="AI548" i="22"/>
  <c r="AJ548" i="22" s="1"/>
  <c r="AK548" i="22" s="1"/>
  <c r="AL548" i="22" s="1"/>
  <c r="AM548" i="22" s="1"/>
  <c r="AN548" i="22" s="1"/>
  <c r="AO548" i="22" s="1"/>
  <c r="AP548" i="22" s="1"/>
  <c r="AQ548" i="22" s="1"/>
  <c r="AR548" i="22" s="1"/>
  <c r="AS548" i="22" s="1"/>
  <c r="AT548" i="22" s="1"/>
  <c r="AU548" i="22" s="1"/>
  <c r="AV548" i="22" s="1"/>
  <c r="AW548" i="22" s="1"/>
  <c r="AX548" i="22" s="1"/>
  <c r="AY548" i="22" s="1"/>
  <c r="AZ548" i="22" s="1"/>
  <c r="BA548" i="22" s="1"/>
  <c r="BB548" i="22" s="1"/>
  <c r="BC548" i="22" s="1"/>
  <c r="BD548" i="22" s="1"/>
  <c r="BE548" i="22" s="1"/>
  <c r="O705" i="22"/>
  <c r="P705" i="22" s="1"/>
  <c r="Q705" i="22" s="1"/>
  <c r="R705" i="22" s="1"/>
  <c r="S705" i="22" s="1"/>
  <c r="T705" i="22" s="1"/>
  <c r="U705" i="22" s="1"/>
  <c r="V705" i="22" s="1"/>
  <c r="W705" i="22" s="1"/>
  <c r="X705" i="22" s="1"/>
  <c r="Y705" i="22" s="1"/>
  <c r="Z705" i="22" s="1"/>
  <c r="AA705" i="22" s="1"/>
  <c r="AB705" i="22" s="1"/>
  <c r="AC705" i="22" s="1"/>
  <c r="AD705" i="22" s="1"/>
  <c r="AE705" i="22" s="1"/>
  <c r="AF705" i="22" s="1"/>
  <c r="AG705" i="22" s="1"/>
  <c r="O684" i="22"/>
  <c r="P684" i="22" s="1"/>
  <c r="Q684" i="22" s="1"/>
  <c r="R684" i="22" s="1"/>
  <c r="S684" i="22" s="1"/>
  <c r="T684" i="22" s="1"/>
  <c r="U684" i="22" s="1"/>
  <c r="V684" i="22" s="1"/>
  <c r="W684" i="22" s="1"/>
  <c r="X684" i="22" s="1"/>
  <c r="Y684" i="22" s="1"/>
  <c r="Z684" i="22" s="1"/>
  <c r="AA684" i="22" s="1"/>
  <c r="AB684" i="22" s="1"/>
  <c r="AC684" i="22" s="1"/>
  <c r="AD684" i="22" s="1"/>
  <c r="AE684" i="22" s="1"/>
  <c r="AF684" i="22" s="1"/>
  <c r="AG684" i="22" s="1"/>
  <c r="O667" i="22"/>
  <c r="P667" i="22" s="1"/>
  <c r="Q667" i="22" s="1"/>
  <c r="R667" i="22" s="1"/>
  <c r="S667" i="22" s="1"/>
  <c r="T667" i="22" s="1"/>
  <c r="U667" i="22" s="1"/>
  <c r="V667" i="22" s="1"/>
  <c r="W667" i="22" s="1"/>
  <c r="X667" i="22" s="1"/>
  <c r="Y667" i="22" s="1"/>
  <c r="Z667" i="22" s="1"/>
  <c r="AA667" i="22" s="1"/>
  <c r="AB667" i="22" s="1"/>
  <c r="AC667" i="22" s="1"/>
  <c r="AD667" i="22" s="1"/>
  <c r="AE667" i="22" s="1"/>
  <c r="AF667" i="22" s="1"/>
  <c r="AG667" i="22" s="1"/>
  <c r="AI655" i="22"/>
  <c r="AJ655" i="22" s="1"/>
  <c r="AK655" i="22" s="1"/>
  <c r="AL655" i="22" s="1"/>
  <c r="AM655" i="22" s="1"/>
  <c r="AN655" i="22" s="1"/>
  <c r="AO655" i="22" s="1"/>
  <c r="AP655" i="22" s="1"/>
  <c r="AQ655" i="22" s="1"/>
  <c r="AR655" i="22" s="1"/>
  <c r="AS655" i="22" s="1"/>
  <c r="AT655" i="22" s="1"/>
  <c r="AU655" i="22" s="1"/>
  <c r="AV655" i="22" s="1"/>
  <c r="AW655" i="22" s="1"/>
  <c r="AX655" i="22" s="1"/>
  <c r="AY655" i="22" s="1"/>
  <c r="AZ655" i="22" s="1"/>
  <c r="BA655" i="22" s="1"/>
  <c r="BB655" i="22" s="1"/>
  <c r="BC655" i="22" s="1"/>
  <c r="BD655" i="22" s="1"/>
  <c r="BE655" i="22" s="1"/>
  <c r="AI634" i="22"/>
  <c r="AJ634" i="22" s="1"/>
  <c r="AK634" i="22" s="1"/>
  <c r="AL634" i="22" s="1"/>
  <c r="AM634" i="22" s="1"/>
  <c r="AN634" i="22" s="1"/>
  <c r="AO634" i="22" s="1"/>
  <c r="AP634" i="22" s="1"/>
  <c r="AQ634" i="22" s="1"/>
  <c r="AR634" i="22" s="1"/>
  <c r="AS634" i="22" s="1"/>
  <c r="AT634" i="22" s="1"/>
  <c r="AU634" i="22" s="1"/>
  <c r="AV634" i="22" s="1"/>
  <c r="AW634" i="22" s="1"/>
  <c r="AX634" i="22" s="1"/>
  <c r="AY634" i="22" s="1"/>
  <c r="AZ634" i="22" s="1"/>
  <c r="BA634" i="22" s="1"/>
  <c r="BB634" i="22" s="1"/>
  <c r="BC634" i="22" s="1"/>
  <c r="BD634" i="22" s="1"/>
  <c r="BE634" i="22" s="1"/>
  <c r="O607" i="22"/>
  <c r="P607" i="22" s="1"/>
  <c r="Q607" i="22" s="1"/>
  <c r="R607" i="22" s="1"/>
  <c r="S607" i="22" s="1"/>
  <c r="T607" i="22" s="1"/>
  <c r="U607" i="22" s="1"/>
  <c r="V607" i="22" s="1"/>
  <c r="W607" i="22" s="1"/>
  <c r="X607" i="22" s="1"/>
  <c r="Y607" i="22" s="1"/>
  <c r="Z607" i="22" s="1"/>
  <c r="AA607" i="22" s="1"/>
  <c r="AB607" i="22" s="1"/>
  <c r="AC607" i="22" s="1"/>
  <c r="AD607" i="22" s="1"/>
  <c r="AE607" i="22" s="1"/>
  <c r="AF607" i="22" s="1"/>
  <c r="AG607" i="22" s="1"/>
  <c r="O605" i="22"/>
  <c r="P605" i="22" s="1"/>
  <c r="Q605" i="22" s="1"/>
  <c r="R605" i="22" s="1"/>
  <c r="S605" i="22" s="1"/>
  <c r="T605" i="22" s="1"/>
  <c r="U605" i="22" s="1"/>
  <c r="V605" i="22" s="1"/>
  <c r="W605" i="22" s="1"/>
  <c r="X605" i="22" s="1"/>
  <c r="Y605" i="22" s="1"/>
  <c r="Z605" i="22" s="1"/>
  <c r="AA605" i="22" s="1"/>
  <c r="AB605" i="22" s="1"/>
  <c r="AC605" i="22" s="1"/>
  <c r="AD605" i="22" s="1"/>
  <c r="AE605" i="22" s="1"/>
  <c r="AF605" i="22" s="1"/>
  <c r="AG605" i="22" s="1"/>
  <c r="AI693" i="22"/>
  <c r="AJ693" i="22" s="1"/>
  <c r="AK693" i="22" s="1"/>
  <c r="AL693" i="22" s="1"/>
  <c r="AM693" i="22" s="1"/>
  <c r="AN693" i="22" s="1"/>
  <c r="AO693" i="22" s="1"/>
  <c r="AP693" i="22" s="1"/>
  <c r="AQ693" i="22" s="1"/>
  <c r="AR693" i="22" s="1"/>
  <c r="AS693" i="22" s="1"/>
  <c r="AT693" i="22" s="1"/>
  <c r="AU693" i="22" s="1"/>
  <c r="AV693" i="22" s="1"/>
  <c r="AW693" i="22" s="1"/>
  <c r="AX693" i="22" s="1"/>
  <c r="AY693" i="22" s="1"/>
  <c r="AZ693" i="22" s="1"/>
  <c r="BA693" i="22" s="1"/>
  <c r="BB693" i="22" s="1"/>
  <c r="BC693" i="22" s="1"/>
  <c r="BD693" i="22" s="1"/>
  <c r="BE693" i="22" s="1"/>
  <c r="O662" i="22"/>
  <c r="P662" i="22" s="1"/>
  <c r="Q662" i="22" s="1"/>
  <c r="R662" i="22" s="1"/>
  <c r="S662" i="22" s="1"/>
  <c r="T662" i="22" s="1"/>
  <c r="U662" i="22" s="1"/>
  <c r="V662" i="22" s="1"/>
  <c r="W662" i="22" s="1"/>
  <c r="X662" i="22" s="1"/>
  <c r="Y662" i="22" s="1"/>
  <c r="Z662" i="22" s="1"/>
  <c r="AA662" i="22" s="1"/>
  <c r="AB662" i="22" s="1"/>
  <c r="AC662" i="22" s="1"/>
  <c r="AD662" i="22" s="1"/>
  <c r="AE662" i="22" s="1"/>
  <c r="AF662" i="22" s="1"/>
  <c r="AG662" i="22" s="1"/>
  <c r="O659" i="22"/>
  <c r="P659" i="22" s="1"/>
  <c r="Q659" i="22" s="1"/>
  <c r="R659" i="22" s="1"/>
  <c r="S659" i="22" s="1"/>
  <c r="T659" i="22" s="1"/>
  <c r="U659" i="22" s="1"/>
  <c r="V659" i="22" s="1"/>
  <c r="W659" i="22" s="1"/>
  <c r="X659" i="22" s="1"/>
  <c r="Y659" i="22" s="1"/>
  <c r="Z659" i="22" s="1"/>
  <c r="AA659" i="22" s="1"/>
  <c r="AB659" i="22" s="1"/>
  <c r="AC659" i="22" s="1"/>
  <c r="AD659" i="22" s="1"/>
  <c r="AE659" i="22" s="1"/>
  <c r="AF659" i="22" s="1"/>
  <c r="AG659" i="22" s="1"/>
  <c r="O609" i="22"/>
  <c r="P609" i="22" s="1"/>
  <c r="Q609" i="22" s="1"/>
  <c r="R609" i="22" s="1"/>
  <c r="S609" i="22" s="1"/>
  <c r="T609" i="22" s="1"/>
  <c r="U609" i="22" s="1"/>
  <c r="V609" i="22" s="1"/>
  <c r="W609" i="22" s="1"/>
  <c r="X609" i="22" s="1"/>
  <c r="Y609" i="22" s="1"/>
  <c r="Z609" i="22" s="1"/>
  <c r="AA609" i="22" s="1"/>
  <c r="AB609" i="22" s="1"/>
  <c r="AC609" i="22" s="1"/>
  <c r="AD609" i="22" s="1"/>
  <c r="AE609" i="22" s="1"/>
  <c r="AF609" i="22" s="1"/>
  <c r="AG609" i="22" s="1"/>
  <c r="O602" i="22"/>
  <c r="P602" i="22" s="1"/>
  <c r="Q602" i="22" s="1"/>
  <c r="R602" i="22" s="1"/>
  <c r="S602" i="22" s="1"/>
  <c r="T602" i="22" s="1"/>
  <c r="U602" i="22" s="1"/>
  <c r="V602" i="22" s="1"/>
  <c r="W602" i="22" s="1"/>
  <c r="X602" i="22" s="1"/>
  <c r="Y602" i="22" s="1"/>
  <c r="Z602" i="22" s="1"/>
  <c r="AA602" i="22" s="1"/>
  <c r="AB602" i="22" s="1"/>
  <c r="AC602" i="22" s="1"/>
  <c r="AD602" i="22" s="1"/>
  <c r="AE602" i="22" s="1"/>
  <c r="AF602" i="22" s="1"/>
  <c r="AG602" i="22" s="1"/>
  <c r="O592" i="22"/>
  <c r="P592" i="22" s="1"/>
  <c r="Q592" i="22" s="1"/>
  <c r="R592" i="22" s="1"/>
  <c r="S592" i="22" s="1"/>
  <c r="T592" i="22" s="1"/>
  <c r="U592" i="22" s="1"/>
  <c r="V592" i="22" s="1"/>
  <c r="W592" i="22" s="1"/>
  <c r="X592" i="22" s="1"/>
  <c r="Y592" i="22" s="1"/>
  <c r="Z592" i="22" s="1"/>
  <c r="AA592" i="22" s="1"/>
  <c r="AB592" i="22" s="1"/>
  <c r="AC592" i="22" s="1"/>
  <c r="AD592" i="22" s="1"/>
  <c r="AE592" i="22" s="1"/>
  <c r="AF592" i="22" s="1"/>
  <c r="AG592" i="22" s="1"/>
  <c r="AI660" i="22"/>
  <c r="AJ660" i="22" s="1"/>
  <c r="AK660" i="22" s="1"/>
  <c r="AL660" i="22" s="1"/>
  <c r="AM660" i="22" s="1"/>
  <c r="AN660" i="22" s="1"/>
  <c r="AO660" i="22" s="1"/>
  <c r="AP660" i="22" s="1"/>
  <c r="AQ660" i="22" s="1"/>
  <c r="AR660" i="22" s="1"/>
  <c r="AS660" i="22" s="1"/>
  <c r="AT660" i="22" s="1"/>
  <c r="AU660" i="22" s="1"/>
  <c r="AV660" i="22" s="1"/>
  <c r="AW660" i="22" s="1"/>
  <c r="AX660" i="22" s="1"/>
  <c r="AY660" i="22" s="1"/>
  <c r="AZ660" i="22" s="1"/>
  <c r="BA660" i="22" s="1"/>
  <c r="BB660" i="22" s="1"/>
  <c r="BC660" i="22" s="1"/>
  <c r="BD660" i="22" s="1"/>
  <c r="BE660" i="22" s="1"/>
  <c r="AI657" i="22"/>
  <c r="AJ657" i="22" s="1"/>
  <c r="AK657" i="22" s="1"/>
  <c r="AL657" i="22" s="1"/>
  <c r="AM657" i="22" s="1"/>
  <c r="AN657" i="22" s="1"/>
  <c r="AO657" i="22" s="1"/>
  <c r="AP657" i="22" s="1"/>
  <c r="AQ657" i="22" s="1"/>
  <c r="AR657" i="22" s="1"/>
  <c r="AS657" i="22" s="1"/>
  <c r="AT657" i="22" s="1"/>
  <c r="AU657" i="22" s="1"/>
  <c r="AV657" i="22" s="1"/>
  <c r="AW657" i="22" s="1"/>
  <c r="AX657" i="22" s="1"/>
  <c r="AY657" i="22" s="1"/>
  <c r="AZ657" i="22" s="1"/>
  <c r="BA657" i="22" s="1"/>
  <c r="BB657" i="22" s="1"/>
  <c r="BC657" i="22" s="1"/>
  <c r="BD657" i="22" s="1"/>
  <c r="BE657" i="22" s="1"/>
  <c r="AI650" i="22"/>
  <c r="AJ650" i="22" s="1"/>
  <c r="AK650" i="22" s="1"/>
  <c r="AL650" i="22" s="1"/>
  <c r="AM650" i="22" s="1"/>
  <c r="AN650" i="22" s="1"/>
  <c r="AO650" i="22" s="1"/>
  <c r="AP650" i="22" s="1"/>
  <c r="AQ650" i="22" s="1"/>
  <c r="AR650" i="22" s="1"/>
  <c r="AS650" i="22" s="1"/>
  <c r="AT650" i="22" s="1"/>
  <c r="AU650" i="22" s="1"/>
  <c r="AV650" i="22" s="1"/>
  <c r="AW650" i="22" s="1"/>
  <c r="AX650" i="22" s="1"/>
  <c r="AY650" i="22" s="1"/>
  <c r="AZ650" i="22" s="1"/>
  <c r="BA650" i="22" s="1"/>
  <c r="BB650" i="22" s="1"/>
  <c r="BC650" i="22" s="1"/>
  <c r="BD650" i="22" s="1"/>
  <c r="BE650" i="22" s="1"/>
  <c r="O615" i="22"/>
  <c r="P615" i="22" s="1"/>
  <c r="Q615" i="22" s="1"/>
  <c r="R615" i="22" s="1"/>
  <c r="S615" i="22" s="1"/>
  <c r="T615" i="22" s="1"/>
  <c r="U615" i="22" s="1"/>
  <c r="V615" i="22" s="1"/>
  <c r="W615" i="22" s="1"/>
  <c r="X615" i="22" s="1"/>
  <c r="Y615" i="22" s="1"/>
  <c r="Z615" i="22" s="1"/>
  <c r="AA615" i="22" s="1"/>
  <c r="AB615" i="22" s="1"/>
  <c r="AC615" i="22" s="1"/>
  <c r="AD615" i="22" s="1"/>
  <c r="AE615" i="22" s="1"/>
  <c r="AF615" i="22" s="1"/>
  <c r="AG615" i="22" s="1"/>
  <c r="AI603" i="22"/>
  <c r="AJ603" i="22" s="1"/>
  <c r="AK603" i="22" s="1"/>
  <c r="AL603" i="22" s="1"/>
  <c r="AM603" i="22" s="1"/>
  <c r="AN603" i="22" s="1"/>
  <c r="AO603" i="22" s="1"/>
  <c r="AP603" i="22" s="1"/>
  <c r="AQ603" i="22" s="1"/>
  <c r="AR603" i="22" s="1"/>
  <c r="AS603" i="22" s="1"/>
  <c r="AT603" i="22" s="1"/>
  <c r="AU603" i="22" s="1"/>
  <c r="AV603" i="22" s="1"/>
  <c r="AW603" i="22" s="1"/>
  <c r="AX603" i="22" s="1"/>
  <c r="AY603" i="22" s="1"/>
  <c r="AZ603" i="22" s="1"/>
  <c r="BA603" i="22" s="1"/>
  <c r="BB603" i="22" s="1"/>
  <c r="BC603" i="22" s="1"/>
  <c r="BD603" i="22" s="1"/>
  <c r="BE603" i="22" s="1"/>
  <c r="O697" i="22"/>
  <c r="P697" i="22" s="1"/>
  <c r="Q697" i="22" s="1"/>
  <c r="R697" i="22" s="1"/>
  <c r="S697" i="22" s="1"/>
  <c r="T697" i="22" s="1"/>
  <c r="U697" i="22" s="1"/>
  <c r="V697" i="22" s="1"/>
  <c r="W697" i="22" s="1"/>
  <c r="X697" i="22" s="1"/>
  <c r="Y697" i="22" s="1"/>
  <c r="Z697" i="22" s="1"/>
  <c r="AA697" i="22" s="1"/>
  <c r="AB697" i="22" s="1"/>
  <c r="AC697" i="22" s="1"/>
  <c r="AD697" i="22" s="1"/>
  <c r="AE697" i="22" s="1"/>
  <c r="AF697" i="22" s="1"/>
  <c r="AG697" i="22" s="1"/>
  <c r="AI632" i="22"/>
  <c r="AJ632" i="22" s="1"/>
  <c r="AK632" i="22" s="1"/>
  <c r="AL632" i="22" s="1"/>
  <c r="AM632" i="22" s="1"/>
  <c r="AN632" i="22" s="1"/>
  <c r="AO632" i="22" s="1"/>
  <c r="AP632" i="22" s="1"/>
  <c r="AQ632" i="22" s="1"/>
  <c r="AR632" i="22" s="1"/>
  <c r="AS632" i="22" s="1"/>
  <c r="AT632" i="22" s="1"/>
  <c r="AU632" i="22" s="1"/>
  <c r="AV632" i="22" s="1"/>
  <c r="AW632" i="22" s="1"/>
  <c r="AX632" i="22" s="1"/>
  <c r="AY632" i="22" s="1"/>
  <c r="AZ632" i="22" s="1"/>
  <c r="BA632" i="22" s="1"/>
  <c r="BB632" i="22" s="1"/>
  <c r="BC632" i="22" s="1"/>
  <c r="BD632" i="22" s="1"/>
  <c r="BE632" i="22" s="1"/>
  <c r="AI628" i="22"/>
  <c r="AJ628" i="22" s="1"/>
  <c r="AK628" i="22" s="1"/>
  <c r="AL628" i="22" s="1"/>
  <c r="AM628" i="22" s="1"/>
  <c r="AN628" i="22" s="1"/>
  <c r="AO628" i="22" s="1"/>
  <c r="AP628" i="22" s="1"/>
  <c r="AQ628" i="22" s="1"/>
  <c r="AR628" i="22" s="1"/>
  <c r="AS628" i="22" s="1"/>
  <c r="AT628" i="22" s="1"/>
  <c r="AU628" i="22" s="1"/>
  <c r="AV628" i="22" s="1"/>
  <c r="AW628" i="22" s="1"/>
  <c r="AX628" i="22" s="1"/>
  <c r="AY628" i="22" s="1"/>
  <c r="AZ628" i="22" s="1"/>
  <c r="BA628" i="22" s="1"/>
  <c r="BB628" i="22" s="1"/>
  <c r="BC628" i="22" s="1"/>
  <c r="BD628" i="22" s="1"/>
  <c r="BE628" i="22" s="1"/>
  <c r="AI626" i="22"/>
  <c r="AJ626" i="22" s="1"/>
  <c r="AK626" i="22" s="1"/>
  <c r="AL626" i="22" s="1"/>
  <c r="AM626" i="22" s="1"/>
  <c r="AN626" i="22" s="1"/>
  <c r="AO626" i="22" s="1"/>
  <c r="AP626" i="22" s="1"/>
  <c r="AQ626" i="22" s="1"/>
  <c r="AR626" i="22" s="1"/>
  <c r="AS626" i="22" s="1"/>
  <c r="AT626" i="22" s="1"/>
  <c r="AU626" i="22" s="1"/>
  <c r="AV626" i="22" s="1"/>
  <c r="AW626" i="22" s="1"/>
  <c r="AX626" i="22" s="1"/>
  <c r="AY626" i="22" s="1"/>
  <c r="AZ626" i="22" s="1"/>
  <c r="BA626" i="22" s="1"/>
  <c r="BB626" i="22" s="1"/>
  <c r="BC626" i="22" s="1"/>
  <c r="BD626" i="22" s="1"/>
  <c r="BE626" i="22" s="1"/>
  <c r="AI624" i="22"/>
  <c r="AJ624" i="22" s="1"/>
  <c r="AK624" i="22" s="1"/>
  <c r="AL624" i="22" s="1"/>
  <c r="AM624" i="22" s="1"/>
  <c r="AN624" i="22" s="1"/>
  <c r="AO624" i="22" s="1"/>
  <c r="AP624" i="22" s="1"/>
  <c r="AQ624" i="22" s="1"/>
  <c r="AR624" i="22" s="1"/>
  <c r="AS624" i="22" s="1"/>
  <c r="AT624" i="22" s="1"/>
  <c r="AU624" i="22" s="1"/>
  <c r="AV624" i="22" s="1"/>
  <c r="AW624" i="22" s="1"/>
  <c r="AX624" i="22" s="1"/>
  <c r="AY624" i="22" s="1"/>
  <c r="AZ624" i="22" s="1"/>
  <c r="BA624" i="22" s="1"/>
  <c r="BB624" i="22" s="1"/>
  <c r="BC624" i="22" s="1"/>
  <c r="BD624" i="22" s="1"/>
  <c r="BE624" i="22" s="1"/>
  <c r="O593" i="22"/>
  <c r="P593" i="22" s="1"/>
  <c r="Q593" i="22" s="1"/>
  <c r="R593" i="22" s="1"/>
  <c r="S593" i="22" s="1"/>
  <c r="T593" i="22" s="1"/>
  <c r="U593" i="22" s="1"/>
  <c r="V593" i="22" s="1"/>
  <c r="W593" i="22" s="1"/>
  <c r="X593" i="22" s="1"/>
  <c r="Y593" i="22" s="1"/>
  <c r="Z593" i="22" s="1"/>
  <c r="AA593" i="22" s="1"/>
  <c r="AB593" i="22" s="1"/>
  <c r="AC593" i="22" s="1"/>
  <c r="AD593" i="22" s="1"/>
  <c r="AE593" i="22" s="1"/>
  <c r="AF593" i="22" s="1"/>
  <c r="AG593" i="22" s="1"/>
  <c r="AI588" i="22"/>
  <c r="AJ588" i="22" s="1"/>
  <c r="AK588" i="22" s="1"/>
  <c r="AL588" i="22" s="1"/>
  <c r="AM588" i="22" s="1"/>
  <c r="AN588" i="22" s="1"/>
  <c r="AO588" i="22" s="1"/>
  <c r="AP588" i="22" s="1"/>
  <c r="AQ588" i="22" s="1"/>
  <c r="AR588" i="22" s="1"/>
  <c r="AS588" i="22" s="1"/>
  <c r="AT588" i="22" s="1"/>
  <c r="AU588" i="22" s="1"/>
  <c r="AV588" i="22" s="1"/>
  <c r="AW588" i="22" s="1"/>
  <c r="AX588" i="22" s="1"/>
  <c r="AY588" i="22" s="1"/>
  <c r="AZ588" i="22" s="1"/>
  <c r="BA588" i="22" s="1"/>
  <c r="BB588" i="22" s="1"/>
  <c r="BC588" i="22" s="1"/>
  <c r="BD588" i="22" s="1"/>
  <c r="BE588" i="22" s="1"/>
  <c r="AI584" i="22"/>
  <c r="AJ584" i="22" s="1"/>
  <c r="AK584" i="22" s="1"/>
  <c r="AL584" i="22" s="1"/>
  <c r="AM584" i="22" s="1"/>
  <c r="AN584" i="22" s="1"/>
  <c r="AO584" i="22" s="1"/>
  <c r="AP584" i="22" s="1"/>
  <c r="AQ584" i="22" s="1"/>
  <c r="AR584" i="22" s="1"/>
  <c r="AS584" i="22" s="1"/>
  <c r="AT584" i="22" s="1"/>
  <c r="AU584" i="22" s="1"/>
  <c r="AV584" i="22" s="1"/>
  <c r="AW584" i="22" s="1"/>
  <c r="AX584" i="22" s="1"/>
  <c r="AY584" i="22" s="1"/>
  <c r="AZ584" i="22" s="1"/>
  <c r="BA584" i="22" s="1"/>
  <c r="BB584" i="22" s="1"/>
  <c r="BC584" i="22" s="1"/>
  <c r="BD584" i="22" s="1"/>
  <c r="BE584" i="22" s="1"/>
  <c r="O584" i="22"/>
  <c r="P584" i="22" s="1"/>
  <c r="Q584" i="22" s="1"/>
  <c r="R584" i="22" s="1"/>
  <c r="S584" i="22" s="1"/>
  <c r="T584" i="22" s="1"/>
  <c r="U584" i="22" s="1"/>
  <c r="V584" i="22" s="1"/>
  <c r="W584" i="22" s="1"/>
  <c r="X584" i="22" s="1"/>
  <c r="Y584" i="22" s="1"/>
  <c r="Z584" i="22" s="1"/>
  <c r="AA584" i="22" s="1"/>
  <c r="AB584" i="22" s="1"/>
  <c r="AC584" i="22" s="1"/>
  <c r="AD584" i="22" s="1"/>
  <c r="AE584" i="22" s="1"/>
  <c r="AF584" i="22" s="1"/>
  <c r="AG584" i="22" s="1"/>
  <c r="AI580" i="22"/>
  <c r="AJ580" i="22" s="1"/>
  <c r="AK580" i="22" s="1"/>
  <c r="AL580" i="22" s="1"/>
  <c r="AM580" i="22" s="1"/>
  <c r="AN580" i="22" s="1"/>
  <c r="AO580" i="22" s="1"/>
  <c r="AP580" i="22" s="1"/>
  <c r="AQ580" i="22" s="1"/>
  <c r="AR580" i="22" s="1"/>
  <c r="AS580" i="22" s="1"/>
  <c r="AT580" i="22" s="1"/>
  <c r="AU580" i="22" s="1"/>
  <c r="AV580" i="22" s="1"/>
  <c r="AW580" i="22" s="1"/>
  <c r="AX580" i="22" s="1"/>
  <c r="AY580" i="22" s="1"/>
  <c r="AZ580" i="22" s="1"/>
  <c r="BA580" i="22" s="1"/>
  <c r="BB580" i="22" s="1"/>
  <c r="BC580" i="22" s="1"/>
  <c r="BD580" i="22" s="1"/>
  <c r="BE580" i="22" s="1"/>
  <c r="AI567" i="22"/>
  <c r="AJ567" i="22" s="1"/>
  <c r="AK567" i="22" s="1"/>
  <c r="AL567" i="22" s="1"/>
  <c r="AM567" i="22" s="1"/>
  <c r="AN567" i="22" s="1"/>
  <c r="AO567" i="22" s="1"/>
  <c r="AP567" i="22" s="1"/>
  <c r="AQ567" i="22" s="1"/>
  <c r="AR567" i="22" s="1"/>
  <c r="AS567" i="22" s="1"/>
  <c r="AT567" i="22" s="1"/>
  <c r="AU567" i="22" s="1"/>
  <c r="AV567" i="22" s="1"/>
  <c r="AW567" i="22" s="1"/>
  <c r="AX567" i="22" s="1"/>
  <c r="AY567" i="22" s="1"/>
  <c r="AZ567" i="22" s="1"/>
  <c r="BA567" i="22" s="1"/>
  <c r="BB567" i="22" s="1"/>
  <c r="BC567" i="22" s="1"/>
  <c r="BD567" i="22" s="1"/>
  <c r="BE567" i="22" s="1"/>
  <c r="AI707" i="22"/>
  <c r="AJ707" i="22" s="1"/>
  <c r="AK707" i="22" s="1"/>
  <c r="AL707" i="22" s="1"/>
  <c r="AM707" i="22" s="1"/>
  <c r="AN707" i="22" s="1"/>
  <c r="AO707" i="22" s="1"/>
  <c r="AP707" i="22" s="1"/>
  <c r="AQ707" i="22" s="1"/>
  <c r="AR707" i="22" s="1"/>
  <c r="AS707" i="22" s="1"/>
  <c r="AT707" i="22" s="1"/>
  <c r="AU707" i="22" s="1"/>
  <c r="AV707" i="22" s="1"/>
  <c r="AW707" i="22" s="1"/>
  <c r="AX707" i="22" s="1"/>
  <c r="AY707" i="22" s="1"/>
  <c r="AZ707" i="22" s="1"/>
  <c r="BA707" i="22" s="1"/>
  <c r="BB707" i="22" s="1"/>
  <c r="BC707" i="22" s="1"/>
  <c r="BD707" i="22" s="1"/>
  <c r="BE707" i="22" s="1"/>
  <c r="AI695" i="22"/>
  <c r="AJ695" i="22" s="1"/>
  <c r="AK695" i="22" s="1"/>
  <c r="AL695" i="22" s="1"/>
  <c r="AM695" i="22" s="1"/>
  <c r="AN695" i="22" s="1"/>
  <c r="AO695" i="22" s="1"/>
  <c r="AP695" i="22" s="1"/>
  <c r="AQ695" i="22" s="1"/>
  <c r="AR695" i="22" s="1"/>
  <c r="AS695" i="22" s="1"/>
  <c r="AT695" i="22" s="1"/>
  <c r="AU695" i="22" s="1"/>
  <c r="AV695" i="22" s="1"/>
  <c r="AW695" i="22" s="1"/>
  <c r="AX695" i="22" s="1"/>
  <c r="AY695" i="22" s="1"/>
  <c r="AZ695" i="22" s="1"/>
  <c r="BA695" i="22" s="1"/>
  <c r="BB695" i="22" s="1"/>
  <c r="BC695" i="22" s="1"/>
  <c r="BD695" i="22" s="1"/>
  <c r="BE695" i="22" s="1"/>
  <c r="AI597" i="22"/>
  <c r="AJ597" i="22" s="1"/>
  <c r="AK597" i="22" s="1"/>
  <c r="AL597" i="22" s="1"/>
  <c r="AM597" i="22" s="1"/>
  <c r="AN597" i="22" s="1"/>
  <c r="AO597" i="22" s="1"/>
  <c r="AP597" i="22" s="1"/>
  <c r="AQ597" i="22" s="1"/>
  <c r="AR597" i="22" s="1"/>
  <c r="AS597" i="22" s="1"/>
  <c r="AT597" i="22" s="1"/>
  <c r="AU597" i="22" s="1"/>
  <c r="AV597" i="22" s="1"/>
  <c r="AW597" i="22" s="1"/>
  <c r="AX597" i="22" s="1"/>
  <c r="AY597" i="22" s="1"/>
  <c r="AZ597" i="22" s="1"/>
  <c r="BA597" i="22" s="1"/>
  <c r="BB597" i="22" s="1"/>
  <c r="BC597" i="22" s="1"/>
  <c r="BD597" i="22" s="1"/>
  <c r="BE597" i="22" s="1"/>
  <c r="AI585" i="22"/>
  <c r="AJ585" i="22" s="1"/>
  <c r="AK585" i="22" s="1"/>
  <c r="AL585" i="22" s="1"/>
  <c r="AM585" i="22" s="1"/>
  <c r="AN585" i="22" s="1"/>
  <c r="AO585" i="22" s="1"/>
  <c r="AP585" i="22" s="1"/>
  <c r="AQ585" i="22" s="1"/>
  <c r="AR585" i="22" s="1"/>
  <c r="AS585" i="22" s="1"/>
  <c r="AT585" i="22" s="1"/>
  <c r="AU585" i="22" s="1"/>
  <c r="AV585" i="22" s="1"/>
  <c r="AW585" i="22" s="1"/>
  <c r="AX585" i="22" s="1"/>
  <c r="AY585" i="22" s="1"/>
  <c r="AZ585" i="22" s="1"/>
  <c r="BA585" i="22" s="1"/>
  <c r="BB585" i="22" s="1"/>
  <c r="BC585" i="22" s="1"/>
  <c r="BD585" i="22" s="1"/>
  <c r="BE585" i="22" s="1"/>
  <c r="O578" i="22"/>
  <c r="P578" i="22" s="1"/>
  <c r="Q578" i="22" s="1"/>
  <c r="R578" i="22" s="1"/>
  <c r="S578" i="22" s="1"/>
  <c r="T578" i="22" s="1"/>
  <c r="U578" i="22" s="1"/>
  <c r="V578" i="22" s="1"/>
  <c r="W578" i="22" s="1"/>
  <c r="X578" i="22" s="1"/>
  <c r="Y578" i="22" s="1"/>
  <c r="Z578" i="22" s="1"/>
  <c r="AA578" i="22" s="1"/>
  <c r="AB578" i="22" s="1"/>
  <c r="AC578" i="22" s="1"/>
  <c r="AD578" i="22" s="1"/>
  <c r="AE578" i="22" s="1"/>
  <c r="AF578" i="22" s="1"/>
  <c r="AG578" i="22" s="1"/>
  <c r="AI577" i="22"/>
  <c r="AJ577" i="22" s="1"/>
  <c r="AK577" i="22" s="1"/>
  <c r="AL577" i="22" s="1"/>
  <c r="AM577" i="22" s="1"/>
  <c r="AN577" i="22" s="1"/>
  <c r="AO577" i="22" s="1"/>
  <c r="AP577" i="22" s="1"/>
  <c r="AQ577" i="22" s="1"/>
  <c r="AR577" i="22" s="1"/>
  <c r="AS577" i="22" s="1"/>
  <c r="AT577" i="22" s="1"/>
  <c r="AU577" i="22" s="1"/>
  <c r="AV577" i="22" s="1"/>
  <c r="AW577" i="22" s="1"/>
  <c r="AX577" i="22" s="1"/>
  <c r="AY577" i="22" s="1"/>
  <c r="AZ577" i="22" s="1"/>
  <c r="BA577" i="22" s="1"/>
  <c r="BB577" i="22" s="1"/>
  <c r="BC577" i="22" s="1"/>
  <c r="BD577" i="22" s="1"/>
  <c r="BE577" i="22" s="1"/>
  <c r="O577" i="22"/>
  <c r="P577" i="22" s="1"/>
  <c r="Q577" i="22" s="1"/>
  <c r="R577" i="22" s="1"/>
  <c r="S577" i="22" s="1"/>
  <c r="T577" i="22" s="1"/>
  <c r="U577" i="22" s="1"/>
  <c r="V577" i="22" s="1"/>
  <c r="W577" i="22" s="1"/>
  <c r="X577" i="22" s="1"/>
  <c r="Y577" i="22" s="1"/>
  <c r="Z577" i="22" s="1"/>
  <c r="AA577" i="22" s="1"/>
  <c r="AB577" i="22" s="1"/>
  <c r="AC577" i="22" s="1"/>
  <c r="AD577" i="22" s="1"/>
  <c r="AE577" i="22" s="1"/>
  <c r="AF577" i="22" s="1"/>
  <c r="AG577" i="22" s="1"/>
  <c r="O567" i="22"/>
  <c r="P567" i="22" s="1"/>
  <c r="Q567" i="22" s="1"/>
  <c r="R567" i="22" s="1"/>
  <c r="S567" i="22" s="1"/>
  <c r="T567" i="22" s="1"/>
  <c r="U567" i="22" s="1"/>
  <c r="V567" i="22" s="1"/>
  <c r="W567" i="22" s="1"/>
  <c r="X567" i="22" s="1"/>
  <c r="Y567" i="22" s="1"/>
  <c r="Z567" i="22" s="1"/>
  <c r="AA567" i="22" s="1"/>
  <c r="AB567" i="22" s="1"/>
  <c r="AC567" i="22" s="1"/>
  <c r="AD567" i="22" s="1"/>
  <c r="AE567" i="22" s="1"/>
  <c r="AF567" i="22" s="1"/>
  <c r="AG567" i="22" s="1"/>
  <c r="O562" i="22"/>
  <c r="P562" i="22" s="1"/>
  <c r="Q562" i="22" s="1"/>
  <c r="R562" i="22" s="1"/>
  <c r="S562" i="22" s="1"/>
  <c r="T562" i="22" s="1"/>
  <c r="U562" i="22" s="1"/>
  <c r="V562" i="22" s="1"/>
  <c r="W562" i="22" s="1"/>
  <c r="X562" i="22" s="1"/>
  <c r="Y562" i="22" s="1"/>
  <c r="Z562" i="22" s="1"/>
  <c r="AA562" i="22" s="1"/>
  <c r="AB562" i="22" s="1"/>
  <c r="AC562" i="22" s="1"/>
  <c r="AD562" i="22" s="1"/>
  <c r="AE562" i="22" s="1"/>
  <c r="AF562" i="22" s="1"/>
  <c r="AG562" i="22" s="1"/>
  <c r="O556" i="22"/>
  <c r="P556" i="22" s="1"/>
  <c r="Q556" i="22" s="1"/>
  <c r="R556" i="22" s="1"/>
  <c r="S556" i="22" s="1"/>
  <c r="T556" i="22" s="1"/>
  <c r="U556" i="22" s="1"/>
  <c r="V556" i="22" s="1"/>
  <c r="W556" i="22" s="1"/>
  <c r="X556" i="22" s="1"/>
  <c r="Y556" i="22" s="1"/>
  <c r="Z556" i="22" s="1"/>
  <c r="AA556" i="22" s="1"/>
  <c r="AB556" i="22" s="1"/>
  <c r="AC556" i="22" s="1"/>
  <c r="AD556" i="22" s="1"/>
  <c r="AE556" i="22" s="1"/>
  <c r="AF556" i="22" s="1"/>
  <c r="AG556" i="22" s="1"/>
  <c r="O517" i="22"/>
  <c r="P517" i="22" s="1"/>
  <c r="Q517" i="22" s="1"/>
  <c r="R517" i="22" s="1"/>
  <c r="S517" i="22" s="1"/>
  <c r="T517" i="22" s="1"/>
  <c r="U517" i="22" s="1"/>
  <c r="V517" i="22" s="1"/>
  <c r="W517" i="22" s="1"/>
  <c r="X517" i="22" s="1"/>
  <c r="Y517" i="22" s="1"/>
  <c r="Z517" i="22" s="1"/>
  <c r="AA517" i="22" s="1"/>
  <c r="AB517" i="22" s="1"/>
  <c r="AC517" i="22" s="1"/>
  <c r="AD517" i="22" s="1"/>
  <c r="AE517" i="22" s="1"/>
  <c r="AF517" i="22" s="1"/>
  <c r="AG517" i="22" s="1"/>
  <c r="O505" i="22"/>
  <c r="P505" i="22" s="1"/>
  <c r="Q505" i="22" s="1"/>
  <c r="R505" i="22" s="1"/>
  <c r="S505" i="22" s="1"/>
  <c r="T505" i="22" s="1"/>
  <c r="U505" i="22" s="1"/>
  <c r="V505" i="22" s="1"/>
  <c r="W505" i="22" s="1"/>
  <c r="X505" i="22" s="1"/>
  <c r="Y505" i="22" s="1"/>
  <c r="Z505" i="22" s="1"/>
  <c r="AA505" i="22" s="1"/>
  <c r="AB505" i="22" s="1"/>
  <c r="AC505" i="22" s="1"/>
  <c r="AD505" i="22" s="1"/>
  <c r="AE505" i="22" s="1"/>
  <c r="AF505" i="22" s="1"/>
  <c r="AG505" i="22" s="1"/>
  <c r="AI503" i="22"/>
  <c r="AJ503" i="22" s="1"/>
  <c r="AK503" i="22" s="1"/>
  <c r="AL503" i="22" s="1"/>
  <c r="AM503" i="22" s="1"/>
  <c r="AN503" i="22" s="1"/>
  <c r="AO503" i="22" s="1"/>
  <c r="AP503" i="22" s="1"/>
  <c r="AQ503" i="22" s="1"/>
  <c r="AR503" i="22" s="1"/>
  <c r="AS503" i="22" s="1"/>
  <c r="AT503" i="22" s="1"/>
  <c r="AU503" i="22" s="1"/>
  <c r="AV503" i="22" s="1"/>
  <c r="AW503" i="22" s="1"/>
  <c r="AX503" i="22" s="1"/>
  <c r="AY503" i="22" s="1"/>
  <c r="AZ503" i="22" s="1"/>
  <c r="BA503" i="22" s="1"/>
  <c r="BB503" i="22" s="1"/>
  <c r="BC503" i="22" s="1"/>
  <c r="BD503" i="22" s="1"/>
  <c r="BE503" i="22" s="1"/>
  <c r="O486" i="22"/>
  <c r="P486" i="22" s="1"/>
  <c r="Q486" i="22" s="1"/>
  <c r="R486" i="22" s="1"/>
  <c r="S486" i="22" s="1"/>
  <c r="T486" i="22" s="1"/>
  <c r="U486" i="22" s="1"/>
  <c r="V486" i="22" s="1"/>
  <c r="W486" i="22" s="1"/>
  <c r="X486" i="22" s="1"/>
  <c r="Y486" i="22" s="1"/>
  <c r="Z486" i="22" s="1"/>
  <c r="AA486" i="22" s="1"/>
  <c r="AB486" i="22" s="1"/>
  <c r="AC486" i="22" s="1"/>
  <c r="AD486" i="22" s="1"/>
  <c r="AE486" i="22" s="1"/>
  <c r="AF486" i="22" s="1"/>
  <c r="AG486" i="22" s="1"/>
  <c r="O481" i="22"/>
  <c r="P481" i="22" s="1"/>
  <c r="Q481" i="22" s="1"/>
  <c r="R481" i="22" s="1"/>
  <c r="S481" i="22" s="1"/>
  <c r="T481" i="22" s="1"/>
  <c r="U481" i="22" s="1"/>
  <c r="V481" i="22" s="1"/>
  <c r="W481" i="22" s="1"/>
  <c r="X481" i="22" s="1"/>
  <c r="Y481" i="22" s="1"/>
  <c r="Z481" i="22" s="1"/>
  <c r="AA481" i="22" s="1"/>
  <c r="AB481" i="22" s="1"/>
  <c r="AC481" i="22" s="1"/>
  <c r="AD481" i="22" s="1"/>
  <c r="AE481" i="22" s="1"/>
  <c r="AF481" i="22" s="1"/>
  <c r="AG481" i="22" s="1"/>
  <c r="AI479" i="22"/>
  <c r="AJ479" i="22" s="1"/>
  <c r="AK479" i="22" s="1"/>
  <c r="AL479" i="22" s="1"/>
  <c r="AM479" i="22" s="1"/>
  <c r="AN479" i="22" s="1"/>
  <c r="AO479" i="22" s="1"/>
  <c r="AP479" i="22" s="1"/>
  <c r="AQ479" i="22" s="1"/>
  <c r="AR479" i="22" s="1"/>
  <c r="AS479" i="22" s="1"/>
  <c r="AT479" i="22" s="1"/>
  <c r="AU479" i="22" s="1"/>
  <c r="AV479" i="22" s="1"/>
  <c r="AW479" i="22" s="1"/>
  <c r="AX479" i="22" s="1"/>
  <c r="AY479" i="22" s="1"/>
  <c r="AZ479" i="22" s="1"/>
  <c r="BA479" i="22" s="1"/>
  <c r="BB479" i="22" s="1"/>
  <c r="BC479" i="22" s="1"/>
  <c r="BD479" i="22" s="1"/>
  <c r="BE479" i="22" s="1"/>
  <c r="O462" i="22"/>
  <c r="P462" i="22" s="1"/>
  <c r="Q462" i="22" s="1"/>
  <c r="R462" i="22" s="1"/>
  <c r="S462" i="22" s="1"/>
  <c r="T462" i="22" s="1"/>
  <c r="U462" i="22" s="1"/>
  <c r="V462" i="22" s="1"/>
  <c r="W462" i="22" s="1"/>
  <c r="X462" i="22" s="1"/>
  <c r="Y462" i="22" s="1"/>
  <c r="Z462" i="22" s="1"/>
  <c r="AA462" i="22" s="1"/>
  <c r="AB462" i="22" s="1"/>
  <c r="AC462" i="22" s="1"/>
  <c r="AD462" i="22" s="1"/>
  <c r="AE462" i="22" s="1"/>
  <c r="AF462" i="22" s="1"/>
  <c r="AG462" i="22" s="1"/>
  <c r="O457" i="22"/>
  <c r="P457" i="22" s="1"/>
  <c r="Q457" i="22" s="1"/>
  <c r="R457" i="22" s="1"/>
  <c r="S457" i="22" s="1"/>
  <c r="T457" i="22" s="1"/>
  <c r="U457" i="22" s="1"/>
  <c r="V457" i="22" s="1"/>
  <c r="W457" i="22" s="1"/>
  <c r="X457" i="22" s="1"/>
  <c r="Y457" i="22" s="1"/>
  <c r="Z457" i="22" s="1"/>
  <c r="AA457" i="22" s="1"/>
  <c r="AB457" i="22" s="1"/>
  <c r="AC457" i="22" s="1"/>
  <c r="AD457" i="22" s="1"/>
  <c r="AE457" i="22" s="1"/>
  <c r="AF457" i="22" s="1"/>
  <c r="AG457" i="22" s="1"/>
  <c r="AI455" i="22"/>
  <c r="AJ455" i="22" s="1"/>
  <c r="AK455" i="22" s="1"/>
  <c r="AL455" i="22" s="1"/>
  <c r="AM455" i="22" s="1"/>
  <c r="AN455" i="22" s="1"/>
  <c r="AO455" i="22" s="1"/>
  <c r="AP455" i="22" s="1"/>
  <c r="AQ455" i="22" s="1"/>
  <c r="AR455" i="22" s="1"/>
  <c r="AS455" i="22" s="1"/>
  <c r="AT455" i="22" s="1"/>
  <c r="AU455" i="22" s="1"/>
  <c r="AV455" i="22" s="1"/>
  <c r="AW455" i="22" s="1"/>
  <c r="AX455" i="22" s="1"/>
  <c r="AY455" i="22" s="1"/>
  <c r="AZ455" i="22" s="1"/>
  <c r="BA455" i="22" s="1"/>
  <c r="BB455" i="22" s="1"/>
  <c r="BC455" i="22" s="1"/>
  <c r="BD455" i="22" s="1"/>
  <c r="BE455" i="22" s="1"/>
  <c r="AI608" i="22"/>
  <c r="AJ608" i="22" s="1"/>
  <c r="AK608" i="22" s="1"/>
  <c r="AL608" i="22" s="1"/>
  <c r="AM608" i="22" s="1"/>
  <c r="AN608" i="22" s="1"/>
  <c r="AO608" i="22" s="1"/>
  <c r="AP608" i="22" s="1"/>
  <c r="AQ608" i="22" s="1"/>
  <c r="AR608" i="22" s="1"/>
  <c r="AS608" i="22" s="1"/>
  <c r="AT608" i="22" s="1"/>
  <c r="AU608" i="22" s="1"/>
  <c r="AV608" i="22" s="1"/>
  <c r="AW608" i="22" s="1"/>
  <c r="AX608" i="22" s="1"/>
  <c r="AY608" i="22" s="1"/>
  <c r="AZ608" i="22" s="1"/>
  <c r="BA608" i="22" s="1"/>
  <c r="BB608" i="22" s="1"/>
  <c r="BC608" i="22" s="1"/>
  <c r="BD608" i="22" s="1"/>
  <c r="BE608" i="22" s="1"/>
  <c r="O599" i="22"/>
  <c r="P599" i="22" s="1"/>
  <c r="Q599" i="22" s="1"/>
  <c r="R599" i="22" s="1"/>
  <c r="S599" i="22" s="1"/>
  <c r="T599" i="22" s="1"/>
  <c r="U599" i="22" s="1"/>
  <c r="V599" i="22" s="1"/>
  <c r="W599" i="22" s="1"/>
  <c r="X599" i="22" s="1"/>
  <c r="Y599" i="22" s="1"/>
  <c r="Z599" i="22" s="1"/>
  <c r="AA599" i="22" s="1"/>
  <c r="AB599" i="22" s="1"/>
  <c r="AC599" i="22" s="1"/>
  <c r="AD599" i="22" s="1"/>
  <c r="AE599" i="22" s="1"/>
  <c r="AF599" i="22" s="1"/>
  <c r="AG599" i="22" s="1"/>
  <c r="AI593" i="22"/>
  <c r="AJ593" i="22" s="1"/>
  <c r="AK593" i="22" s="1"/>
  <c r="AL593" i="22" s="1"/>
  <c r="AM593" i="22" s="1"/>
  <c r="AN593" i="22" s="1"/>
  <c r="AO593" i="22" s="1"/>
  <c r="AP593" i="22" s="1"/>
  <c r="AQ593" i="22" s="1"/>
  <c r="AR593" i="22" s="1"/>
  <c r="AS593" i="22" s="1"/>
  <c r="AT593" i="22" s="1"/>
  <c r="AU593" i="22" s="1"/>
  <c r="AV593" i="22" s="1"/>
  <c r="AW593" i="22" s="1"/>
  <c r="AX593" i="22" s="1"/>
  <c r="AY593" i="22" s="1"/>
  <c r="AZ593" i="22" s="1"/>
  <c r="BA593" i="22" s="1"/>
  <c r="BB593" i="22" s="1"/>
  <c r="BC593" i="22" s="1"/>
  <c r="BD593" i="22" s="1"/>
  <c r="BE593" i="22" s="1"/>
  <c r="AI578" i="22"/>
  <c r="AJ578" i="22" s="1"/>
  <c r="AK578" i="22" s="1"/>
  <c r="AL578" i="22" s="1"/>
  <c r="AM578" i="22" s="1"/>
  <c r="AN578" i="22" s="1"/>
  <c r="AO578" i="22" s="1"/>
  <c r="AP578" i="22" s="1"/>
  <c r="AQ578" i="22" s="1"/>
  <c r="AR578" i="22" s="1"/>
  <c r="AS578" i="22" s="1"/>
  <c r="AT578" i="22" s="1"/>
  <c r="AU578" i="22" s="1"/>
  <c r="AV578" i="22" s="1"/>
  <c r="AW578" i="22" s="1"/>
  <c r="AX578" i="22" s="1"/>
  <c r="AY578" i="22" s="1"/>
  <c r="AZ578" i="22" s="1"/>
  <c r="BA578" i="22" s="1"/>
  <c r="BB578" i="22" s="1"/>
  <c r="BC578" i="22" s="1"/>
  <c r="BD578" i="22" s="1"/>
  <c r="BE578" i="22" s="1"/>
  <c r="AI574" i="22"/>
  <c r="AJ574" i="22" s="1"/>
  <c r="AK574" i="22" s="1"/>
  <c r="AL574" i="22" s="1"/>
  <c r="AM574" i="22" s="1"/>
  <c r="AN574" i="22" s="1"/>
  <c r="AO574" i="22" s="1"/>
  <c r="AP574" i="22" s="1"/>
  <c r="AQ574" i="22" s="1"/>
  <c r="AR574" i="22" s="1"/>
  <c r="AS574" i="22" s="1"/>
  <c r="AT574" i="22" s="1"/>
  <c r="AU574" i="22" s="1"/>
  <c r="AV574" i="22" s="1"/>
  <c r="AW574" i="22" s="1"/>
  <c r="AX574" i="22" s="1"/>
  <c r="AY574" i="22" s="1"/>
  <c r="AZ574" i="22" s="1"/>
  <c r="BA574" i="22" s="1"/>
  <c r="BB574" i="22" s="1"/>
  <c r="BC574" i="22" s="1"/>
  <c r="BD574" i="22" s="1"/>
  <c r="BE574" i="22" s="1"/>
  <c r="AI566" i="22"/>
  <c r="AJ566" i="22" s="1"/>
  <c r="AK566" i="22" s="1"/>
  <c r="AL566" i="22" s="1"/>
  <c r="AM566" i="22" s="1"/>
  <c r="AN566" i="22" s="1"/>
  <c r="AO566" i="22" s="1"/>
  <c r="AP566" i="22" s="1"/>
  <c r="AQ566" i="22" s="1"/>
  <c r="AR566" i="22" s="1"/>
  <c r="AS566" i="22" s="1"/>
  <c r="AT566" i="22" s="1"/>
  <c r="AU566" i="22" s="1"/>
  <c r="AV566" i="22" s="1"/>
  <c r="AW566" i="22" s="1"/>
  <c r="AX566" i="22" s="1"/>
  <c r="AY566" i="22" s="1"/>
  <c r="AZ566" i="22" s="1"/>
  <c r="BA566" i="22" s="1"/>
  <c r="BB566" i="22" s="1"/>
  <c r="BC566" i="22" s="1"/>
  <c r="BD566" i="22" s="1"/>
  <c r="BE566" i="22" s="1"/>
  <c r="O685" i="22"/>
  <c r="P685" i="22" s="1"/>
  <c r="Q685" i="22" s="1"/>
  <c r="R685" i="22" s="1"/>
  <c r="S685" i="22" s="1"/>
  <c r="T685" i="22" s="1"/>
  <c r="U685" i="22" s="1"/>
  <c r="V685" i="22" s="1"/>
  <c r="W685" i="22" s="1"/>
  <c r="X685" i="22" s="1"/>
  <c r="Y685" i="22" s="1"/>
  <c r="Z685" i="22" s="1"/>
  <c r="AA685" i="22" s="1"/>
  <c r="AB685" i="22" s="1"/>
  <c r="AC685" i="22" s="1"/>
  <c r="AD685" i="22" s="1"/>
  <c r="AE685" i="22" s="1"/>
  <c r="AF685" i="22" s="1"/>
  <c r="AG685" i="22" s="1"/>
  <c r="AI654" i="22"/>
  <c r="AJ654" i="22" s="1"/>
  <c r="AK654" i="22" s="1"/>
  <c r="AL654" i="22" s="1"/>
  <c r="AM654" i="22" s="1"/>
  <c r="AN654" i="22" s="1"/>
  <c r="AO654" i="22" s="1"/>
  <c r="AP654" i="22" s="1"/>
  <c r="AQ654" i="22" s="1"/>
  <c r="AR654" i="22" s="1"/>
  <c r="AS654" i="22" s="1"/>
  <c r="AT654" i="22" s="1"/>
  <c r="AU654" i="22" s="1"/>
  <c r="AV654" i="22" s="1"/>
  <c r="AW654" i="22" s="1"/>
  <c r="AX654" i="22" s="1"/>
  <c r="AY654" i="22" s="1"/>
  <c r="AZ654" i="22" s="1"/>
  <c r="BA654" i="22" s="1"/>
  <c r="BB654" i="22" s="1"/>
  <c r="BC654" i="22" s="1"/>
  <c r="BD654" i="22" s="1"/>
  <c r="BE654" i="22" s="1"/>
  <c r="O627" i="22"/>
  <c r="P627" i="22" s="1"/>
  <c r="Q627" i="22" s="1"/>
  <c r="R627" i="22" s="1"/>
  <c r="S627" i="22" s="1"/>
  <c r="T627" i="22" s="1"/>
  <c r="U627" i="22" s="1"/>
  <c r="V627" i="22" s="1"/>
  <c r="W627" i="22" s="1"/>
  <c r="X627" i="22" s="1"/>
  <c r="Y627" i="22" s="1"/>
  <c r="Z627" i="22" s="1"/>
  <c r="AA627" i="22" s="1"/>
  <c r="AB627" i="22" s="1"/>
  <c r="AC627" i="22" s="1"/>
  <c r="AD627" i="22" s="1"/>
  <c r="AE627" i="22" s="1"/>
  <c r="AF627" i="22" s="1"/>
  <c r="AG627" i="22" s="1"/>
  <c r="O624" i="22"/>
  <c r="P624" i="22" s="1"/>
  <c r="Q624" i="22" s="1"/>
  <c r="R624" i="22" s="1"/>
  <c r="S624" i="22" s="1"/>
  <c r="T624" i="22" s="1"/>
  <c r="U624" i="22" s="1"/>
  <c r="V624" i="22" s="1"/>
  <c r="W624" i="22" s="1"/>
  <c r="X624" i="22" s="1"/>
  <c r="Y624" i="22" s="1"/>
  <c r="Z624" i="22" s="1"/>
  <c r="AA624" i="22" s="1"/>
  <c r="AB624" i="22" s="1"/>
  <c r="AC624" i="22" s="1"/>
  <c r="AD624" i="22" s="1"/>
  <c r="AE624" i="22" s="1"/>
  <c r="AF624" i="22" s="1"/>
  <c r="AG624" i="22" s="1"/>
  <c r="O614" i="22"/>
  <c r="P614" i="22" s="1"/>
  <c r="Q614" i="22" s="1"/>
  <c r="R614" i="22" s="1"/>
  <c r="S614" i="22" s="1"/>
  <c r="T614" i="22" s="1"/>
  <c r="U614" i="22" s="1"/>
  <c r="V614" i="22" s="1"/>
  <c r="W614" i="22" s="1"/>
  <c r="X614" i="22" s="1"/>
  <c r="Y614" i="22" s="1"/>
  <c r="Z614" i="22" s="1"/>
  <c r="AA614" i="22" s="1"/>
  <c r="AB614" i="22" s="1"/>
  <c r="AC614" i="22" s="1"/>
  <c r="AD614" i="22" s="1"/>
  <c r="AE614" i="22" s="1"/>
  <c r="AF614" i="22" s="1"/>
  <c r="AG614" i="22" s="1"/>
  <c r="AI594" i="22"/>
  <c r="AJ594" i="22" s="1"/>
  <c r="AK594" i="22" s="1"/>
  <c r="AL594" i="22" s="1"/>
  <c r="AM594" i="22" s="1"/>
  <c r="AN594" i="22" s="1"/>
  <c r="AO594" i="22" s="1"/>
  <c r="AP594" i="22" s="1"/>
  <c r="AQ594" i="22" s="1"/>
  <c r="AR594" i="22" s="1"/>
  <c r="AS594" i="22" s="1"/>
  <c r="AT594" i="22" s="1"/>
  <c r="AU594" i="22" s="1"/>
  <c r="AV594" i="22" s="1"/>
  <c r="AW594" i="22" s="1"/>
  <c r="AX594" i="22" s="1"/>
  <c r="AY594" i="22" s="1"/>
  <c r="AZ594" i="22" s="1"/>
  <c r="BA594" i="22" s="1"/>
  <c r="BB594" i="22" s="1"/>
  <c r="BC594" i="22" s="1"/>
  <c r="BD594" i="22" s="1"/>
  <c r="BE594" i="22" s="1"/>
  <c r="AI570" i="22"/>
  <c r="AJ570" i="22" s="1"/>
  <c r="AK570" i="22" s="1"/>
  <c r="AL570" i="22" s="1"/>
  <c r="AM570" i="22" s="1"/>
  <c r="AN570" i="22" s="1"/>
  <c r="AO570" i="22" s="1"/>
  <c r="AP570" i="22" s="1"/>
  <c r="AQ570" i="22" s="1"/>
  <c r="AR570" i="22" s="1"/>
  <c r="AS570" i="22" s="1"/>
  <c r="AT570" i="22" s="1"/>
  <c r="AU570" i="22" s="1"/>
  <c r="AV570" i="22" s="1"/>
  <c r="AW570" i="22" s="1"/>
  <c r="AX570" i="22" s="1"/>
  <c r="AY570" i="22" s="1"/>
  <c r="AZ570" i="22" s="1"/>
  <c r="BA570" i="22" s="1"/>
  <c r="BB570" i="22" s="1"/>
  <c r="BC570" i="22" s="1"/>
  <c r="BD570" i="22" s="1"/>
  <c r="BE570" i="22" s="1"/>
  <c r="AI565" i="22"/>
  <c r="AJ565" i="22" s="1"/>
  <c r="AK565" i="22" s="1"/>
  <c r="AL565" i="22" s="1"/>
  <c r="AM565" i="22" s="1"/>
  <c r="AN565" i="22" s="1"/>
  <c r="AO565" i="22" s="1"/>
  <c r="AP565" i="22" s="1"/>
  <c r="AQ565" i="22" s="1"/>
  <c r="AR565" i="22" s="1"/>
  <c r="AS565" i="22" s="1"/>
  <c r="AT565" i="22" s="1"/>
  <c r="AU565" i="22" s="1"/>
  <c r="AV565" i="22" s="1"/>
  <c r="AW565" i="22" s="1"/>
  <c r="AX565" i="22" s="1"/>
  <c r="AY565" i="22" s="1"/>
  <c r="AZ565" i="22" s="1"/>
  <c r="BA565" i="22" s="1"/>
  <c r="BB565" i="22" s="1"/>
  <c r="BC565" i="22" s="1"/>
  <c r="BD565" i="22" s="1"/>
  <c r="BE565" i="22" s="1"/>
  <c r="O565" i="22"/>
  <c r="P565" i="22" s="1"/>
  <c r="Q565" i="22" s="1"/>
  <c r="R565" i="22" s="1"/>
  <c r="S565" i="22" s="1"/>
  <c r="T565" i="22" s="1"/>
  <c r="U565" i="22" s="1"/>
  <c r="V565" i="22" s="1"/>
  <c r="W565" i="22" s="1"/>
  <c r="X565" i="22" s="1"/>
  <c r="Y565" i="22" s="1"/>
  <c r="Z565" i="22" s="1"/>
  <c r="AA565" i="22" s="1"/>
  <c r="AB565" i="22" s="1"/>
  <c r="AC565" i="22" s="1"/>
  <c r="AD565" i="22" s="1"/>
  <c r="AE565" i="22" s="1"/>
  <c r="AF565" i="22" s="1"/>
  <c r="AG565" i="22" s="1"/>
  <c r="O560" i="22"/>
  <c r="P560" i="22" s="1"/>
  <c r="Q560" i="22" s="1"/>
  <c r="R560" i="22" s="1"/>
  <c r="S560" i="22" s="1"/>
  <c r="T560" i="22" s="1"/>
  <c r="U560" i="22" s="1"/>
  <c r="V560" i="22" s="1"/>
  <c r="W560" i="22" s="1"/>
  <c r="X560" i="22" s="1"/>
  <c r="Y560" i="22" s="1"/>
  <c r="Z560" i="22" s="1"/>
  <c r="AA560" i="22" s="1"/>
  <c r="AB560" i="22" s="1"/>
  <c r="AC560" i="22" s="1"/>
  <c r="AD560" i="22" s="1"/>
  <c r="AE560" i="22" s="1"/>
  <c r="AF560" i="22" s="1"/>
  <c r="AG560" i="22" s="1"/>
  <c r="O637" i="22"/>
  <c r="P637" i="22" s="1"/>
  <c r="Q637" i="22" s="1"/>
  <c r="R637" i="22" s="1"/>
  <c r="S637" i="22" s="1"/>
  <c r="T637" i="22" s="1"/>
  <c r="U637" i="22" s="1"/>
  <c r="V637" i="22" s="1"/>
  <c r="W637" i="22" s="1"/>
  <c r="X637" i="22" s="1"/>
  <c r="Y637" i="22" s="1"/>
  <c r="Z637" i="22" s="1"/>
  <c r="AA637" i="22" s="1"/>
  <c r="AB637" i="22" s="1"/>
  <c r="AC637" i="22" s="1"/>
  <c r="AD637" i="22" s="1"/>
  <c r="AE637" i="22" s="1"/>
  <c r="AF637" i="22" s="1"/>
  <c r="AG637" i="22" s="1"/>
  <c r="AI591" i="22"/>
  <c r="AJ591" i="22" s="1"/>
  <c r="AK591" i="22" s="1"/>
  <c r="AL591" i="22" s="1"/>
  <c r="AM591" i="22" s="1"/>
  <c r="AN591" i="22" s="1"/>
  <c r="AO591" i="22" s="1"/>
  <c r="AP591" i="22" s="1"/>
  <c r="AQ591" i="22" s="1"/>
  <c r="AR591" i="22" s="1"/>
  <c r="AS591" i="22" s="1"/>
  <c r="AT591" i="22" s="1"/>
  <c r="AU591" i="22" s="1"/>
  <c r="AV591" i="22" s="1"/>
  <c r="AW591" i="22" s="1"/>
  <c r="AX591" i="22" s="1"/>
  <c r="AY591" i="22" s="1"/>
  <c r="AZ591" i="22" s="1"/>
  <c r="BA591" i="22" s="1"/>
  <c r="BB591" i="22" s="1"/>
  <c r="BC591" i="22" s="1"/>
  <c r="BD591" i="22" s="1"/>
  <c r="BE591" i="22" s="1"/>
  <c r="O590" i="22"/>
  <c r="P590" i="22" s="1"/>
  <c r="Q590" i="22" s="1"/>
  <c r="R590" i="22" s="1"/>
  <c r="S590" i="22" s="1"/>
  <c r="T590" i="22" s="1"/>
  <c r="U590" i="22" s="1"/>
  <c r="V590" i="22" s="1"/>
  <c r="W590" i="22" s="1"/>
  <c r="X590" i="22" s="1"/>
  <c r="Y590" i="22" s="1"/>
  <c r="Z590" i="22" s="1"/>
  <c r="AA590" i="22" s="1"/>
  <c r="AB590" i="22" s="1"/>
  <c r="AC590" i="22" s="1"/>
  <c r="AD590" i="22" s="1"/>
  <c r="AE590" i="22" s="1"/>
  <c r="AF590" i="22" s="1"/>
  <c r="AG590" i="22" s="1"/>
  <c r="O587" i="22"/>
  <c r="P587" i="22" s="1"/>
  <c r="Q587" i="22" s="1"/>
  <c r="R587" i="22" s="1"/>
  <c r="S587" i="22" s="1"/>
  <c r="T587" i="22" s="1"/>
  <c r="U587" i="22" s="1"/>
  <c r="V587" i="22" s="1"/>
  <c r="W587" i="22" s="1"/>
  <c r="X587" i="22" s="1"/>
  <c r="Y587" i="22" s="1"/>
  <c r="Z587" i="22" s="1"/>
  <c r="AA587" i="22" s="1"/>
  <c r="AB587" i="22" s="1"/>
  <c r="AC587" i="22" s="1"/>
  <c r="AD587" i="22" s="1"/>
  <c r="AE587" i="22" s="1"/>
  <c r="AF587" i="22" s="1"/>
  <c r="AG587" i="22" s="1"/>
  <c r="O568" i="22"/>
  <c r="P568" i="22" s="1"/>
  <c r="Q568" i="22" s="1"/>
  <c r="R568" i="22" s="1"/>
  <c r="S568" i="22" s="1"/>
  <c r="T568" i="22" s="1"/>
  <c r="U568" i="22" s="1"/>
  <c r="V568" i="22" s="1"/>
  <c r="W568" i="22" s="1"/>
  <c r="X568" i="22" s="1"/>
  <c r="Y568" i="22" s="1"/>
  <c r="Z568" i="22" s="1"/>
  <c r="AA568" i="22" s="1"/>
  <c r="AB568" i="22" s="1"/>
  <c r="AC568" i="22" s="1"/>
  <c r="AD568" i="22" s="1"/>
  <c r="AE568" i="22" s="1"/>
  <c r="AF568" i="22" s="1"/>
  <c r="AG568" i="22" s="1"/>
  <c r="O564" i="22"/>
  <c r="P564" i="22" s="1"/>
  <c r="Q564" i="22" s="1"/>
  <c r="R564" i="22" s="1"/>
  <c r="S564" i="22" s="1"/>
  <c r="T564" i="22" s="1"/>
  <c r="U564" i="22" s="1"/>
  <c r="V564" i="22" s="1"/>
  <c r="W564" i="22" s="1"/>
  <c r="X564" i="22" s="1"/>
  <c r="Y564" i="22" s="1"/>
  <c r="Z564" i="22" s="1"/>
  <c r="AA564" i="22" s="1"/>
  <c r="AB564" i="22" s="1"/>
  <c r="AC564" i="22" s="1"/>
  <c r="AD564" i="22" s="1"/>
  <c r="AE564" i="22" s="1"/>
  <c r="AF564" i="22" s="1"/>
  <c r="AG564" i="22" s="1"/>
  <c r="O557" i="22"/>
  <c r="P557" i="22" s="1"/>
  <c r="Q557" i="22" s="1"/>
  <c r="R557" i="22" s="1"/>
  <c r="S557" i="22" s="1"/>
  <c r="T557" i="22" s="1"/>
  <c r="U557" i="22" s="1"/>
  <c r="V557" i="22" s="1"/>
  <c r="W557" i="22" s="1"/>
  <c r="X557" i="22" s="1"/>
  <c r="Y557" i="22" s="1"/>
  <c r="Z557" i="22" s="1"/>
  <c r="AA557" i="22" s="1"/>
  <c r="AB557" i="22" s="1"/>
  <c r="AC557" i="22" s="1"/>
  <c r="AD557" i="22" s="1"/>
  <c r="AE557" i="22" s="1"/>
  <c r="AF557" i="22" s="1"/>
  <c r="AG557" i="22" s="1"/>
  <c r="O553" i="22"/>
  <c r="P553" i="22" s="1"/>
  <c r="Q553" i="22" s="1"/>
  <c r="R553" i="22" s="1"/>
  <c r="S553" i="22" s="1"/>
  <c r="T553" i="22" s="1"/>
  <c r="U553" i="22" s="1"/>
  <c r="V553" i="22" s="1"/>
  <c r="W553" i="22" s="1"/>
  <c r="X553" i="22" s="1"/>
  <c r="Y553" i="22" s="1"/>
  <c r="Z553" i="22" s="1"/>
  <c r="AA553" i="22" s="1"/>
  <c r="AB553" i="22" s="1"/>
  <c r="AC553" i="22" s="1"/>
  <c r="AD553" i="22" s="1"/>
  <c r="AE553" i="22" s="1"/>
  <c r="AF553" i="22" s="1"/>
  <c r="AG553" i="22" s="1"/>
  <c r="AI552" i="22"/>
  <c r="AJ552" i="22" s="1"/>
  <c r="AK552" i="22" s="1"/>
  <c r="AL552" i="22" s="1"/>
  <c r="AM552" i="22" s="1"/>
  <c r="AN552" i="22" s="1"/>
  <c r="AO552" i="22" s="1"/>
  <c r="AP552" i="22" s="1"/>
  <c r="AQ552" i="22" s="1"/>
  <c r="AR552" i="22" s="1"/>
  <c r="AS552" i="22" s="1"/>
  <c r="AT552" i="22" s="1"/>
  <c r="AU552" i="22" s="1"/>
  <c r="AV552" i="22" s="1"/>
  <c r="AW552" i="22" s="1"/>
  <c r="AX552" i="22" s="1"/>
  <c r="AY552" i="22" s="1"/>
  <c r="AZ552" i="22" s="1"/>
  <c r="BA552" i="22" s="1"/>
  <c r="BB552" i="22" s="1"/>
  <c r="BC552" i="22" s="1"/>
  <c r="BD552" i="22" s="1"/>
  <c r="BE552" i="22" s="1"/>
  <c r="O552" i="22"/>
  <c r="P552" i="22" s="1"/>
  <c r="Q552" i="22" s="1"/>
  <c r="R552" i="22" s="1"/>
  <c r="S552" i="22" s="1"/>
  <c r="T552" i="22" s="1"/>
  <c r="U552" i="22" s="1"/>
  <c r="V552" i="22" s="1"/>
  <c r="W552" i="22" s="1"/>
  <c r="X552" i="22" s="1"/>
  <c r="Y552" i="22" s="1"/>
  <c r="Z552" i="22" s="1"/>
  <c r="AA552" i="22" s="1"/>
  <c r="AB552" i="22" s="1"/>
  <c r="AC552" i="22" s="1"/>
  <c r="AD552" i="22" s="1"/>
  <c r="AE552" i="22" s="1"/>
  <c r="AF552" i="22" s="1"/>
  <c r="AG552" i="22" s="1"/>
  <c r="O547" i="22"/>
  <c r="P547" i="22" s="1"/>
  <c r="Q547" i="22" s="1"/>
  <c r="R547" i="22" s="1"/>
  <c r="S547" i="22" s="1"/>
  <c r="T547" i="22" s="1"/>
  <c r="U547" i="22" s="1"/>
  <c r="V547" i="22" s="1"/>
  <c r="W547" i="22" s="1"/>
  <c r="X547" i="22" s="1"/>
  <c r="Y547" i="22" s="1"/>
  <c r="Z547" i="22" s="1"/>
  <c r="AA547" i="22" s="1"/>
  <c r="AB547" i="22" s="1"/>
  <c r="AC547" i="22" s="1"/>
  <c r="AD547" i="22" s="1"/>
  <c r="AE547" i="22" s="1"/>
  <c r="AF547" i="22" s="1"/>
  <c r="AG547" i="22" s="1"/>
  <c r="O542" i="22"/>
  <c r="P542" i="22" s="1"/>
  <c r="Q542" i="22" s="1"/>
  <c r="R542" i="22" s="1"/>
  <c r="S542" i="22" s="1"/>
  <c r="T542" i="22" s="1"/>
  <c r="U542" i="22" s="1"/>
  <c r="V542" i="22" s="1"/>
  <c r="W542" i="22" s="1"/>
  <c r="X542" i="22" s="1"/>
  <c r="Y542" i="22" s="1"/>
  <c r="Z542" i="22" s="1"/>
  <c r="AA542" i="22" s="1"/>
  <c r="AB542" i="22" s="1"/>
  <c r="AC542" i="22" s="1"/>
  <c r="AD542" i="22" s="1"/>
  <c r="AE542" i="22" s="1"/>
  <c r="AF542" i="22" s="1"/>
  <c r="AG542" i="22" s="1"/>
  <c r="O538" i="22"/>
  <c r="P538" i="22" s="1"/>
  <c r="Q538" i="22" s="1"/>
  <c r="R538" i="22" s="1"/>
  <c r="S538" i="22" s="1"/>
  <c r="T538" i="22" s="1"/>
  <c r="U538" i="22" s="1"/>
  <c r="V538" i="22" s="1"/>
  <c r="W538" i="22" s="1"/>
  <c r="X538" i="22" s="1"/>
  <c r="Y538" i="22" s="1"/>
  <c r="Z538" i="22" s="1"/>
  <c r="AA538" i="22" s="1"/>
  <c r="AB538" i="22" s="1"/>
  <c r="AC538" i="22" s="1"/>
  <c r="AD538" i="22" s="1"/>
  <c r="AE538" i="22" s="1"/>
  <c r="AF538" i="22" s="1"/>
  <c r="AG538" i="22" s="1"/>
  <c r="O520" i="22"/>
  <c r="P520" i="22" s="1"/>
  <c r="Q520" i="22" s="1"/>
  <c r="R520" i="22" s="1"/>
  <c r="S520" i="22" s="1"/>
  <c r="T520" i="22" s="1"/>
  <c r="U520" i="22" s="1"/>
  <c r="V520" i="22" s="1"/>
  <c r="W520" i="22" s="1"/>
  <c r="X520" i="22" s="1"/>
  <c r="Y520" i="22" s="1"/>
  <c r="Z520" i="22" s="1"/>
  <c r="AA520" i="22" s="1"/>
  <c r="AB520" i="22" s="1"/>
  <c r="AC520" i="22" s="1"/>
  <c r="AD520" i="22" s="1"/>
  <c r="AE520" i="22" s="1"/>
  <c r="AF520" i="22" s="1"/>
  <c r="AG520" i="22" s="1"/>
  <c r="O519" i="22"/>
  <c r="P519" i="22" s="1"/>
  <c r="Q519" i="22" s="1"/>
  <c r="R519" i="22" s="1"/>
  <c r="S519" i="22" s="1"/>
  <c r="T519" i="22" s="1"/>
  <c r="U519" i="22" s="1"/>
  <c r="V519" i="22" s="1"/>
  <c r="W519" i="22" s="1"/>
  <c r="X519" i="22" s="1"/>
  <c r="Y519" i="22" s="1"/>
  <c r="Z519" i="22" s="1"/>
  <c r="AA519" i="22" s="1"/>
  <c r="AB519" i="22" s="1"/>
  <c r="AC519" i="22" s="1"/>
  <c r="AD519" i="22" s="1"/>
  <c r="AE519" i="22" s="1"/>
  <c r="AF519" i="22" s="1"/>
  <c r="AG519" i="22" s="1"/>
  <c r="AI501" i="22"/>
  <c r="AJ501" i="22" s="1"/>
  <c r="AK501" i="22" s="1"/>
  <c r="AL501" i="22" s="1"/>
  <c r="AM501" i="22" s="1"/>
  <c r="AN501" i="22" s="1"/>
  <c r="AO501" i="22" s="1"/>
  <c r="AP501" i="22" s="1"/>
  <c r="AQ501" i="22" s="1"/>
  <c r="AR501" i="22" s="1"/>
  <c r="AS501" i="22" s="1"/>
  <c r="AT501" i="22" s="1"/>
  <c r="AU501" i="22" s="1"/>
  <c r="AV501" i="22" s="1"/>
  <c r="AW501" i="22" s="1"/>
  <c r="AX501" i="22" s="1"/>
  <c r="AY501" i="22" s="1"/>
  <c r="AZ501" i="22" s="1"/>
  <c r="BA501" i="22" s="1"/>
  <c r="BB501" i="22" s="1"/>
  <c r="BC501" i="22" s="1"/>
  <c r="BD501" i="22" s="1"/>
  <c r="BE501" i="22" s="1"/>
  <c r="O479" i="22"/>
  <c r="P479" i="22" s="1"/>
  <c r="Q479" i="22" s="1"/>
  <c r="R479" i="22" s="1"/>
  <c r="S479" i="22" s="1"/>
  <c r="T479" i="22" s="1"/>
  <c r="U479" i="22" s="1"/>
  <c r="V479" i="22" s="1"/>
  <c r="W479" i="22" s="1"/>
  <c r="X479" i="22" s="1"/>
  <c r="Y479" i="22" s="1"/>
  <c r="Z479" i="22" s="1"/>
  <c r="AA479" i="22" s="1"/>
  <c r="AB479" i="22" s="1"/>
  <c r="AC479" i="22" s="1"/>
  <c r="AD479" i="22" s="1"/>
  <c r="AE479" i="22" s="1"/>
  <c r="AF479" i="22" s="1"/>
  <c r="AG479" i="22" s="1"/>
  <c r="O478" i="22"/>
  <c r="P478" i="22" s="1"/>
  <c r="Q478" i="22" s="1"/>
  <c r="R478" i="22" s="1"/>
  <c r="S478" i="22" s="1"/>
  <c r="T478" i="22" s="1"/>
  <c r="U478" i="22" s="1"/>
  <c r="V478" i="22" s="1"/>
  <c r="W478" i="22" s="1"/>
  <c r="X478" i="22" s="1"/>
  <c r="Y478" i="22" s="1"/>
  <c r="Z478" i="22" s="1"/>
  <c r="AA478" i="22" s="1"/>
  <c r="AB478" i="22" s="1"/>
  <c r="AC478" i="22" s="1"/>
  <c r="AD478" i="22" s="1"/>
  <c r="AE478" i="22" s="1"/>
  <c r="AF478" i="22" s="1"/>
  <c r="AG478" i="22" s="1"/>
  <c r="AI467" i="22"/>
  <c r="AJ467" i="22" s="1"/>
  <c r="AK467" i="22" s="1"/>
  <c r="AL467" i="22" s="1"/>
  <c r="AM467" i="22" s="1"/>
  <c r="AN467" i="22" s="1"/>
  <c r="AO467" i="22" s="1"/>
  <c r="AP467" i="22" s="1"/>
  <c r="AQ467" i="22" s="1"/>
  <c r="AR467" i="22" s="1"/>
  <c r="AS467" i="22" s="1"/>
  <c r="AT467" i="22" s="1"/>
  <c r="AU467" i="22" s="1"/>
  <c r="AV467" i="22" s="1"/>
  <c r="AW467" i="22" s="1"/>
  <c r="AX467" i="22" s="1"/>
  <c r="AY467" i="22" s="1"/>
  <c r="AZ467" i="22" s="1"/>
  <c r="BA467" i="22" s="1"/>
  <c r="BB467" i="22" s="1"/>
  <c r="BC467" i="22" s="1"/>
  <c r="BD467" i="22" s="1"/>
  <c r="BE467" i="22" s="1"/>
  <c r="O658" i="22"/>
  <c r="P658" i="22" s="1"/>
  <c r="Q658" i="22" s="1"/>
  <c r="R658" i="22" s="1"/>
  <c r="S658" i="22" s="1"/>
  <c r="T658" i="22" s="1"/>
  <c r="U658" i="22" s="1"/>
  <c r="V658" i="22" s="1"/>
  <c r="W658" i="22" s="1"/>
  <c r="X658" i="22" s="1"/>
  <c r="Y658" i="22" s="1"/>
  <c r="Z658" i="22" s="1"/>
  <c r="AA658" i="22" s="1"/>
  <c r="AB658" i="22" s="1"/>
  <c r="AC658" i="22" s="1"/>
  <c r="AD658" i="22" s="1"/>
  <c r="AE658" i="22" s="1"/>
  <c r="AF658" i="22" s="1"/>
  <c r="AG658" i="22" s="1"/>
  <c r="AI606" i="22"/>
  <c r="AJ606" i="22" s="1"/>
  <c r="AK606" i="22" s="1"/>
  <c r="AL606" i="22" s="1"/>
  <c r="AM606" i="22" s="1"/>
  <c r="AN606" i="22" s="1"/>
  <c r="AO606" i="22" s="1"/>
  <c r="AP606" i="22" s="1"/>
  <c r="AQ606" i="22" s="1"/>
  <c r="AR606" i="22" s="1"/>
  <c r="AS606" i="22" s="1"/>
  <c r="AT606" i="22" s="1"/>
  <c r="AU606" i="22" s="1"/>
  <c r="AV606" i="22" s="1"/>
  <c r="AW606" i="22" s="1"/>
  <c r="AX606" i="22" s="1"/>
  <c r="AY606" i="22" s="1"/>
  <c r="AZ606" i="22" s="1"/>
  <c r="BA606" i="22" s="1"/>
  <c r="BB606" i="22" s="1"/>
  <c r="BC606" i="22" s="1"/>
  <c r="BD606" i="22" s="1"/>
  <c r="BE606" i="22" s="1"/>
  <c r="AI556" i="22"/>
  <c r="AJ556" i="22" s="1"/>
  <c r="AK556" i="22" s="1"/>
  <c r="AL556" i="22" s="1"/>
  <c r="AM556" i="22" s="1"/>
  <c r="AN556" i="22" s="1"/>
  <c r="AO556" i="22" s="1"/>
  <c r="AP556" i="22" s="1"/>
  <c r="AQ556" i="22" s="1"/>
  <c r="AR556" i="22" s="1"/>
  <c r="AS556" i="22" s="1"/>
  <c r="AT556" i="22" s="1"/>
  <c r="AU556" i="22" s="1"/>
  <c r="AV556" i="22" s="1"/>
  <c r="AW556" i="22" s="1"/>
  <c r="AX556" i="22" s="1"/>
  <c r="AY556" i="22" s="1"/>
  <c r="AZ556" i="22" s="1"/>
  <c r="BA556" i="22" s="1"/>
  <c r="BB556" i="22" s="1"/>
  <c r="BC556" i="22" s="1"/>
  <c r="BD556" i="22" s="1"/>
  <c r="BE556" i="22" s="1"/>
  <c r="O535" i="22"/>
  <c r="P535" i="22" s="1"/>
  <c r="Q535" i="22" s="1"/>
  <c r="R535" i="22" s="1"/>
  <c r="S535" i="22" s="1"/>
  <c r="T535" i="22" s="1"/>
  <c r="U535" i="22" s="1"/>
  <c r="V535" i="22" s="1"/>
  <c r="W535" i="22" s="1"/>
  <c r="X535" i="22" s="1"/>
  <c r="Y535" i="22" s="1"/>
  <c r="Z535" i="22" s="1"/>
  <c r="AA535" i="22" s="1"/>
  <c r="AB535" i="22" s="1"/>
  <c r="AC535" i="22" s="1"/>
  <c r="AD535" i="22" s="1"/>
  <c r="AE535" i="22" s="1"/>
  <c r="AF535" i="22" s="1"/>
  <c r="AG535" i="22" s="1"/>
  <c r="AI526" i="22"/>
  <c r="AJ526" i="22" s="1"/>
  <c r="AK526" i="22" s="1"/>
  <c r="AL526" i="22" s="1"/>
  <c r="AM526" i="22" s="1"/>
  <c r="AN526" i="22" s="1"/>
  <c r="AO526" i="22" s="1"/>
  <c r="AP526" i="22" s="1"/>
  <c r="AQ526" i="22" s="1"/>
  <c r="AR526" i="22" s="1"/>
  <c r="AS526" i="22" s="1"/>
  <c r="AT526" i="22" s="1"/>
  <c r="AU526" i="22" s="1"/>
  <c r="AV526" i="22" s="1"/>
  <c r="AW526" i="22" s="1"/>
  <c r="AX526" i="22" s="1"/>
  <c r="AY526" i="22" s="1"/>
  <c r="AZ526" i="22" s="1"/>
  <c r="BA526" i="22" s="1"/>
  <c r="BB526" i="22" s="1"/>
  <c r="BC526" i="22" s="1"/>
  <c r="BD526" i="22" s="1"/>
  <c r="BE526" i="22" s="1"/>
  <c r="O521" i="22"/>
  <c r="P521" i="22" s="1"/>
  <c r="Q521" i="22" s="1"/>
  <c r="R521" i="22" s="1"/>
  <c r="S521" i="22" s="1"/>
  <c r="T521" i="22" s="1"/>
  <c r="U521" i="22" s="1"/>
  <c r="V521" i="22" s="1"/>
  <c r="W521" i="22" s="1"/>
  <c r="X521" i="22" s="1"/>
  <c r="Y521" i="22" s="1"/>
  <c r="Z521" i="22" s="1"/>
  <c r="AA521" i="22" s="1"/>
  <c r="AB521" i="22" s="1"/>
  <c r="AC521" i="22" s="1"/>
  <c r="AD521" i="22" s="1"/>
  <c r="AE521" i="22" s="1"/>
  <c r="AF521" i="22" s="1"/>
  <c r="AG521" i="22" s="1"/>
  <c r="O497" i="22"/>
  <c r="P497" i="22" s="1"/>
  <c r="Q497" i="22" s="1"/>
  <c r="R497" i="22" s="1"/>
  <c r="S497" i="22" s="1"/>
  <c r="T497" i="22" s="1"/>
  <c r="U497" i="22" s="1"/>
  <c r="V497" i="22" s="1"/>
  <c r="W497" i="22" s="1"/>
  <c r="X497" i="22" s="1"/>
  <c r="Y497" i="22" s="1"/>
  <c r="Z497" i="22" s="1"/>
  <c r="AA497" i="22" s="1"/>
  <c r="AB497" i="22" s="1"/>
  <c r="AC497" i="22" s="1"/>
  <c r="AD497" i="22" s="1"/>
  <c r="AE497" i="22" s="1"/>
  <c r="AF497" i="22" s="1"/>
  <c r="AG497" i="22" s="1"/>
  <c r="O496" i="22"/>
  <c r="P496" i="22" s="1"/>
  <c r="Q496" i="22" s="1"/>
  <c r="R496" i="22" s="1"/>
  <c r="S496" i="22" s="1"/>
  <c r="T496" i="22" s="1"/>
  <c r="U496" i="22" s="1"/>
  <c r="V496" i="22" s="1"/>
  <c r="W496" i="22" s="1"/>
  <c r="X496" i="22" s="1"/>
  <c r="Y496" i="22" s="1"/>
  <c r="Z496" i="22" s="1"/>
  <c r="AA496" i="22" s="1"/>
  <c r="AB496" i="22" s="1"/>
  <c r="AC496" i="22" s="1"/>
  <c r="AD496" i="22" s="1"/>
  <c r="AE496" i="22" s="1"/>
  <c r="AF496" i="22" s="1"/>
  <c r="AG496" i="22" s="1"/>
  <c r="AI485" i="22"/>
  <c r="AJ485" i="22" s="1"/>
  <c r="AK485" i="22" s="1"/>
  <c r="AL485" i="22" s="1"/>
  <c r="AM485" i="22" s="1"/>
  <c r="AN485" i="22" s="1"/>
  <c r="AO485" i="22" s="1"/>
  <c r="AP485" i="22" s="1"/>
  <c r="AQ485" i="22" s="1"/>
  <c r="AR485" i="22" s="1"/>
  <c r="AS485" i="22" s="1"/>
  <c r="AT485" i="22" s="1"/>
  <c r="AU485" i="22" s="1"/>
  <c r="AV485" i="22" s="1"/>
  <c r="AW485" i="22" s="1"/>
  <c r="AX485" i="22" s="1"/>
  <c r="AY485" i="22" s="1"/>
  <c r="AZ485" i="22" s="1"/>
  <c r="BA485" i="22" s="1"/>
  <c r="BB485" i="22" s="1"/>
  <c r="BC485" i="22" s="1"/>
  <c r="BD485" i="22" s="1"/>
  <c r="BE485" i="22" s="1"/>
  <c r="O480" i="22"/>
  <c r="P480" i="22" s="1"/>
  <c r="Q480" i="22" s="1"/>
  <c r="R480" i="22" s="1"/>
  <c r="S480" i="22" s="1"/>
  <c r="T480" i="22" s="1"/>
  <c r="U480" i="22" s="1"/>
  <c r="V480" i="22" s="1"/>
  <c r="W480" i="22" s="1"/>
  <c r="X480" i="22" s="1"/>
  <c r="Y480" i="22" s="1"/>
  <c r="Z480" i="22" s="1"/>
  <c r="AA480" i="22" s="1"/>
  <c r="AB480" i="22" s="1"/>
  <c r="AC480" i="22" s="1"/>
  <c r="AD480" i="22" s="1"/>
  <c r="AE480" i="22" s="1"/>
  <c r="AF480" i="22" s="1"/>
  <c r="AG480" i="22" s="1"/>
  <c r="AI469" i="22"/>
  <c r="AJ469" i="22" s="1"/>
  <c r="AK469" i="22" s="1"/>
  <c r="AL469" i="22" s="1"/>
  <c r="AM469" i="22" s="1"/>
  <c r="AN469" i="22" s="1"/>
  <c r="AO469" i="22" s="1"/>
  <c r="AP469" i="22" s="1"/>
  <c r="AQ469" i="22" s="1"/>
  <c r="AR469" i="22" s="1"/>
  <c r="AS469" i="22" s="1"/>
  <c r="AT469" i="22" s="1"/>
  <c r="AU469" i="22" s="1"/>
  <c r="AV469" i="22" s="1"/>
  <c r="AW469" i="22" s="1"/>
  <c r="AX469" i="22" s="1"/>
  <c r="AY469" i="22" s="1"/>
  <c r="AZ469" i="22" s="1"/>
  <c r="BA469" i="22" s="1"/>
  <c r="BB469" i="22" s="1"/>
  <c r="BC469" i="22" s="1"/>
  <c r="BD469" i="22" s="1"/>
  <c r="BE469" i="22" s="1"/>
  <c r="AI672" i="22"/>
  <c r="AJ672" i="22" s="1"/>
  <c r="AK672" i="22" s="1"/>
  <c r="AL672" i="22" s="1"/>
  <c r="AM672" i="22" s="1"/>
  <c r="AN672" i="22" s="1"/>
  <c r="AO672" i="22" s="1"/>
  <c r="AP672" i="22" s="1"/>
  <c r="AQ672" i="22" s="1"/>
  <c r="AR672" i="22" s="1"/>
  <c r="AS672" i="22" s="1"/>
  <c r="AT672" i="22" s="1"/>
  <c r="AU672" i="22" s="1"/>
  <c r="AV672" i="22" s="1"/>
  <c r="AW672" i="22" s="1"/>
  <c r="AX672" i="22" s="1"/>
  <c r="AY672" i="22" s="1"/>
  <c r="AZ672" i="22" s="1"/>
  <c r="BA672" i="22" s="1"/>
  <c r="BB672" i="22" s="1"/>
  <c r="BC672" i="22" s="1"/>
  <c r="BD672" i="22" s="1"/>
  <c r="BE672" i="22" s="1"/>
  <c r="O630" i="22"/>
  <c r="P630" i="22" s="1"/>
  <c r="Q630" i="22" s="1"/>
  <c r="R630" i="22" s="1"/>
  <c r="S630" i="22" s="1"/>
  <c r="T630" i="22" s="1"/>
  <c r="U630" i="22" s="1"/>
  <c r="V630" i="22" s="1"/>
  <c r="W630" i="22" s="1"/>
  <c r="X630" i="22" s="1"/>
  <c r="Y630" i="22" s="1"/>
  <c r="Z630" i="22" s="1"/>
  <c r="AA630" i="22" s="1"/>
  <c r="AB630" i="22" s="1"/>
  <c r="AC630" i="22" s="1"/>
  <c r="AD630" i="22" s="1"/>
  <c r="AE630" i="22" s="1"/>
  <c r="AF630" i="22" s="1"/>
  <c r="AG630" i="22" s="1"/>
  <c r="AI575" i="22"/>
  <c r="AJ575" i="22" s="1"/>
  <c r="AK575" i="22" s="1"/>
  <c r="AL575" i="22" s="1"/>
  <c r="AM575" i="22" s="1"/>
  <c r="AN575" i="22" s="1"/>
  <c r="AO575" i="22" s="1"/>
  <c r="AP575" i="22" s="1"/>
  <c r="AQ575" i="22" s="1"/>
  <c r="AR575" i="22" s="1"/>
  <c r="AS575" i="22" s="1"/>
  <c r="AT575" i="22" s="1"/>
  <c r="AU575" i="22" s="1"/>
  <c r="AV575" i="22" s="1"/>
  <c r="AW575" i="22" s="1"/>
  <c r="AX575" i="22" s="1"/>
  <c r="AY575" i="22" s="1"/>
  <c r="AZ575" i="22" s="1"/>
  <c r="BA575" i="22" s="1"/>
  <c r="BB575" i="22" s="1"/>
  <c r="BC575" i="22" s="1"/>
  <c r="BD575" i="22" s="1"/>
  <c r="BE575" i="22" s="1"/>
  <c r="O569" i="22"/>
  <c r="P569" i="22" s="1"/>
  <c r="Q569" i="22" s="1"/>
  <c r="R569" i="22" s="1"/>
  <c r="S569" i="22" s="1"/>
  <c r="T569" i="22" s="1"/>
  <c r="U569" i="22" s="1"/>
  <c r="V569" i="22" s="1"/>
  <c r="W569" i="22" s="1"/>
  <c r="X569" i="22" s="1"/>
  <c r="Y569" i="22" s="1"/>
  <c r="Z569" i="22" s="1"/>
  <c r="AA569" i="22" s="1"/>
  <c r="AB569" i="22" s="1"/>
  <c r="AC569" i="22" s="1"/>
  <c r="AD569" i="22" s="1"/>
  <c r="AE569" i="22" s="1"/>
  <c r="AF569" i="22" s="1"/>
  <c r="AG569" i="22" s="1"/>
  <c r="O536" i="22"/>
  <c r="P536" i="22" s="1"/>
  <c r="Q536" i="22" s="1"/>
  <c r="R536" i="22" s="1"/>
  <c r="S536" i="22" s="1"/>
  <c r="T536" i="22" s="1"/>
  <c r="U536" i="22" s="1"/>
  <c r="V536" i="22" s="1"/>
  <c r="W536" i="22" s="1"/>
  <c r="X536" i="22" s="1"/>
  <c r="Y536" i="22" s="1"/>
  <c r="Z536" i="22" s="1"/>
  <c r="AA536" i="22" s="1"/>
  <c r="AB536" i="22" s="1"/>
  <c r="AC536" i="22" s="1"/>
  <c r="AD536" i="22" s="1"/>
  <c r="AE536" i="22" s="1"/>
  <c r="AF536" i="22" s="1"/>
  <c r="AG536" i="22" s="1"/>
  <c r="AI532" i="22"/>
  <c r="AJ532" i="22" s="1"/>
  <c r="AK532" i="22" s="1"/>
  <c r="AL532" i="22" s="1"/>
  <c r="AM532" i="22" s="1"/>
  <c r="AN532" i="22" s="1"/>
  <c r="AO532" i="22" s="1"/>
  <c r="AP532" i="22" s="1"/>
  <c r="AQ532" i="22" s="1"/>
  <c r="AR532" i="22" s="1"/>
  <c r="AS532" i="22" s="1"/>
  <c r="AT532" i="22" s="1"/>
  <c r="AU532" i="22" s="1"/>
  <c r="AV532" i="22" s="1"/>
  <c r="AW532" i="22" s="1"/>
  <c r="AX532" i="22" s="1"/>
  <c r="AY532" i="22" s="1"/>
  <c r="AZ532" i="22" s="1"/>
  <c r="BA532" i="22" s="1"/>
  <c r="BB532" i="22" s="1"/>
  <c r="BC532" i="22" s="1"/>
  <c r="BD532" i="22" s="1"/>
  <c r="BE532" i="22" s="1"/>
  <c r="O503" i="22"/>
  <c r="P503" i="22" s="1"/>
  <c r="Q503" i="22" s="1"/>
  <c r="R503" i="22" s="1"/>
  <c r="S503" i="22" s="1"/>
  <c r="T503" i="22" s="1"/>
  <c r="U503" i="22" s="1"/>
  <c r="V503" i="22" s="1"/>
  <c r="W503" i="22" s="1"/>
  <c r="X503" i="22" s="1"/>
  <c r="Y503" i="22" s="1"/>
  <c r="Z503" i="22" s="1"/>
  <c r="AA503" i="22" s="1"/>
  <c r="AB503" i="22" s="1"/>
  <c r="AC503" i="22" s="1"/>
  <c r="AD503" i="22" s="1"/>
  <c r="AE503" i="22" s="1"/>
  <c r="AF503" i="22" s="1"/>
  <c r="AG503" i="22" s="1"/>
  <c r="O502" i="22"/>
  <c r="P502" i="22" s="1"/>
  <c r="Q502" i="22" s="1"/>
  <c r="R502" i="22" s="1"/>
  <c r="S502" i="22" s="1"/>
  <c r="T502" i="22" s="1"/>
  <c r="U502" i="22" s="1"/>
  <c r="V502" i="22" s="1"/>
  <c r="W502" i="22" s="1"/>
  <c r="X502" i="22" s="1"/>
  <c r="Y502" i="22" s="1"/>
  <c r="Z502" i="22" s="1"/>
  <c r="AA502" i="22" s="1"/>
  <c r="AB502" i="22" s="1"/>
  <c r="AC502" i="22" s="1"/>
  <c r="AD502" i="22" s="1"/>
  <c r="AE502" i="22" s="1"/>
  <c r="AF502" i="22" s="1"/>
  <c r="AG502" i="22" s="1"/>
  <c r="AI491" i="22"/>
  <c r="AJ491" i="22" s="1"/>
  <c r="AK491" i="22" s="1"/>
  <c r="AL491" i="22" s="1"/>
  <c r="AM491" i="22" s="1"/>
  <c r="AN491" i="22" s="1"/>
  <c r="AO491" i="22" s="1"/>
  <c r="AP491" i="22" s="1"/>
  <c r="AQ491" i="22" s="1"/>
  <c r="AR491" i="22" s="1"/>
  <c r="AS491" i="22" s="1"/>
  <c r="AT491" i="22" s="1"/>
  <c r="AU491" i="22" s="1"/>
  <c r="AV491" i="22" s="1"/>
  <c r="AW491" i="22" s="1"/>
  <c r="AX491" i="22" s="1"/>
  <c r="AY491" i="22" s="1"/>
  <c r="AZ491" i="22" s="1"/>
  <c r="BA491" i="22" s="1"/>
  <c r="BB491" i="22" s="1"/>
  <c r="BC491" i="22" s="1"/>
  <c r="BD491" i="22" s="1"/>
  <c r="BE491" i="22" s="1"/>
  <c r="O469" i="22"/>
  <c r="P469" i="22" s="1"/>
  <c r="Q469" i="22" s="1"/>
  <c r="R469" i="22" s="1"/>
  <c r="S469" i="22" s="1"/>
  <c r="T469" i="22" s="1"/>
  <c r="U469" i="22" s="1"/>
  <c r="V469" i="22" s="1"/>
  <c r="W469" i="22" s="1"/>
  <c r="X469" i="22" s="1"/>
  <c r="Y469" i="22" s="1"/>
  <c r="Z469" i="22" s="1"/>
  <c r="AA469" i="22" s="1"/>
  <c r="AB469" i="22" s="1"/>
  <c r="AC469" i="22" s="1"/>
  <c r="AD469" i="22" s="1"/>
  <c r="AE469" i="22" s="1"/>
  <c r="AF469" i="22" s="1"/>
  <c r="AG469" i="22" s="1"/>
  <c r="O468" i="22"/>
  <c r="P468" i="22" s="1"/>
  <c r="Q468" i="22" s="1"/>
  <c r="R468" i="22" s="1"/>
  <c r="S468" i="22" s="1"/>
  <c r="T468" i="22" s="1"/>
  <c r="U468" i="22" s="1"/>
  <c r="V468" i="22" s="1"/>
  <c r="W468" i="22" s="1"/>
  <c r="X468" i="22" s="1"/>
  <c r="Y468" i="22" s="1"/>
  <c r="Z468" i="22" s="1"/>
  <c r="AA468" i="22" s="1"/>
  <c r="AB468" i="22" s="1"/>
  <c r="AC468" i="22" s="1"/>
  <c r="AD468" i="22" s="1"/>
  <c r="AE468" i="22" s="1"/>
  <c r="AF468" i="22" s="1"/>
  <c r="AG468" i="22" s="1"/>
  <c r="O704" i="22"/>
  <c r="P704" i="22" s="1"/>
  <c r="Q704" i="22" s="1"/>
  <c r="R704" i="22" s="1"/>
  <c r="S704" i="22" s="1"/>
  <c r="T704" i="22" s="1"/>
  <c r="U704" i="22" s="1"/>
  <c r="V704" i="22" s="1"/>
  <c r="W704" i="22" s="1"/>
  <c r="X704" i="22" s="1"/>
  <c r="Y704" i="22" s="1"/>
  <c r="Z704" i="22" s="1"/>
  <c r="AA704" i="22" s="1"/>
  <c r="AB704" i="22" s="1"/>
  <c r="AC704" i="22" s="1"/>
  <c r="AD704" i="22" s="1"/>
  <c r="AE704" i="22" s="1"/>
  <c r="AF704" i="22" s="1"/>
  <c r="AG704" i="22" s="1"/>
  <c r="AI569" i="22"/>
  <c r="AJ569" i="22" s="1"/>
  <c r="AK569" i="22" s="1"/>
  <c r="AL569" i="22" s="1"/>
  <c r="AM569" i="22" s="1"/>
  <c r="AN569" i="22" s="1"/>
  <c r="AO569" i="22" s="1"/>
  <c r="AP569" i="22" s="1"/>
  <c r="AQ569" i="22" s="1"/>
  <c r="AR569" i="22" s="1"/>
  <c r="AS569" i="22" s="1"/>
  <c r="AT569" i="22" s="1"/>
  <c r="AU569" i="22" s="1"/>
  <c r="AV569" i="22" s="1"/>
  <c r="AW569" i="22" s="1"/>
  <c r="AX569" i="22" s="1"/>
  <c r="AY569" i="22" s="1"/>
  <c r="AZ569" i="22" s="1"/>
  <c r="BA569" i="22" s="1"/>
  <c r="BB569" i="22" s="1"/>
  <c r="BC569" i="22" s="1"/>
  <c r="BD569" i="22" s="1"/>
  <c r="BE569" i="22" s="1"/>
  <c r="AI568" i="22"/>
  <c r="AJ568" i="22" s="1"/>
  <c r="AK568" i="22" s="1"/>
  <c r="AL568" i="22" s="1"/>
  <c r="AM568" i="22" s="1"/>
  <c r="AN568" i="22" s="1"/>
  <c r="AO568" i="22" s="1"/>
  <c r="AP568" i="22" s="1"/>
  <c r="AQ568" i="22" s="1"/>
  <c r="AR568" i="22" s="1"/>
  <c r="AS568" i="22" s="1"/>
  <c r="AT568" i="22" s="1"/>
  <c r="AU568" i="22" s="1"/>
  <c r="AV568" i="22" s="1"/>
  <c r="AW568" i="22" s="1"/>
  <c r="AX568" i="22" s="1"/>
  <c r="AY568" i="22" s="1"/>
  <c r="AZ568" i="22" s="1"/>
  <c r="BA568" i="22" s="1"/>
  <c r="BB568" i="22" s="1"/>
  <c r="BC568" i="22" s="1"/>
  <c r="BD568" i="22" s="1"/>
  <c r="BE568" i="22" s="1"/>
  <c r="O532" i="22"/>
  <c r="P532" i="22" s="1"/>
  <c r="Q532" i="22" s="1"/>
  <c r="R532" i="22" s="1"/>
  <c r="S532" i="22" s="1"/>
  <c r="T532" i="22" s="1"/>
  <c r="U532" i="22" s="1"/>
  <c r="V532" i="22" s="1"/>
  <c r="W532" i="22" s="1"/>
  <c r="X532" i="22" s="1"/>
  <c r="Y532" i="22" s="1"/>
  <c r="Z532" i="22" s="1"/>
  <c r="AA532" i="22" s="1"/>
  <c r="AB532" i="22" s="1"/>
  <c r="AC532" i="22" s="1"/>
  <c r="AD532" i="22" s="1"/>
  <c r="AE532" i="22" s="1"/>
  <c r="AF532" i="22" s="1"/>
  <c r="AG532" i="22" s="1"/>
  <c r="O527" i="22"/>
  <c r="P527" i="22" s="1"/>
  <c r="Q527" i="22" s="1"/>
  <c r="R527" i="22" s="1"/>
  <c r="S527" i="22" s="1"/>
  <c r="T527" i="22" s="1"/>
  <c r="U527" i="22" s="1"/>
  <c r="V527" i="22" s="1"/>
  <c r="W527" i="22" s="1"/>
  <c r="X527" i="22" s="1"/>
  <c r="Y527" i="22" s="1"/>
  <c r="Z527" i="22" s="1"/>
  <c r="AA527" i="22" s="1"/>
  <c r="AB527" i="22" s="1"/>
  <c r="AC527" i="22" s="1"/>
  <c r="AD527" i="22" s="1"/>
  <c r="AE527" i="22" s="1"/>
  <c r="AF527" i="22" s="1"/>
  <c r="AG527" i="22" s="1"/>
  <c r="O522" i="22"/>
  <c r="P522" i="22" s="1"/>
  <c r="Q522" i="22" s="1"/>
  <c r="R522" i="22" s="1"/>
  <c r="S522" i="22" s="1"/>
  <c r="T522" i="22" s="1"/>
  <c r="U522" i="22" s="1"/>
  <c r="V522" i="22" s="1"/>
  <c r="W522" i="22" s="1"/>
  <c r="X522" i="22" s="1"/>
  <c r="Y522" i="22" s="1"/>
  <c r="Z522" i="22" s="1"/>
  <c r="AA522" i="22" s="1"/>
  <c r="AB522" i="22" s="1"/>
  <c r="AC522" i="22" s="1"/>
  <c r="AD522" i="22" s="1"/>
  <c r="AE522" i="22" s="1"/>
  <c r="AF522" i="22" s="1"/>
  <c r="AG522" i="22" s="1"/>
  <c r="O491" i="22"/>
  <c r="P491" i="22" s="1"/>
  <c r="Q491" i="22" s="1"/>
  <c r="R491" i="22" s="1"/>
  <c r="S491" i="22" s="1"/>
  <c r="T491" i="22" s="1"/>
  <c r="U491" i="22" s="1"/>
  <c r="V491" i="22" s="1"/>
  <c r="W491" i="22" s="1"/>
  <c r="X491" i="22" s="1"/>
  <c r="Y491" i="22" s="1"/>
  <c r="Z491" i="22" s="1"/>
  <c r="AA491" i="22" s="1"/>
  <c r="AB491" i="22" s="1"/>
  <c r="AC491" i="22" s="1"/>
  <c r="AD491" i="22" s="1"/>
  <c r="AE491" i="22" s="1"/>
  <c r="AF491" i="22" s="1"/>
  <c r="AG491" i="22" s="1"/>
  <c r="AI596" i="22"/>
  <c r="AJ596" i="22" s="1"/>
  <c r="AK596" i="22" s="1"/>
  <c r="AL596" i="22" s="1"/>
  <c r="AM596" i="22" s="1"/>
  <c r="AN596" i="22" s="1"/>
  <c r="AO596" i="22" s="1"/>
  <c r="AP596" i="22" s="1"/>
  <c r="AQ596" i="22" s="1"/>
  <c r="AR596" i="22" s="1"/>
  <c r="AS596" i="22" s="1"/>
  <c r="AT596" i="22" s="1"/>
  <c r="AU596" i="22" s="1"/>
  <c r="AV596" i="22" s="1"/>
  <c r="AW596" i="22" s="1"/>
  <c r="AX596" i="22" s="1"/>
  <c r="AY596" i="22" s="1"/>
  <c r="AZ596" i="22" s="1"/>
  <c r="BA596" i="22" s="1"/>
  <c r="BB596" i="22" s="1"/>
  <c r="BC596" i="22" s="1"/>
  <c r="BD596" i="22" s="1"/>
  <c r="BE596" i="22" s="1"/>
  <c r="AI522" i="22"/>
  <c r="AJ522" i="22" s="1"/>
  <c r="AK522" i="22" s="1"/>
  <c r="AL522" i="22" s="1"/>
  <c r="AM522" i="22" s="1"/>
  <c r="AN522" i="22" s="1"/>
  <c r="AO522" i="22" s="1"/>
  <c r="AP522" i="22" s="1"/>
  <c r="AQ522" i="22" s="1"/>
  <c r="AR522" i="22" s="1"/>
  <c r="AS522" i="22" s="1"/>
  <c r="AT522" i="22" s="1"/>
  <c r="AU522" i="22" s="1"/>
  <c r="AV522" i="22" s="1"/>
  <c r="AW522" i="22" s="1"/>
  <c r="AX522" i="22" s="1"/>
  <c r="AY522" i="22" s="1"/>
  <c r="AZ522" i="22" s="1"/>
  <c r="BA522" i="22" s="1"/>
  <c r="BB522" i="22" s="1"/>
  <c r="BC522" i="22" s="1"/>
  <c r="BD522" i="22" s="1"/>
  <c r="BE522" i="22" s="1"/>
  <c r="AI505" i="22"/>
  <c r="AJ505" i="22" s="1"/>
  <c r="AK505" i="22" s="1"/>
  <c r="AL505" i="22" s="1"/>
  <c r="AM505" i="22" s="1"/>
  <c r="AN505" i="22" s="1"/>
  <c r="AO505" i="22" s="1"/>
  <c r="AP505" i="22" s="1"/>
  <c r="AQ505" i="22" s="1"/>
  <c r="AR505" i="22" s="1"/>
  <c r="AS505" i="22" s="1"/>
  <c r="AT505" i="22" s="1"/>
  <c r="AU505" i="22" s="1"/>
  <c r="AV505" i="22" s="1"/>
  <c r="AW505" i="22" s="1"/>
  <c r="AX505" i="22" s="1"/>
  <c r="AY505" i="22" s="1"/>
  <c r="AZ505" i="22" s="1"/>
  <c r="BA505" i="22" s="1"/>
  <c r="BB505" i="22" s="1"/>
  <c r="BC505" i="22" s="1"/>
  <c r="BD505" i="22" s="1"/>
  <c r="BE505" i="22" s="1"/>
  <c r="O500" i="22"/>
  <c r="P500" i="22" s="1"/>
  <c r="Q500" i="22" s="1"/>
  <c r="R500" i="22" s="1"/>
  <c r="S500" i="22" s="1"/>
  <c r="T500" i="22" s="1"/>
  <c r="U500" i="22" s="1"/>
  <c r="V500" i="22" s="1"/>
  <c r="W500" i="22" s="1"/>
  <c r="X500" i="22" s="1"/>
  <c r="Y500" i="22" s="1"/>
  <c r="Z500" i="22" s="1"/>
  <c r="AA500" i="22" s="1"/>
  <c r="AB500" i="22" s="1"/>
  <c r="AC500" i="22" s="1"/>
  <c r="AD500" i="22" s="1"/>
  <c r="AE500" i="22" s="1"/>
  <c r="AF500" i="22" s="1"/>
  <c r="AG500" i="22" s="1"/>
  <c r="AI481" i="22"/>
  <c r="AJ481" i="22" s="1"/>
  <c r="AK481" i="22" s="1"/>
  <c r="AL481" i="22" s="1"/>
  <c r="AM481" i="22" s="1"/>
  <c r="AN481" i="22" s="1"/>
  <c r="AO481" i="22" s="1"/>
  <c r="AP481" i="22" s="1"/>
  <c r="AQ481" i="22" s="1"/>
  <c r="AR481" i="22" s="1"/>
  <c r="AS481" i="22" s="1"/>
  <c r="AT481" i="22" s="1"/>
  <c r="AU481" i="22" s="1"/>
  <c r="AV481" i="22" s="1"/>
  <c r="AW481" i="22" s="1"/>
  <c r="AX481" i="22" s="1"/>
  <c r="AY481" i="22" s="1"/>
  <c r="AZ481" i="22" s="1"/>
  <c r="BA481" i="22" s="1"/>
  <c r="BB481" i="22" s="1"/>
  <c r="BC481" i="22" s="1"/>
  <c r="BD481" i="22" s="1"/>
  <c r="BE481" i="22" s="1"/>
  <c r="O476" i="22"/>
  <c r="P476" i="22" s="1"/>
  <c r="Q476" i="22" s="1"/>
  <c r="R476" i="22" s="1"/>
  <c r="S476" i="22" s="1"/>
  <c r="T476" i="22" s="1"/>
  <c r="U476" i="22" s="1"/>
  <c r="V476" i="22" s="1"/>
  <c r="W476" i="22" s="1"/>
  <c r="X476" i="22" s="1"/>
  <c r="Y476" i="22" s="1"/>
  <c r="Z476" i="22" s="1"/>
  <c r="AA476" i="22" s="1"/>
  <c r="AB476" i="22" s="1"/>
  <c r="AC476" i="22" s="1"/>
  <c r="AD476" i="22" s="1"/>
  <c r="AE476" i="22" s="1"/>
  <c r="AF476" i="22" s="1"/>
  <c r="AG476" i="22" s="1"/>
  <c r="AI471" i="22"/>
  <c r="AJ471" i="22" s="1"/>
  <c r="AK471" i="22" s="1"/>
  <c r="AL471" i="22" s="1"/>
  <c r="AM471" i="22" s="1"/>
  <c r="AN471" i="22" s="1"/>
  <c r="AO471" i="22" s="1"/>
  <c r="AP471" i="22" s="1"/>
  <c r="AQ471" i="22" s="1"/>
  <c r="AR471" i="22" s="1"/>
  <c r="AS471" i="22" s="1"/>
  <c r="AT471" i="22" s="1"/>
  <c r="AU471" i="22" s="1"/>
  <c r="AV471" i="22" s="1"/>
  <c r="AW471" i="22" s="1"/>
  <c r="AX471" i="22" s="1"/>
  <c r="AY471" i="22" s="1"/>
  <c r="AZ471" i="22" s="1"/>
  <c r="BA471" i="22" s="1"/>
  <c r="BB471" i="22" s="1"/>
  <c r="BC471" i="22" s="1"/>
  <c r="BD471" i="22" s="1"/>
  <c r="BE471" i="22" s="1"/>
  <c r="O466" i="22"/>
  <c r="P466" i="22" s="1"/>
  <c r="Q466" i="22" s="1"/>
  <c r="R466" i="22" s="1"/>
  <c r="S466" i="22" s="1"/>
  <c r="T466" i="22" s="1"/>
  <c r="U466" i="22" s="1"/>
  <c r="V466" i="22" s="1"/>
  <c r="W466" i="22" s="1"/>
  <c r="X466" i="22" s="1"/>
  <c r="Y466" i="22" s="1"/>
  <c r="Z466" i="22" s="1"/>
  <c r="AA466" i="22" s="1"/>
  <c r="AB466" i="22" s="1"/>
  <c r="AC466" i="22" s="1"/>
  <c r="AD466" i="22" s="1"/>
  <c r="AE466" i="22" s="1"/>
  <c r="AF466" i="22" s="1"/>
  <c r="AG466" i="22" s="1"/>
  <c r="AI642" i="22"/>
  <c r="AJ642" i="22" s="1"/>
  <c r="AK642" i="22" s="1"/>
  <c r="AL642" i="22" s="1"/>
  <c r="AM642" i="22" s="1"/>
  <c r="AN642" i="22" s="1"/>
  <c r="AO642" i="22" s="1"/>
  <c r="AP642" i="22" s="1"/>
  <c r="AQ642" i="22" s="1"/>
  <c r="AR642" i="22" s="1"/>
  <c r="AS642" i="22" s="1"/>
  <c r="AT642" i="22" s="1"/>
  <c r="AU642" i="22" s="1"/>
  <c r="AV642" i="22" s="1"/>
  <c r="AW642" i="22" s="1"/>
  <c r="AX642" i="22" s="1"/>
  <c r="AY642" i="22" s="1"/>
  <c r="AZ642" i="22" s="1"/>
  <c r="BA642" i="22" s="1"/>
  <c r="BB642" i="22" s="1"/>
  <c r="BC642" i="22" s="1"/>
  <c r="BD642" i="22" s="1"/>
  <c r="BE642" i="22" s="1"/>
  <c r="AI614" i="22"/>
  <c r="AJ614" i="22" s="1"/>
  <c r="AK614" i="22" s="1"/>
  <c r="AL614" i="22" s="1"/>
  <c r="AM614" i="22" s="1"/>
  <c r="AN614" i="22" s="1"/>
  <c r="AO614" i="22" s="1"/>
  <c r="AP614" i="22" s="1"/>
  <c r="AQ614" i="22" s="1"/>
  <c r="AR614" i="22" s="1"/>
  <c r="AS614" i="22" s="1"/>
  <c r="AT614" i="22" s="1"/>
  <c r="AU614" i="22" s="1"/>
  <c r="AV614" i="22" s="1"/>
  <c r="AW614" i="22" s="1"/>
  <c r="AX614" i="22" s="1"/>
  <c r="AY614" i="22" s="1"/>
  <c r="AZ614" i="22" s="1"/>
  <c r="BA614" i="22" s="1"/>
  <c r="BB614" i="22" s="1"/>
  <c r="BC614" i="22" s="1"/>
  <c r="BD614" i="22" s="1"/>
  <c r="BE614" i="22" s="1"/>
  <c r="O608" i="22"/>
  <c r="P608" i="22" s="1"/>
  <c r="Q608" i="22" s="1"/>
  <c r="R608" i="22" s="1"/>
  <c r="S608" i="22" s="1"/>
  <c r="T608" i="22" s="1"/>
  <c r="U608" i="22" s="1"/>
  <c r="V608" i="22" s="1"/>
  <c r="W608" i="22" s="1"/>
  <c r="X608" i="22" s="1"/>
  <c r="Y608" i="22" s="1"/>
  <c r="Z608" i="22" s="1"/>
  <c r="AA608" i="22" s="1"/>
  <c r="AB608" i="22" s="1"/>
  <c r="AC608" i="22" s="1"/>
  <c r="AD608" i="22" s="1"/>
  <c r="AE608" i="22" s="1"/>
  <c r="AF608" i="22" s="1"/>
  <c r="AG608" i="22" s="1"/>
  <c r="O586" i="22"/>
  <c r="P586" i="22" s="1"/>
  <c r="Q586" i="22" s="1"/>
  <c r="R586" i="22" s="1"/>
  <c r="S586" i="22" s="1"/>
  <c r="T586" i="22" s="1"/>
  <c r="U586" i="22" s="1"/>
  <c r="V586" i="22" s="1"/>
  <c r="W586" i="22" s="1"/>
  <c r="X586" i="22" s="1"/>
  <c r="Y586" i="22" s="1"/>
  <c r="Z586" i="22" s="1"/>
  <c r="AA586" i="22" s="1"/>
  <c r="AB586" i="22" s="1"/>
  <c r="AC586" i="22" s="1"/>
  <c r="AD586" i="22" s="1"/>
  <c r="AE586" i="22" s="1"/>
  <c r="AF586" i="22" s="1"/>
  <c r="AG586" i="22" s="1"/>
  <c r="O580" i="22"/>
  <c r="P580" i="22" s="1"/>
  <c r="Q580" i="22" s="1"/>
  <c r="R580" i="22" s="1"/>
  <c r="S580" i="22" s="1"/>
  <c r="T580" i="22" s="1"/>
  <c r="U580" i="22" s="1"/>
  <c r="V580" i="22" s="1"/>
  <c r="W580" i="22" s="1"/>
  <c r="X580" i="22" s="1"/>
  <c r="Y580" i="22" s="1"/>
  <c r="Z580" i="22" s="1"/>
  <c r="AA580" i="22" s="1"/>
  <c r="AB580" i="22" s="1"/>
  <c r="AC580" i="22" s="1"/>
  <c r="AD580" i="22" s="1"/>
  <c r="AE580" i="22" s="1"/>
  <c r="AF580" i="22" s="1"/>
  <c r="AG580" i="22" s="1"/>
  <c r="O579" i="22"/>
  <c r="P579" i="22" s="1"/>
  <c r="Q579" i="22" s="1"/>
  <c r="R579" i="22" s="1"/>
  <c r="S579" i="22" s="1"/>
  <c r="T579" i="22" s="1"/>
  <c r="U579" i="22" s="1"/>
  <c r="V579" i="22" s="1"/>
  <c r="W579" i="22" s="1"/>
  <c r="X579" i="22" s="1"/>
  <c r="Y579" i="22" s="1"/>
  <c r="Z579" i="22" s="1"/>
  <c r="AA579" i="22" s="1"/>
  <c r="AB579" i="22" s="1"/>
  <c r="AC579" i="22" s="1"/>
  <c r="AD579" i="22" s="1"/>
  <c r="AE579" i="22" s="1"/>
  <c r="AF579" i="22" s="1"/>
  <c r="AG579" i="22" s="1"/>
  <c r="O576" i="22"/>
  <c r="P576" i="22" s="1"/>
  <c r="Q576" i="22" s="1"/>
  <c r="R576" i="22" s="1"/>
  <c r="S576" i="22" s="1"/>
  <c r="T576" i="22" s="1"/>
  <c r="U576" i="22" s="1"/>
  <c r="V576" i="22" s="1"/>
  <c r="W576" i="22" s="1"/>
  <c r="X576" i="22" s="1"/>
  <c r="Y576" i="22" s="1"/>
  <c r="Z576" i="22" s="1"/>
  <c r="AA576" i="22" s="1"/>
  <c r="AB576" i="22" s="1"/>
  <c r="AC576" i="22" s="1"/>
  <c r="AD576" i="22" s="1"/>
  <c r="AE576" i="22" s="1"/>
  <c r="AF576" i="22" s="1"/>
  <c r="AG576" i="22" s="1"/>
  <c r="AI542" i="22"/>
  <c r="AJ542" i="22" s="1"/>
  <c r="AK542" i="22" s="1"/>
  <c r="AL542" i="22" s="1"/>
  <c r="AM542" i="22" s="1"/>
  <c r="AN542" i="22" s="1"/>
  <c r="AO542" i="22" s="1"/>
  <c r="AP542" i="22" s="1"/>
  <c r="AQ542" i="22" s="1"/>
  <c r="AR542" i="22" s="1"/>
  <c r="AS542" i="22" s="1"/>
  <c r="AT542" i="22" s="1"/>
  <c r="AU542" i="22" s="1"/>
  <c r="AV542" i="22" s="1"/>
  <c r="AW542" i="22" s="1"/>
  <c r="AX542" i="22" s="1"/>
  <c r="AY542" i="22" s="1"/>
  <c r="AZ542" i="22" s="1"/>
  <c r="BA542" i="22" s="1"/>
  <c r="BB542" i="22" s="1"/>
  <c r="BC542" i="22" s="1"/>
  <c r="BD542" i="22" s="1"/>
  <c r="BE542" i="22" s="1"/>
  <c r="O531" i="22"/>
  <c r="P531" i="22" s="1"/>
  <c r="Q531" i="22" s="1"/>
  <c r="R531" i="22" s="1"/>
  <c r="S531" i="22" s="1"/>
  <c r="T531" i="22" s="1"/>
  <c r="U531" i="22" s="1"/>
  <c r="V531" i="22" s="1"/>
  <c r="W531" i="22" s="1"/>
  <c r="X531" i="22" s="1"/>
  <c r="Y531" i="22" s="1"/>
  <c r="Z531" i="22" s="1"/>
  <c r="AA531" i="22" s="1"/>
  <c r="AB531" i="22" s="1"/>
  <c r="AC531" i="22" s="1"/>
  <c r="AD531" i="22" s="1"/>
  <c r="AE531" i="22" s="1"/>
  <c r="AF531" i="22" s="1"/>
  <c r="AG531" i="22" s="1"/>
  <c r="O526" i="22"/>
  <c r="P526" i="22" s="1"/>
  <c r="Q526" i="22" s="1"/>
  <c r="R526" i="22" s="1"/>
  <c r="S526" i="22" s="1"/>
  <c r="T526" i="22" s="1"/>
  <c r="U526" i="22" s="1"/>
  <c r="V526" i="22" s="1"/>
  <c r="W526" i="22" s="1"/>
  <c r="X526" i="22" s="1"/>
  <c r="Y526" i="22" s="1"/>
  <c r="Z526" i="22" s="1"/>
  <c r="AA526" i="22" s="1"/>
  <c r="AB526" i="22" s="1"/>
  <c r="AC526" i="22" s="1"/>
  <c r="AD526" i="22" s="1"/>
  <c r="AE526" i="22" s="1"/>
  <c r="AF526" i="22" s="1"/>
  <c r="AG526" i="22" s="1"/>
  <c r="O649" i="22"/>
  <c r="P649" i="22" s="1"/>
  <c r="Q649" i="22" s="1"/>
  <c r="R649" i="22" s="1"/>
  <c r="S649" i="22" s="1"/>
  <c r="T649" i="22" s="1"/>
  <c r="U649" i="22" s="1"/>
  <c r="V649" i="22" s="1"/>
  <c r="W649" i="22" s="1"/>
  <c r="X649" i="22" s="1"/>
  <c r="Y649" i="22" s="1"/>
  <c r="Z649" i="22" s="1"/>
  <c r="AA649" i="22" s="1"/>
  <c r="AB649" i="22" s="1"/>
  <c r="AC649" i="22" s="1"/>
  <c r="AD649" i="22" s="1"/>
  <c r="AE649" i="22" s="1"/>
  <c r="AF649" i="22" s="1"/>
  <c r="AG649" i="22" s="1"/>
  <c r="AI612" i="22"/>
  <c r="AJ612" i="22" s="1"/>
  <c r="AK612" i="22" s="1"/>
  <c r="AL612" i="22" s="1"/>
  <c r="AM612" i="22" s="1"/>
  <c r="AN612" i="22" s="1"/>
  <c r="AO612" i="22" s="1"/>
  <c r="AP612" i="22" s="1"/>
  <c r="AQ612" i="22" s="1"/>
  <c r="AR612" i="22" s="1"/>
  <c r="AS612" i="22" s="1"/>
  <c r="AT612" i="22" s="1"/>
  <c r="AU612" i="22" s="1"/>
  <c r="AV612" i="22" s="1"/>
  <c r="AW612" i="22" s="1"/>
  <c r="AX612" i="22" s="1"/>
  <c r="AY612" i="22" s="1"/>
  <c r="AZ612" i="22" s="1"/>
  <c r="BA612" i="22" s="1"/>
  <c r="BB612" i="22" s="1"/>
  <c r="BC612" i="22" s="1"/>
  <c r="BD612" i="22" s="1"/>
  <c r="BE612" i="22" s="1"/>
  <c r="O606" i="22"/>
  <c r="P606" i="22" s="1"/>
  <c r="Q606" i="22" s="1"/>
  <c r="R606" i="22" s="1"/>
  <c r="S606" i="22" s="1"/>
  <c r="T606" i="22" s="1"/>
  <c r="U606" i="22" s="1"/>
  <c r="V606" i="22" s="1"/>
  <c r="W606" i="22" s="1"/>
  <c r="X606" i="22" s="1"/>
  <c r="Y606" i="22" s="1"/>
  <c r="Z606" i="22" s="1"/>
  <c r="AA606" i="22" s="1"/>
  <c r="AB606" i="22" s="1"/>
  <c r="AC606" i="22" s="1"/>
  <c r="AD606" i="22" s="1"/>
  <c r="AE606" i="22" s="1"/>
  <c r="AF606" i="22" s="1"/>
  <c r="AG606" i="22" s="1"/>
  <c r="AI604" i="22"/>
  <c r="AJ604" i="22" s="1"/>
  <c r="AK604" i="22" s="1"/>
  <c r="AL604" i="22" s="1"/>
  <c r="AM604" i="22" s="1"/>
  <c r="AN604" i="22" s="1"/>
  <c r="AO604" i="22" s="1"/>
  <c r="AP604" i="22" s="1"/>
  <c r="AQ604" i="22" s="1"/>
  <c r="AR604" i="22" s="1"/>
  <c r="AS604" i="22" s="1"/>
  <c r="AT604" i="22" s="1"/>
  <c r="AU604" i="22" s="1"/>
  <c r="AV604" i="22" s="1"/>
  <c r="AW604" i="22" s="1"/>
  <c r="AX604" i="22" s="1"/>
  <c r="AY604" i="22" s="1"/>
  <c r="AZ604" i="22" s="1"/>
  <c r="BA604" i="22" s="1"/>
  <c r="BB604" i="22" s="1"/>
  <c r="BC604" i="22" s="1"/>
  <c r="BD604" i="22" s="1"/>
  <c r="BE604" i="22" s="1"/>
  <c r="O603" i="22"/>
  <c r="P603" i="22" s="1"/>
  <c r="Q603" i="22" s="1"/>
  <c r="R603" i="22" s="1"/>
  <c r="S603" i="22" s="1"/>
  <c r="T603" i="22" s="1"/>
  <c r="U603" i="22" s="1"/>
  <c r="V603" i="22" s="1"/>
  <c r="W603" i="22" s="1"/>
  <c r="X603" i="22" s="1"/>
  <c r="Y603" i="22" s="1"/>
  <c r="Z603" i="22" s="1"/>
  <c r="AA603" i="22" s="1"/>
  <c r="AB603" i="22" s="1"/>
  <c r="AC603" i="22" s="1"/>
  <c r="AD603" i="22" s="1"/>
  <c r="AE603" i="22" s="1"/>
  <c r="AF603" i="22" s="1"/>
  <c r="AG603" i="22" s="1"/>
  <c r="AI598" i="22"/>
  <c r="AJ598" i="22" s="1"/>
  <c r="AK598" i="22" s="1"/>
  <c r="AL598" i="22" s="1"/>
  <c r="AM598" i="22" s="1"/>
  <c r="AN598" i="22" s="1"/>
  <c r="AO598" i="22" s="1"/>
  <c r="AP598" i="22" s="1"/>
  <c r="AQ598" i="22" s="1"/>
  <c r="AR598" i="22" s="1"/>
  <c r="AS598" i="22" s="1"/>
  <c r="AT598" i="22" s="1"/>
  <c r="AU598" i="22" s="1"/>
  <c r="AV598" i="22" s="1"/>
  <c r="AW598" i="22" s="1"/>
  <c r="AX598" i="22" s="1"/>
  <c r="AY598" i="22" s="1"/>
  <c r="AZ598" i="22" s="1"/>
  <c r="BA598" i="22" s="1"/>
  <c r="BB598" i="22" s="1"/>
  <c r="BC598" i="22" s="1"/>
  <c r="BD598" i="22" s="1"/>
  <c r="BE598" i="22" s="1"/>
  <c r="O571" i="22"/>
  <c r="P571" i="22" s="1"/>
  <c r="Q571" i="22" s="1"/>
  <c r="R571" i="22" s="1"/>
  <c r="S571" i="22" s="1"/>
  <c r="T571" i="22" s="1"/>
  <c r="U571" i="22" s="1"/>
  <c r="V571" i="22" s="1"/>
  <c r="W571" i="22" s="1"/>
  <c r="X571" i="22" s="1"/>
  <c r="Y571" i="22" s="1"/>
  <c r="Z571" i="22" s="1"/>
  <c r="AA571" i="22" s="1"/>
  <c r="AB571" i="22" s="1"/>
  <c r="AC571" i="22" s="1"/>
  <c r="AD571" i="22" s="1"/>
  <c r="AE571" i="22" s="1"/>
  <c r="AF571" i="22" s="1"/>
  <c r="AG571" i="22" s="1"/>
  <c r="O549" i="22"/>
  <c r="P549" i="22" s="1"/>
  <c r="Q549" i="22" s="1"/>
  <c r="R549" i="22" s="1"/>
  <c r="S549" i="22" s="1"/>
  <c r="T549" i="22" s="1"/>
  <c r="U549" i="22" s="1"/>
  <c r="V549" i="22" s="1"/>
  <c r="W549" i="22" s="1"/>
  <c r="X549" i="22" s="1"/>
  <c r="Y549" i="22" s="1"/>
  <c r="Z549" i="22" s="1"/>
  <c r="AA549" i="22" s="1"/>
  <c r="AB549" i="22" s="1"/>
  <c r="AC549" i="22" s="1"/>
  <c r="AD549" i="22" s="1"/>
  <c r="AE549" i="22" s="1"/>
  <c r="AF549" i="22" s="1"/>
  <c r="AG549" i="22" s="1"/>
  <c r="O543" i="22"/>
  <c r="P543" i="22" s="1"/>
  <c r="Q543" i="22" s="1"/>
  <c r="R543" i="22" s="1"/>
  <c r="S543" i="22" s="1"/>
  <c r="T543" i="22" s="1"/>
  <c r="U543" i="22" s="1"/>
  <c r="V543" i="22" s="1"/>
  <c r="W543" i="22" s="1"/>
  <c r="X543" i="22" s="1"/>
  <c r="Y543" i="22" s="1"/>
  <c r="Z543" i="22" s="1"/>
  <c r="AA543" i="22" s="1"/>
  <c r="AB543" i="22" s="1"/>
  <c r="AC543" i="22" s="1"/>
  <c r="AD543" i="22" s="1"/>
  <c r="AE543" i="22" s="1"/>
  <c r="AF543" i="22" s="1"/>
  <c r="AG543" i="22" s="1"/>
  <c r="AI516" i="22"/>
  <c r="AJ516" i="22" s="1"/>
  <c r="AK516" i="22" s="1"/>
  <c r="AL516" i="22" s="1"/>
  <c r="AM516" i="22" s="1"/>
  <c r="AN516" i="22" s="1"/>
  <c r="AO516" i="22" s="1"/>
  <c r="AP516" i="22" s="1"/>
  <c r="AQ516" i="22" s="1"/>
  <c r="AR516" i="22" s="1"/>
  <c r="AS516" i="22" s="1"/>
  <c r="AT516" i="22" s="1"/>
  <c r="AU516" i="22" s="1"/>
  <c r="AV516" i="22" s="1"/>
  <c r="AW516" i="22" s="1"/>
  <c r="AX516" i="22" s="1"/>
  <c r="AY516" i="22" s="1"/>
  <c r="AZ516" i="22" s="1"/>
  <c r="BA516" i="22" s="1"/>
  <c r="BB516" i="22" s="1"/>
  <c r="BC516" i="22" s="1"/>
  <c r="BD516" i="22" s="1"/>
  <c r="BE516" i="22" s="1"/>
  <c r="O516" i="22"/>
  <c r="P516" i="22" s="1"/>
  <c r="Q516" i="22" s="1"/>
  <c r="R516" i="22" s="1"/>
  <c r="S516" i="22" s="1"/>
  <c r="T516" i="22" s="1"/>
  <c r="U516" i="22" s="1"/>
  <c r="V516" i="22" s="1"/>
  <c r="W516" i="22" s="1"/>
  <c r="X516" i="22" s="1"/>
  <c r="Y516" i="22" s="1"/>
  <c r="Z516" i="22" s="1"/>
  <c r="AA516" i="22" s="1"/>
  <c r="AB516" i="22" s="1"/>
  <c r="AC516" i="22" s="1"/>
  <c r="AD516" i="22" s="1"/>
  <c r="AE516" i="22" s="1"/>
  <c r="AF516" i="22" s="1"/>
  <c r="AG516" i="22" s="1"/>
  <c r="O504" i="22"/>
  <c r="P504" i="22" s="1"/>
  <c r="Q504" i="22" s="1"/>
  <c r="R504" i="22" s="1"/>
  <c r="S504" i="22" s="1"/>
  <c r="T504" i="22" s="1"/>
  <c r="U504" i="22" s="1"/>
  <c r="V504" i="22" s="1"/>
  <c r="W504" i="22" s="1"/>
  <c r="X504" i="22" s="1"/>
  <c r="Y504" i="22" s="1"/>
  <c r="Z504" i="22" s="1"/>
  <c r="AA504" i="22" s="1"/>
  <c r="AB504" i="22" s="1"/>
  <c r="AC504" i="22" s="1"/>
  <c r="AD504" i="22" s="1"/>
  <c r="AE504" i="22" s="1"/>
  <c r="AF504" i="22" s="1"/>
  <c r="AG504" i="22" s="1"/>
  <c r="O499" i="22"/>
  <c r="P499" i="22" s="1"/>
  <c r="Q499" i="22" s="1"/>
  <c r="R499" i="22" s="1"/>
  <c r="S499" i="22" s="1"/>
  <c r="T499" i="22" s="1"/>
  <c r="U499" i="22" s="1"/>
  <c r="V499" i="22" s="1"/>
  <c r="W499" i="22" s="1"/>
  <c r="X499" i="22" s="1"/>
  <c r="Y499" i="22" s="1"/>
  <c r="Z499" i="22" s="1"/>
  <c r="AA499" i="22" s="1"/>
  <c r="AB499" i="22" s="1"/>
  <c r="AC499" i="22" s="1"/>
  <c r="AD499" i="22" s="1"/>
  <c r="AE499" i="22" s="1"/>
  <c r="AF499" i="22" s="1"/>
  <c r="AG499" i="22" s="1"/>
  <c r="AI475" i="22"/>
  <c r="AJ475" i="22" s="1"/>
  <c r="AK475" i="22" s="1"/>
  <c r="AL475" i="22" s="1"/>
  <c r="AM475" i="22" s="1"/>
  <c r="AN475" i="22" s="1"/>
  <c r="AO475" i="22" s="1"/>
  <c r="AP475" i="22" s="1"/>
  <c r="AQ475" i="22" s="1"/>
  <c r="AR475" i="22" s="1"/>
  <c r="AS475" i="22" s="1"/>
  <c r="AT475" i="22" s="1"/>
  <c r="AU475" i="22" s="1"/>
  <c r="AV475" i="22" s="1"/>
  <c r="AW475" i="22" s="1"/>
  <c r="AX475" i="22" s="1"/>
  <c r="AY475" i="22" s="1"/>
  <c r="AZ475" i="22" s="1"/>
  <c r="BA475" i="22" s="1"/>
  <c r="BB475" i="22" s="1"/>
  <c r="BC475" i="22" s="1"/>
  <c r="BD475" i="22" s="1"/>
  <c r="BE475" i="22" s="1"/>
  <c r="O475" i="22"/>
  <c r="P475" i="22" s="1"/>
  <c r="Q475" i="22" s="1"/>
  <c r="R475" i="22" s="1"/>
  <c r="S475" i="22" s="1"/>
  <c r="T475" i="22" s="1"/>
  <c r="U475" i="22" s="1"/>
  <c r="V475" i="22" s="1"/>
  <c r="W475" i="22" s="1"/>
  <c r="X475" i="22" s="1"/>
  <c r="Y475" i="22" s="1"/>
  <c r="Z475" i="22" s="1"/>
  <c r="AA475" i="22" s="1"/>
  <c r="AB475" i="22" s="1"/>
  <c r="AC475" i="22" s="1"/>
  <c r="AD475" i="22" s="1"/>
  <c r="AE475" i="22" s="1"/>
  <c r="AF475" i="22" s="1"/>
  <c r="AG475" i="22" s="1"/>
  <c r="O470" i="22"/>
  <c r="P470" i="22" s="1"/>
  <c r="Q470" i="22" s="1"/>
  <c r="R470" i="22" s="1"/>
  <c r="S470" i="22" s="1"/>
  <c r="T470" i="22" s="1"/>
  <c r="U470" i="22" s="1"/>
  <c r="V470" i="22" s="1"/>
  <c r="W470" i="22" s="1"/>
  <c r="X470" i="22" s="1"/>
  <c r="Y470" i="22" s="1"/>
  <c r="Z470" i="22" s="1"/>
  <c r="AA470" i="22" s="1"/>
  <c r="AB470" i="22" s="1"/>
  <c r="AC470" i="22" s="1"/>
  <c r="AD470" i="22" s="1"/>
  <c r="AE470" i="22" s="1"/>
  <c r="AF470" i="22" s="1"/>
  <c r="AG470" i="22" s="1"/>
  <c r="AI461" i="22"/>
  <c r="AJ461" i="22" s="1"/>
  <c r="AK461" i="22" s="1"/>
  <c r="AL461" i="22" s="1"/>
  <c r="AM461" i="22" s="1"/>
  <c r="AN461" i="22" s="1"/>
  <c r="AO461" i="22" s="1"/>
  <c r="AP461" i="22" s="1"/>
  <c r="AQ461" i="22" s="1"/>
  <c r="AR461" i="22" s="1"/>
  <c r="AS461" i="22" s="1"/>
  <c r="AT461" i="22" s="1"/>
  <c r="AU461" i="22" s="1"/>
  <c r="AV461" i="22" s="1"/>
  <c r="AW461" i="22" s="1"/>
  <c r="AX461" i="22" s="1"/>
  <c r="AY461" i="22" s="1"/>
  <c r="AZ461" i="22" s="1"/>
  <c r="BA461" i="22" s="1"/>
  <c r="BB461" i="22" s="1"/>
  <c r="BC461" i="22" s="1"/>
  <c r="BD461" i="22" s="1"/>
  <c r="BE461" i="22" s="1"/>
  <c r="O450" i="22"/>
  <c r="P450" i="22" s="1"/>
  <c r="Q450" i="22" s="1"/>
  <c r="R450" i="22" s="1"/>
  <c r="S450" i="22" s="1"/>
  <c r="T450" i="22" s="1"/>
  <c r="U450" i="22" s="1"/>
  <c r="V450" i="22" s="1"/>
  <c r="W450" i="22" s="1"/>
  <c r="X450" i="22" s="1"/>
  <c r="Y450" i="22" s="1"/>
  <c r="Z450" i="22" s="1"/>
  <c r="AA450" i="22" s="1"/>
  <c r="AB450" i="22" s="1"/>
  <c r="AC450" i="22" s="1"/>
  <c r="AD450" i="22" s="1"/>
  <c r="AE450" i="22" s="1"/>
  <c r="AF450" i="22" s="1"/>
  <c r="AG450" i="22" s="1"/>
  <c r="O442" i="22"/>
  <c r="P442" i="22" s="1"/>
  <c r="Q442" i="22" s="1"/>
  <c r="R442" i="22" s="1"/>
  <c r="S442" i="22" s="1"/>
  <c r="T442" i="22" s="1"/>
  <c r="U442" i="22" s="1"/>
  <c r="V442" i="22" s="1"/>
  <c r="W442" i="22" s="1"/>
  <c r="X442" i="22" s="1"/>
  <c r="Y442" i="22" s="1"/>
  <c r="Z442" i="22" s="1"/>
  <c r="AA442" i="22" s="1"/>
  <c r="AB442" i="22" s="1"/>
  <c r="AC442" i="22" s="1"/>
  <c r="AD442" i="22" s="1"/>
  <c r="AE442" i="22" s="1"/>
  <c r="AF442" i="22" s="1"/>
  <c r="AG442" i="22" s="1"/>
  <c r="O434" i="22"/>
  <c r="P434" i="22" s="1"/>
  <c r="Q434" i="22" s="1"/>
  <c r="R434" i="22" s="1"/>
  <c r="S434" i="22" s="1"/>
  <c r="T434" i="22" s="1"/>
  <c r="U434" i="22" s="1"/>
  <c r="V434" i="22" s="1"/>
  <c r="W434" i="22" s="1"/>
  <c r="X434" i="22" s="1"/>
  <c r="Y434" i="22" s="1"/>
  <c r="Z434" i="22" s="1"/>
  <c r="AA434" i="22" s="1"/>
  <c r="AB434" i="22" s="1"/>
  <c r="AC434" i="22" s="1"/>
  <c r="AD434" i="22" s="1"/>
  <c r="AE434" i="22" s="1"/>
  <c r="AF434" i="22" s="1"/>
  <c r="AG434" i="22" s="1"/>
  <c r="AI687" i="22"/>
  <c r="AJ687" i="22" s="1"/>
  <c r="AK687" i="22" s="1"/>
  <c r="AL687" i="22" s="1"/>
  <c r="AM687" i="22" s="1"/>
  <c r="AN687" i="22" s="1"/>
  <c r="AO687" i="22" s="1"/>
  <c r="AP687" i="22" s="1"/>
  <c r="AQ687" i="22" s="1"/>
  <c r="AR687" i="22" s="1"/>
  <c r="AS687" i="22" s="1"/>
  <c r="AT687" i="22" s="1"/>
  <c r="AU687" i="22" s="1"/>
  <c r="AV687" i="22" s="1"/>
  <c r="AW687" i="22" s="1"/>
  <c r="AX687" i="22" s="1"/>
  <c r="AY687" i="22" s="1"/>
  <c r="AZ687" i="22" s="1"/>
  <c r="BA687" i="22" s="1"/>
  <c r="BB687" i="22" s="1"/>
  <c r="BC687" i="22" s="1"/>
  <c r="BD687" i="22" s="1"/>
  <c r="BE687" i="22" s="1"/>
  <c r="O645" i="22"/>
  <c r="P645" i="22" s="1"/>
  <c r="Q645" i="22" s="1"/>
  <c r="R645" i="22" s="1"/>
  <c r="S645" i="22" s="1"/>
  <c r="T645" i="22" s="1"/>
  <c r="U645" i="22" s="1"/>
  <c r="V645" i="22" s="1"/>
  <c r="W645" i="22" s="1"/>
  <c r="X645" i="22" s="1"/>
  <c r="Y645" i="22" s="1"/>
  <c r="Z645" i="22" s="1"/>
  <c r="AA645" i="22" s="1"/>
  <c r="AB645" i="22" s="1"/>
  <c r="AC645" i="22" s="1"/>
  <c r="AD645" i="22" s="1"/>
  <c r="AE645" i="22" s="1"/>
  <c r="AF645" i="22" s="1"/>
  <c r="AG645" i="22" s="1"/>
  <c r="AI550" i="22"/>
  <c r="AJ550" i="22" s="1"/>
  <c r="AK550" i="22" s="1"/>
  <c r="AL550" i="22" s="1"/>
  <c r="AM550" i="22" s="1"/>
  <c r="AN550" i="22" s="1"/>
  <c r="AO550" i="22" s="1"/>
  <c r="AP550" i="22" s="1"/>
  <c r="AQ550" i="22" s="1"/>
  <c r="AR550" i="22" s="1"/>
  <c r="AS550" i="22" s="1"/>
  <c r="AT550" i="22" s="1"/>
  <c r="AU550" i="22" s="1"/>
  <c r="AV550" i="22" s="1"/>
  <c r="AW550" i="22" s="1"/>
  <c r="AX550" i="22" s="1"/>
  <c r="AY550" i="22" s="1"/>
  <c r="AZ550" i="22" s="1"/>
  <c r="BA550" i="22" s="1"/>
  <c r="BB550" i="22" s="1"/>
  <c r="BC550" i="22" s="1"/>
  <c r="BD550" i="22" s="1"/>
  <c r="BE550" i="22" s="1"/>
  <c r="AI540" i="22"/>
  <c r="AJ540" i="22" s="1"/>
  <c r="AK540" i="22" s="1"/>
  <c r="AL540" i="22" s="1"/>
  <c r="AM540" i="22" s="1"/>
  <c r="AN540" i="22" s="1"/>
  <c r="AO540" i="22" s="1"/>
  <c r="AP540" i="22" s="1"/>
  <c r="AQ540" i="22" s="1"/>
  <c r="AR540" i="22" s="1"/>
  <c r="AS540" i="22" s="1"/>
  <c r="AT540" i="22" s="1"/>
  <c r="AU540" i="22" s="1"/>
  <c r="AV540" i="22" s="1"/>
  <c r="AW540" i="22" s="1"/>
  <c r="AX540" i="22" s="1"/>
  <c r="AY540" i="22" s="1"/>
  <c r="AZ540" i="22" s="1"/>
  <c r="BA540" i="22" s="1"/>
  <c r="BB540" i="22" s="1"/>
  <c r="BC540" i="22" s="1"/>
  <c r="BD540" i="22" s="1"/>
  <c r="BE540" i="22" s="1"/>
  <c r="AI534" i="22"/>
  <c r="AJ534" i="22" s="1"/>
  <c r="AK534" i="22" s="1"/>
  <c r="AL534" i="22" s="1"/>
  <c r="AM534" i="22" s="1"/>
  <c r="AN534" i="22" s="1"/>
  <c r="AO534" i="22" s="1"/>
  <c r="AP534" i="22" s="1"/>
  <c r="AQ534" i="22" s="1"/>
  <c r="AR534" i="22" s="1"/>
  <c r="AS534" i="22" s="1"/>
  <c r="AT534" i="22" s="1"/>
  <c r="AU534" i="22" s="1"/>
  <c r="AV534" i="22" s="1"/>
  <c r="AW534" i="22" s="1"/>
  <c r="AX534" i="22" s="1"/>
  <c r="AY534" i="22" s="1"/>
  <c r="AZ534" i="22" s="1"/>
  <c r="BA534" i="22" s="1"/>
  <c r="BB534" i="22" s="1"/>
  <c r="BC534" i="22" s="1"/>
  <c r="BD534" i="22" s="1"/>
  <c r="BE534" i="22" s="1"/>
  <c r="O529" i="22"/>
  <c r="P529" i="22" s="1"/>
  <c r="Q529" i="22" s="1"/>
  <c r="R529" i="22" s="1"/>
  <c r="S529" i="22" s="1"/>
  <c r="T529" i="22" s="1"/>
  <c r="U529" i="22" s="1"/>
  <c r="V529" i="22" s="1"/>
  <c r="W529" i="22" s="1"/>
  <c r="X529" i="22" s="1"/>
  <c r="Y529" i="22" s="1"/>
  <c r="Z529" i="22" s="1"/>
  <c r="AA529" i="22" s="1"/>
  <c r="AB529" i="22" s="1"/>
  <c r="AC529" i="22" s="1"/>
  <c r="AD529" i="22" s="1"/>
  <c r="AE529" i="22" s="1"/>
  <c r="AF529" i="22" s="1"/>
  <c r="AG529" i="22" s="1"/>
  <c r="O488" i="22"/>
  <c r="P488" i="22" s="1"/>
  <c r="Q488" i="22" s="1"/>
  <c r="R488" i="22" s="1"/>
  <c r="S488" i="22" s="1"/>
  <c r="T488" i="22" s="1"/>
  <c r="U488" i="22" s="1"/>
  <c r="V488" i="22" s="1"/>
  <c r="W488" i="22" s="1"/>
  <c r="X488" i="22" s="1"/>
  <c r="Y488" i="22" s="1"/>
  <c r="Z488" i="22" s="1"/>
  <c r="AA488" i="22" s="1"/>
  <c r="AB488" i="22" s="1"/>
  <c r="AC488" i="22" s="1"/>
  <c r="AD488" i="22" s="1"/>
  <c r="AE488" i="22" s="1"/>
  <c r="AF488" i="22" s="1"/>
  <c r="AG488" i="22" s="1"/>
  <c r="O482" i="22"/>
  <c r="P482" i="22" s="1"/>
  <c r="Q482" i="22" s="1"/>
  <c r="R482" i="22" s="1"/>
  <c r="S482" i="22" s="1"/>
  <c r="T482" i="22" s="1"/>
  <c r="U482" i="22" s="1"/>
  <c r="V482" i="22" s="1"/>
  <c r="W482" i="22" s="1"/>
  <c r="X482" i="22" s="1"/>
  <c r="Y482" i="22" s="1"/>
  <c r="Z482" i="22" s="1"/>
  <c r="AA482" i="22" s="1"/>
  <c r="AB482" i="22" s="1"/>
  <c r="AC482" i="22" s="1"/>
  <c r="AD482" i="22" s="1"/>
  <c r="AE482" i="22" s="1"/>
  <c r="AF482" i="22" s="1"/>
  <c r="AG482" i="22" s="1"/>
  <c r="AI663" i="22"/>
  <c r="AJ663" i="22" s="1"/>
  <c r="AK663" i="22" s="1"/>
  <c r="AL663" i="22" s="1"/>
  <c r="AM663" i="22" s="1"/>
  <c r="AN663" i="22" s="1"/>
  <c r="AO663" i="22" s="1"/>
  <c r="AP663" i="22" s="1"/>
  <c r="AQ663" i="22" s="1"/>
  <c r="AR663" i="22" s="1"/>
  <c r="AS663" i="22" s="1"/>
  <c r="AT663" i="22" s="1"/>
  <c r="AU663" i="22" s="1"/>
  <c r="AV663" i="22" s="1"/>
  <c r="AW663" i="22" s="1"/>
  <c r="AX663" i="22" s="1"/>
  <c r="AY663" i="22" s="1"/>
  <c r="AZ663" i="22" s="1"/>
  <c r="BA663" i="22" s="1"/>
  <c r="BB663" i="22" s="1"/>
  <c r="BC663" i="22" s="1"/>
  <c r="BD663" i="22" s="1"/>
  <c r="BE663" i="22" s="1"/>
  <c r="AI499" i="22"/>
  <c r="AJ499" i="22" s="1"/>
  <c r="AK499" i="22" s="1"/>
  <c r="AL499" i="22" s="1"/>
  <c r="AM499" i="22" s="1"/>
  <c r="AN499" i="22" s="1"/>
  <c r="AO499" i="22" s="1"/>
  <c r="AP499" i="22" s="1"/>
  <c r="AQ499" i="22" s="1"/>
  <c r="AR499" i="22" s="1"/>
  <c r="AS499" i="22" s="1"/>
  <c r="AT499" i="22" s="1"/>
  <c r="AU499" i="22" s="1"/>
  <c r="AV499" i="22" s="1"/>
  <c r="AW499" i="22" s="1"/>
  <c r="AX499" i="22" s="1"/>
  <c r="AY499" i="22" s="1"/>
  <c r="AZ499" i="22" s="1"/>
  <c r="BA499" i="22" s="1"/>
  <c r="BB499" i="22" s="1"/>
  <c r="BC499" i="22" s="1"/>
  <c r="BD499" i="22" s="1"/>
  <c r="BE499" i="22" s="1"/>
  <c r="O494" i="22"/>
  <c r="P494" i="22" s="1"/>
  <c r="Q494" i="22" s="1"/>
  <c r="R494" i="22" s="1"/>
  <c r="S494" i="22" s="1"/>
  <c r="T494" i="22" s="1"/>
  <c r="U494" i="22" s="1"/>
  <c r="V494" i="22" s="1"/>
  <c r="W494" i="22" s="1"/>
  <c r="X494" i="22" s="1"/>
  <c r="Y494" i="22" s="1"/>
  <c r="Z494" i="22" s="1"/>
  <c r="AA494" i="22" s="1"/>
  <c r="AB494" i="22" s="1"/>
  <c r="AC494" i="22" s="1"/>
  <c r="AD494" i="22" s="1"/>
  <c r="AE494" i="22" s="1"/>
  <c r="AF494" i="22" s="1"/>
  <c r="AG494" i="22" s="1"/>
  <c r="AI473" i="22"/>
  <c r="AJ473" i="22" s="1"/>
  <c r="AK473" i="22" s="1"/>
  <c r="AL473" i="22" s="1"/>
  <c r="AM473" i="22" s="1"/>
  <c r="AN473" i="22" s="1"/>
  <c r="AO473" i="22" s="1"/>
  <c r="AP473" i="22" s="1"/>
  <c r="AQ473" i="22" s="1"/>
  <c r="AR473" i="22" s="1"/>
  <c r="AS473" i="22" s="1"/>
  <c r="AT473" i="22" s="1"/>
  <c r="AU473" i="22" s="1"/>
  <c r="AV473" i="22" s="1"/>
  <c r="AW473" i="22" s="1"/>
  <c r="AX473" i="22" s="1"/>
  <c r="AY473" i="22" s="1"/>
  <c r="AZ473" i="22" s="1"/>
  <c r="BA473" i="22" s="1"/>
  <c r="BB473" i="22" s="1"/>
  <c r="BC473" i="22" s="1"/>
  <c r="BD473" i="22" s="1"/>
  <c r="BE473" i="22" s="1"/>
  <c r="AI440" i="22"/>
  <c r="AJ440" i="22" s="1"/>
  <c r="AK440" i="22" s="1"/>
  <c r="AL440" i="22" s="1"/>
  <c r="AM440" i="22" s="1"/>
  <c r="AN440" i="22" s="1"/>
  <c r="AO440" i="22" s="1"/>
  <c r="AP440" i="22" s="1"/>
  <c r="AQ440" i="22" s="1"/>
  <c r="AR440" i="22" s="1"/>
  <c r="AS440" i="22" s="1"/>
  <c r="AT440" i="22" s="1"/>
  <c r="AU440" i="22" s="1"/>
  <c r="AV440" i="22" s="1"/>
  <c r="AW440" i="22" s="1"/>
  <c r="AX440" i="22" s="1"/>
  <c r="AY440" i="22" s="1"/>
  <c r="AZ440" i="22" s="1"/>
  <c r="BA440" i="22" s="1"/>
  <c r="BB440" i="22" s="1"/>
  <c r="BC440" i="22" s="1"/>
  <c r="BD440" i="22" s="1"/>
  <c r="BE440" i="22" s="1"/>
  <c r="O428" i="22"/>
  <c r="P428" i="22" s="1"/>
  <c r="Q428" i="22" s="1"/>
  <c r="R428" i="22" s="1"/>
  <c r="S428" i="22" s="1"/>
  <c r="T428" i="22" s="1"/>
  <c r="U428" i="22" s="1"/>
  <c r="V428" i="22" s="1"/>
  <c r="W428" i="22" s="1"/>
  <c r="X428" i="22" s="1"/>
  <c r="Y428" i="22" s="1"/>
  <c r="Z428" i="22" s="1"/>
  <c r="AA428" i="22" s="1"/>
  <c r="AB428" i="22" s="1"/>
  <c r="AC428" i="22" s="1"/>
  <c r="AD428" i="22" s="1"/>
  <c r="AE428" i="22" s="1"/>
  <c r="AF428" i="22" s="1"/>
  <c r="AG428" i="22" s="1"/>
  <c r="AI426" i="22"/>
  <c r="AJ426" i="22" s="1"/>
  <c r="AK426" i="22" s="1"/>
  <c r="AL426" i="22" s="1"/>
  <c r="AM426" i="22" s="1"/>
  <c r="AN426" i="22" s="1"/>
  <c r="AO426" i="22" s="1"/>
  <c r="AP426" i="22" s="1"/>
  <c r="AQ426" i="22" s="1"/>
  <c r="AR426" i="22" s="1"/>
  <c r="AS426" i="22" s="1"/>
  <c r="AT426" i="22" s="1"/>
  <c r="AU426" i="22" s="1"/>
  <c r="AV426" i="22" s="1"/>
  <c r="AW426" i="22" s="1"/>
  <c r="AX426" i="22" s="1"/>
  <c r="AY426" i="22" s="1"/>
  <c r="AZ426" i="22" s="1"/>
  <c r="BA426" i="22" s="1"/>
  <c r="BB426" i="22" s="1"/>
  <c r="BC426" i="22" s="1"/>
  <c r="BD426" i="22" s="1"/>
  <c r="BE426" i="22" s="1"/>
  <c r="AI421" i="22"/>
  <c r="AJ421" i="22" s="1"/>
  <c r="AK421" i="22" s="1"/>
  <c r="AL421" i="22" s="1"/>
  <c r="AM421" i="22" s="1"/>
  <c r="AN421" i="22" s="1"/>
  <c r="AO421" i="22" s="1"/>
  <c r="AP421" i="22" s="1"/>
  <c r="AQ421" i="22" s="1"/>
  <c r="AR421" i="22" s="1"/>
  <c r="AS421" i="22" s="1"/>
  <c r="AT421" i="22" s="1"/>
  <c r="AU421" i="22" s="1"/>
  <c r="AV421" i="22" s="1"/>
  <c r="AW421" i="22" s="1"/>
  <c r="AX421" i="22" s="1"/>
  <c r="AY421" i="22" s="1"/>
  <c r="AZ421" i="22" s="1"/>
  <c r="BA421" i="22" s="1"/>
  <c r="BB421" i="22" s="1"/>
  <c r="BC421" i="22" s="1"/>
  <c r="BD421" i="22" s="1"/>
  <c r="BE421" i="22" s="1"/>
  <c r="O409" i="22"/>
  <c r="P409" i="22" s="1"/>
  <c r="Q409" i="22" s="1"/>
  <c r="R409" i="22" s="1"/>
  <c r="S409" i="22" s="1"/>
  <c r="T409" i="22" s="1"/>
  <c r="U409" i="22" s="1"/>
  <c r="V409" i="22" s="1"/>
  <c r="W409" i="22" s="1"/>
  <c r="X409" i="22" s="1"/>
  <c r="Y409" i="22" s="1"/>
  <c r="Z409" i="22" s="1"/>
  <c r="AA409" i="22" s="1"/>
  <c r="AB409" i="22" s="1"/>
  <c r="AC409" i="22" s="1"/>
  <c r="AD409" i="22" s="1"/>
  <c r="AE409" i="22" s="1"/>
  <c r="AF409" i="22" s="1"/>
  <c r="AG409" i="22" s="1"/>
  <c r="O404" i="22"/>
  <c r="P404" i="22" s="1"/>
  <c r="Q404" i="22" s="1"/>
  <c r="R404" i="22" s="1"/>
  <c r="S404" i="22" s="1"/>
  <c r="T404" i="22" s="1"/>
  <c r="U404" i="22" s="1"/>
  <c r="V404" i="22" s="1"/>
  <c r="W404" i="22" s="1"/>
  <c r="X404" i="22" s="1"/>
  <c r="Y404" i="22" s="1"/>
  <c r="Z404" i="22" s="1"/>
  <c r="AA404" i="22" s="1"/>
  <c r="AB404" i="22" s="1"/>
  <c r="AC404" i="22" s="1"/>
  <c r="AD404" i="22" s="1"/>
  <c r="AE404" i="22" s="1"/>
  <c r="AF404" i="22" s="1"/>
  <c r="AG404" i="22" s="1"/>
  <c r="AI402" i="22"/>
  <c r="AJ402" i="22" s="1"/>
  <c r="AK402" i="22" s="1"/>
  <c r="AL402" i="22" s="1"/>
  <c r="AM402" i="22" s="1"/>
  <c r="AN402" i="22" s="1"/>
  <c r="AO402" i="22" s="1"/>
  <c r="AP402" i="22" s="1"/>
  <c r="AQ402" i="22" s="1"/>
  <c r="AR402" i="22" s="1"/>
  <c r="AS402" i="22" s="1"/>
  <c r="AT402" i="22" s="1"/>
  <c r="AU402" i="22" s="1"/>
  <c r="AV402" i="22" s="1"/>
  <c r="AW402" i="22" s="1"/>
  <c r="AX402" i="22" s="1"/>
  <c r="AY402" i="22" s="1"/>
  <c r="AZ402" i="22" s="1"/>
  <c r="BA402" i="22" s="1"/>
  <c r="BB402" i="22" s="1"/>
  <c r="BC402" i="22" s="1"/>
  <c r="BD402" i="22" s="1"/>
  <c r="BE402" i="22" s="1"/>
  <c r="AI397" i="22"/>
  <c r="AJ397" i="22" s="1"/>
  <c r="AK397" i="22" s="1"/>
  <c r="AL397" i="22" s="1"/>
  <c r="AM397" i="22" s="1"/>
  <c r="AN397" i="22" s="1"/>
  <c r="AO397" i="22" s="1"/>
  <c r="AP397" i="22" s="1"/>
  <c r="AQ397" i="22" s="1"/>
  <c r="AR397" i="22" s="1"/>
  <c r="AS397" i="22" s="1"/>
  <c r="AT397" i="22" s="1"/>
  <c r="AU397" i="22" s="1"/>
  <c r="AV397" i="22" s="1"/>
  <c r="AW397" i="22" s="1"/>
  <c r="AX397" i="22" s="1"/>
  <c r="AY397" i="22" s="1"/>
  <c r="AZ397" i="22" s="1"/>
  <c r="BA397" i="22" s="1"/>
  <c r="BB397" i="22" s="1"/>
  <c r="BC397" i="22" s="1"/>
  <c r="BD397" i="22" s="1"/>
  <c r="BE397" i="22" s="1"/>
  <c r="O385" i="22"/>
  <c r="P385" i="22" s="1"/>
  <c r="Q385" i="22" s="1"/>
  <c r="R385" i="22" s="1"/>
  <c r="S385" i="22" s="1"/>
  <c r="T385" i="22" s="1"/>
  <c r="U385" i="22" s="1"/>
  <c r="V385" i="22" s="1"/>
  <c r="W385" i="22" s="1"/>
  <c r="X385" i="22" s="1"/>
  <c r="Y385" i="22" s="1"/>
  <c r="Z385" i="22" s="1"/>
  <c r="AA385" i="22" s="1"/>
  <c r="AB385" i="22" s="1"/>
  <c r="AC385" i="22" s="1"/>
  <c r="AD385" i="22" s="1"/>
  <c r="AE385" i="22" s="1"/>
  <c r="AF385" i="22" s="1"/>
  <c r="AG385" i="22" s="1"/>
  <c r="O380" i="22"/>
  <c r="P380" i="22" s="1"/>
  <c r="Q380" i="22" s="1"/>
  <c r="R380" i="22" s="1"/>
  <c r="S380" i="22" s="1"/>
  <c r="T380" i="22" s="1"/>
  <c r="U380" i="22" s="1"/>
  <c r="V380" i="22" s="1"/>
  <c r="W380" i="22" s="1"/>
  <c r="X380" i="22" s="1"/>
  <c r="Y380" i="22" s="1"/>
  <c r="Z380" i="22" s="1"/>
  <c r="AA380" i="22" s="1"/>
  <c r="AB380" i="22" s="1"/>
  <c r="AC380" i="22" s="1"/>
  <c r="AD380" i="22" s="1"/>
  <c r="AE380" i="22" s="1"/>
  <c r="AF380" i="22" s="1"/>
  <c r="AG380" i="22" s="1"/>
  <c r="AI378" i="22"/>
  <c r="AJ378" i="22" s="1"/>
  <c r="AK378" i="22" s="1"/>
  <c r="AL378" i="22" s="1"/>
  <c r="AM378" i="22" s="1"/>
  <c r="AN378" i="22" s="1"/>
  <c r="AO378" i="22" s="1"/>
  <c r="AP378" i="22" s="1"/>
  <c r="AQ378" i="22" s="1"/>
  <c r="AR378" i="22" s="1"/>
  <c r="AS378" i="22" s="1"/>
  <c r="AT378" i="22" s="1"/>
  <c r="AU378" i="22" s="1"/>
  <c r="AV378" i="22" s="1"/>
  <c r="AW378" i="22" s="1"/>
  <c r="AX378" i="22" s="1"/>
  <c r="AY378" i="22" s="1"/>
  <c r="AZ378" i="22" s="1"/>
  <c r="BA378" i="22" s="1"/>
  <c r="BB378" i="22" s="1"/>
  <c r="BC378" i="22" s="1"/>
  <c r="BD378" i="22" s="1"/>
  <c r="BE378" i="22" s="1"/>
  <c r="AI373" i="22"/>
  <c r="AJ373" i="22" s="1"/>
  <c r="AK373" i="22" s="1"/>
  <c r="AL373" i="22" s="1"/>
  <c r="AM373" i="22" s="1"/>
  <c r="AN373" i="22" s="1"/>
  <c r="AO373" i="22" s="1"/>
  <c r="AP373" i="22" s="1"/>
  <c r="AQ373" i="22" s="1"/>
  <c r="AR373" i="22" s="1"/>
  <c r="AS373" i="22" s="1"/>
  <c r="AT373" i="22" s="1"/>
  <c r="AU373" i="22" s="1"/>
  <c r="AV373" i="22" s="1"/>
  <c r="AW373" i="22" s="1"/>
  <c r="AX373" i="22" s="1"/>
  <c r="AY373" i="22" s="1"/>
  <c r="AZ373" i="22" s="1"/>
  <c r="BA373" i="22" s="1"/>
  <c r="BB373" i="22" s="1"/>
  <c r="BC373" i="22" s="1"/>
  <c r="BD373" i="22" s="1"/>
  <c r="BE373" i="22" s="1"/>
  <c r="O358" i="22"/>
  <c r="P358" i="22" s="1"/>
  <c r="Q358" i="22" s="1"/>
  <c r="R358" i="22" s="1"/>
  <c r="S358" i="22" s="1"/>
  <c r="T358" i="22" s="1"/>
  <c r="U358" i="22" s="1"/>
  <c r="V358" i="22" s="1"/>
  <c r="W358" i="22" s="1"/>
  <c r="X358" i="22" s="1"/>
  <c r="Y358" i="22" s="1"/>
  <c r="Z358" i="22" s="1"/>
  <c r="AA358" i="22" s="1"/>
  <c r="AB358" i="22" s="1"/>
  <c r="AC358" i="22" s="1"/>
  <c r="AD358" i="22" s="1"/>
  <c r="AE358" i="22" s="1"/>
  <c r="AF358" i="22" s="1"/>
  <c r="AG358" i="22" s="1"/>
  <c r="O353" i="22"/>
  <c r="P353" i="22" s="1"/>
  <c r="Q353" i="22" s="1"/>
  <c r="R353" i="22" s="1"/>
  <c r="S353" i="22" s="1"/>
  <c r="T353" i="22" s="1"/>
  <c r="U353" i="22" s="1"/>
  <c r="V353" i="22" s="1"/>
  <c r="W353" i="22" s="1"/>
  <c r="X353" i="22" s="1"/>
  <c r="Y353" i="22" s="1"/>
  <c r="Z353" i="22" s="1"/>
  <c r="AA353" i="22" s="1"/>
  <c r="AB353" i="22" s="1"/>
  <c r="AC353" i="22" s="1"/>
  <c r="AD353" i="22" s="1"/>
  <c r="AE353" i="22" s="1"/>
  <c r="AF353" i="22" s="1"/>
  <c r="AG353" i="22" s="1"/>
  <c r="AI351" i="22"/>
  <c r="AJ351" i="22" s="1"/>
  <c r="AK351" i="22" s="1"/>
  <c r="AL351" i="22" s="1"/>
  <c r="AM351" i="22" s="1"/>
  <c r="AN351" i="22" s="1"/>
  <c r="AO351" i="22" s="1"/>
  <c r="AP351" i="22" s="1"/>
  <c r="AQ351" i="22" s="1"/>
  <c r="AR351" i="22" s="1"/>
  <c r="AS351" i="22" s="1"/>
  <c r="AT351" i="22" s="1"/>
  <c r="AU351" i="22" s="1"/>
  <c r="AV351" i="22" s="1"/>
  <c r="AW351" i="22" s="1"/>
  <c r="AX351" i="22" s="1"/>
  <c r="AY351" i="22" s="1"/>
  <c r="AZ351" i="22" s="1"/>
  <c r="BA351" i="22" s="1"/>
  <c r="BB351" i="22" s="1"/>
  <c r="BC351" i="22" s="1"/>
  <c r="BD351" i="22" s="1"/>
  <c r="BE351" i="22" s="1"/>
  <c r="AI346" i="22"/>
  <c r="AJ346" i="22" s="1"/>
  <c r="AK346" i="22" s="1"/>
  <c r="AL346" i="22" s="1"/>
  <c r="AM346" i="22" s="1"/>
  <c r="AN346" i="22" s="1"/>
  <c r="AO346" i="22" s="1"/>
  <c r="AP346" i="22" s="1"/>
  <c r="AQ346" i="22" s="1"/>
  <c r="AR346" i="22" s="1"/>
  <c r="AS346" i="22" s="1"/>
  <c r="AT346" i="22" s="1"/>
  <c r="AU346" i="22" s="1"/>
  <c r="AV346" i="22" s="1"/>
  <c r="AW346" i="22" s="1"/>
  <c r="AX346" i="22" s="1"/>
  <c r="AY346" i="22" s="1"/>
  <c r="AZ346" i="22" s="1"/>
  <c r="BA346" i="22" s="1"/>
  <c r="BB346" i="22" s="1"/>
  <c r="BC346" i="22" s="1"/>
  <c r="BD346" i="22" s="1"/>
  <c r="BE346" i="22" s="1"/>
  <c r="O334" i="22"/>
  <c r="P334" i="22" s="1"/>
  <c r="Q334" i="22" s="1"/>
  <c r="R334" i="22" s="1"/>
  <c r="S334" i="22" s="1"/>
  <c r="T334" i="22" s="1"/>
  <c r="U334" i="22" s="1"/>
  <c r="V334" i="22" s="1"/>
  <c r="W334" i="22" s="1"/>
  <c r="X334" i="22" s="1"/>
  <c r="Y334" i="22" s="1"/>
  <c r="Z334" i="22" s="1"/>
  <c r="AA334" i="22" s="1"/>
  <c r="AB334" i="22" s="1"/>
  <c r="AC334" i="22" s="1"/>
  <c r="AD334" i="22" s="1"/>
  <c r="AE334" i="22" s="1"/>
  <c r="AF334" i="22" s="1"/>
  <c r="AG334" i="22" s="1"/>
  <c r="O329" i="22"/>
  <c r="P329" i="22" s="1"/>
  <c r="Q329" i="22" s="1"/>
  <c r="R329" i="22" s="1"/>
  <c r="S329" i="22" s="1"/>
  <c r="T329" i="22" s="1"/>
  <c r="U329" i="22" s="1"/>
  <c r="V329" i="22" s="1"/>
  <c r="W329" i="22" s="1"/>
  <c r="X329" i="22" s="1"/>
  <c r="Y329" i="22" s="1"/>
  <c r="Z329" i="22" s="1"/>
  <c r="AA329" i="22" s="1"/>
  <c r="AB329" i="22" s="1"/>
  <c r="AC329" i="22" s="1"/>
  <c r="AD329" i="22" s="1"/>
  <c r="AE329" i="22" s="1"/>
  <c r="AF329" i="22" s="1"/>
  <c r="AG329" i="22" s="1"/>
  <c r="AI327" i="22"/>
  <c r="AJ327" i="22" s="1"/>
  <c r="AK327" i="22" s="1"/>
  <c r="AL327" i="22" s="1"/>
  <c r="AM327" i="22" s="1"/>
  <c r="AN327" i="22" s="1"/>
  <c r="AO327" i="22" s="1"/>
  <c r="AP327" i="22" s="1"/>
  <c r="AQ327" i="22" s="1"/>
  <c r="AR327" i="22" s="1"/>
  <c r="AS327" i="22" s="1"/>
  <c r="AT327" i="22" s="1"/>
  <c r="AU327" i="22" s="1"/>
  <c r="AV327" i="22" s="1"/>
  <c r="AW327" i="22" s="1"/>
  <c r="AX327" i="22" s="1"/>
  <c r="AY327" i="22" s="1"/>
  <c r="AZ327" i="22" s="1"/>
  <c r="BA327" i="22" s="1"/>
  <c r="BB327" i="22" s="1"/>
  <c r="BC327" i="22" s="1"/>
  <c r="BD327" i="22" s="1"/>
  <c r="BE327" i="22" s="1"/>
  <c r="AI322" i="22"/>
  <c r="AJ322" i="22" s="1"/>
  <c r="AK322" i="22" s="1"/>
  <c r="AL322" i="22" s="1"/>
  <c r="AM322" i="22" s="1"/>
  <c r="AN322" i="22" s="1"/>
  <c r="AO322" i="22" s="1"/>
  <c r="AP322" i="22" s="1"/>
  <c r="AQ322" i="22" s="1"/>
  <c r="AR322" i="22" s="1"/>
  <c r="AS322" i="22" s="1"/>
  <c r="AT322" i="22" s="1"/>
  <c r="AU322" i="22" s="1"/>
  <c r="AV322" i="22" s="1"/>
  <c r="AW322" i="22" s="1"/>
  <c r="AX322" i="22" s="1"/>
  <c r="AY322" i="22" s="1"/>
  <c r="AZ322" i="22" s="1"/>
  <c r="BA322" i="22" s="1"/>
  <c r="BB322" i="22" s="1"/>
  <c r="BC322" i="22" s="1"/>
  <c r="BD322" i="22" s="1"/>
  <c r="BE322" i="22" s="1"/>
  <c r="O310" i="22"/>
  <c r="P310" i="22" s="1"/>
  <c r="Q310" i="22" s="1"/>
  <c r="R310" i="22" s="1"/>
  <c r="S310" i="22" s="1"/>
  <c r="T310" i="22" s="1"/>
  <c r="U310" i="22" s="1"/>
  <c r="V310" i="22" s="1"/>
  <c r="W310" i="22" s="1"/>
  <c r="X310" i="22" s="1"/>
  <c r="Y310" i="22" s="1"/>
  <c r="Z310" i="22" s="1"/>
  <c r="AA310" i="22" s="1"/>
  <c r="AB310" i="22" s="1"/>
  <c r="AC310" i="22" s="1"/>
  <c r="AD310" i="22" s="1"/>
  <c r="AE310" i="22" s="1"/>
  <c r="AF310" i="22" s="1"/>
  <c r="AG310" i="22" s="1"/>
  <c r="AI571" i="22"/>
  <c r="AJ571" i="22" s="1"/>
  <c r="AK571" i="22" s="1"/>
  <c r="AL571" i="22" s="1"/>
  <c r="AM571" i="22" s="1"/>
  <c r="AN571" i="22" s="1"/>
  <c r="AO571" i="22" s="1"/>
  <c r="AP571" i="22" s="1"/>
  <c r="AQ571" i="22" s="1"/>
  <c r="AR571" i="22" s="1"/>
  <c r="AS571" i="22" s="1"/>
  <c r="AT571" i="22" s="1"/>
  <c r="AU571" i="22" s="1"/>
  <c r="AV571" i="22" s="1"/>
  <c r="AW571" i="22" s="1"/>
  <c r="AX571" i="22" s="1"/>
  <c r="AY571" i="22" s="1"/>
  <c r="AZ571" i="22" s="1"/>
  <c r="BA571" i="22" s="1"/>
  <c r="BB571" i="22" s="1"/>
  <c r="BC571" i="22" s="1"/>
  <c r="BD571" i="22" s="1"/>
  <c r="BE571" i="22" s="1"/>
  <c r="O570" i="22"/>
  <c r="P570" i="22" s="1"/>
  <c r="Q570" i="22" s="1"/>
  <c r="R570" i="22" s="1"/>
  <c r="S570" i="22" s="1"/>
  <c r="T570" i="22" s="1"/>
  <c r="U570" i="22" s="1"/>
  <c r="V570" i="22" s="1"/>
  <c r="W570" i="22" s="1"/>
  <c r="X570" i="22" s="1"/>
  <c r="Y570" i="22" s="1"/>
  <c r="Z570" i="22" s="1"/>
  <c r="AA570" i="22" s="1"/>
  <c r="AB570" i="22" s="1"/>
  <c r="AC570" i="22" s="1"/>
  <c r="AD570" i="22" s="1"/>
  <c r="AE570" i="22" s="1"/>
  <c r="AF570" i="22" s="1"/>
  <c r="AG570" i="22" s="1"/>
  <c r="O558" i="22"/>
  <c r="P558" i="22" s="1"/>
  <c r="Q558" i="22" s="1"/>
  <c r="R558" i="22" s="1"/>
  <c r="S558" i="22" s="1"/>
  <c r="T558" i="22" s="1"/>
  <c r="U558" i="22" s="1"/>
  <c r="V558" i="22" s="1"/>
  <c r="W558" i="22" s="1"/>
  <c r="X558" i="22" s="1"/>
  <c r="Y558" i="22" s="1"/>
  <c r="Z558" i="22" s="1"/>
  <c r="AA558" i="22" s="1"/>
  <c r="AB558" i="22" s="1"/>
  <c r="AC558" i="22" s="1"/>
  <c r="AD558" i="22" s="1"/>
  <c r="AE558" i="22" s="1"/>
  <c r="AF558" i="22" s="1"/>
  <c r="AG558" i="22" s="1"/>
  <c r="O554" i="22"/>
  <c r="P554" i="22" s="1"/>
  <c r="Q554" i="22" s="1"/>
  <c r="R554" i="22" s="1"/>
  <c r="S554" i="22" s="1"/>
  <c r="T554" i="22" s="1"/>
  <c r="U554" i="22" s="1"/>
  <c r="V554" i="22" s="1"/>
  <c r="W554" i="22" s="1"/>
  <c r="X554" i="22" s="1"/>
  <c r="Y554" i="22" s="1"/>
  <c r="Z554" i="22" s="1"/>
  <c r="AA554" i="22" s="1"/>
  <c r="AB554" i="22" s="1"/>
  <c r="AC554" i="22" s="1"/>
  <c r="AD554" i="22" s="1"/>
  <c r="AE554" i="22" s="1"/>
  <c r="AF554" i="22" s="1"/>
  <c r="AG554" i="22" s="1"/>
  <c r="O474" i="22"/>
  <c r="P474" i="22" s="1"/>
  <c r="Q474" i="22" s="1"/>
  <c r="R474" i="22" s="1"/>
  <c r="S474" i="22" s="1"/>
  <c r="T474" i="22" s="1"/>
  <c r="U474" i="22" s="1"/>
  <c r="V474" i="22" s="1"/>
  <c r="W474" i="22" s="1"/>
  <c r="X474" i="22" s="1"/>
  <c r="Y474" i="22" s="1"/>
  <c r="Z474" i="22" s="1"/>
  <c r="AA474" i="22" s="1"/>
  <c r="AB474" i="22" s="1"/>
  <c r="AC474" i="22" s="1"/>
  <c r="AD474" i="22" s="1"/>
  <c r="AE474" i="22" s="1"/>
  <c r="AF474" i="22" s="1"/>
  <c r="AG474" i="22" s="1"/>
  <c r="O471" i="22"/>
  <c r="P471" i="22" s="1"/>
  <c r="Q471" i="22" s="1"/>
  <c r="R471" i="22" s="1"/>
  <c r="S471" i="22" s="1"/>
  <c r="T471" i="22" s="1"/>
  <c r="U471" i="22" s="1"/>
  <c r="V471" i="22" s="1"/>
  <c r="W471" i="22" s="1"/>
  <c r="X471" i="22" s="1"/>
  <c r="Y471" i="22" s="1"/>
  <c r="Z471" i="22" s="1"/>
  <c r="AA471" i="22" s="1"/>
  <c r="AB471" i="22" s="1"/>
  <c r="AC471" i="22" s="1"/>
  <c r="AD471" i="22" s="1"/>
  <c r="AE471" i="22" s="1"/>
  <c r="AF471" i="22" s="1"/>
  <c r="AG471" i="22" s="1"/>
  <c r="O459" i="22"/>
  <c r="P459" i="22" s="1"/>
  <c r="Q459" i="22" s="1"/>
  <c r="R459" i="22" s="1"/>
  <c r="S459" i="22" s="1"/>
  <c r="T459" i="22" s="1"/>
  <c r="U459" i="22" s="1"/>
  <c r="V459" i="22" s="1"/>
  <c r="W459" i="22" s="1"/>
  <c r="X459" i="22" s="1"/>
  <c r="Y459" i="22" s="1"/>
  <c r="Z459" i="22" s="1"/>
  <c r="AA459" i="22" s="1"/>
  <c r="AB459" i="22" s="1"/>
  <c r="AC459" i="22" s="1"/>
  <c r="AD459" i="22" s="1"/>
  <c r="AE459" i="22" s="1"/>
  <c r="AF459" i="22" s="1"/>
  <c r="AG459" i="22" s="1"/>
  <c r="AI442" i="22"/>
  <c r="AJ442" i="22" s="1"/>
  <c r="AK442" i="22" s="1"/>
  <c r="AL442" i="22" s="1"/>
  <c r="AM442" i="22" s="1"/>
  <c r="AN442" i="22" s="1"/>
  <c r="AO442" i="22" s="1"/>
  <c r="AP442" i="22" s="1"/>
  <c r="AQ442" i="22" s="1"/>
  <c r="AR442" i="22" s="1"/>
  <c r="AS442" i="22" s="1"/>
  <c r="AT442" i="22" s="1"/>
  <c r="AU442" i="22" s="1"/>
  <c r="AV442" i="22" s="1"/>
  <c r="AW442" i="22" s="1"/>
  <c r="AX442" i="22" s="1"/>
  <c r="AY442" i="22" s="1"/>
  <c r="AZ442" i="22" s="1"/>
  <c r="BA442" i="22" s="1"/>
  <c r="BB442" i="22" s="1"/>
  <c r="BC442" i="22" s="1"/>
  <c r="BD442" i="22" s="1"/>
  <c r="BE442" i="22" s="1"/>
  <c r="AI441" i="22"/>
  <c r="AJ441" i="22" s="1"/>
  <c r="AK441" i="22" s="1"/>
  <c r="AL441" i="22" s="1"/>
  <c r="AM441" i="22" s="1"/>
  <c r="AN441" i="22" s="1"/>
  <c r="AO441" i="22" s="1"/>
  <c r="AP441" i="22" s="1"/>
  <c r="AQ441" i="22" s="1"/>
  <c r="AR441" i="22" s="1"/>
  <c r="AS441" i="22" s="1"/>
  <c r="AT441" i="22" s="1"/>
  <c r="AU441" i="22" s="1"/>
  <c r="AV441" i="22" s="1"/>
  <c r="AW441" i="22" s="1"/>
  <c r="AX441" i="22" s="1"/>
  <c r="AY441" i="22" s="1"/>
  <c r="AZ441" i="22" s="1"/>
  <c r="BA441" i="22" s="1"/>
  <c r="BB441" i="22" s="1"/>
  <c r="BC441" i="22" s="1"/>
  <c r="BD441" i="22" s="1"/>
  <c r="BE441" i="22" s="1"/>
  <c r="O433" i="22"/>
  <c r="P433" i="22" s="1"/>
  <c r="Q433" i="22" s="1"/>
  <c r="R433" i="22" s="1"/>
  <c r="S433" i="22" s="1"/>
  <c r="T433" i="22" s="1"/>
  <c r="U433" i="22" s="1"/>
  <c r="V433" i="22" s="1"/>
  <c r="W433" i="22" s="1"/>
  <c r="X433" i="22" s="1"/>
  <c r="Y433" i="22" s="1"/>
  <c r="Z433" i="22" s="1"/>
  <c r="AA433" i="22" s="1"/>
  <c r="AB433" i="22" s="1"/>
  <c r="AC433" i="22" s="1"/>
  <c r="AD433" i="22" s="1"/>
  <c r="AE433" i="22" s="1"/>
  <c r="AF433" i="22" s="1"/>
  <c r="AG433" i="22" s="1"/>
  <c r="O423" i="22"/>
  <c r="P423" i="22" s="1"/>
  <c r="Q423" i="22" s="1"/>
  <c r="R423" i="22" s="1"/>
  <c r="S423" i="22" s="1"/>
  <c r="T423" i="22" s="1"/>
  <c r="U423" i="22" s="1"/>
  <c r="V423" i="22" s="1"/>
  <c r="W423" i="22" s="1"/>
  <c r="X423" i="22" s="1"/>
  <c r="Y423" i="22" s="1"/>
  <c r="Z423" i="22" s="1"/>
  <c r="AA423" i="22" s="1"/>
  <c r="AB423" i="22" s="1"/>
  <c r="AC423" i="22" s="1"/>
  <c r="AD423" i="22" s="1"/>
  <c r="AE423" i="22" s="1"/>
  <c r="AF423" i="22" s="1"/>
  <c r="AG423" i="22" s="1"/>
  <c r="O418" i="22"/>
  <c r="P418" i="22" s="1"/>
  <c r="Q418" i="22" s="1"/>
  <c r="R418" i="22" s="1"/>
  <c r="S418" i="22" s="1"/>
  <c r="T418" i="22" s="1"/>
  <c r="U418" i="22" s="1"/>
  <c r="V418" i="22" s="1"/>
  <c r="W418" i="22" s="1"/>
  <c r="X418" i="22" s="1"/>
  <c r="Y418" i="22" s="1"/>
  <c r="Z418" i="22" s="1"/>
  <c r="AA418" i="22" s="1"/>
  <c r="AB418" i="22" s="1"/>
  <c r="AC418" i="22" s="1"/>
  <c r="AD418" i="22" s="1"/>
  <c r="AE418" i="22" s="1"/>
  <c r="AF418" i="22" s="1"/>
  <c r="AG418" i="22" s="1"/>
  <c r="AI416" i="22"/>
  <c r="AJ416" i="22" s="1"/>
  <c r="AK416" i="22" s="1"/>
  <c r="AL416" i="22" s="1"/>
  <c r="AM416" i="22" s="1"/>
  <c r="AN416" i="22" s="1"/>
  <c r="AO416" i="22" s="1"/>
  <c r="AP416" i="22" s="1"/>
  <c r="AQ416" i="22" s="1"/>
  <c r="AR416" i="22" s="1"/>
  <c r="AS416" i="22" s="1"/>
  <c r="AT416" i="22" s="1"/>
  <c r="AU416" i="22" s="1"/>
  <c r="AV416" i="22" s="1"/>
  <c r="AW416" i="22" s="1"/>
  <c r="AX416" i="22" s="1"/>
  <c r="AY416" i="22" s="1"/>
  <c r="AZ416" i="22" s="1"/>
  <c r="BA416" i="22" s="1"/>
  <c r="BB416" i="22" s="1"/>
  <c r="BC416" i="22" s="1"/>
  <c r="BD416" i="22" s="1"/>
  <c r="BE416" i="22" s="1"/>
  <c r="AI411" i="22"/>
  <c r="AJ411" i="22" s="1"/>
  <c r="AK411" i="22" s="1"/>
  <c r="AL411" i="22" s="1"/>
  <c r="AM411" i="22" s="1"/>
  <c r="AN411" i="22" s="1"/>
  <c r="AO411" i="22" s="1"/>
  <c r="AP411" i="22" s="1"/>
  <c r="AQ411" i="22" s="1"/>
  <c r="AR411" i="22" s="1"/>
  <c r="AS411" i="22" s="1"/>
  <c r="AT411" i="22" s="1"/>
  <c r="AU411" i="22" s="1"/>
  <c r="AV411" i="22" s="1"/>
  <c r="AW411" i="22" s="1"/>
  <c r="AX411" i="22" s="1"/>
  <c r="AY411" i="22" s="1"/>
  <c r="AZ411" i="22" s="1"/>
  <c r="BA411" i="22" s="1"/>
  <c r="BB411" i="22" s="1"/>
  <c r="BC411" i="22" s="1"/>
  <c r="BD411" i="22" s="1"/>
  <c r="BE411" i="22" s="1"/>
  <c r="O628" i="22"/>
  <c r="P628" i="22" s="1"/>
  <c r="Q628" i="22" s="1"/>
  <c r="R628" i="22" s="1"/>
  <c r="S628" i="22" s="1"/>
  <c r="T628" i="22" s="1"/>
  <c r="U628" i="22" s="1"/>
  <c r="V628" i="22" s="1"/>
  <c r="W628" i="22" s="1"/>
  <c r="X628" i="22" s="1"/>
  <c r="Y628" i="22" s="1"/>
  <c r="Z628" i="22" s="1"/>
  <c r="AA628" i="22" s="1"/>
  <c r="AB628" i="22" s="1"/>
  <c r="AC628" i="22" s="1"/>
  <c r="AD628" i="22" s="1"/>
  <c r="AE628" i="22" s="1"/>
  <c r="AF628" i="22" s="1"/>
  <c r="AG628" i="22" s="1"/>
  <c r="O622" i="22"/>
  <c r="P622" i="22" s="1"/>
  <c r="Q622" i="22" s="1"/>
  <c r="R622" i="22" s="1"/>
  <c r="S622" i="22" s="1"/>
  <c r="T622" i="22" s="1"/>
  <c r="U622" i="22" s="1"/>
  <c r="V622" i="22" s="1"/>
  <c r="W622" i="22" s="1"/>
  <c r="X622" i="22" s="1"/>
  <c r="Y622" i="22" s="1"/>
  <c r="Z622" i="22" s="1"/>
  <c r="AA622" i="22" s="1"/>
  <c r="AB622" i="22" s="1"/>
  <c r="AC622" i="22" s="1"/>
  <c r="AD622" i="22" s="1"/>
  <c r="AE622" i="22" s="1"/>
  <c r="AF622" i="22" s="1"/>
  <c r="AG622" i="22" s="1"/>
  <c r="AI616" i="22"/>
  <c r="AJ616" i="22" s="1"/>
  <c r="AK616" i="22" s="1"/>
  <c r="AL616" i="22" s="1"/>
  <c r="AM616" i="22" s="1"/>
  <c r="AN616" i="22" s="1"/>
  <c r="AO616" i="22" s="1"/>
  <c r="AP616" i="22" s="1"/>
  <c r="AQ616" i="22" s="1"/>
  <c r="AR616" i="22" s="1"/>
  <c r="AS616" i="22" s="1"/>
  <c r="AT616" i="22" s="1"/>
  <c r="AU616" i="22" s="1"/>
  <c r="AV616" i="22" s="1"/>
  <c r="AW616" i="22" s="1"/>
  <c r="AX616" i="22" s="1"/>
  <c r="AY616" i="22" s="1"/>
  <c r="AZ616" i="22" s="1"/>
  <c r="BA616" i="22" s="1"/>
  <c r="BB616" i="22" s="1"/>
  <c r="BC616" i="22" s="1"/>
  <c r="BD616" i="22" s="1"/>
  <c r="BE616" i="22" s="1"/>
  <c r="O597" i="22"/>
  <c r="P597" i="22" s="1"/>
  <c r="Q597" i="22" s="1"/>
  <c r="R597" i="22" s="1"/>
  <c r="S597" i="22" s="1"/>
  <c r="T597" i="22" s="1"/>
  <c r="U597" i="22" s="1"/>
  <c r="V597" i="22" s="1"/>
  <c r="W597" i="22" s="1"/>
  <c r="X597" i="22" s="1"/>
  <c r="Y597" i="22" s="1"/>
  <c r="Z597" i="22" s="1"/>
  <c r="AA597" i="22" s="1"/>
  <c r="AB597" i="22" s="1"/>
  <c r="AC597" i="22" s="1"/>
  <c r="AD597" i="22" s="1"/>
  <c r="AE597" i="22" s="1"/>
  <c r="AF597" i="22" s="1"/>
  <c r="AG597" i="22" s="1"/>
  <c r="AI590" i="22"/>
  <c r="AJ590" i="22" s="1"/>
  <c r="AK590" i="22" s="1"/>
  <c r="AL590" i="22" s="1"/>
  <c r="AM590" i="22" s="1"/>
  <c r="AN590" i="22" s="1"/>
  <c r="AO590" i="22" s="1"/>
  <c r="AP590" i="22" s="1"/>
  <c r="AQ590" i="22" s="1"/>
  <c r="AR590" i="22" s="1"/>
  <c r="AS590" i="22" s="1"/>
  <c r="AT590" i="22" s="1"/>
  <c r="AU590" i="22" s="1"/>
  <c r="AV590" i="22" s="1"/>
  <c r="AW590" i="22" s="1"/>
  <c r="AX590" i="22" s="1"/>
  <c r="AY590" i="22" s="1"/>
  <c r="AZ590" i="22" s="1"/>
  <c r="BA590" i="22" s="1"/>
  <c r="BB590" i="22" s="1"/>
  <c r="BC590" i="22" s="1"/>
  <c r="BD590" i="22" s="1"/>
  <c r="BE590" i="22" s="1"/>
  <c r="O633" i="22"/>
  <c r="P633" i="22" s="1"/>
  <c r="Q633" i="22" s="1"/>
  <c r="R633" i="22" s="1"/>
  <c r="S633" i="22" s="1"/>
  <c r="T633" i="22" s="1"/>
  <c r="U633" i="22" s="1"/>
  <c r="V633" i="22" s="1"/>
  <c r="W633" i="22" s="1"/>
  <c r="X633" i="22" s="1"/>
  <c r="Y633" i="22" s="1"/>
  <c r="Z633" i="22" s="1"/>
  <c r="AA633" i="22" s="1"/>
  <c r="AB633" i="22" s="1"/>
  <c r="AC633" i="22" s="1"/>
  <c r="AD633" i="22" s="1"/>
  <c r="AE633" i="22" s="1"/>
  <c r="AF633" i="22" s="1"/>
  <c r="AG633" i="22" s="1"/>
  <c r="O540" i="22"/>
  <c r="P540" i="22" s="1"/>
  <c r="Q540" i="22" s="1"/>
  <c r="R540" i="22" s="1"/>
  <c r="S540" i="22" s="1"/>
  <c r="T540" i="22" s="1"/>
  <c r="U540" i="22" s="1"/>
  <c r="V540" i="22" s="1"/>
  <c r="W540" i="22" s="1"/>
  <c r="X540" i="22" s="1"/>
  <c r="Y540" i="22" s="1"/>
  <c r="Z540" i="22" s="1"/>
  <c r="AA540" i="22" s="1"/>
  <c r="AB540" i="22" s="1"/>
  <c r="AC540" i="22" s="1"/>
  <c r="AD540" i="22" s="1"/>
  <c r="AE540" i="22" s="1"/>
  <c r="AF540" i="22" s="1"/>
  <c r="AG540" i="22" s="1"/>
  <c r="O530" i="22"/>
  <c r="P530" i="22" s="1"/>
  <c r="Q530" i="22" s="1"/>
  <c r="R530" i="22" s="1"/>
  <c r="S530" i="22" s="1"/>
  <c r="T530" i="22" s="1"/>
  <c r="U530" i="22" s="1"/>
  <c r="V530" i="22" s="1"/>
  <c r="W530" i="22" s="1"/>
  <c r="X530" i="22" s="1"/>
  <c r="Y530" i="22" s="1"/>
  <c r="Z530" i="22" s="1"/>
  <c r="AA530" i="22" s="1"/>
  <c r="AB530" i="22" s="1"/>
  <c r="AC530" i="22" s="1"/>
  <c r="AD530" i="22" s="1"/>
  <c r="AE530" i="22" s="1"/>
  <c r="AF530" i="22" s="1"/>
  <c r="AG530" i="22" s="1"/>
  <c r="O498" i="22"/>
  <c r="P498" i="22" s="1"/>
  <c r="Q498" i="22" s="1"/>
  <c r="R498" i="22" s="1"/>
  <c r="S498" i="22" s="1"/>
  <c r="T498" i="22" s="1"/>
  <c r="U498" i="22" s="1"/>
  <c r="V498" i="22" s="1"/>
  <c r="W498" i="22" s="1"/>
  <c r="X498" i="22" s="1"/>
  <c r="Y498" i="22" s="1"/>
  <c r="Z498" i="22" s="1"/>
  <c r="AA498" i="22" s="1"/>
  <c r="AB498" i="22" s="1"/>
  <c r="AC498" i="22" s="1"/>
  <c r="AD498" i="22" s="1"/>
  <c r="AE498" i="22" s="1"/>
  <c r="AF498" i="22" s="1"/>
  <c r="AG498" i="22" s="1"/>
  <c r="AI497" i="22"/>
  <c r="AJ497" i="22" s="1"/>
  <c r="AK497" i="22" s="1"/>
  <c r="AL497" i="22" s="1"/>
  <c r="AM497" i="22" s="1"/>
  <c r="AN497" i="22" s="1"/>
  <c r="AO497" i="22" s="1"/>
  <c r="AP497" i="22" s="1"/>
  <c r="AQ497" i="22" s="1"/>
  <c r="AR497" i="22" s="1"/>
  <c r="AS497" i="22" s="1"/>
  <c r="AT497" i="22" s="1"/>
  <c r="AU497" i="22" s="1"/>
  <c r="AV497" i="22" s="1"/>
  <c r="AW497" i="22" s="1"/>
  <c r="AX497" i="22" s="1"/>
  <c r="AY497" i="22" s="1"/>
  <c r="AZ497" i="22" s="1"/>
  <c r="BA497" i="22" s="1"/>
  <c r="BB497" i="22" s="1"/>
  <c r="BC497" i="22" s="1"/>
  <c r="BD497" i="22" s="1"/>
  <c r="BE497" i="22" s="1"/>
  <c r="O495" i="22"/>
  <c r="P495" i="22" s="1"/>
  <c r="Q495" i="22" s="1"/>
  <c r="R495" i="22" s="1"/>
  <c r="S495" i="22" s="1"/>
  <c r="T495" i="22" s="1"/>
  <c r="U495" i="22" s="1"/>
  <c r="V495" i="22" s="1"/>
  <c r="W495" i="22" s="1"/>
  <c r="X495" i="22" s="1"/>
  <c r="Y495" i="22" s="1"/>
  <c r="Z495" i="22" s="1"/>
  <c r="AA495" i="22" s="1"/>
  <c r="AB495" i="22" s="1"/>
  <c r="AC495" i="22" s="1"/>
  <c r="AD495" i="22" s="1"/>
  <c r="AE495" i="22" s="1"/>
  <c r="AF495" i="22" s="1"/>
  <c r="AG495" i="22" s="1"/>
  <c r="O465" i="22"/>
  <c r="P465" i="22" s="1"/>
  <c r="Q465" i="22" s="1"/>
  <c r="R465" i="22" s="1"/>
  <c r="S465" i="22" s="1"/>
  <c r="T465" i="22" s="1"/>
  <c r="U465" i="22" s="1"/>
  <c r="V465" i="22" s="1"/>
  <c r="W465" i="22" s="1"/>
  <c r="X465" i="22" s="1"/>
  <c r="Y465" i="22" s="1"/>
  <c r="Z465" i="22" s="1"/>
  <c r="AA465" i="22" s="1"/>
  <c r="AB465" i="22" s="1"/>
  <c r="AC465" i="22" s="1"/>
  <c r="AD465" i="22" s="1"/>
  <c r="AE465" i="22" s="1"/>
  <c r="AF465" i="22" s="1"/>
  <c r="AG465" i="22" s="1"/>
  <c r="O461" i="22"/>
  <c r="P461" i="22" s="1"/>
  <c r="Q461" i="22" s="1"/>
  <c r="R461" i="22" s="1"/>
  <c r="S461" i="22" s="1"/>
  <c r="T461" i="22" s="1"/>
  <c r="U461" i="22" s="1"/>
  <c r="V461" i="22" s="1"/>
  <c r="W461" i="22" s="1"/>
  <c r="X461" i="22" s="1"/>
  <c r="Y461" i="22" s="1"/>
  <c r="Z461" i="22" s="1"/>
  <c r="AA461" i="22" s="1"/>
  <c r="AB461" i="22" s="1"/>
  <c r="AC461" i="22" s="1"/>
  <c r="AD461" i="22" s="1"/>
  <c r="AE461" i="22" s="1"/>
  <c r="AF461" i="22" s="1"/>
  <c r="AG461" i="22" s="1"/>
  <c r="O452" i="22"/>
  <c r="P452" i="22" s="1"/>
  <c r="Q452" i="22" s="1"/>
  <c r="R452" i="22" s="1"/>
  <c r="S452" i="22" s="1"/>
  <c r="T452" i="22" s="1"/>
  <c r="U452" i="22" s="1"/>
  <c r="V452" i="22" s="1"/>
  <c r="W452" i="22" s="1"/>
  <c r="X452" i="22" s="1"/>
  <c r="Y452" i="22" s="1"/>
  <c r="Z452" i="22" s="1"/>
  <c r="AA452" i="22" s="1"/>
  <c r="AB452" i="22" s="1"/>
  <c r="AC452" i="22" s="1"/>
  <c r="AD452" i="22" s="1"/>
  <c r="AE452" i="22" s="1"/>
  <c r="AF452" i="22" s="1"/>
  <c r="AG452" i="22" s="1"/>
  <c r="AI447" i="22"/>
  <c r="AJ447" i="22" s="1"/>
  <c r="AK447" i="22" s="1"/>
  <c r="AL447" i="22" s="1"/>
  <c r="AM447" i="22" s="1"/>
  <c r="AN447" i="22" s="1"/>
  <c r="AO447" i="22" s="1"/>
  <c r="AP447" i="22" s="1"/>
  <c r="AQ447" i="22" s="1"/>
  <c r="AR447" i="22" s="1"/>
  <c r="AS447" i="22" s="1"/>
  <c r="AT447" i="22" s="1"/>
  <c r="AU447" i="22" s="1"/>
  <c r="AV447" i="22" s="1"/>
  <c r="AW447" i="22" s="1"/>
  <c r="AX447" i="22" s="1"/>
  <c r="AY447" i="22" s="1"/>
  <c r="AZ447" i="22" s="1"/>
  <c r="BA447" i="22" s="1"/>
  <c r="BB447" i="22" s="1"/>
  <c r="BC447" i="22" s="1"/>
  <c r="BD447" i="22" s="1"/>
  <c r="BE447" i="22" s="1"/>
  <c r="O441" i="22"/>
  <c r="P441" i="22" s="1"/>
  <c r="Q441" i="22" s="1"/>
  <c r="R441" i="22" s="1"/>
  <c r="S441" i="22" s="1"/>
  <c r="T441" i="22" s="1"/>
  <c r="U441" i="22" s="1"/>
  <c r="V441" i="22" s="1"/>
  <c r="W441" i="22" s="1"/>
  <c r="X441" i="22" s="1"/>
  <c r="Y441" i="22" s="1"/>
  <c r="Z441" i="22" s="1"/>
  <c r="AA441" i="22" s="1"/>
  <c r="AB441" i="22" s="1"/>
  <c r="AC441" i="22" s="1"/>
  <c r="AD441" i="22" s="1"/>
  <c r="AE441" i="22" s="1"/>
  <c r="AF441" i="22" s="1"/>
  <c r="AG441" i="22" s="1"/>
  <c r="O440" i="22"/>
  <c r="P440" i="22" s="1"/>
  <c r="Q440" i="22" s="1"/>
  <c r="R440" i="22" s="1"/>
  <c r="S440" i="22" s="1"/>
  <c r="T440" i="22" s="1"/>
  <c r="U440" i="22" s="1"/>
  <c r="V440" i="22" s="1"/>
  <c r="W440" i="22" s="1"/>
  <c r="X440" i="22" s="1"/>
  <c r="Y440" i="22" s="1"/>
  <c r="Z440" i="22" s="1"/>
  <c r="AA440" i="22" s="1"/>
  <c r="AB440" i="22" s="1"/>
  <c r="AC440" i="22" s="1"/>
  <c r="AD440" i="22" s="1"/>
  <c r="AE440" i="22" s="1"/>
  <c r="AF440" i="22" s="1"/>
  <c r="AG440" i="22" s="1"/>
  <c r="AI429" i="22"/>
  <c r="AJ429" i="22" s="1"/>
  <c r="AK429" i="22" s="1"/>
  <c r="AL429" i="22" s="1"/>
  <c r="AM429" i="22" s="1"/>
  <c r="AN429" i="22" s="1"/>
  <c r="AO429" i="22" s="1"/>
  <c r="AP429" i="22" s="1"/>
  <c r="AQ429" i="22" s="1"/>
  <c r="AR429" i="22" s="1"/>
  <c r="AS429" i="22" s="1"/>
  <c r="AT429" i="22" s="1"/>
  <c r="AU429" i="22" s="1"/>
  <c r="AV429" i="22" s="1"/>
  <c r="AW429" i="22" s="1"/>
  <c r="AX429" i="22" s="1"/>
  <c r="AY429" i="22" s="1"/>
  <c r="AZ429" i="22" s="1"/>
  <c r="BA429" i="22" s="1"/>
  <c r="BB429" i="22" s="1"/>
  <c r="BC429" i="22" s="1"/>
  <c r="BD429" i="22" s="1"/>
  <c r="BE429" i="22" s="1"/>
  <c r="O417" i="22"/>
  <c r="P417" i="22" s="1"/>
  <c r="Q417" i="22" s="1"/>
  <c r="R417" i="22" s="1"/>
  <c r="S417" i="22" s="1"/>
  <c r="T417" i="22" s="1"/>
  <c r="U417" i="22" s="1"/>
  <c r="V417" i="22" s="1"/>
  <c r="W417" i="22" s="1"/>
  <c r="X417" i="22" s="1"/>
  <c r="Y417" i="22" s="1"/>
  <c r="Z417" i="22" s="1"/>
  <c r="AA417" i="22" s="1"/>
  <c r="AB417" i="22" s="1"/>
  <c r="AC417" i="22" s="1"/>
  <c r="AD417" i="22" s="1"/>
  <c r="AE417" i="22" s="1"/>
  <c r="AF417" i="22" s="1"/>
  <c r="AG417" i="22" s="1"/>
  <c r="O412" i="22"/>
  <c r="P412" i="22" s="1"/>
  <c r="Q412" i="22" s="1"/>
  <c r="R412" i="22" s="1"/>
  <c r="S412" i="22" s="1"/>
  <c r="T412" i="22" s="1"/>
  <c r="U412" i="22" s="1"/>
  <c r="V412" i="22" s="1"/>
  <c r="W412" i="22" s="1"/>
  <c r="X412" i="22" s="1"/>
  <c r="Y412" i="22" s="1"/>
  <c r="Z412" i="22" s="1"/>
  <c r="AA412" i="22" s="1"/>
  <c r="AB412" i="22" s="1"/>
  <c r="AC412" i="22" s="1"/>
  <c r="AD412" i="22" s="1"/>
  <c r="AE412" i="22" s="1"/>
  <c r="AF412" i="22" s="1"/>
  <c r="AG412" i="22" s="1"/>
  <c r="AI410" i="22"/>
  <c r="AJ410" i="22" s="1"/>
  <c r="AK410" i="22" s="1"/>
  <c r="AL410" i="22" s="1"/>
  <c r="AM410" i="22" s="1"/>
  <c r="AN410" i="22" s="1"/>
  <c r="AO410" i="22" s="1"/>
  <c r="AP410" i="22" s="1"/>
  <c r="AQ410" i="22" s="1"/>
  <c r="AR410" i="22" s="1"/>
  <c r="AS410" i="22" s="1"/>
  <c r="AT410" i="22" s="1"/>
  <c r="AU410" i="22" s="1"/>
  <c r="AV410" i="22" s="1"/>
  <c r="AW410" i="22" s="1"/>
  <c r="AX410" i="22" s="1"/>
  <c r="AY410" i="22" s="1"/>
  <c r="AZ410" i="22" s="1"/>
  <c r="BA410" i="22" s="1"/>
  <c r="BB410" i="22" s="1"/>
  <c r="BC410" i="22" s="1"/>
  <c r="BD410" i="22" s="1"/>
  <c r="BE410" i="22" s="1"/>
  <c r="AI405" i="22"/>
  <c r="AJ405" i="22" s="1"/>
  <c r="AK405" i="22" s="1"/>
  <c r="AL405" i="22" s="1"/>
  <c r="AM405" i="22" s="1"/>
  <c r="AN405" i="22" s="1"/>
  <c r="AO405" i="22" s="1"/>
  <c r="AP405" i="22" s="1"/>
  <c r="AQ405" i="22" s="1"/>
  <c r="AR405" i="22" s="1"/>
  <c r="AS405" i="22" s="1"/>
  <c r="AT405" i="22" s="1"/>
  <c r="AU405" i="22" s="1"/>
  <c r="AV405" i="22" s="1"/>
  <c r="AW405" i="22" s="1"/>
  <c r="AX405" i="22" s="1"/>
  <c r="AY405" i="22" s="1"/>
  <c r="AZ405" i="22" s="1"/>
  <c r="BA405" i="22" s="1"/>
  <c r="BB405" i="22" s="1"/>
  <c r="BC405" i="22" s="1"/>
  <c r="BD405" i="22" s="1"/>
  <c r="BE405" i="22" s="1"/>
  <c r="AI572" i="22"/>
  <c r="AJ572" i="22" s="1"/>
  <c r="AK572" i="22" s="1"/>
  <c r="AL572" i="22" s="1"/>
  <c r="AM572" i="22" s="1"/>
  <c r="AN572" i="22" s="1"/>
  <c r="AO572" i="22" s="1"/>
  <c r="AP572" i="22" s="1"/>
  <c r="AQ572" i="22" s="1"/>
  <c r="AR572" i="22" s="1"/>
  <c r="AS572" i="22" s="1"/>
  <c r="AT572" i="22" s="1"/>
  <c r="AU572" i="22" s="1"/>
  <c r="AV572" i="22" s="1"/>
  <c r="AW572" i="22" s="1"/>
  <c r="AX572" i="22" s="1"/>
  <c r="AY572" i="22" s="1"/>
  <c r="AZ572" i="22" s="1"/>
  <c r="BA572" i="22" s="1"/>
  <c r="BB572" i="22" s="1"/>
  <c r="BC572" i="22" s="1"/>
  <c r="BD572" i="22" s="1"/>
  <c r="BE572" i="22" s="1"/>
  <c r="O563" i="22"/>
  <c r="P563" i="22" s="1"/>
  <c r="Q563" i="22" s="1"/>
  <c r="R563" i="22" s="1"/>
  <c r="S563" i="22" s="1"/>
  <c r="T563" i="22" s="1"/>
  <c r="U563" i="22" s="1"/>
  <c r="V563" i="22" s="1"/>
  <c r="W563" i="22" s="1"/>
  <c r="X563" i="22" s="1"/>
  <c r="Y563" i="22" s="1"/>
  <c r="Z563" i="22" s="1"/>
  <c r="AA563" i="22" s="1"/>
  <c r="AB563" i="22" s="1"/>
  <c r="AC563" i="22" s="1"/>
  <c r="AD563" i="22" s="1"/>
  <c r="AE563" i="22" s="1"/>
  <c r="AF563" i="22" s="1"/>
  <c r="AG563" i="22" s="1"/>
  <c r="AI554" i="22"/>
  <c r="AJ554" i="22" s="1"/>
  <c r="AK554" i="22" s="1"/>
  <c r="AL554" i="22" s="1"/>
  <c r="AM554" i="22" s="1"/>
  <c r="AN554" i="22" s="1"/>
  <c r="AO554" i="22" s="1"/>
  <c r="AP554" i="22" s="1"/>
  <c r="AQ554" i="22" s="1"/>
  <c r="AR554" i="22" s="1"/>
  <c r="AS554" i="22" s="1"/>
  <c r="AT554" i="22" s="1"/>
  <c r="AU554" i="22" s="1"/>
  <c r="AV554" i="22" s="1"/>
  <c r="AW554" i="22" s="1"/>
  <c r="AX554" i="22" s="1"/>
  <c r="AY554" i="22" s="1"/>
  <c r="AZ554" i="22" s="1"/>
  <c r="BA554" i="22" s="1"/>
  <c r="BB554" i="22" s="1"/>
  <c r="BC554" i="22" s="1"/>
  <c r="BD554" i="22" s="1"/>
  <c r="BE554" i="22" s="1"/>
  <c r="O544" i="22"/>
  <c r="P544" i="22" s="1"/>
  <c r="Q544" i="22" s="1"/>
  <c r="R544" i="22" s="1"/>
  <c r="S544" i="22" s="1"/>
  <c r="T544" i="22" s="1"/>
  <c r="U544" i="22" s="1"/>
  <c r="V544" i="22" s="1"/>
  <c r="W544" i="22" s="1"/>
  <c r="X544" i="22" s="1"/>
  <c r="Y544" i="22" s="1"/>
  <c r="Z544" i="22" s="1"/>
  <c r="AA544" i="22" s="1"/>
  <c r="AB544" i="22" s="1"/>
  <c r="AC544" i="22" s="1"/>
  <c r="AD544" i="22" s="1"/>
  <c r="AE544" i="22" s="1"/>
  <c r="AF544" i="22" s="1"/>
  <c r="AG544" i="22" s="1"/>
  <c r="O501" i="22"/>
  <c r="P501" i="22" s="1"/>
  <c r="Q501" i="22" s="1"/>
  <c r="R501" i="22" s="1"/>
  <c r="S501" i="22" s="1"/>
  <c r="T501" i="22" s="1"/>
  <c r="U501" i="22" s="1"/>
  <c r="V501" i="22" s="1"/>
  <c r="W501" i="22" s="1"/>
  <c r="X501" i="22" s="1"/>
  <c r="Y501" i="22" s="1"/>
  <c r="Z501" i="22" s="1"/>
  <c r="AA501" i="22" s="1"/>
  <c r="AB501" i="22" s="1"/>
  <c r="AC501" i="22" s="1"/>
  <c r="AD501" i="22" s="1"/>
  <c r="AE501" i="22" s="1"/>
  <c r="AF501" i="22" s="1"/>
  <c r="AG501" i="22" s="1"/>
  <c r="AI487" i="22"/>
  <c r="AJ487" i="22" s="1"/>
  <c r="AK487" i="22" s="1"/>
  <c r="AL487" i="22" s="1"/>
  <c r="AM487" i="22" s="1"/>
  <c r="AN487" i="22" s="1"/>
  <c r="AO487" i="22" s="1"/>
  <c r="AP487" i="22" s="1"/>
  <c r="AQ487" i="22" s="1"/>
  <c r="AR487" i="22" s="1"/>
  <c r="AS487" i="22" s="1"/>
  <c r="AT487" i="22" s="1"/>
  <c r="AU487" i="22" s="1"/>
  <c r="AV487" i="22" s="1"/>
  <c r="AW487" i="22" s="1"/>
  <c r="AX487" i="22" s="1"/>
  <c r="AY487" i="22" s="1"/>
  <c r="AZ487" i="22" s="1"/>
  <c r="BA487" i="22" s="1"/>
  <c r="BB487" i="22" s="1"/>
  <c r="BC487" i="22" s="1"/>
  <c r="BD487" i="22" s="1"/>
  <c r="BE487" i="22" s="1"/>
  <c r="O472" i="22"/>
  <c r="P472" i="22" s="1"/>
  <c r="Q472" i="22" s="1"/>
  <c r="R472" i="22" s="1"/>
  <c r="S472" i="22" s="1"/>
  <c r="T472" i="22" s="1"/>
  <c r="U472" i="22" s="1"/>
  <c r="V472" i="22" s="1"/>
  <c r="W472" i="22" s="1"/>
  <c r="X472" i="22" s="1"/>
  <c r="Y472" i="22" s="1"/>
  <c r="Z472" i="22" s="1"/>
  <c r="AA472" i="22" s="1"/>
  <c r="AB472" i="22" s="1"/>
  <c r="AC472" i="22" s="1"/>
  <c r="AD472" i="22" s="1"/>
  <c r="AE472" i="22" s="1"/>
  <c r="AF472" i="22" s="1"/>
  <c r="AG472" i="22" s="1"/>
  <c r="AI451" i="22"/>
  <c r="AJ451" i="22" s="1"/>
  <c r="AK451" i="22" s="1"/>
  <c r="AL451" i="22" s="1"/>
  <c r="AM451" i="22" s="1"/>
  <c r="AN451" i="22" s="1"/>
  <c r="AO451" i="22" s="1"/>
  <c r="AP451" i="22" s="1"/>
  <c r="AQ451" i="22" s="1"/>
  <c r="AR451" i="22" s="1"/>
  <c r="AS451" i="22" s="1"/>
  <c r="AT451" i="22" s="1"/>
  <c r="AU451" i="22" s="1"/>
  <c r="AV451" i="22" s="1"/>
  <c r="AW451" i="22" s="1"/>
  <c r="AX451" i="22" s="1"/>
  <c r="AY451" i="22" s="1"/>
  <c r="AZ451" i="22" s="1"/>
  <c r="BA451" i="22" s="1"/>
  <c r="BB451" i="22" s="1"/>
  <c r="BC451" i="22" s="1"/>
  <c r="BD451" i="22" s="1"/>
  <c r="BE451" i="22" s="1"/>
  <c r="AI443" i="22"/>
  <c r="AJ443" i="22" s="1"/>
  <c r="AK443" i="22" s="1"/>
  <c r="AL443" i="22" s="1"/>
  <c r="AM443" i="22" s="1"/>
  <c r="AN443" i="22" s="1"/>
  <c r="AO443" i="22" s="1"/>
  <c r="AP443" i="22" s="1"/>
  <c r="AQ443" i="22" s="1"/>
  <c r="AR443" i="22" s="1"/>
  <c r="AS443" i="22" s="1"/>
  <c r="AT443" i="22" s="1"/>
  <c r="AU443" i="22" s="1"/>
  <c r="AV443" i="22" s="1"/>
  <c r="AW443" i="22" s="1"/>
  <c r="AX443" i="22" s="1"/>
  <c r="AY443" i="22" s="1"/>
  <c r="AZ443" i="22" s="1"/>
  <c r="BA443" i="22" s="1"/>
  <c r="BB443" i="22" s="1"/>
  <c r="BC443" i="22" s="1"/>
  <c r="BD443" i="22" s="1"/>
  <c r="BE443" i="22" s="1"/>
  <c r="O443" i="22"/>
  <c r="P443" i="22" s="1"/>
  <c r="Q443" i="22" s="1"/>
  <c r="R443" i="22" s="1"/>
  <c r="S443" i="22" s="1"/>
  <c r="T443" i="22" s="1"/>
  <c r="U443" i="22" s="1"/>
  <c r="V443" i="22" s="1"/>
  <c r="W443" i="22" s="1"/>
  <c r="X443" i="22" s="1"/>
  <c r="Y443" i="22" s="1"/>
  <c r="Z443" i="22" s="1"/>
  <c r="AA443" i="22" s="1"/>
  <c r="AB443" i="22" s="1"/>
  <c r="AC443" i="22" s="1"/>
  <c r="AD443" i="22" s="1"/>
  <c r="AE443" i="22" s="1"/>
  <c r="AF443" i="22" s="1"/>
  <c r="AG443" i="22" s="1"/>
  <c r="O706" i="22"/>
  <c r="P706" i="22" s="1"/>
  <c r="Q706" i="22" s="1"/>
  <c r="R706" i="22" s="1"/>
  <c r="S706" i="22" s="1"/>
  <c r="T706" i="22" s="1"/>
  <c r="U706" i="22" s="1"/>
  <c r="V706" i="22" s="1"/>
  <c r="W706" i="22" s="1"/>
  <c r="X706" i="22" s="1"/>
  <c r="Y706" i="22" s="1"/>
  <c r="Z706" i="22" s="1"/>
  <c r="AA706" i="22" s="1"/>
  <c r="AB706" i="22" s="1"/>
  <c r="AC706" i="22" s="1"/>
  <c r="AD706" i="22" s="1"/>
  <c r="AE706" i="22" s="1"/>
  <c r="AF706" i="22" s="1"/>
  <c r="AG706" i="22" s="1"/>
  <c r="O524" i="22"/>
  <c r="P524" i="22" s="1"/>
  <c r="Q524" i="22" s="1"/>
  <c r="R524" i="22" s="1"/>
  <c r="S524" i="22" s="1"/>
  <c r="T524" i="22" s="1"/>
  <c r="U524" i="22" s="1"/>
  <c r="V524" i="22" s="1"/>
  <c r="W524" i="22" s="1"/>
  <c r="X524" i="22" s="1"/>
  <c r="Y524" i="22" s="1"/>
  <c r="Z524" i="22" s="1"/>
  <c r="AA524" i="22" s="1"/>
  <c r="AB524" i="22" s="1"/>
  <c r="AC524" i="22" s="1"/>
  <c r="AD524" i="22" s="1"/>
  <c r="AE524" i="22" s="1"/>
  <c r="AF524" i="22" s="1"/>
  <c r="AG524" i="22" s="1"/>
  <c r="O518" i="22"/>
  <c r="P518" i="22" s="1"/>
  <c r="Q518" i="22" s="1"/>
  <c r="R518" i="22" s="1"/>
  <c r="S518" i="22" s="1"/>
  <c r="T518" i="22" s="1"/>
  <c r="U518" i="22" s="1"/>
  <c r="V518" i="22" s="1"/>
  <c r="W518" i="22" s="1"/>
  <c r="X518" i="22" s="1"/>
  <c r="Y518" i="22" s="1"/>
  <c r="Z518" i="22" s="1"/>
  <c r="AA518" i="22" s="1"/>
  <c r="AB518" i="22" s="1"/>
  <c r="AC518" i="22" s="1"/>
  <c r="AD518" i="22" s="1"/>
  <c r="AE518" i="22" s="1"/>
  <c r="AF518" i="22" s="1"/>
  <c r="AG518" i="22" s="1"/>
  <c r="O463" i="22"/>
  <c r="P463" i="22" s="1"/>
  <c r="Q463" i="22" s="1"/>
  <c r="R463" i="22" s="1"/>
  <c r="S463" i="22" s="1"/>
  <c r="T463" i="22" s="1"/>
  <c r="U463" i="22" s="1"/>
  <c r="V463" i="22" s="1"/>
  <c r="W463" i="22" s="1"/>
  <c r="X463" i="22" s="1"/>
  <c r="Y463" i="22" s="1"/>
  <c r="Z463" i="22" s="1"/>
  <c r="AA463" i="22" s="1"/>
  <c r="AB463" i="22" s="1"/>
  <c r="AC463" i="22" s="1"/>
  <c r="AD463" i="22" s="1"/>
  <c r="AE463" i="22" s="1"/>
  <c r="AF463" i="22" s="1"/>
  <c r="AG463" i="22" s="1"/>
  <c r="O460" i="22"/>
  <c r="P460" i="22" s="1"/>
  <c r="Q460" i="22" s="1"/>
  <c r="R460" i="22" s="1"/>
  <c r="S460" i="22" s="1"/>
  <c r="T460" i="22" s="1"/>
  <c r="U460" i="22" s="1"/>
  <c r="V460" i="22" s="1"/>
  <c r="W460" i="22" s="1"/>
  <c r="X460" i="22" s="1"/>
  <c r="Y460" i="22" s="1"/>
  <c r="Z460" i="22" s="1"/>
  <c r="AA460" i="22" s="1"/>
  <c r="AB460" i="22" s="1"/>
  <c r="AC460" i="22" s="1"/>
  <c r="AD460" i="22" s="1"/>
  <c r="AE460" i="22" s="1"/>
  <c r="AF460" i="22" s="1"/>
  <c r="AG460" i="22" s="1"/>
  <c r="AI459" i="22"/>
  <c r="AJ459" i="22" s="1"/>
  <c r="AK459" i="22" s="1"/>
  <c r="AL459" i="22" s="1"/>
  <c r="AM459" i="22" s="1"/>
  <c r="AN459" i="22" s="1"/>
  <c r="AO459" i="22" s="1"/>
  <c r="AP459" i="22" s="1"/>
  <c r="AQ459" i="22" s="1"/>
  <c r="AR459" i="22" s="1"/>
  <c r="AS459" i="22" s="1"/>
  <c r="AT459" i="22" s="1"/>
  <c r="AU459" i="22" s="1"/>
  <c r="AV459" i="22" s="1"/>
  <c r="AW459" i="22" s="1"/>
  <c r="AX459" i="22" s="1"/>
  <c r="AY459" i="22" s="1"/>
  <c r="AZ459" i="22" s="1"/>
  <c r="BA459" i="22" s="1"/>
  <c r="BB459" i="22" s="1"/>
  <c r="BC459" i="22" s="1"/>
  <c r="BD459" i="22" s="1"/>
  <c r="BE459" i="22" s="1"/>
  <c r="O454" i="22"/>
  <c r="P454" i="22" s="1"/>
  <c r="Q454" i="22" s="1"/>
  <c r="R454" i="22" s="1"/>
  <c r="S454" i="22" s="1"/>
  <c r="T454" i="22" s="1"/>
  <c r="U454" i="22" s="1"/>
  <c r="V454" i="22" s="1"/>
  <c r="W454" i="22" s="1"/>
  <c r="X454" i="22" s="1"/>
  <c r="Y454" i="22" s="1"/>
  <c r="Z454" i="22" s="1"/>
  <c r="AA454" i="22" s="1"/>
  <c r="AB454" i="22" s="1"/>
  <c r="AC454" i="22" s="1"/>
  <c r="AD454" i="22" s="1"/>
  <c r="AE454" i="22" s="1"/>
  <c r="AF454" i="22" s="1"/>
  <c r="AG454" i="22" s="1"/>
  <c r="O453" i="22"/>
  <c r="P453" i="22" s="1"/>
  <c r="Q453" i="22" s="1"/>
  <c r="R453" i="22" s="1"/>
  <c r="S453" i="22" s="1"/>
  <c r="T453" i="22" s="1"/>
  <c r="U453" i="22" s="1"/>
  <c r="V453" i="22" s="1"/>
  <c r="W453" i="22" s="1"/>
  <c r="X453" i="22" s="1"/>
  <c r="Y453" i="22" s="1"/>
  <c r="Z453" i="22" s="1"/>
  <c r="AA453" i="22" s="1"/>
  <c r="AB453" i="22" s="1"/>
  <c r="AC453" i="22" s="1"/>
  <c r="AD453" i="22" s="1"/>
  <c r="AE453" i="22" s="1"/>
  <c r="AF453" i="22" s="1"/>
  <c r="AG453" i="22" s="1"/>
  <c r="AI431" i="22"/>
  <c r="AJ431" i="22" s="1"/>
  <c r="AK431" i="22" s="1"/>
  <c r="AL431" i="22" s="1"/>
  <c r="AM431" i="22" s="1"/>
  <c r="AN431" i="22" s="1"/>
  <c r="AO431" i="22" s="1"/>
  <c r="AP431" i="22" s="1"/>
  <c r="AQ431" i="22" s="1"/>
  <c r="AR431" i="22" s="1"/>
  <c r="AS431" i="22" s="1"/>
  <c r="AT431" i="22" s="1"/>
  <c r="AU431" i="22" s="1"/>
  <c r="AV431" i="22" s="1"/>
  <c r="AW431" i="22" s="1"/>
  <c r="AX431" i="22" s="1"/>
  <c r="AY431" i="22" s="1"/>
  <c r="AZ431" i="22" s="1"/>
  <c r="BA431" i="22" s="1"/>
  <c r="BB431" i="22" s="1"/>
  <c r="BC431" i="22" s="1"/>
  <c r="BD431" i="22" s="1"/>
  <c r="BE431" i="22" s="1"/>
  <c r="O431" i="22"/>
  <c r="P431" i="22" s="1"/>
  <c r="Q431" i="22" s="1"/>
  <c r="R431" i="22" s="1"/>
  <c r="S431" i="22" s="1"/>
  <c r="T431" i="22" s="1"/>
  <c r="U431" i="22" s="1"/>
  <c r="V431" i="22" s="1"/>
  <c r="W431" i="22" s="1"/>
  <c r="X431" i="22" s="1"/>
  <c r="Y431" i="22" s="1"/>
  <c r="Z431" i="22" s="1"/>
  <c r="AA431" i="22" s="1"/>
  <c r="AB431" i="22" s="1"/>
  <c r="AC431" i="22" s="1"/>
  <c r="AD431" i="22" s="1"/>
  <c r="AE431" i="22" s="1"/>
  <c r="AF431" i="22" s="1"/>
  <c r="AG431" i="22" s="1"/>
  <c r="O426" i="22"/>
  <c r="P426" i="22" s="1"/>
  <c r="Q426" i="22" s="1"/>
  <c r="R426" i="22" s="1"/>
  <c r="S426" i="22" s="1"/>
  <c r="T426" i="22" s="1"/>
  <c r="U426" i="22" s="1"/>
  <c r="V426" i="22" s="1"/>
  <c r="W426" i="22" s="1"/>
  <c r="X426" i="22" s="1"/>
  <c r="Y426" i="22" s="1"/>
  <c r="Z426" i="22" s="1"/>
  <c r="AA426" i="22" s="1"/>
  <c r="AB426" i="22" s="1"/>
  <c r="AC426" i="22" s="1"/>
  <c r="AD426" i="22" s="1"/>
  <c r="AE426" i="22" s="1"/>
  <c r="AF426" i="22" s="1"/>
  <c r="AG426" i="22" s="1"/>
  <c r="O419" i="22"/>
  <c r="P419" i="22" s="1"/>
  <c r="Q419" i="22" s="1"/>
  <c r="R419" i="22" s="1"/>
  <c r="S419" i="22" s="1"/>
  <c r="T419" i="22" s="1"/>
  <c r="U419" i="22" s="1"/>
  <c r="V419" i="22" s="1"/>
  <c r="W419" i="22" s="1"/>
  <c r="X419" i="22" s="1"/>
  <c r="Y419" i="22" s="1"/>
  <c r="Z419" i="22" s="1"/>
  <c r="AA419" i="22" s="1"/>
  <c r="AB419" i="22" s="1"/>
  <c r="AC419" i="22" s="1"/>
  <c r="AD419" i="22" s="1"/>
  <c r="AE419" i="22" s="1"/>
  <c r="AF419" i="22" s="1"/>
  <c r="AG419" i="22" s="1"/>
  <c r="O414" i="22"/>
  <c r="P414" i="22" s="1"/>
  <c r="Q414" i="22" s="1"/>
  <c r="R414" i="22" s="1"/>
  <c r="S414" i="22" s="1"/>
  <c r="T414" i="22" s="1"/>
  <c r="U414" i="22" s="1"/>
  <c r="V414" i="22" s="1"/>
  <c r="W414" i="22" s="1"/>
  <c r="X414" i="22" s="1"/>
  <c r="Y414" i="22" s="1"/>
  <c r="Z414" i="22" s="1"/>
  <c r="AA414" i="22" s="1"/>
  <c r="AB414" i="22" s="1"/>
  <c r="AC414" i="22" s="1"/>
  <c r="AD414" i="22" s="1"/>
  <c r="AE414" i="22" s="1"/>
  <c r="AF414" i="22" s="1"/>
  <c r="AG414" i="22" s="1"/>
  <c r="O559" i="22"/>
  <c r="P559" i="22" s="1"/>
  <c r="Q559" i="22" s="1"/>
  <c r="R559" i="22" s="1"/>
  <c r="S559" i="22" s="1"/>
  <c r="T559" i="22" s="1"/>
  <c r="U559" i="22" s="1"/>
  <c r="V559" i="22" s="1"/>
  <c r="W559" i="22" s="1"/>
  <c r="X559" i="22" s="1"/>
  <c r="Y559" i="22" s="1"/>
  <c r="Z559" i="22" s="1"/>
  <c r="AA559" i="22" s="1"/>
  <c r="AB559" i="22" s="1"/>
  <c r="AC559" i="22" s="1"/>
  <c r="AD559" i="22" s="1"/>
  <c r="AE559" i="22" s="1"/>
  <c r="AF559" i="22" s="1"/>
  <c r="AG559" i="22" s="1"/>
  <c r="O545" i="22"/>
  <c r="P545" i="22" s="1"/>
  <c r="Q545" i="22" s="1"/>
  <c r="R545" i="22" s="1"/>
  <c r="S545" i="22" s="1"/>
  <c r="T545" i="22" s="1"/>
  <c r="U545" i="22" s="1"/>
  <c r="V545" i="22" s="1"/>
  <c r="W545" i="22" s="1"/>
  <c r="X545" i="22" s="1"/>
  <c r="Y545" i="22" s="1"/>
  <c r="Z545" i="22" s="1"/>
  <c r="AA545" i="22" s="1"/>
  <c r="AB545" i="22" s="1"/>
  <c r="AC545" i="22" s="1"/>
  <c r="AD545" i="22" s="1"/>
  <c r="AE545" i="22" s="1"/>
  <c r="AF545" i="22" s="1"/>
  <c r="AG545" i="22" s="1"/>
  <c r="AI538" i="22"/>
  <c r="AJ538" i="22" s="1"/>
  <c r="AK538" i="22" s="1"/>
  <c r="AL538" i="22" s="1"/>
  <c r="AM538" i="22" s="1"/>
  <c r="AN538" i="22" s="1"/>
  <c r="AO538" i="22" s="1"/>
  <c r="AP538" i="22" s="1"/>
  <c r="AQ538" i="22" s="1"/>
  <c r="AR538" i="22" s="1"/>
  <c r="AS538" i="22" s="1"/>
  <c r="AT538" i="22" s="1"/>
  <c r="AU538" i="22" s="1"/>
  <c r="AV538" i="22" s="1"/>
  <c r="AW538" i="22" s="1"/>
  <c r="AX538" i="22" s="1"/>
  <c r="AY538" i="22" s="1"/>
  <c r="AZ538" i="22" s="1"/>
  <c r="BA538" i="22" s="1"/>
  <c r="BB538" i="22" s="1"/>
  <c r="BC538" i="22" s="1"/>
  <c r="BD538" i="22" s="1"/>
  <c r="BE538" i="22" s="1"/>
  <c r="O523" i="22"/>
  <c r="P523" i="22" s="1"/>
  <c r="Q523" i="22" s="1"/>
  <c r="R523" i="22" s="1"/>
  <c r="S523" i="22" s="1"/>
  <c r="T523" i="22" s="1"/>
  <c r="U523" i="22" s="1"/>
  <c r="V523" i="22" s="1"/>
  <c r="W523" i="22" s="1"/>
  <c r="X523" i="22" s="1"/>
  <c r="Y523" i="22" s="1"/>
  <c r="Z523" i="22" s="1"/>
  <c r="AA523" i="22" s="1"/>
  <c r="AB523" i="22" s="1"/>
  <c r="AC523" i="22" s="1"/>
  <c r="AD523" i="22" s="1"/>
  <c r="AE523" i="22" s="1"/>
  <c r="AF523" i="22" s="1"/>
  <c r="AG523" i="22" s="1"/>
  <c r="O515" i="22"/>
  <c r="P515" i="22" s="1"/>
  <c r="Q515" i="22" s="1"/>
  <c r="R515" i="22" s="1"/>
  <c r="S515" i="22" s="1"/>
  <c r="T515" i="22" s="1"/>
  <c r="U515" i="22" s="1"/>
  <c r="V515" i="22" s="1"/>
  <c r="W515" i="22" s="1"/>
  <c r="X515" i="22" s="1"/>
  <c r="Y515" i="22" s="1"/>
  <c r="Z515" i="22" s="1"/>
  <c r="AA515" i="22" s="1"/>
  <c r="AB515" i="22" s="1"/>
  <c r="AC515" i="22" s="1"/>
  <c r="AD515" i="22" s="1"/>
  <c r="AE515" i="22" s="1"/>
  <c r="AF515" i="22" s="1"/>
  <c r="AG515" i="22" s="1"/>
  <c r="O514" i="22"/>
  <c r="P514" i="22" s="1"/>
  <c r="Q514" i="22" s="1"/>
  <c r="R514" i="22" s="1"/>
  <c r="S514" i="22" s="1"/>
  <c r="T514" i="22" s="1"/>
  <c r="U514" i="22" s="1"/>
  <c r="V514" i="22" s="1"/>
  <c r="W514" i="22" s="1"/>
  <c r="X514" i="22" s="1"/>
  <c r="Y514" i="22" s="1"/>
  <c r="Z514" i="22" s="1"/>
  <c r="AA514" i="22" s="1"/>
  <c r="AB514" i="22" s="1"/>
  <c r="AC514" i="22" s="1"/>
  <c r="AD514" i="22" s="1"/>
  <c r="AE514" i="22" s="1"/>
  <c r="AF514" i="22" s="1"/>
  <c r="AG514" i="22" s="1"/>
  <c r="AI493" i="22"/>
  <c r="AJ493" i="22" s="1"/>
  <c r="AK493" i="22" s="1"/>
  <c r="AL493" i="22" s="1"/>
  <c r="AM493" i="22" s="1"/>
  <c r="AN493" i="22" s="1"/>
  <c r="AO493" i="22" s="1"/>
  <c r="AP493" i="22" s="1"/>
  <c r="AQ493" i="22" s="1"/>
  <c r="AR493" i="22" s="1"/>
  <c r="AS493" i="22" s="1"/>
  <c r="AT493" i="22" s="1"/>
  <c r="AU493" i="22" s="1"/>
  <c r="AV493" i="22" s="1"/>
  <c r="AW493" i="22" s="1"/>
  <c r="AX493" i="22" s="1"/>
  <c r="AY493" i="22" s="1"/>
  <c r="AZ493" i="22" s="1"/>
  <c r="BA493" i="22" s="1"/>
  <c r="BB493" i="22" s="1"/>
  <c r="BC493" i="22" s="1"/>
  <c r="BD493" i="22" s="1"/>
  <c r="BE493" i="22" s="1"/>
  <c r="AI483" i="22"/>
  <c r="AJ483" i="22" s="1"/>
  <c r="AK483" i="22" s="1"/>
  <c r="AL483" i="22" s="1"/>
  <c r="AM483" i="22" s="1"/>
  <c r="AN483" i="22" s="1"/>
  <c r="AO483" i="22" s="1"/>
  <c r="AP483" i="22" s="1"/>
  <c r="AQ483" i="22" s="1"/>
  <c r="AR483" i="22" s="1"/>
  <c r="AS483" i="22" s="1"/>
  <c r="AT483" i="22" s="1"/>
  <c r="AU483" i="22" s="1"/>
  <c r="AV483" i="22" s="1"/>
  <c r="AW483" i="22" s="1"/>
  <c r="AX483" i="22" s="1"/>
  <c r="AY483" i="22" s="1"/>
  <c r="AZ483" i="22" s="1"/>
  <c r="BA483" i="22" s="1"/>
  <c r="BB483" i="22" s="1"/>
  <c r="BC483" i="22" s="1"/>
  <c r="BD483" i="22" s="1"/>
  <c r="BE483" i="22" s="1"/>
  <c r="O464" i="22"/>
  <c r="P464" i="22" s="1"/>
  <c r="Q464" i="22" s="1"/>
  <c r="R464" i="22" s="1"/>
  <c r="S464" i="22" s="1"/>
  <c r="T464" i="22" s="1"/>
  <c r="U464" i="22" s="1"/>
  <c r="V464" i="22" s="1"/>
  <c r="W464" i="22" s="1"/>
  <c r="X464" i="22" s="1"/>
  <c r="Y464" i="22" s="1"/>
  <c r="Z464" i="22" s="1"/>
  <c r="AA464" i="22" s="1"/>
  <c r="AB464" i="22" s="1"/>
  <c r="AC464" i="22" s="1"/>
  <c r="AD464" i="22" s="1"/>
  <c r="AE464" i="22" s="1"/>
  <c r="AF464" i="22" s="1"/>
  <c r="AG464" i="22" s="1"/>
  <c r="O534" i="22"/>
  <c r="P534" i="22" s="1"/>
  <c r="Q534" i="22" s="1"/>
  <c r="R534" i="22" s="1"/>
  <c r="S534" i="22" s="1"/>
  <c r="T534" i="22" s="1"/>
  <c r="U534" i="22" s="1"/>
  <c r="V534" i="22" s="1"/>
  <c r="W534" i="22" s="1"/>
  <c r="X534" i="22" s="1"/>
  <c r="Y534" i="22" s="1"/>
  <c r="Z534" i="22" s="1"/>
  <c r="AA534" i="22" s="1"/>
  <c r="AB534" i="22" s="1"/>
  <c r="AC534" i="22" s="1"/>
  <c r="AD534" i="22" s="1"/>
  <c r="AE534" i="22" s="1"/>
  <c r="AF534" i="22" s="1"/>
  <c r="AG534" i="22" s="1"/>
  <c r="O533" i="22"/>
  <c r="P533" i="22" s="1"/>
  <c r="Q533" i="22" s="1"/>
  <c r="R533" i="22" s="1"/>
  <c r="S533" i="22" s="1"/>
  <c r="T533" i="22" s="1"/>
  <c r="U533" i="22" s="1"/>
  <c r="V533" i="22" s="1"/>
  <c r="W533" i="22" s="1"/>
  <c r="X533" i="22" s="1"/>
  <c r="Y533" i="22" s="1"/>
  <c r="Z533" i="22" s="1"/>
  <c r="AA533" i="22" s="1"/>
  <c r="AB533" i="22" s="1"/>
  <c r="AC533" i="22" s="1"/>
  <c r="AD533" i="22" s="1"/>
  <c r="AE533" i="22" s="1"/>
  <c r="AF533" i="22" s="1"/>
  <c r="AG533" i="22" s="1"/>
  <c r="O487" i="22"/>
  <c r="P487" i="22" s="1"/>
  <c r="Q487" i="22" s="1"/>
  <c r="R487" i="22" s="1"/>
  <c r="S487" i="22" s="1"/>
  <c r="T487" i="22" s="1"/>
  <c r="U487" i="22" s="1"/>
  <c r="V487" i="22" s="1"/>
  <c r="W487" i="22" s="1"/>
  <c r="X487" i="22" s="1"/>
  <c r="Y487" i="22" s="1"/>
  <c r="Z487" i="22" s="1"/>
  <c r="AA487" i="22" s="1"/>
  <c r="AB487" i="22" s="1"/>
  <c r="AC487" i="22" s="1"/>
  <c r="AD487" i="22" s="1"/>
  <c r="AE487" i="22" s="1"/>
  <c r="AF487" i="22" s="1"/>
  <c r="AG487" i="22" s="1"/>
  <c r="AI463" i="22"/>
  <c r="AJ463" i="22" s="1"/>
  <c r="AK463" i="22" s="1"/>
  <c r="AL463" i="22" s="1"/>
  <c r="AM463" i="22" s="1"/>
  <c r="AN463" i="22" s="1"/>
  <c r="AO463" i="22" s="1"/>
  <c r="AP463" i="22" s="1"/>
  <c r="AQ463" i="22" s="1"/>
  <c r="AR463" i="22" s="1"/>
  <c r="AS463" i="22" s="1"/>
  <c r="AT463" i="22" s="1"/>
  <c r="AU463" i="22" s="1"/>
  <c r="AV463" i="22" s="1"/>
  <c r="AW463" i="22" s="1"/>
  <c r="AX463" i="22" s="1"/>
  <c r="AY463" i="22" s="1"/>
  <c r="AZ463" i="22" s="1"/>
  <c r="BA463" i="22" s="1"/>
  <c r="BB463" i="22" s="1"/>
  <c r="BC463" i="22" s="1"/>
  <c r="BD463" i="22" s="1"/>
  <c r="BE463" i="22" s="1"/>
  <c r="O455" i="22"/>
  <c r="P455" i="22" s="1"/>
  <c r="Q455" i="22" s="1"/>
  <c r="R455" i="22" s="1"/>
  <c r="S455" i="22" s="1"/>
  <c r="T455" i="22" s="1"/>
  <c r="U455" i="22" s="1"/>
  <c r="V455" i="22" s="1"/>
  <c r="W455" i="22" s="1"/>
  <c r="X455" i="22" s="1"/>
  <c r="Y455" i="22" s="1"/>
  <c r="Z455" i="22" s="1"/>
  <c r="AA455" i="22" s="1"/>
  <c r="AB455" i="22" s="1"/>
  <c r="AC455" i="22" s="1"/>
  <c r="AD455" i="22" s="1"/>
  <c r="AE455" i="22" s="1"/>
  <c r="AF455" i="22" s="1"/>
  <c r="AG455" i="22" s="1"/>
  <c r="AI601" i="22"/>
  <c r="AJ601" i="22" s="1"/>
  <c r="AK601" i="22" s="1"/>
  <c r="AL601" i="22" s="1"/>
  <c r="AM601" i="22" s="1"/>
  <c r="AN601" i="22" s="1"/>
  <c r="AO601" i="22" s="1"/>
  <c r="AP601" i="22" s="1"/>
  <c r="AQ601" i="22" s="1"/>
  <c r="AR601" i="22" s="1"/>
  <c r="AS601" i="22" s="1"/>
  <c r="AT601" i="22" s="1"/>
  <c r="AU601" i="22" s="1"/>
  <c r="AV601" i="22" s="1"/>
  <c r="AW601" i="22" s="1"/>
  <c r="AX601" i="22" s="1"/>
  <c r="AY601" i="22" s="1"/>
  <c r="AZ601" i="22" s="1"/>
  <c r="BA601" i="22" s="1"/>
  <c r="BB601" i="22" s="1"/>
  <c r="BC601" i="22" s="1"/>
  <c r="BD601" i="22" s="1"/>
  <c r="BE601" i="22" s="1"/>
  <c r="O506" i="22"/>
  <c r="P506" i="22" s="1"/>
  <c r="Q506" i="22" s="1"/>
  <c r="R506" i="22" s="1"/>
  <c r="S506" i="22" s="1"/>
  <c r="T506" i="22" s="1"/>
  <c r="U506" i="22" s="1"/>
  <c r="V506" i="22" s="1"/>
  <c r="W506" i="22" s="1"/>
  <c r="X506" i="22" s="1"/>
  <c r="Y506" i="22" s="1"/>
  <c r="Z506" i="22" s="1"/>
  <c r="AA506" i="22" s="1"/>
  <c r="AB506" i="22" s="1"/>
  <c r="AC506" i="22" s="1"/>
  <c r="AD506" i="22" s="1"/>
  <c r="AE506" i="22" s="1"/>
  <c r="AF506" i="22" s="1"/>
  <c r="AG506" i="22" s="1"/>
  <c r="O477" i="22"/>
  <c r="P477" i="22" s="1"/>
  <c r="Q477" i="22" s="1"/>
  <c r="R477" i="22" s="1"/>
  <c r="S477" i="22" s="1"/>
  <c r="T477" i="22" s="1"/>
  <c r="U477" i="22" s="1"/>
  <c r="V477" i="22" s="1"/>
  <c r="W477" i="22" s="1"/>
  <c r="X477" i="22" s="1"/>
  <c r="Y477" i="22" s="1"/>
  <c r="Z477" i="22" s="1"/>
  <c r="AA477" i="22" s="1"/>
  <c r="AB477" i="22" s="1"/>
  <c r="AC477" i="22" s="1"/>
  <c r="AD477" i="22" s="1"/>
  <c r="AE477" i="22" s="1"/>
  <c r="AF477" i="22" s="1"/>
  <c r="AG477" i="22" s="1"/>
  <c r="O456" i="22"/>
  <c r="P456" i="22" s="1"/>
  <c r="Q456" i="22" s="1"/>
  <c r="R456" i="22" s="1"/>
  <c r="S456" i="22" s="1"/>
  <c r="T456" i="22" s="1"/>
  <c r="U456" i="22" s="1"/>
  <c r="V456" i="22" s="1"/>
  <c r="W456" i="22" s="1"/>
  <c r="X456" i="22" s="1"/>
  <c r="Y456" i="22" s="1"/>
  <c r="Z456" i="22" s="1"/>
  <c r="AA456" i="22" s="1"/>
  <c r="AB456" i="22" s="1"/>
  <c r="AC456" i="22" s="1"/>
  <c r="AD456" i="22" s="1"/>
  <c r="AE456" i="22" s="1"/>
  <c r="AF456" i="22" s="1"/>
  <c r="AG456" i="22" s="1"/>
  <c r="AI433" i="22"/>
  <c r="AJ433" i="22" s="1"/>
  <c r="AK433" i="22" s="1"/>
  <c r="AL433" i="22" s="1"/>
  <c r="AM433" i="22" s="1"/>
  <c r="AN433" i="22" s="1"/>
  <c r="AO433" i="22" s="1"/>
  <c r="AP433" i="22" s="1"/>
  <c r="AQ433" i="22" s="1"/>
  <c r="AR433" i="22" s="1"/>
  <c r="AS433" i="22" s="1"/>
  <c r="AT433" i="22" s="1"/>
  <c r="AU433" i="22" s="1"/>
  <c r="AV433" i="22" s="1"/>
  <c r="AW433" i="22" s="1"/>
  <c r="AX433" i="22" s="1"/>
  <c r="AY433" i="22" s="1"/>
  <c r="AZ433" i="22" s="1"/>
  <c r="BA433" i="22" s="1"/>
  <c r="BB433" i="22" s="1"/>
  <c r="BC433" i="22" s="1"/>
  <c r="BD433" i="22" s="1"/>
  <c r="BE433" i="22" s="1"/>
  <c r="AI528" i="22"/>
  <c r="AJ528" i="22" s="1"/>
  <c r="AK528" i="22" s="1"/>
  <c r="AL528" i="22" s="1"/>
  <c r="AM528" i="22" s="1"/>
  <c r="AN528" i="22" s="1"/>
  <c r="AO528" i="22" s="1"/>
  <c r="AP528" i="22" s="1"/>
  <c r="AQ528" i="22" s="1"/>
  <c r="AR528" i="22" s="1"/>
  <c r="AS528" i="22" s="1"/>
  <c r="AT528" i="22" s="1"/>
  <c r="AU528" i="22" s="1"/>
  <c r="AV528" i="22" s="1"/>
  <c r="AW528" i="22" s="1"/>
  <c r="AX528" i="22" s="1"/>
  <c r="AY528" i="22" s="1"/>
  <c r="AZ528" i="22" s="1"/>
  <c r="BA528" i="22" s="1"/>
  <c r="BB528" i="22" s="1"/>
  <c r="BC528" i="22" s="1"/>
  <c r="BD528" i="22" s="1"/>
  <c r="BE528" i="22" s="1"/>
  <c r="AI423" i="22"/>
  <c r="AJ423" i="22" s="1"/>
  <c r="AK423" i="22" s="1"/>
  <c r="AL423" i="22" s="1"/>
  <c r="AM423" i="22" s="1"/>
  <c r="AN423" i="22" s="1"/>
  <c r="AO423" i="22" s="1"/>
  <c r="AP423" i="22" s="1"/>
  <c r="AQ423" i="22" s="1"/>
  <c r="AR423" i="22" s="1"/>
  <c r="AS423" i="22" s="1"/>
  <c r="AT423" i="22" s="1"/>
  <c r="AU423" i="22" s="1"/>
  <c r="AV423" i="22" s="1"/>
  <c r="AW423" i="22" s="1"/>
  <c r="AX423" i="22" s="1"/>
  <c r="AY423" i="22" s="1"/>
  <c r="AZ423" i="22" s="1"/>
  <c r="BA423" i="22" s="1"/>
  <c r="BB423" i="22" s="1"/>
  <c r="BC423" i="22" s="1"/>
  <c r="BD423" i="22" s="1"/>
  <c r="BE423" i="22" s="1"/>
  <c r="O396" i="22"/>
  <c r="P396" i="22" s="1"/>
  <c r="Q396" i="22" s="1"/>
  <c r="R396" i="22" s="1"/>
  <c r="S396" i="22" s="1"/>
  <c r="T396" i="22" s="1"/>
  <c r="U396" i="22" s="1"/>
  <c r="V396" i="22" s="1"/>
  <c r="W396" i="22" s="1"/>
  <c r="X396" i="22" s="1"/>
  <c r="Y396" i="22" s="1"/>
  <c r="Z396" i="22" s="1"/>
  <c r="AA396" i="22" s="1"/>
  <c r="AB396" i="22" s="1"/>
  <c r="AC396" i="22" s="1"/>
  <c r="AD396" i="22" s="1"/>
  <c r="AE396" i="22" s="1"/>
  <c r="AF396" i="22" s="1"/>
  <c r="AG396" i="22" s="1"/>
  <c r="O395" i="22"/>
  <c r="P395" i="22" s="1"/>
  <c r="Q395" i="22" s="1"/>
  <c r="R395" i="22" s="1"/>
  <c r="S395" i="22" s="1"/>
  <c r="T395" i="22" s="1"/>
  <c r="U395" i="22" s="1"/>
  <c r="V395" i="22" s="1"/>
  <c r="W395" i="22" s="1"/>
  <c r="X395" i="22" s="1"/>
  <c r="Y395" i="22" s="1"/>
  <c r="Z395" i="22" s="1"/>
  <c r="AA395" i="22" s="1"/>
  <c r="AB395" i="22" s="1"/>
  <c r="AC395" i="22" s="1"/>
  <c r="AD395" i="22" s="1"/>
  <c r="AE395" i="22" s="1"/>
  <c r="AF395" i="22" s="1"/>
  <c r="AG395" i="22" s="1"/>
  <c r="AI385" i="22"/>
  <c r="AJ385" i="22" s="1"/>
  <c r="AK385" i="22" s="1"/>
  <c r="AL385" i="22" s="1"/>
  <c r="AM385" i="22" s="1"/>
  <c r="AN385" i="22" s="1"/>
  <c r="AO385" i="22" s="1"/>
  <c r="AP385" i="22" s="1"/>
  <c r="AQ385" i="22" s="1"/>
  <c r="AR385" i="22" s="1"/>
  <c r="AS385" i="22" s="1"/>
  <c r="AT385" i="22" s="1"/>
  <c r="AU385" i="22" s="1"/>
  <c r="AV385" i="22" s="1"/>
  <c r="AW385" i="22" s="1"/>
  <c r="AX385" i="22" s="1"/>
  <c r="AY385" i="22" s="1"/>
  <c r="AZ385" i="22" s="1"/>
  <c r="BA385" i="22" s="1"/>
  <c r="BB385" i="22" s="1"/>
  <c r="BC385" i="22" s="1"/>
  <c r="BD385" i="22" s="1"/>
  <c r="BE385" i="22" s="1"/>
  <c r="AI384" i="22"/>
  <c r="AJ384" i="22" s="1"/>
  <c r="AK384" i="22" s="1"/>
  <c r="AL384" i="22" s="1"/>
  <c r="AM384" i="22" s="1"/>
  <c r="AN384" i="22" s="1"/>
  <c r="AO384" i="22" s="1"/>
  <c r="AP384" i="22" s="1"/>
  <c r="AQ384" i="22" s="1"/>
  <c r="AR384" i="22" s="1"/>
  <c r="AS384" i="22" s="1"/>
  <c r="AT384" i="22" s="1"/>
  <c r="AU384" i="22" s="1"/>
  <c r="AV384" i="22" s="1"/>
  <c r="AW384" i="22" s="1"/>
  <c r="AX384" i="22" s="1"/>
  <c r="AY384" i="22" s="1"/>
  <c r="AZ384" i="22" s="1"/>
  <c r="BA384" i="22" s="1"/>
  <c r="BB384" i="22" s="1"/>
  <c r="BC384" i="22" s="1"/>
  <c r="BD384" i="22" s="1"/>
  <c r="BE384" i="22" s="1"/>
  <c r="O379" i="22"/>
  <c r="P379" i="22" s="1"/>
  <c r="Q379" i="22" s="1"/>
  <c r="R379" i="22" s="1"/>
  <c r="S379" i="22" s="1"/>
  <c r="T379" i="22" s="1"/>
  <c r="U379" i="22" s="1"/>
  <c r="V379" i="22" s="1"/>
  <c r="W379" i="22" s="1"/>
  <c r="X379" i="22" s="1"/>
  <c r="Y379" i="22" s="1"/>
  <c r="Z379" i="22" s="1"/>
  <c r="AA379" i="22" s="1"/>
  <c r="AB379" i="22" s="1"/>
  <c r="AC379" i="22" s="1"/>
  <c r="AD379" i="22" s="1"/>
  <c r="AE379" i="22" s="1"/>
  <c r="AF379" i="22" s="1"/>
  <c r="AG379" i="22" s="1"/>
  <c r="AI365" i="22"/>
  <c r="AJ365" i="22" s="1"/>
  <c r="AK365" i="22" s="1"/>
  <c r="AL365" i="22" s="1"/>
  <c r="AM365" i="22" s="1"/>
  <c r="AN365" i="22" s="1"/>
  <c r="AO365" i="22" s="1"/>
  <c r="AP365" i="22" s="1"/>
  <c r="AQ365" i="22" s="1"/>
  <c r="AR365" i="22" s="1"/>
  <c r="AS365" i="22" s="1"/>
  <c r="AT365" i="22" s="1"/>
  <c r="AU365" i="22" s="1"/>
  <c r="AV365" i="22" s="1"/>
  <c r="AW365" i="22" s="1"/>
  <c r="AX365" i="22" s="1"/>
  <c r="AY365" i="22" s="1"/>
  <c r="AZ365" i="22" s="1"/>
  <c r="BA365" i="22" s="1"/>
  <c r="BB365" i="22" s="1"/>
  <c r="BC365" i="22" s="1"/>
  <c r="BD365" i="22" s="1"/>
  <c r="BE365" i="22" s="1"/>
  <c r="O639" i="22"/>
  <c r="P639" i="22" s="1"/>
  <c r="Q639" i="22" s="1"/>
  <c r="R639" i="22" s="1"/>
  <c r="S639" i="22" s="1"/>
  <c r="T639" i="22" s="1"/>
  <c r="U639" i="22" s="1"/>
  <c r="V639" i="22" s="1"/>
  <c r="W639" i="22" s="1"/>
  <c r="X639" i="22" s="1"/>
  <c r="Y639" i="22" s="1"/>
  <c r="Z639" i="22" s="1"/>
  <c r="AA639" i="22" s="1"/>
  <c r="AB639" i="22" s="1"/>
  <c r="AC639" i="22" s="1"/>
  <c r="AD639" i="22" s="1"/>
  <c r="AE639" i="22" s="1"/>
  <c r="AF639" i="22" s="1"/>
  <c r="AG639" i="22" s="1"/>
  <c r="O537" i="22"/>
  <c r="P537" i="22" s="1"/>
  <c r="Q537" i="22" s="1"/>
  <c r="R537" i="22" s="1"/>
  <c r="S537" i="22" s="1"/>
  <c r="T537" i="22" s="1"/>
  <c r="U537" i="22" s="1"/>
  <c r="V537" i="22" s="1"/>
  <c r="W537" i="22" s="1"/>
  <c r="X537" i="22" s="1"/>
  <c r="Y537" i="22" s="1"/>
  <c r="Z537" i="22" s="1"/>
  <c r="AA537" i="22" s="1"/>
  <c r="AB537" i="22" s="1"/>
  <c r="AC537" i="22" s="1"/>
  <c r="AD537" i="22" s="1"/>
  <c r="AE537" i="22" s="1"/>
  <c r="AF537" i="22" s="1"/>
  <c r="AG537" i="22" s="1"/>
  <c r="O492" i="22"/>
  <c r="P492" i="22" s="1"/>
  <c r="Q492" i="22" s="1"/>
  <c r="R492" i="22" s="1"/>
  <c r="S492" i="22" s="1"/>
  <c r="T492" i="22" s="1"/>
  <c r="U492" i="22" s="1"/>
  <c r="V492" i="22" s="1"/>
  <c r="W492" i="22" s="1"/>
  <c r="X492" i="22" s="1"/>
  <c r="Y492" i="22" s="1"/>
  <c r="Z492" i="22" s="1"/>
  <c r="AA492" i="22" s="1"/>
  <c r="AB492" i="22" s="1"/>
  <c r="AC492" i="22" s="1"/>
  <c r="AD492" i="22" s="1"/>
  <c r="AE492" i="22" s="1"/>
  <c r="AF492" i="22" s="1"/>
  <c r="AG492" i="22" s="1"/>
  <c r="O484" i="22"/>
  <c r="P484" i="22" s="1"/>
  <c r="Q484" i="22" s="1"/>
  <c r="R484" i="22" s="1"/>
  <c r="S484" i="22" s="1"/>
  <c r="T484" i="22" s="1"/>
  <c r="U484" i="22" s="1"/>
  <c r="V484" i="22" s="1"/>
  <c r="W484" i="22" s="1"/>
  <c r="X484" i="22" s="1"/>
  <c r="Y484" i="22" s="1"/>
  <c r="Z484" i="22" s="1"/>
  <c r="AA484" i="22" s="1"/>
  <c r="AB484" i="22" s="1"/>
  <c r="AC484" i="22" s="1"/>
  <c r="AD484" i="22" s="1"/>
  <c r="AE484" i="22" s="1"/>
  <c r="AF484" i="22" s="1"/>
  <c r="AG484" i="22" s="1"/>
  <c r="O548" i="22"/>
  <c r="P548" i="22" s="1"/>
  <c r="Q548" i="22" s="1"/>
  <c r="R548" i="22" s="1"/>
  <c r="S548" i="22" s="1"/>
  <c r="T548" i="22" s="1"/>
  <c r="U548" i="22" s="1"/>
  <c r="V548" i="22" s="1"/>
  <c r="W548" i="22" s="1"/>
  <c r="X548" i="22" s="1"/>
  <c r="Y548" i="22" s="1"/>
  <c r="Z548" i="22" s="1"/>
  <c r="AA548" i="22" s="1"/>
  <c r="AB548" i="22" s="1"/>
  <c r="AC548" i="22" s="1"/>
  <c r="AD548" i="22" s="1"/>
  <c r="AE548" i="22" s="1"/>
  <c r="AF548" i="22" s="1"/>
  <c r="AG548" i="22" s="1"/>
  <c r="O539" i="22"/>
  <c r="P539" i="22" s="1"/>
  <c r="Q539" i="22" s="1"/>
  <c r="R539" i="22" s="1"/>
  <c r="S539" i="22" s="1"/>
  <c r="T539" i="22" s="1"/>
  <c r="U539" i="22" s="1"/>
  <c r="V539" i="22" s="1"/>
  <c r="W539" i="22" s="1"/>
  <c r="X539" i="22" s="1"/>
  <c r="Y539" i="22" s="1"/>
  <c r="Z539" i="22" s="1"/>
  <c r="AA539" i="22" s="1"/>
  <c r="AB539" i="22" s="1"/>
  <c r="AC539" i="22" s="1"/>
  <c r="AD539" i="22" s="1"/>
  <c r="AE539" i="22" s="1"/>
  <c r="AF539" i="22" s="1"/>
  <c r="AG539" i="22" s="1"/>
  <c r="O528" i="22"/>
  <c r="P528" i="22" s="1"/>
  <c r="Q528" i="22" s="1"/>
  <c r="R528" i="22" s="1"/>
  <c r="S528" i="22" s="1"/>
  <c r="T528" i="22" s="1"/>
  <c r="U528" i="22" s="1"/>
  <c r="V528" i="22" s="1"/>
  <c r="W528" i="22" s="1"/>
  <c r="X528" i="22" s="1"/>
  <c r="Y528" i="22" s="1"/>
  <c r="Z528" i="22" s="1"/>
  <c r="AA528" i="22" s="1"/>
  <c r="AB528" i="22" s="1"/>
  <c r="AC528" i="22" s="1"/>
  <c r="AD528" i="22" s="1"/>
  <c r="AE528" i="22" s="1"/>
  <c r="AF528" i="22" s="1"/>
  <c r="AG528" i="22" s="1"/>
  <c r="AI514" i="22"/>
  <c r="AJ514" i="22" s="1"/>
  <c r="AK514" i="22" s="1"/>
  <c r="AL514" i="22" s="1"/>
  <c r="AM514" i="22" s="1"/>
  <c r="AN514" i="22" s="1"/>
  <c r="AO514" i="22" s="1"/>
  <c r="AP514" i="22" s="1"/>
  <c r="AQ514" i="22" s="1"/>
  <c r="AR514" i="22" s="1"/>
  <c r="AS514" i="22" s="1"/>
  <c r="AT514" i="22" s="1"/>
  <c r="AU514" i="22" s="1"/>
  <c r="AV514" i="22" s="1"/>
  <c r="AW514" i="22" s="1"/>
  <c r="AX514" i="22" s="1"/>
  <c r="AY514" i="22" s="1"/>
  <c r="AZ514" i="22" s="1"/>
  <c r="BA514" i="22" s="1"/>
  <c r="BB514" i="22" s="1"/>
  <c r="BC514" i="22" s="1"/>
  <c r="BD514" i="22" s="1"/>
  <c r="BE514" i="22" s="1"/>
  <c r="AI465" i="22"/>
  <c r="AJ465" i="22" s="1"/>
  <c r="AK465" i="22" s="1"/>
  <c r="AL465" i="22" s="1"/>
  <c r="AM465" i="22" s="1"/>
  <c r="AN465" i="22" s="1"/>
  <c r="AO465" i="22" s="1"/>
  <c r="AP465" i="22" s="1"/>
  <c r="AQ465" i="22" s="1"/>
  <c r="AR465" i="22" s="1"/>
  <c r="AS465" i="22" s="1"/>
  <c r="AT465" i="22" s="1"/>
  <c r="AU465" i="22" s="1"/>
  <c r="AV465" i="22" s="1"/>
  <c r="AW465" i="22" s="1"/>
  <c r="AX465" i="22" s="1"/>
  <c r="AY465" i="22" s="1"/>
  <c r="AZ465" i="22" s="1"/>
  <c r="BA465" i="22" s="1"/>
  <c r="BB465" i="22" s="1"/>
  <c r="BC465" i="22" s="1"/>
  <c r="BD465" i="22" s="1"/>
  <c r="BE465" i="22" s="1"/>
  <c r="O451" i="22"/>
  <c r="P451" i="22" s="1"/>
  <c r="Q451" i="22" s="1"/>
  <c r="R451" i="22" s="1"/>
  <c r="S451" i="22" s="1"/>
  <c r="T451" i="22" s="1"/>
  <c r="U451" i="22" s="1"/>
  <c r="V451" i="22" s="1"/>
  <c r="W451" i="22" s="1"/>
  <c r="X451" i="22" s="1"/>
  <c r="Y451" i="22" s="1"/>
  <c r="Z451" i="22" s="1"/>
  <c r="AA451" i="22" s="1"/>
  <c r="AB451" i="22" s="1"/>
  <c r="AC451" i="22" s="1"/>
  <c r="AD451" i="22" s="1"/>
  <c r="AE451" i="22" s="1"/>
  <c r="AF451" i="22" s="1"/>
  <c r="AG451" i="22" s="1"/>
  <c r="AI434" i="22"/>
  <c r="AJ434" i="22" s="1"/>
  <c r="AK434" i="22" s="1"/>
  <c r="AL434" i="22" s="1"/>
  <c r="AM434" i="22" s="1"/>
  <c r="AN434" i="22" s="1"/>
  <c r="AO434" i="22" s="1"/>
  <c r="AP434" i="22" s="1"/>
  <c r="AQ434" i="22" s="1"/>
  <c r="AR434" i="22" s="1"/>
  <c r="AS434" i="22" s="1"/>
  <c r="AT434" i="22" s="1"/>
  <c r="AU434" i="22" s="1"/>
  <c r="AV434" i="22" s="1"/>
  <c r="AW434" i="22" s="1"/>
  <c r="AX434" i="22" s="1"/>
  <c r="AY434" i="22" s="1"/>
  <c r="AZ434" i="22" s="1"/>
  <c r="BA434" i="22" s="1"/>
  <c r="BB434" i="22" s="1"/>
  <c r="BC434" i="22" s="1"/>
  <c r="BD434" i="22" s="1"/>
  <c r="BE434" i="22" s="1"/>
  <c r="O432" i="22"/>
  <c r="P432" i="22" s="1"/>
  <c r="Q432" i="22" s="1"/>
  <c r="R432" i="22" s="1"/>
  <c r="S432" i="22" s="1"/>
  <c r="T432" i="22" s="1"/>
  <c r="U432" i="22" s="1"/>
  <c r="V432" i="22" s="1"/>
  <c r="W432" i="22" s="1"/>
  <c r="X432" i="22" s="1"/>
  <c r="Y432" i="22" s="1"/>
  <c r="Z432" i="22" s="1"/>
  <c r="AA432" i="22" s="1"/>
  <c r="AB432" i="22" s="1"/>
  <c r="AC432" i="22" s="1"/>
  <c r="AD432" i="22" s="1"/>
  <c r="AE432" i="22" s="1"/>
  <c r="AF432" i="22" s="1"/>
  <c r="AG432" i="22" s="1"/>
  <c r="O430" i="22"/>
  <c r="P430" i="22" s="1"/>
  <c r="Q430" i="22" s="1"/>
  <c r="R430" i="22" s="1"/>
  <c r="S430" i="22" s="1"/>
  <c r="T430" i="22" s="1"/>
  <c r="U430" i="22" s="1"/>
  <c r="V430" i="22" s="1"/>
  <c r="W430" i="22" s="1"/>
  <c r="X430" i="22" s="1"/>
  <c r="Y430" i="22" s="1"/>
  <c r="Z430" i="22" s="1"/>
  <c r="AA430" i="22" s="1"/>
  <c r="AB430" i="22" s="1"/>
  <c r="AC430" i="22" s="1"/>
  <c r="AD430" i="22" s="1"/>
  <c r="AE430" i="22" s="1"/>
  <c r="AF430" i="22" s="1"/>
  <c r="AG430" i="22" s="1"/>
  <c r="AI408" i="22"/>
  <c r="AJ408" i="22" s="1"/>
  <c r="AK408" i="22" s="1"/>
  <c r="AL408" i="22" s="1"/>
  <c r="AM408" i="22" s="1"/>
  <c r="AN408" i="22" s="1"/>
  <c r="AO408" i="22" s="1"/>
  <c r="AP408" i="22" s="1"/>
  <c r="AQ408" i="22" s="1"/>
  <c r="AR408" i="22" s="1"/>
  <c r="AS408" i="22" s="1"/>
  <c r="AT408" i="22" s="1"/>
  <c r="AU408" i="22" s="1"/>
  <c r="AV408" i="22" s="1"/>
  <c r="AW408" i="22" s="1"/>
  <c r="AX408" i="22" s="1"/>
  <c r="AY408" i="22" s="1"/>
  <c r="AZ408" i="22" s="1"/>
  <c r="BA408" i="22" s="1"/>
  <c r="BB408" i="22" s="1"/>
  <c r="BC408" i="22" s="1"/>
  <c r="BD408" i="22" s="1"/>
  <c r="BE408" i="22" s="1"/>
  <c r="AI404" i="22"/>
  <c r="AJ404" i="22" s="1"/>
  <c r="AK404" i="22" s="1"/>
  <c r="AL404" i="22" s="1"/>
  <c r="AM404" i="22" s="1"/>
  <c r="AN404" i="22" s="1"/>
  <c r="AO404" i="22" s="1"/>
  <c r="AP404" i="22" s="1"/>
  <c r="AQ404" i="22" s="1"/>
  <c r="AR404" i="22" s="1"/>
  <c r="AS404" i="22" s="1"/>
  <c r="AT404" i="22" s="1"/>
  <c r="AU404" i="22" s="1"/>
  <c r="AV404" i="22" s="1"/>
  <c r="AW404" i="22" s="1"/>
  <c r="AX404" i="22" s="1"/>
  <c r="AY404" i="22" s="1"/>
  <c r="AZ404" i="22" s="1"/>
  <c r="BA404" i="22" s="1"/>
  <c r="BB404" i="22" s="1"/>
  <c r="BC404" i="22" s="1"/>
  <c r="BD404" i="22" s="1"/>
  <c r="BE404" i="22" s="1"/>
  <c r="O399" i="22"/>
  <c r="P399" i="22" s="1"/>
  <c r="Q399" i="22" s="1"/>
  <c r="R399" i="22" s="1"/>
  <c r="S399" i="22" s="1"/>
  <c r="T399" i="22" s="1"/>
  <c r="U399" i="22" s="1"/>
  <c r="V399" i="22" s="1"/>
  <c r="W399" i="22" s="1"/>
  <c r="X399" i="22" s="1"/>
  <c r="Y399" i="22" s="1"/>
  <c r="Z399" i="22" s="1"/>
  <c r="AA399" i="22" s="1"/>
  <c r="AB399" i="22" s="1"/>
  <c r="AC399" i="22" s="1"/>
  <c r="AD399" i="22" s="1"/>
  <c r="AE399" i="22" s="1"/>
  <c r="AF399" i="22" s="1"/>
  <c r="AG399" i="22" s="1"/>
  <c r="O382" i="22"/>
  <c r="P382" i="22" s="1"/>
  <c r="Q382" i="22" s="1"/>
  <c r="R382" i="22" s="1"/>
  <c r="S382" i="22" s="1"/>
  <c r="T382" i="22" s="1"/>
  <c r="U382" i="22" s="1"/>
  <c r="V382" i="22" s="1"/>
  <c r="W382" i="22" s="1"/>
  <c r="X382" i="22" s="1"/>
  <c r="Y382" i="22" s="1"/>
  <c r="Z382" i="22" s="1"/>
  <c r="AA382" i="22" s="1"/>
  <c r="AB382" i="22" s="1"/>
  <c r="AC382" i="22" s="1"/>
  <c r="AD382" i="22" s="1"/>
  <c r="AE382" i="22" s="1"/>
  <c r="AF382" i="22" s="1"/>
  <c r="AG382" i="22" s="1"/>
  <c r="O381" i="22"/>
  <c r="P381" i="22" s="1"/>
  <c r="Q381" i="22" s="1"/>
  <c r="R381" i="22" s="1"/>
  <c r="S381" i="22" s="1"/>
  <c r="T381" i="22" s="1"/>
  <c r="U381" i="22" s="1"/>
  <c r="V381" i="22" s="1"/>
  <c r="W381" i="22" s="1"/>
  <c r="X381" i="22" s="1"/>
  <c r="Y381" i="22" s="1"/>
  <c r="Z381" i="22" s="1"/>
  <c r="AA381" i="22" s="1"/>
  <c r="AB381" i="22" s="1"/>
  <c r="AC381" i="22" s="1"/>
  <c r="AD381" i="22" s="1"/>
  <c r="AE381" i="22" s="1"/>
  <c r="AF381" i="22" s="1"/>
  <c r="AG381" i="22" s="1"/>
  <c r="AI371" i="22"/>
  <c r="AJ371" i="22" s="1"/>
  <c r="AK371" i="22" s="1"/>
  <c r="AL371" i="22" s="1"/>
  <c r="AM371" i="22" s="1"/>
  <c r="AN371" i="22" s="1"/>
  <c r="AO371" i="22" s="1"/>
  <c r="AP371" i="22" s="1"/>
  <c r="AQ371" i="22" s="1"/>
  <c r="AR371" i="22" s="1"/>
  <c r="AS371" i="22" s="1"/>
  <c r="AT371" i="22" s="1"/>
  <c r="AU371" i="22" s="1"/>
  <c r="AV371" i="22" s="1"/>
  <c r="AW371" i="22" s="1"/>
  <c r="AX371" i="22" s="1"/>
  <c r="AY371" i="22" s="1"/>
  <c r="AZ371" i="22" s="1"/>
  <c r="BA371" i="22" s="1"/>
  <c r="BB371" i="22" s="1"/>
  <c r="BC371" i="22" s="1"/>
  <c r="BD371" i="22" s="1"/>
  <c r="BE371" i="22" s="1"/>
  <c r="AI370" i="22"/>
  <c r="AJ370" i="22" s="1"/>
  <c r="AK370" i="22" s="1"/>
  <c r="AL370" i="22" s="1"/>
  <c r="AM370" i="22" s="1"/>
  <c r="AN370" i="22" s="1"/>
  <c r="AO370" i="22" s="1"/>
  <c r="AP370" i="22" s="1"/>
  <c r="AQ370" i="22" s="1"/>
  <c r="AR370" i="22" s="1"/>
  <c r="AS370" i="22" s="1"/>
  <c r="AT370" i="22" s="1"/>
  <c r="AU370" i="22" s="1"/>
  <c r="AV370" i="22" s="1"/>
  <c r="AW370" i="22" s="1"/>
  <c r="AX370" i="22" s="1"/>
  <c r="AY370" i="22" s="1"/>
  <c r="AZ370" i="22" s="1"/>
  <c r="BA370" i="22" s="1"/>
  <c r="BB370" i="22" s="1"/>
  <c r="BC370" i="22" s="1"/>
  <c r="BD370" i="22" s="1"/>
  <c r="BE370" i="22" s="1"/>
  <c r="O362" i="22"/>
  <c r="P362" i="22" s="1"/>
  <c r="Q362" i="22" s="1"/>
  <c r="R362" i="22" s="1"/>
  <c r="S362" i="22" s="1"/>
  <c r="T362" i="22" s="1"/>
  <c r="U362" i="22" s="1"/>
  <c r="V362" i="22" s="1"/>
  <c r="W362" i="22" s="1"/>
  <c r="X362" i="22" s="1"/>
  <c r="Y362" i="22" s="1"/>
  <c r="Z362" i="22" s="1"/>
  <c r="AA362" i="22" s="1"/>
  <c r="AB362" i="22" s="1"/>
  <c r="AC362" i="22" s="1"/>
  <c r="AD362" i="22" s="1"/>
  <c r="AE362" i="22" s="1"/>
  <c r="AF362" i="22" s="1"/>
  <c r="AG362" i="22" s="1"/>
  <c r="O345" i="22"/>
  <c r="P345" i="22" s="1"/>
  <c r="Q345" i="22" s="1"/>
  <c r="R345" i="22" s="1"/>
  <c r="S345" i="22" s="1"/>
  <c r="T345" i="22" s="1"/>
  <c r="U345" i="22" s="1"/>
  <c r="V345" i="22" s="1"/>
  <c r="W345" i="22" s="1"/>
  <c r="X345" i="22" s="1"/>
  <c r="Y345" i="22" s="1"/>
  <c r="Z345" i="22" s="1"/>
  <c r="AA345" i="22" s="1"/>
  <c r="AB345" i="22" s="1"/>
  <c r="AC345" i="22" s="1"/>
  <c r="AD345" i="22" s="1"/>
  <c r="AE345" i="22" s="1"/>
  <c r="AF345" i="22" s="1"/>
  <c r="AG345" i="22" s="1"/>
  <c r="O344" i="22"/>
  <c r="P344" i="22" s="1"/>
  <c r="Q344" i="22" s="1"/>
  <c r="R344" i="22" s="1"/>
  <c r="S344" i="22" s="1"/>
  <c r="T344" i="22" s="1"/>
  <c r="U344" i="22" s="1"/>
  <c r="V344" i="22" s="1"/>
  <c r="W344" i="22" s="1"/>
  <c r="X344" i="22" s="1"/>
  <c r="Y344" i="22" s="1"/>
  <c r="Z344" i="22" s="1"/>
  <c r="AA344" i="22" s="1"/>
  <c r="AB344" i="22" s="1"/>
  <c r="AC344" i="22" s="1"/>
  <c r="AD344" i="22" s="1"/>
  <c r="AE344" i="22" s="1"/>
  <c r="AF344" i="22" s="1"/>
  <c r="AG344" i="22" s="1"/>
  <c r="AI334" i="22"/>
  <c r="AJ334" i="22" s="1"/>
  <c r="AK334" i="22" s="1"/>
  <c r="AL334" i="22" s="1"/>
  <c r="AM334" i="22" s="1"/>
  <c r="AN334" i="22" s="1"/>
  <c r="AO334" i="22" s="1"/>
  <c r="AP334" i="22" s="1"/>
  <c r="AQ334" i="22" s="1"/>
  <c r="AR334" i="22" s="1"/>
  <c r="AS334" i="22" s="1"/>
  <c r="AT334" i="22" s="1"/>
  <c r="AU334" i="22" s="1"/>
  <c r="AV334" i="22" s="1"/>
  <c r="AW334" i="22" s="1"/>
  <c r="AX334" i="22" s="1"/>
  <c r="AY334" i="22" s="1"/>
  <c r="AZ334" i="22" s="1"/>
  <c r="BA334" i="22" s="1"/>
  <c r="BB334" i="22" s="1"/>
  <c r="BC334" i="22" s="1"/>
  <c r="BD334" i="22" s="1"/>
  <c r="BE334" i="22" s="1"/>
  <c r="AI333" i="22"/>
  <c r="AJ333" i="22" s="1"/>
  <c r="AK333" i="22" s="1"/>
  <c r="AL333" i="22" s="1"/>
  <c r="AM333" i="22" s="1"/>
  <c r="AN333" i="22" s="1"/>
  <c r="AO333" i="22" s="1"/>
  <c r="AP333" i="22" s="1"/>
  <c r="AQ333" i="22" s="1"/>
  <c r="AR333" i="22" s="1"/>
  <c r="AS333" i="22" s="1"/>
  <c r="AT333" i="22" s="1"/>
  <c r="AU333" i="22" s="1"/>
  <c r="AV333" i="22" s="1"/>
  <c r="AW333" i="22" s="1"/>
  <c r="AX333" i="22" s="1"/>
  <c r="AY333" i="22" s="1"/>
  <c r="AZ333" i="22" s="1"/>
  <c r="BA333" i="22" s="1"/>
  <c r="BB333" i="22" s="1"/>
  <c r="BC333" i="22" s="1"/>
  <c r="BD333" i="22" s="1"/>
  <c r="BE333" i="22" s="1"/>
  <c r="O328" i="22"/>
  <c r="P328" i="22" s="1"/>
  <c r="Q328" i="22" s="1"/>
  <c r="R328" i="22" s="1"/>
  <c r="S328" i="22" s="1"/>
  <c r="T328" i="22" s="1"/>
  <c r="U328" i="22" s="1"/>
  <c r="V328" i="22" s="1"/>
  <c r="W328" i="22" s="1"/>
  <c r="X328" i="22" s="1"/>
  <c r="Y328" i="22" s="1"/>
  <c r="Z328" i="22" s="1"/>
  <c r="AA328" i="22" s="1"/>
  <c r="AB328" i="22" s="1"/>
  <c r="AC328" i="22" s="1"/>
  <c r="AD328" i="22" s="1"/>
  <c r="AE328" i="22" s="1"/>
  <c r="AF328" i="22" s="1"/>
  <c r="AG328" i="22" s="1"/>
  <c r="AI317" i="22"/>
  <c r="AJ317" i="22" s="1"/>
  <c r="AK317" i="22" s="1"/>
  <c r="AL317" i="22" s="1"/>
  <c r="AM317" i="22" s="1"/>
  <c r="AN317" i="22" s="1"/>
  <c r="AO317" i="22" s="1"/>
  <c r="AP317" i="22" s="1"/>
  <c r="AQ317" i="22" s="1"/>
  <c r="AR317" i="22" s="1"/>
  <c r="AS317" i="22" s="1"/>
  <c r="AT317" i="22" s="1"/>
  <c r="AU317" i="22" s="1"/>
  <c r="AV317" i="22" s="1"/>
  <c r="AW317" i="22" s="1"/>
  <c r="AX317" i="22" s="1"/>
  <c r="AY317" i="22" s="1"/>
  <c r="AZ317" i="22" s="1"/>
  <c r="BA317" i="22" s="1"/>
  <c r="BB317" i="22" s="1"/>
  <c r="BC317" i="22" s="1"/>
  <c r="BD317" i="22" s="1"/>
  <c r="BE317" i="22" s="1"/>
  <c r="O311" i="22"/>
  <c r="P311" i="22" s="1"/>
  <c r="Q311" i="22" s="1"/>
  <c r="R311" i="22" s="1"/>
  <c r="S311" i="22" s="1"/>
  <c r="T311" i="22" s="1"/>
  <c r="U311" i="22" s="1"/>
  <c r="V311" i="22" s="1"/>
  <c r="W311" i="22" s="1"/>
  <c r="X311" i="22" s="1"/>
  <c r="Y311" i="22" s="1"/>
  <c r="Z311" i="22" s="1"/>
  <c r="AA311" i="22" s="1"/>
  <c r="AB311" i="22" s="1"/>
  <c r="AC311" i="22" s="1"/>
  <c r="AD311" i="22" s="1"/>
  <c r="AE311" i="22" s="1"/>
  <c r="AF311" i="22" s="1"/>
  <c r="AG311" i="22" s="1"/>
  <c r="O302" i="22"/>
  <c r="P302" i="22" s="1"/>
  <c r="Q302" i="22" s="1"/>
  <c r="R302" i="22" s="1"/>
  <c r="S302" i="22" s="1"/>
  <c r="T302" i="22" s="1"/>
  <c r="U302" i="22" s="1"/>
  <c r="V302" i="22" s="1"/>
  <c r="W302" i="22" s="1"/>
  <c r="X302" i="22" s="1"/>
  <c r="Y302" i="22" s="1"/>
  <c r="Z302" i="22" s="1"/>
  <c r="AA302" i="22" s="1"/>
  <c r="AB302" i="22" s="1"/>
  <c r="AC302" i="22" s="1"/>
  <c r="AD302" i="22" s="1"/>
  <c r="AE302" i="22" s="1"/>
  <c r="AF302" i="22" s="1"/>
  <c r="AG302" i="22" s="1"/>
  <c r="O290" i="22"/>
  <c r="P290" i="22" s="1"/>
  <c r="Q290" i="22" s="1"/>
  <c r="R290" i="22" s="1"/>
  <c r="S290" i="22" s="1"/>
  <c r="T290" i="22" s="1"/>
  <c r="U290" i="22" s="1"/>
  <c r="V290" i="22" s="1"/>
  <c r="W290" i="22" s="1"/>
  <c r="X290" i="22" s="1"/>
  <c r="Y290" i="22" s="1"/>
  <c r="Z290" i="22" s="1"/>
  <c r="AA290" i="22" s="1"/>
  <c r="AB290" i="22" s="1"/>
  <c r="AC290" i="22" s="1"/>
  <c r="AD290" i="22" s="1"/>
  <c r="AE290" i="22" s="1"/>
  <c r="AF290" i="22" s="1"/>
  <c r="AG290" i="22" s="1"/>
  <c r="AI288" i="22"/>
  <c r="AJ288" i="22" s="1"/>
  <c r="AK288" i="22" s="1"/>
  <c r="AL288" i="22" s="1"/>
  <c r="AM288" i="22" s="1"/>
  <c r="AN288" i="22" s="1"/>
  <c r="AO288" i="22" s="1"/>
  <c r="AP288" i="22" s="1"/>
  <c r="AQ288" i="22" s="1"/>
  <c r="AR288" i="22" s="1"/>
  <c r="AS288" i="22" s="1"/>
  <c r="AT288" i="22" s="1"/>
  <c r="AU288" i="22" s="1"/>
  <c r="AV288" i="22" s="1"/>
  <c r="AW288" i="22" s="1"/>
  <c r="AX288" i="22" s="1"/>
  <c r="AY288" i="22" s="1"/>
  <c r="AZ288" i="22" s="1"/>
  <c r="BA288" i="22" s="1"/>
  <c r="BB288" i="22" s="1"/>
  <c r="BC288" i="22" s="1"/>
  <c r="BD288" i="22" s="1"/>
  <c r="BE288" i="22" s="1"/>
  <c r="AI524" i="22"/>
  <c r="AJ524" i="22" s="1"/>
  <c r="AK524" i="22" s="1"/>
  <c r="AL524" i="22" s="1"/>
  <c r="AM524" i="22" s="1"/>
  <c r="AN524" i="22" s="1"/>
  <c r="AO524" i="22" s="1"/>
  <c r="AP524" i="22" s="1"/>
  <c r="AQ524" i="22" s="1"/>
  <c r="AR524" i="22" s="1"/>
  <c r="AS524" i="22" s="1"/>
  <c r="AT524" i="22" s="1"/>
  <c r="AU524" i="22" s="1"/>
  <c r="AV524" i="22" s="1"/>
  <c r="AW524" i="22" s="1"/>
  <c r="AX524" i="22" s="1"/>
  <c r="AY524" i="22" s="1"/>
  <c r="AZ524" i="22" s="1"/>
  <c r="BA524" i="22" s="1"/>
  <c r="BB524" i="22" s="1"/>
  <c r="BC524" i="22" s="1"/>
  <c r="BD524" i="22" s="1"/>
  <c r="BE524" i="22" s="1"/>
  <c r="O435" i="22"/>
  <c r="P435" i="22" s="1"/>
  <c r="Q435" i="22" s="1"/>
  <c r="R435" i="22" s="1"/>
  <c r="S435" i="22" s="1"/>
  <c r="T435" i="22" s="1"/>
  <c r="U435" i="22" s="1"/>
  <c r="V435" i="22" s="1"/>
  <c r="W435" i="22" s="1"/>
  <c r="X435" i="22" s="1"/>
  <c r="Y435" i="22" s="1"/>
  <c r="Z435" i="22" s="1"/>
  <c r="AA435" i="22" s="1"/>
  <c r="AB435" i="22" s="1"/>
  <c r="AC435" i="22" s="1"/>
  <c r="AD435" i="22" s="1"/>
  <c r="AE435" i="22" s="1"/>
  <c r="AF435" i="22" s="1"/>
  <c r="AG435" i="22" s="1"/>
  <c r="AI430" i="22"/>
  <c r="AJ430" i="22" s="1"/>
  <c r="AK430" i="22" s="1"/>
  <c r="AL430" i="22" s="1"/>
  <c r="AM430" i="22" s="1"/>
  <c r="AN430" i="22" s="1"/>
  <c r="AO430" i="22" s="1"/>
  <c r="AP430" i="22" s="1"/>
  <c r="AQ430" i="22" s="1"/>
  <c r="AR430" i="22" s="1"/>
  <c r="AS430" i="22" s="1"/>
  <c r="AT430" i="22" s="1"/>
  <c r="AU430" i="22" s="1"/>
  <c r="AV430" i="22" s="1"/>
  <c r="AW430" i="22" s="1"/>
  <c r="AX430" i="22" s="1"/>
  <c r="AY430" i="22" s="1"/>
  <c r="AZ430" i="22" s="1"/>
  <c r="BA430" i="22" s="1"/>
  <c r="BB430" i="22" s="1"/>
  <c r="BC430" i="22" s="1"/>
  <c r="BD430" i="22" s="1"/>
  <c r="BE430" i="22" s="1"/>
  <c r="O427" i="22"/>
  <c r="P427" i="22" s="1"/>
  <c r="Q427" i="22" s="1"/>
  <c r="R427" i="22" s="1"/>
  <c r="S427" i="22" s="1"/>
  <c r="T427" i="22" s="1"/>
  <c r="U427" i="22" s="1"/>
  <c r="V427" i="22" s="1"/>
  <c r="W427" i="22" s="1"/>
  <c r="X427" i="22" s="1"/>
  <c r="Y427" i="22" s="1"/>
  <c r="Z427" i="22" s="1"/>
  <c r="AA427" i="22" s="1"/>
  <c r="AB427" i="22" s="1"/>
  <c r="AC427" i="22" s="1"/>
  <c r="AD427" i="22" s="1"/>
  <c r="AE427" i="22" s="1"/>
  <c r="AF427" i="22" s="1"/>
  <c r="AG427" i="22" s="1"/>
  <c r="O422" i="22"/>
  <c r="P422" i="22" s="1"/>
  <c r="Q422" i="22" s="1"/>
  <c r="R422" i="22" s="1"/>
  <c r="S422" i="22" s="1"/>
  <c r="T422" i="22" s="1"/>
  <c r="U422" i="22" s="1"/>
  <c r="V422" i="22" s="1"/>
  <c r="W422" i="22" s="1"/>
  <c r="X422" i="22" s="1"/>
  <c r="Y422" i="22" s="1"/>
  <c r="Z422" i="22" s="1"/>
  <c r="AA422" i="22" s="1"/>
  <c r="AB422" i="22" s="1"/>
  <c r="AC422" i="22" s="1"/>
  <c r="AD422" i="22" s="1"/>
  <c r="AE422" i="22" s="1"/>
  <c r="AF422" i="22" s="1"/>
  <c r="AG422" i="22" s="1"/>
  <c r="O596" i="22"/>
  <c r="P596" i="22" s="1"/>
  <c r="Q596" i="22" s="1"/>
  <c r="R596" i="22" s="1"/>
  <c r="S596" i="22" s="1"/>
  <c r="T596" i="22" s="1"/>
  <c r="U596" i="22" s="1"/>
  <c r="V596" i="22" s="1"/>
  <c r="W596" i="22" s="1"/>
  <c r="X596" i="22" s="1"/>
  <c r="Y596" i="22" s="1"/>
  <c r="Z596" i="22" s="1"/>
  <c r="AA596" i="22" s="1"/>
  <c r="AB596" i="22" s="1"/>
  <c r="AC596" i="22" s="1"/>
  <c r="AD596" i="22" s="1"/>
  <c r="AE596" i="22" s="1"/>
  <c r="AF596" i="22" s="1"/>
  <c r="AG596" i="22" s="1"/>
  <c r="O490" i="22"/>
  <c r="P490" i="22" s="1"/>
  <c r="Q490" i="22" s="1"/>
  <c r="R490" i="22" s="1"/>
  <c r="S490" i="22" s="1"/>
  <c r="T490" i="22" s="1"/>
  <c r="U490" i="22" s="1"/>
  <c r="V490" i="22" s="1"/>
  <c r="W490" i="22" s="1"/>
  <c r="X490" i="22" s="1"/>
  <c r="Y490" i="22" s="1"/>
  <c r="Z490" i="22" s="1"/>
  <c r="AA490" i="22" s="1"/>
  <c r="AB490" i="22" s="1"/>
  <c r="AC490" i="22" s="1"/>
  <c r="AD490" i="22" s="1"/>
  <c r="AE490" i="22" s="1"/>
  <c r="AF490" i="22" s="1"/>
  <c r="AG490" i="22" s="1"/>
  <c r="O473" i="22"/>
  <c r="P473" i="22" s="1"/>
  <c r="Q473" i="22" s="1"/>
  <c r="R473" i="22" s="1"/>
  <c r="S473" i="22" s="1"/>
  <c r="T473" i="22" s="1"/>
  <c r="U473" i="22" s="1"/>
  <c r="V473" i="22" s="1"/>
  <c r="W473" i="22" s="1"/>
  <c r="X473" i="22" s="1"/>
  <c r="Y473" i="22" s="1"/>
  <c r="Z473" i="22" s="1"/>
  <c r="AA473" i="22" s="1"/>
  <c r="AB473" i="22" s="1"/>
  <c r="AC473" i="22" s="1"/>
  <c r="AD473" i="22" s="1"/>
  <c r="AE473" i="22" s="1"/>
  <c r="AF473" i="22" s="1"/>
  <c r="AG473" i="22" s="1"/>
  <c r="AI457" i="22"/>
  <c r="AJ457" i="22" s="1"/>
  <c r="AK457" i="22" s="1"/>
  <c r="AL457" i="22" s="1"/>
  <c r="AM457" i="22" s="1"/>
  <c r="AN457" i="22" s="1"/>
  <c r="AO457" i="22" s="1"/>
  <c r="AP457" i="22" s="1"/>
  <c r="AQ457" i="22" s="1"/>
  <c r="AR457" i="22" s="1"/>
  <c r="AS457" i="22" s="1"/>
  <c r="AT457" i="22" s="1"/>
  <c r="AU457" i="22" s="1"/>
  <c r="AV457" i="22" s="1"/>
  <c r="AW457" i="22" s="1"/>
  <c r="AX457" i="22" s="1"/>
  <c r="AY457" i="22" s="1"/>
  <c r="AZ457" i="22" s="1"/>
  <c r="BA457" i="22" s="1"/>
  <c r="BB457" i="22" s="1"/>
  <c r="BC457" i="22" s="1"/>
  <c r="BD457" i="22" s="1"/>
  <c r="BE457" i="22" s="1"/>
  <c r="O445" i="22"/>
  <c r="P445" i="22" s="1"/>
  <c r="Q445" i="22" s="1"/>
  <c r="R445" i="22" s="1"/>
  <c r="S445" i="22" s="1"/>
  <c r="T445" i="22" s="1"/>
  <c r="U445" i="22" s="1"/>
  <c r="V445" i="22" s="1"/>
  <c r="W445" i="22" s="1"/>
  <c r="X445" i="22" s="1"/>
  <c r="Y445" i="22" s="1"/>
  <c r="Z445" i="22" s="1"/>
  <c r="AA445" i="22" s="1"/>
  <c r="AB445" i="22" s="1"/>
  <c r="AC445" i="22" s="1"/>
  <c r="AD445" i="22" s="1"/>
  <c r="AE445" i="22" s="1"/>
  <c r="AF445" i="22" s="1"/>
  <c r="AG445" i="22" s="1"/>
  <c r="O429" i="22"/>
  <c r="P429" i="22" s="1"/>
  <c r="Q429" i="22" s="1"/>
  <c r="R429" i="22" s="1"/>
  <c r="S429" i="22" s="1"/>
  <c r="T429" i="22" s="1"/>
  <c r="U429" i="22" s="1"/>
  <c r="V429" i="22" s="1"/>
  <c r="W429" i="22" s="1"/>
  <c r="X429" i="22" s="1"/>
  <c r="Y429" i="22" s="1"/>
  <c r="Z429" i="22" s="1"/>
  <c r="AA429" i="22" s="1"/>
  <c r="AB429" i="22" s="1"/>
  <c r="AC429" i="22" s="1"/>
  <c r="AD429" i="22" s="1"/>
  <c r="AE429" i="22" s="1"/>
  <c r="AF429" i="22" s="1"/>
  <c r="AG429" i="22" s="1"/>
  <c r="AI428" i="22"/>
  <c r="AJ428" i="22" s="1"/>
  <c r="AK428" i="22" s="1"/>
  <c r="AL428" i="22" s="1"/>
  <c r="AM428" i="22" s="1"/>
  <c r="AN428" i="22" s="1"/>
  <c r="AO428" i="22" s="1"/>
  <c r="AP428" i="22" s="1"/>
  <c r="AQ428" i="22" s="1"/>
  <c r="AR428" i="22" s="1"/>
  <c r="AS428" i="22" s="1"/>
  <c r="AT428" i="22" s="1"/>
  <c r="AU428" i="22" s="1"/>
  <c r="AV428" i="22" s="1"/>
  <c r="AW428" i="22" s="1"/>
  <c r="AX428" i="22" s="1"/>
  <c r="AY428" i="22" s="1"/>
  <c r="AZ428" i="22" s="1"/>
  <c r="BA428" i="22" s="1"/>
  <c r="BB428" i="22" s="1"/>
  <c r="BC428" i="22" s="1"/>
  <c r="BD428" i="22" s="1"/>
  <c r="BE428" i="22" s="1"/>
  <c r="AI427" i="22"/>
  <c r="AJ427" i="22" s="1"/>
  <c r="AK427" i="22" s="1"/>
  <c r="AL427" i="22" s="1"/>
  <c r="AM427" i="22" s="1"/>
  <c r="AN427" i="22" s="1"/>
  <c r="AO427" i="22" s="1"/>
  <c r="AP427" i="22" s="1"/>
  <c r="AQ427" i="22" s="1"/>
  <c r="AR427" i="22" s="1"/>
  <c r="AS427" i="22" s="1"/>
  <c r="AT427" i="22" s="1"/>
  <c r="AU427" i="22" s="1"/>
  <c r="AV427" i="22" s="1"/>
  <c r="AW427" i="22" s="1"/>
  <c r="AX427" i="22" s="1"/>
  <c r="AY427" i="22" s="1"/>
  <c r="AZ427" i="22" s="1"/>
  <c r="BA427" i="22" s="1"/>
  <c r="BB427" i="22" s="1"/>
  <c r="BC427" i="22" s="1"/>
  <c r="BD427" i="22" s="1"/>
  <c r="BE427" i="22" s="1"/>
  <c r="AI422" i="22"/>
  <c r="AJ422" i="22" s="1"/>
  <c r="AK422" i="22" s="1"/>
  <c r="AL422" i="22" s="1"/>
  <c r="AM422" i="22" s="1"/>
  <c r="AN422" i="22" s="1"/>
  <c r="AO422" i="22" s="1"/>
  <c r="AP422" i="22" s="1"/>
  <c r="AQ422" i="22" s="1"/>
  <c r="AR422" i="22" s="1"/>
  <c r="AS422" i="22" s="1"/>
  <c r="AT422" i="22" s="1"/>
  <c r="AU422" i="22" s="1"/>
  <c r="AV422" i="22" s="1"/>
  <c r="AW422" i="22" s="1"/>
  <c r="AX422" i="22" s="1"/>
  <c r="AY422" i="22" s="1"/>
  <c r="AZ422" i="22" s="1"/>
  <c r="BA422" i="22" s="1"/>
  <c r="BB422" i="22" s="1"/>
  <c r="BC422" i="22" s="1"/>
  <c r="BD422" i="22" s="1"/>
  <c r="BE422" i="22" s="1"/>
  <c r="AI417" i="22"/>
  <c r="AJ417" i="22" s="1"/>
  <c r="AK417" i="22" s="1"/>
  <c r="AL417" i="22" s="1"/>
  <c r="AM417" i="22" s="1"/>
  <c r="AN417" i="22" s="1"/>
  <c r="AO417" i="22" s="1"/>
  <c r="AP417" i="22" s="1"/>
  <c r="AQ417" i="22" s="1"/>
  <c r="AR417" i="22" s="1"/>
  <c r="AS417" i="22" s="1"/>
  <c r="AT417" i="22" s="1"/>
  <c r="AU417" i="22" s="1"/>
  <c r="AV417" i="22" s="1"/>
  <c r="AW417" i="22" s="1"/>
  <c r="AX417" i="22" s="1"/>
  <c r="AY417" i="22" s="1"/>
  <c r="AZ417" i="22" s="1"/>
  <c r="BA417" i="22" s="1"/>
  <c r="BB417" i="22" s="1"/>
  <c r="BC417" i="22" s="1"/>
  <c r="BD417" i="22" s="1"/>
  <c r="BE417" i="22" s="1"/>
  <c r="O407" i="22"/>
  <c r="P407" i="22" s="1"/>
  <c r="Q407" i="22" s="1"/>
  <c r="R407" i="22" s="1"/>
  <c r="S407" i="22" s="1"/>
  <c r="T407" i="22" s="1"/>
  <c r="U407" i="22" s="1"/>
  <c r="V407" i="22" s="1"/>
  <c r="W407" i="22" s="1"/>
  <c r="X407" i="22" s="1"/>
  <c r="Y407" i="22" s="1"/>
  <c r="Z407" i="22" s="1"/>
  <c r="AA407" i="22" s="1"/>
  <c r="AB407" i="22" s="1"/>
  <c r="AC407" i="22" s="1"/>
  <c r="AD407" i="22" s="1"/>
  <c r="AE407" i="22" s="1"/>
  <c r="AF407" i="22" s="1"/>
  <c r="AG407" i="22" s="1"/>
  <c r="O402" i="22"/>
  <c r="P402" i="22" s="1"/>
  <c r="Q402" i="22" s="1"/>
  <c r="R402" i="22" s="1"/>
  <c r="S402" i="22" s="1"/>
  <c r="T402" i="22" s="1"/>
  <c r="U402" i="22" s="1"/>
  <c r="V402" i="22" s="1"/>
  <c r="W402" i="22" s="1"/>
  <c r="X402" i="22" s="1"/>
  <c r="Y402" i="22" s="1"/>
  <c r="Z402" i="22" s="1"/>
  <c r="AA402" i="22" s="1"/>
  <c r="AB402" i="22" s="1"/>
  <c r="AC402" i="22" s="1"/>
  <c r="AD402" i="22" s="1"/>
  <c r="AE402" i="22" s="1"/>
  <c r="AF402" i="22" s="1"/>
  <c r="AG402" i="22" s="1"/>
  <c r="O401" i="22"/>
  <c r="P401" i="22" s="1"/>
  <c r="Q401" i="22" s="1"/>
  <c r="R401" i="22" s="1"/>
  <c r="S401" i="22" s="1"/>
  <c r="T401" i="22" s="1"/>
  <c r="U401" i="22" s="1"/>
  <c r="V401" i="22" s="1"/>
  <c r="W401" i="22" s="1"/>
  <c r="X401" i="22" s="1"/>
  <c r="Y401" i="22" s="1"/>
  <c r="Z401" i="22" s="1"/>
  <c r="AA401" i="22" s="1"/>
  <c r="AB401" i="22" s="1"/>
  <c r="AC401" i="22" s="1"/>
  <c r="AD401" i="22" s="1"/>
  <c r="AE401" i="22" s="1"/>
  <c r="AF401" i="22" s="1"/>
  <c r="AG401" i="22" s="1"/>
  <c r="AI391" i="22"/>
  <c r="AJ391" i="22" s="1"/>
  <c r="AK391" i="22" s="1"/>
  <c r="AL391" i="22" s="1"/>
  <c r="AM391" i="22" s="1"/>
  <c r="AN391" i="22" s="1"/>
  <c r="AO391" i="22" s="1"/>
  <c r="AP391" i="22" s="1"/>
  <c r="AQ391" i="22" s="1"/>
  <c r="AR391" i="22" s="1"/>
  <c r="AS391" i="22" s="1"/>
  <c r="AT391" i="22" s="1"/>
  <c r="AU391" i="22" s="1"/>
  <c r="AV391" i="22" s="1"/>
  <c r="AW391" i="22" s="1"/>
  <c r="AX391" i="22" s="1"/>
  <c r="AY391" i="22" s="1"/>
  <c r="AZ391" i="22" s="1"/>
  <c r="BA391" i="22" s="1"/>
  <c r="BB391" i="22" s="1"/>
  <c r="BC391" i="22" s="1"/>
  <c r="BD391" i="22" s="1"/>
  <c r="BE391" i="22" s="1"/>
  <c r="AI390" i="22"/>
  <c r="AJ390" i="22" s="1"/>
  <c r="AK390" i="22" s="1"/>
  <c r="AL390" i="22" s="1"/>
  <c r="AM390" i="22" s="1"/>
  <c r="AN390" i="22" s="1"/>
  <c r="AO390" i="22" s="1"/>
  <c r="AP390" i="22" s="1"/>
  <c r="AQ390" i="22" s="1"/>
  <c r="AR390" i="22" s="1"/>
  <c r="AS390" i="22" s="1"/>
  <c r="AT390" i="22" s="1"/>
  <c r="AU390" i="22" s="1"/>
  <c r="AV390" i="22" s="1"/>
  <c r="AW390" i="22" s="1"/>
  <c r="AX390" i="22" s="1"/>
  <c r="AY390" i="22" s="1"/>
  <c r="AZ390" i="22" s="1"/>
  <c r="BA390" i="22" s="1"/>
  <c r="BB390" i="22" s="1"/>
  <c r="BC390" i="22" s="1"/>
  <c r="BD390" i="22" s="1"/>
  <c r="BE390" i="22" s="1"/>
  <c r="O365" i="22"/>
  <c r="P365" i="22" s="1"/>
  <c r="Q365" i="22" s="1"/>
  <c r="R365" i="22" s="1"/>
  <c r="S365" i="22" s="1"/>
  <c r="T365" i="22" s="1"/>
  <c r="U365" i="22" s="1"/>
  <c r="V365" i="22" s="1"/>
  <c r="W365" i="22" s="1"/>
  <c r="X365" i="22" s="1"/>
  <c r="Y365" i="22" s="1"/>
  <c r="Z365" i="22" s="1"/>
  <c r="AA365" i="22" s="1"/>
  <c r="AB365" i="22" s="1"/>
  <c r="AC365" i="22" s="1"/>
  <c r="AD365" i="22" s="1"/>
  <c r="AE365" i="22" s="1"/>
  <c r="AF365" i="22" s="1"/>
  <c r="AG365" i="22" s="1"/>
  <c r="O364" i="22"/>
  <c r="P364" i="22" s="1"/>
  <c r="Q364" i="22" s="1"/>
  <c r="R364" i="22" s="1"/>
  <c r="S364" i="22" s="1"/>
  <c r="T364" i="22" s="1"/>
  <c r="U364" i="22" s="1"/>
  <c r="V364" i="22" s="1"/>
  <c r="W364" i="22" s="1"/>
  <c r="X364" i="22" s="1"/>
  <c r="Y364" i="22" s="1"/>
  <c r="Z364" i="22" s="1"/>
  <c r="AA364" i="22" s="1"/>
  <c r="AB364" i="22" s="1"/>
  <c r="AC364" i="22" s="1"/>
  <c r="AD364" i="22" s="1"/>
  <c r="AE364" i="22" s="1"/>
  <c r="AF364" i="22" s="1"/>
  <c r="AG364" i="22" s="1"/>
  <c r="AI536" i="22"/>
  <c r="AJ536" i="22" s="1"/>
  <c r="AK536" i="22" s="1"/>
  <c r="AL536" i="22" s="1"/>
  <c r="AM536" i="22" s="1"/>
  <c r="AN536" i="22" s="1"/>
  <c r="AO536" i="22" s="1"/>
  <c r="AP536" i="22" s="1"/>
  <c r="AQ536" i="22" s="1"/>
  <c r="AR536" i="22" s="1"/>
  <c r="AS536" i="22" s="1"/>
  <c r="AT536" i="22" s="1"/>
  <c r="AU536" i="22" s="1"/>
  <c r="AV536" i="22" s="1"/>
  <c r="AW536" i="22" s="1"/>
  <c r="AX536" i="22" s="1"/>
  <c r="AY536" i="22" s="1"/>
  <c r="AZ536" i="22" s="1"/>
  <c r="BA536" i="22" s="1"/>
  <c r="BB536" i="22" s="1"/>
  <c r="BC536" i="22" s="1"/>
  <c r="BD536" i="22" s="1"/>
  <c r="BE536" i="22" s="1"/>
  <c r="AI520" i="22"/>
  <c r="AJ520" i="22" s="1"/>
  <c r="AK520" i="22" s="1"/>
  <c r="AL520" i="22" s="1"/>
  <c r="AM520" i="22" s="1"/>
  <c r="AN520" i="22" s="1"/>
  <c r="AO520" i="22" s="1"/>
  <c r="AP520" i="22" s="1"/>
  <c r="AQ520" i="22" s="1"/>
  <c r="AR520" i="22" s="1"/>
  <c r="AS520" i="22" s="1"/>
  <c r="AT520" i="22" s="1"/>
  <c r="AU520" i="22" s="1"/>
  <c r="AV520" i="22" s="1"/>
  <c r="AW520" i="22" s="1"/>
  <c r="AX520" i="22" s="1"/>
  <c r="AY520" i="22" s="1"/>
  <c r="AZ520" i="22" s="1"/>
  <c r="BA520" i="22" s="1"/>
  <c r="BB520" i="22" s="1"/>
  <c r="BC520" i="22" s="1"/>
  <c r="BD520" i="22" s="1"/>
  <c r="BE520" i="22" s="1"/>
  <c r="O617" i="22"/>
  <c r="P617" i="22" s="1"/>
  <c r="Q617" i="22" s="1"/>
  <c r="R617" i="22" s="1"/>
  <c r="S617" i="22" s="1"/>
  <c r="T617" i="22" s="1"/>
  <c r="U617" i="22" s="1"/>
  <c r="V617" i="22" s="1"/>
  <c r="W617" i="22" s="1"/>
  <c r="X617" i="22" s="1"/>
  <c r="Y617" i="22" s="1"/>
  <c r="Z617" i="22" s="1"/>
  <c r="AA617" i="22" s="1"/>
  <c r="AB617" i="22" s="1"/>
  <c r="AC617" i="22" s="1"/>
  <c r="AD617" i="22" s="1"/>
  <c r="AE617" i="22" s="1"/>
  <c r="AF617" i="22" s="1"/>
  <c r="AG617" i="22" s="1"/>
  <c r="O489" i="22"/>
  <c r="P489" i="22" s="1"/>
  <c r="Q489" i="22" s="1"/>
  <c r="R489" i="22" s="1"/>
  <c r="S489" i="22" s="1"/>
  <c r="T489" i="22" s="1"/>
  <c r="U489" i="22" s="1"/>
  <c r="V489" i="22" s="1"/>
  <c r="W489" i="22" s="1"/>
  <c r="X489" i="22" s="1"/>
  <c r="Y489" i="22" s="1"/>
  <c r="Z489" i="22" s="1"/>
  <c r="AA489" i="22" s="1"/>
  <c r="AB489" i="22" s="1"/>
  <c r="AC489" i="22" s="1"/>
  <c r="AD489" i="22" s="1"/>
  <c r="AE489" i="22" s="1"/>
  <c r="AF489" i="22" s="1"/>
  <c r="AG489" i="22" s="1"/>
  <c r="O420" i="22"/>
  <c r="P420" i="22" s="1"/>
  <c r="Q420" i="22" s="1"/>
  <c r="R420" i="22" s="1"/>
  <c r="S420" i="22" s="1"/>
  <c r="T420" i="22" s="1"/>
  <c r="U420" i="22" s="1"/>
  <c r="V420" i="22" s="1"/>
  <c r="W420" i="22" s="1"/>
  <c r="X420" i="22" s="1"/>
  <c r="Y420" i="22" s="1"/>
  <c r="Z420" i="22" s="1"/>
  <c r="AA420" i="22" s="1"/>
  <c r="AB420" i="22" s="1"/>
  <c r="AC420" i="22" s="1"/>
  <c r="AD420" i="22" s="1"/>
  <c r="AE420" i="22" s="1"/>
  <c r="AF420" i="22" s="1"/>
  <c r="AG420" i="22" s="1"/>
  <c r="AI380" i="22"/>
  <c r="AJ380" i="22" s="1"/>
  <c r="AK380" i="22" s="1"/>
  <c r="AL380" i="22" s="1"/>
  <c r="AM380" i="22" s="1"/>
  <c r="AN380" i="22" s="1"/>
  <c r="AO380" i="22" s="1"/>
  <c r="AP380" i="22" s="1"/>
  <c r="AQ380" i="22" s="1"/>
  <c r="AR380" i="22" s="1"/>
  <c r="AS380" i="22" s="1"/>
  <c r="AT380" i="22" s="1"/>
  <c r="AU380" i="22" s="1"/>
  <c r="AV380" i="22" s="1"/>
  <c r="AW380" i="22" s="1"/>
  <c r="AX380" i="22" s="1"/>
  <c r="AY380" i="22" s="1"/>
  <c r="AZ380" i="22" s="1"/>
  <c r="BA380" i="22" s="1"/>
  <c r="BB380" i="22" s="1"/>
  <c r="BC380" i="22" s="1"/>
  <c r="BD380" i="22" s="1"/>
  <c r="BE380" i="22" s="1"/>
  <c r="O375" i="22"/>
  <c r="P375" i="22" s="1"/>
  <c r="Q375" i="22" s="1"/>
  <c r="R375" i="22" s="1"/>
  <c r="S375" i="22" s="1"/>
  <c r="T375" i="22" s="1"/>
  <c r="U375" i="22" s="1"/>
  <c r="V375" i="22" s="1"/>
  <c r="W375" i="22" s="1"/>
  <c r="X375" i="22" s="1"/>
  <c r="Y375" i="22" s="1"/>
  <c r="Z375" i="22" s="1"/>
  <c r="AA375" i="22" s="1"/>
  <c r="AB375" i="22" s="1"/>
  <c r="AC375" i="22" s="1"/>
  <c r="AD375" i="22" s="1"/>
  <c r="AE375" i="22" s="1"/>
  <c r="AF375" i="22" s="1"/>
  <c r="AG375" i="22" s="1"/>
  <c r="O525" i="22"/>
  <c r="P525" i="22" s="1"/>
  <c r="Q525" i="22" s="1"/>
  <c r="R525" i="22" s="1"/>
  <c r="S525" i="22" s="1"/>
  <c r="T525" i="22" s="1"/>
  <c r="U525" i="22" s="1"/>
  <c r="V525" i="22" s="1"/>
  <c r="W525" i="22" s="1"/>
  <c r="X525" i="22" s="1"/>
  <c r="Y525" i="22" s="1"/>
  <c r="Z525" i="22" s="1"/>
  <c r="AA525" i="22" s="1"/>
  <c r="AB525" i="22" s="1"/>
  <c r="AC525" i="22" s="1"/>
  <c r="AD525" i="22" s="1"/>
  <c r="AE525" i="22" s="1"/>
  <c r="AF525" i="22" s="1"/>
  <c r="AG525" i="22" s="1"/>
  <c r="AI412" i="22"/>
  <c r="AJ412" i="22" s="1"/>
  <c r="AK412" i="22" s="1"/>
  <c r="AL412" i="22" s="1"/>
  <c r="AM412" i="22" s="1"/>
  <c r="AN412" i="22" s="1"/>
  <c r="AO412" i="22" s="1"/>
  <c r="AP412" i="22" s="1"/>
  <c r="AQ412" i="22" s="1"/>
  <c r="AR412" i="22" s="1"/>
  <c r="AS412" i="22" s="1"/>
  <c r="AT412" i="22" s="1"/>
  <c r="AU412" i="22" s="1"/>
  <c r="AV412" i="22" s="1"/>
  <c r="AW412" i="22" s="1"/>
  <c r="AX412" i="22" s="1"/>
  <c r="AY412" i="22" s="1"/>
  <c r="AZ412" i="22" s="1"/>
  <c r="BA412" i="22" s="1"/>
  <c r="BB412" i="22" s="1"/>
  <c r="BC412" i="22" s="1"/>
  <c r="BD412" i="22" s="1"/>
  <c r="BE412" i="22" s="1"/>
  <c r="AI399" i="22"/>
  <c r="AJ399" i="22" s="1"/>
  <c r="AK399" i="22" s="1"/>
  <c r="AL399" i="22" s="1"/>
  <c r="AM399" i="22" s="1"/>
  <c r="AN399" i="22" s="1"/>
  <c r="AO399" i="22" s="1"/>
  <c r="AP399" i="22" s="1"/>
  <c r="AQ399" i="22" s="1"/>
  <c r="AR399" i="22" s="1"/>
  <c r="AS399" i="22" s="1"/>
  <c r="AT399" i="22" s="1"/>
  <c r="AU399" i="22" s="1"/>
  <c r="AV399" i="22" s="1"/>
  <c r="AW399" i="22" s="1"/>
  <c r="AX399" i="22" s="1"/>
  <c r="AY399" i="22" s="1"/>
  <c r="AZ399" i="22" s="1"/>
  <c r="BA399" i="22" s="1"/>
  <c r="BB399" i="22" s="1"/>
  <c r="BC399" i="22" s="1"/>
  <c r="BD399" i="22" s="1"/>
  <c r="BE399" i="22" s="1"/>
  <c r="AI394" i="22"/>
  <c r="AJ394" i="22" s="1"/>
  <c r="AK394" i="22" s="1"/>
  <c r="AL394" i="22" s="1"/>
  <c r="AM394" i="22" s="1"/>
  <c r="AN394" i="22" s="1"/>
  <c r="AO394" i="22" s="1"/>
  <c r="AP394" i="22" s="1"/>
  <c r="AQ394" i="22" s="1"/>
  <c r="AR394" i="22" s="1"/>
  <c r="AS394" i="22" s="1"/>
  <c r="AT394" i="22" s="1"/>
  <c r="AU394" i="22" s="1"/>
  <c r="AV394" i="22" s="1"/>
  <c r="AW394" i="22" s="1"/>
  <c r="AX394" i="22" s="1"/>
  <c r="AY394" i="22" s="1"/>
  <c r="AZ394" i="22" s="1"/>
  <c r="BA394" i="22" s="1"/>
  <c r="BB394" i="22" s="1"/>
  <c r="BC394" i="22" s="1"/>
  <c r="BD394" i="22" s="1"/>
  <c r="BE394" i="22" s="1"/>
  <c r="O394" i="22"/>
  <c r="P394" i="22" s="1"/>
  <c r="Q394" i="22" s="1"/>
  <c r="R394" i="22" s="1"/>
  <c r="S394" i="22" s="1"/>
  <c r="T394" i="22" s="1"/>
  <c r="U394" i="22" s="1"/>
  <c r="V394" i="22" s="1"/>
  <c r="W394" i="22" s="1"/>
  <c r="X394" i="22" s="1"/>
  <c r="Y394" i="22" s="1"/>
  <c r="Z394" i="22" s="1"/>
  <c r="AA394" i="22" s="1"/>
  <c r="AB394" i="22" s="1"/>
  <c r="AC394" i="22" s="1"/>
  <c r="AD394" i="22" s="1"/>
  <c r="AE394" i="22" s="1"/>
  <c r="AF394" i="22" s="1"/>
  <c r="AG394" i="22" s="1"/>
  <c r="AI389" i="22"/>
  <c r="AJ389" i="22" s="1"/>
  <c r="AK389" i="22" s="1"/>
  <c r="AL389" i="22" s="1"/>
  <c r="AM389" i="22" s="1"/>
  <c r="AN389" i="22" s="1"/>
  <c r="AO389" i="22" s="1"/>
  <c r="AP389" i="22" s="1"/>
  <c r="AQ389" i="22" s="1"/>
  <c r="AR389" i="22" s="1"/>
  <c r="AS389" i="22" s="1"/>
  <c r="AT389" i="22" s="1"/>
  <c r="AU389" i="22" s="1"/>
  <c r="AV389" i="22" s="1"/>
  <c r="AW389" i="22" s="1"/>
  <c r="AX389" i="22" s="1"/>
  <c r="AY389" i="22" s="1"/>
  <c r="AZ389" i="22" s="1"/>
  <c r="BA389" i="22" s="1"/>
  <c r="BB389" i="22" s="1"/>
  <c r="BC389" i="22" s="1"/>
  <c r="BD389" i="22" s="1"/>
  <c r="BE389" i="22" s="1"/>
  <c r="O389" i="22"/>
  <c r="P389" i="22" s="1"/>
  <c r="Q389" i="22" s="1"/>
  <c r="R389" i="22" s="1"/>
  <c r="S389" i="22" s="1"/>
  <c r="T389" i="22" s="1"/>
  <c r="U389" i="22" s="1"/>
  <c r="V389" i="22" s="1"/>
  <c r="W389" i="22" s="1"/>
  <c r="X389" i="22" s="1"/>
  <c r="Y389" i="22" s="1"/>
  <c r="Z389" i="22" s="1"/>
  <c r="AA389" i="22" s="1"/>
  <c r="AB389" i="22" s="1"/>
  <c r="AC389" i="22" s="1"/>
  <c r="AD389" i="22" s="1"/>
  <c r="AE389" i="22" s="1"/>
  <c r="AF389" i="22" s="1"/>
  <c r="AG389" i="22" s="1"/>
  <c r="O384" i="22"/>
  <c r="P384" i="22" s="1"/>
  <c r="Q384" i="22" s="1"/>
  <c r="R384" i="22" s="1"/>
  <c r="S384" i="22" s="1"/>
  <c r="T384" i="22" s="1"/>
  <c r="U384" i="22" s="1"/>
  <c r="V384" i="22" s="1"/>
  <c r="W384" i="22" s="1"/>
  <c r="X384" i="22" s="1"/>
  <c r="Y384" i="22" s="1"/>
  <c r="Z384" i="22" s="1"/>
  <c r="AA384" i="22" s="1"/>
  <c r="AB384" i="22" s="1"/>
  <c r="AC384" i="22" s="1"/>
  <c r="AD384" i="22" s="1"/>
  <c r="AE384" i="22" s="1"/>
  <c r="AF384" i="22" s="1"/>
  <c r="AG384" i="22" s="1"/>
  <c r="AI362" i="22"/>
  <c r="AJ362" i="22" s="1"/>
  <c r="AK362" i="22" s="1"/>
  <c r="AL362" i="22" s="1"/>
  <c r="AM362" i="22" s="1"/>
  <c r="AN362" i="22" s="1"/>
  <c r="AO362" i="22" s="1"/>
  <c r="AP362" i="22" s="1"/>
  <c r="AQ362" i="22" s="1"/>
  <c r="AR362" i="22" s="1"/>
  <c r="AS362" i="22" s="1"/>
  <c r="AT362" i="22" s="1"/>
  <c r="AU362" i="22" s="1"/>
  <c r="AV362" i="22" s="1"/>
  <c r="AW362" i="22" s="1"/>
  <c r="AX362" i="22" s="1"/>
  <c r="AY362" i="22" s="1"/>
  <c r="AZ362" i="22" s="1"/>
  <c r="BA362" i="22" s="1"/>
  <c r="BB362" i="22" s="1"/>
  <c r="BC362" i="22" s="1"/>
  <c r="BD362" i="22" s="1"/>
  <c r="BE362" i="22" s="1"/>
  <c r="O355" i="22"/>
  <c r="P355" i="22" s="1"/>
  <c r="Q355" i="22" s="1"/>
  <c r="R355" i="22" s="1"/>
  <c r="S355" i="22" s="1"/>
  <c r="T355" i="22" s="1"/>
  <c r="U355" i="22" s="1"/>
  <c r="V355" i="22" s="1"/>
  <c r="W355" i="22" s="1"/>
  <c r="X355" i="22" s="1"/>
  <c r="Y355" i="22" s="1"/>
  <c r="Z355" i="22" s="1"/>
  <c r="AA355" i="22" s="1"/>
  <c r="AB355" i="22" s="1"/>
  <c r="AC355" i="22" s="1"/>
  <c r="AD355" i="22" s="1"/>
  <c r="AE355" i="22" s="1"/>
  <c r="AF355" i="22" s="1"/>
  <c r="AG355" i="22" s="1"/>
  <c r="AI349" i="22"/>
  <c r="AJ349" i="22" s="1"/>
  <c r="AK349" i="22" s="1"/>
  <c r="AL349" i="22" s="1"/>
  <c r="AM349" i="22" s="1"/>
  <c r="AN349" i="22" s="1"/>
  <c r="AO349" i="22" s="1"/>
  <c r="AP349" i="22" s="1"/>
  <c r="AQ349" i="22" s="1"/>
  <c r="AR349" i="22" s="1"/>
  <c r="AS349" i="22" s="1"/>
  <c r="AT349" i="22" s="1"/>
  <c r="AU349" i="22" s="1"/>
  <c r="AV349" i="22" s="1"/>
  <c r="AW349" i="22" s="1"/>
  <c r="AX349" i="22" s="1"/>
  <c r="AY349" i="22" s="1"/>
  <c r="AZ349" i="22" s="1"/>
  <c r="BA349" i="22" s="1"/>
  <c r="BB349" i="22" s="1"/>
  <c r="BC349" i="22" s="1"/>
  <c r="BD349" i="22" s="1"/>
  <c r="BE349" i="22" s="1"/>
  <c r="O332" i="22"/>
  <c r="P332" i="22" s="1"/>
  <c r="Q332" i="22" s="1"/>
  <c r="R332" i="22" s="1"/>
  <c r="S332" i="22" s="1"/>
  <c r="T332" i="22" s="1"/>
  <c r="U332" i="22" s="1"/>
  <c r="V332" i="22" s="1"/>
  <c r="W332" i="22" s="1"/>
  <c r="X332" i="22" s="1"/>
  <c r="Y332" i="22" s="1"/>
  <c r="Z332" i="22" s="1"/>
  <c r="AA332" i="22" s="1"/>
  <c r="AB332" i="22" s="1"/>
  <c r="AC332" i="22" s="1"/>
  <c r="AD332" i="22" s="1"/>
  <c r="AE332" i="22" s="1"/>
  <c r="AF332" i="22" s="1"/>
  <c r="AG332" i="22" s="1"/>
  <c r="O322" i="22"/>
  <c r="P322" i="22" s="1"/>
  <c r="Q322" i="22" s="1"/>
  <c r="R322" i="22" s="1"/>
  <c r="S322" i="22" s="1"/>
  <c r="T322" i="22" s="1"/>
  <c r="U322" i="22" s="1"/>
  <c r="V322" i="22" s="1"/>
  <c r="W322" i="22" s="1"/>
  <c r="X322" i="22" s="1"/>
  <c r="Y322" i="22" s="1"/>
  <c r="Z322" i="22" s="1"/>
  <c r="AA322" i="22" s="1"/>
  <c r="AB322" i="22" s="1"/>
  <c r="AC322" i="22" s="1"/>
  <c r="AD322" i="22" s="1"/>
  <c r="AE322" i="22" s="1"/>
  <c r="AF322" i="22" s="1"/>
  <c r="AG322" i="22" s="1"/>
  <c r="O319" i="22"/>
  <c r="P319" i="22" s="1"/>
  <c r="Q319" i="22" s="1"/>
  <c r="R319" i="22" s="1"/>
  <c r="S319" i="22" s="1"/>
  <c r="T319" i="22" s="1"/>
  <c r="U319" i="22" s="1"/>
  <c r="V319" i="22" s="1"/>
  <c r="W319" i="22" s="1"/>
  <c r="X319" i="22" s="1"/>
  <c r="Y319" i="22" s="1"/>
  <c r="Z319" i="22" s="1"/>
  <c r="AA319" i="22" s="1"/>
  <c r="AB319" i="22" s="1"/>
  <c r="AC319" i="22" s="1"/>
  <c r="AD319" i="22" s="1"/>
  <c r="AE319" i="22" s="1"/>
  <c r="AF319" i="22" s="1"/>
  <c r="AG319" i="22" s="1"/>
  <c r="O309" i="22"/>
  <c r="P309" i="22" s="1"/>
  <c r="Q309" i="22" s="1"/>
  <c r="R309" i="22" s="1"/>
  <c r="S309" i="22" s="1"/>
  <c r="T309" i="22" s="1"/>
  <c r="U309" i="22" s="1"/>
  <c r="V309" i="22" s="1"/>
  <c r="W309" i="22" s="1"/>
  <c r="X309" i="22" s="1"/>
  <c r="Y309" i="22" s="1"/>
  <c r="Z309" i="22" s="1"/>
  <c r="AA309" i="22" s="1"/>
  <c r="AB309" i="22" s="1"/>
  <c r="AC309" i="22" s="1"/>
  <c r="AD309" i="22" s="1"/>
  <c r="AE309" i="22" s="1"/>
  <c r="AF309" i="22" s="1"/>
  <c r="AG309" i="22" s="1"/>
  <c r="AI304" i="22"/>
  <c r="AJ304" i="22" s="1"/>
  <c r="AK304" i="22" s="1"/>
  <c r="AL304" i="22" s="1"/>
  <c r="AM304" i="22" s="1"/>
  <c r="AN304" i="22" s="1"/>
  <c r="AO304" i="22" s="1"/>
  <c r="AP304" i="22" s="1"/>
  <c r="AQ304" i="22" s="1"/>
  <c r="AR304" i="22" s="1"/>
  <c r="AS304" i="22" s="1"/>
  <c r="AT304" i="22" s="1"/>
  <c r="AU304" i="22" s="1"/>
  <c r="AV304" i="22" s="1"/>
  <c r="AW304" i="22" s="1"/>
  <c r="AX304" i="22" s="1"/>
  <c r="AY304" i="22" s="1"/>
  <c r="AZ304" i="22" s="1"/>
  <c r="BA304" i="22" s="1"/>
  <c r="BB304" i="22" s="1"/>
  <c r="BC304" i="22" s="1"/>
  <c r="BD304" i="22" s="1"/>
  <c r="BE304" i="22" s="1"/>
  <c r="AI303" i="22"/>
  <c r="AJ303" i="22" s="1"/>
  <c r="AK303" i="22" s="1"/>
  <c r="AL303" i="22" s="1"/>
  <c r="AM303" i="22" s="1"/>
  <c r="AN303" i="22" s="1"/>
  <c r="AO303" i="22" s="1"/>
  <c r="AP303" i="22" s="1"/>
  <c r="AQ303" i="22" s="1"/>
  <c r="AR303" i="22" s="1"/>
  <c r="AS303" i="22" s="1"/>
  <c r="AT303" i="22" s="1"/>
  <c r="AU303" i="22" s="1"/>
  <c r="AV303" i="22" s="1"/>
  <c r="AW303" i="22" s="1"/>
  <c r="AX303" i="22" s="1"/>
  <c r="AY303" i="22" s="1"/>
  <c r="AZ303" i="22" s="1"/>
  <c r="BA303" i="22" s="1"/>
  <c r="BB303" i="22" s="1"/>
  <c r="BC303" i="22" s="1"/>
  <c r="BD303" i="22" s="1"/>
  <c r="BE303" i="22" s="1"/>
  <c r="O284" i="22"/>
  <c r="P284" i="22" s="1"/>
  <c r="Q284" i="22" s="1"/>
  <c r="R284" i="22" s="1"/>
  <c r="S284" i="22" s="1"/>
  <c r="T284" i="22" s="1"/>
  <c r="U284" i="22" s="1"/>
  <c r="V284" i="22" s="1"/>
  <c r="W284" i="22" s="1"/>
  <c r="X284" i="22" s="1"/>
  <c r="Y284" i="22" s="1"/>
  <c r="Z284" i="22" s="1"/>
  <c r="AA284" i="22" s="1"/>
  <c r="AB284" i="22" s="1"/>
  <c r="AC284" i="22" s="1"/>
  <c r="AD284" i="22" s="1"/>
  <c r="AE284" i="22" s="1"/>
  <c r="AF284" i="22" s="1"/>
  <c r="AG284" i="22" s="1"/>
  <c r="O279" i="22"/>
  <c r="P279" i="22" s="1"/>
  <c r="Q279" i="22" s="1"/>
  <c r="R279" i="22" s="1"/>
  <c r="S279" i="22" s="1"/>
  <c r="T279" i="22" s="1"/>
  <c r="U279" i="22" s="1"/>
  <c r="V279" i="22" s="1"/>
  <c r="W279" i="22" s="1"/>
  <c r="X279" i="22" s="1"/>
  <c r="Y279" i="22" s="1"/>
  <c r="Z279" i="22" s="1"/>
  <c r="AA279" i="22" s="1"/>
  <c r="AB279" i="22" s="1"/>
  <c r="AC279" i="22" s="1"/>
  <c r="AD279" i="22" s="1"/>
  <c r="AE279" i="22" s="1"/>
  <c r="AF279" i="22" s="1"/>
  <c r="AG279" i="22" s="1"/>
  <c r="AI277" i="22"/>
  <c r="AJ277" i="22" s="1"/>
  <c r="AK277" i="22" s="1"/>
  <c r="AL277" i="22" s="1"/>
  <c r="AM277" i="22" s="1"/>
  <c r="AN277" i="22" s="1"/>
  <c r="AO277" i="22" s="1"/>
  <c r="AP277" i="22" s="1"/>
  <c r="AQ277" i="22" s="1"/>
  <c r="AR277" i="22" s="1"/>
  <c r="AS277" i="22" s="1"/>
  <c r="AT277" i="22" s="1"/>
  <c r="AU277" i="22" s="1"/>
  <c r="AV277" i="22" s="1"/>
  <c r="AW277" i="22" s="1"/>
  <c r="AX277" i="22" s="1"/>
  <c r="AY277" i="22" s="1"/>
  <c r="AZ277" i="22" s="1"/>
  <c r="BA277" i="22" s="1"/>
  <c r="BB277" i="22" s="1"/>
  <c r="BC277" i="22" s="1"/>
  <c r="BD277" i="22" s="1"/>
  <c r="BE277" i="22" s="1"/>
  <c r="AI272" i="22"/>
  <c r="AJ272" i="22" s="1"/>
  <c r="AK272" i="22" s="1"/>
  <c r="AL272" i="22" s="1"/>
  <c r="AM272" i="22" s="1"/>
  <c r="AN272" i="22" s="1"/>
  <c r="AO272" i="22" s="1"/>
  <c r="AP272" i="22" s="1"/>
  <c r="AQ272" i="22" s="1"/>
  <c r="AR272" i="22" s="1"/>
  <c r="AS272" i="22" s="1"/>
  <c r="AT272" i="22" s="1"/>
  <c r="AU272" i="22" s="1"/>
  <c r="AV272" i="22" s="1"/>
  <c r="AW272" i="22" s="1"/>
  <c r="AX272" i="22" s="1"/>
  <c r="AY272" i="22" s="1"/>
  <c r="AZ272" i="22" s="1"/>
  <c r="BA272" i="22" s="1"/>
  <c r="BB272" i="22" s="1"/>
  <c r="BC272" i="22" s="1"/>
  <c r="BD272" i="22" s="1"/>
  <c r="BE272" i="22" s="1"/>
  <c r="O483" i="22"/>
  <c r="P483" i="22" s="1"/>
  <c r="Q483" i="22" s="1"/>
  <c r="R483" i="22" s="1"/>
  <c r="S483" i="22" s="1"/>
  <c r="T483" i="22" s="1"/>
  <c r="U483" i="22" s="1"/>
  <c r="V483" i="22" s="1"/>
  <c r="W483" i="22" s="1"/>
  <c r="X483" i="22" s="1"/>
  <c r="Y483" i="22" s="1"/>
  <c r="Z483" i="22" s="1"/>
  <c r="AA483" i="22" s="1"/>
  <c r="AB483" i="22" s="1"/>
  <c r="AC483" i="22" s="1"/>
  <c r="AD483" i="22" s="1"/>
  <c r="AE483" i="22" s="1"/>
  <c r="AF483" i="22" s="1"/>
  <c r="AG483" i="22" s="1"/>
  <c r="AI477" i="22"/>
  <c r="AJ477" i="22" s="1"/>
  <c r="AK477" i="22" s="1"/>
  <c r="AL477" i="22" s="1"/>
  <c r="AM477" i="22" s="1"/>
  <c r="AN477" i="22" s="1"/>
  <c r="AO477" i="22" s="1"/>
  <c r="AP477" i="22" s="1"/>
  <c r="AQ477" i="22" s="1"/>
  <c r="AR477" i="22" s="1"/>
  <c r="AS477" i="22" s="1"/>
  <c r="AT477" i="22" s="1"/>
  <c r="AU477" i="22" s="1"/>
  <c r="AV477" i="22" s="1"/>
  <c r="AW477" i="22" s="1"/>
  <c r="AX477" i="22" s="1"/>
  <c r="AY477" i="22" s="1"/>
  <c r="AZ477" i="22" s="1"/>
  <c r="BA477" i="22" s="1"/>
  <c r="BB477" i="22" s="1"/>
  <c r="BC477" i="22" s="1"/>
  <c r="BD477" i="22" s="1"/>
  <c r="BE477" i="22" s="1"/>
  <c r="AI435" i="22"/>
  <c r="AJ435" i="22" s="1"/>
  <c r="AK435" i="22" s="1"/>
  <c r="AL435" i="22" s="1"/>
  <c r="AM435" i="22" s="1"/>
  <c r="AN435" i="22" s="1"/>
  <c r="AO435" i="22" s="1"/>
  <c r="AP435" i="22" s="1"/>
  <c r="AQ435" i="22" s="1"/>
  <c r="AR435" i="22" s="1"/>
  <c r="AS435" i="22" s="1"/>
  <c r="AT435" i="22" s="1"/>
  <c r="AU435" i="22" s="1"/>
  <c r="AV435" i="22" s="1"/>
  <c r="AW435" i="22" s="1"/>
  <c r="AX435" i="22" s="1"/>
  <c r="AY435" i="22" s="1"/>
  <c r="AZ435" i="22" s="1"/>
  <c r="BA435" i="22" s="1"/>
  <c r="BB435" i="22" s="1"/>
  <c r="BC435" i="22" s="1"/>
  <c r="BD435" i="22" s="1"/>
  <c r="BE435" i="22" s="1"/>
  <c r="O411" i="22"/>
  <c r="P411" i="22" s="1"/>
  <c r="Q411" i="22" s="1"/>
  <c r="R411" i="22" s="1"/>
  <c r="S411" i="22" s="1"/>
  <c r="T411" i="22" s="1"/>
  <c r="U411" i="22" s="1"/>
  <c r="V411" i="22" s="1"/>
  <c r="W411" i="22" s="1"/>
  <c r="X411" i="22" s="1"/>
  <c r="Y411" i="22" s="1"/>
  <c r="Z411" i="22" s="1"/>
  <c r="AA411" i="22" s="1"/>
  <c r="AB411" i="22" s="1"/>
  <c r="AC411" i="22" s="1"/>
  <c r="AD411" i="22" s="1"/>
  <c r="AE411" i="22" s="1"/>
  <c r="AF411" i="22" s="1"/>
  <c r="AG411" i="22" s="1"/>
  <c r="O632" i="22"/>
  <c r="P632" i="22" s="1"/>
  <c r="Q632" i="22" s="1"/>
  <c r="R632" i="22" s="1"/>
  <c r="S632" i="22" s="1"/>
  <c r="T632" i="22" s="1"/>
  <c r="U632" i="22" s="1"/>
  <c r="V632" i="22" s="1"/>
  <c r="W632" i="22" s="1"/>
  <c r="X632" i="22" s="1"/>
  <c r="Y632" i="22" s="1"/>
  <c r="Z632" i="22" s="1"/>
  <c r="AA632" i="22" s="1"/>
  <c r="AB632" i="22" s="1"/>
  <c r="AC632" i="22" s="1"/>
  <c r="AD632" i="22" s="1"/>
  <c r="AE632" i="22" s="1"/>
  <c r="AF632" i="22" s="1"/>
  <c r="AG632" i="22" s="1"/>
  <c r="AI610" i="22"/>
  <c r="AJ610" i="22" s="1"/>
  <c r="AK610" i="22" s="1"/>
  <c r="AL610" i="22" s="1"/>
  <c r="AM610" i="22" s="1"/>
  <c r="AN610" i="22" s="1"/>
  <c r="AO610" i="22" s="1"/>
  <c r="AP610" i="22" s="1"/>
  <c r="AQ610" i="22" s="1"/>
  <c r="AR610" i="22" s="1"/>
  <c r="AS610" i="22" s="1"/>
  <c r="AT610" i="22" s="1"/>
  <c r="AU610" i="22" s="1"/>
  <c r="AV610" i="22" s="1"/>
  <c r="AW610" i="22" s="1"/>
  <c r="AX610" i="22" s="1"/>
  <c r="AY610" i="22" s="1"/>
  <c r="AZ610" i="22" s="1"/>
  <c r="BA610" i="22" s="1"/>
  <c r="BB610" i="22" s="1"/>
  <c r="BC610" i="22" s="1"/>
  <c r="BD610" i="22" s="1"/>
  <c r="BE610" i="22" s="1"/>
  <c r="AI436" i="22"/>
  <c r="AJ436" i="22" s="1"/>
  <c r="AK436" i="22" s="1"/>
  <c r="AL436" i="22" s="1"/>
  <c r="AM436" i="22" s="1"/>
  <c r="AN436" i="22" s="1"/>
  <c r="AO436" i="22" s="1"/>
  <c r="AP436" i="22" s="1"/>
  <c r="AQ436" i="22" s="1"/>
  <c r="AR436" i="22" s="1"/>
  <c r="AS436" i="22" s="1"/>
  <c r="AT436" i="22" s="1"/>
  <c r="AU436" i="22" s="1"/>
  <c r="AV436" i="22" s="1"/>
  <c r="AW436" i="22" s="1"/>
  <c r="AX436" i="22" s="1"/>
  <c r="AY436" i="22" s="1"/>
  <c r="AZ436" i="22" s="1"/>
  <c r="BA436" i="22" s="1"/>
  <c r="BB436" i="22" s="1"/>
  <c r="BC436" i="22" s="1"/>
  <c r="BD436" i="22" s="1"/>
  <c r="BE436" i="22" s="1"/>
  <c r="O424" i="22"/>
  <c r="P424" i="22" s="1"/>
  <c r="Q424" i="22" s="1"/>
  <c r="R424" i="22" s="1"/>
  <c r="S424" i="22" s="1"/>
  <c r="T424" i="22" s="1"/>
  <c r="U424" i="22" s="1"/>
  <c r="V424" i="22" s="1"/>
  <c r="W424" i="22" s="1"/>
  <c r="X424" i="22" s="1"/>
  <c r="Y424" i="22" s="1"/>
  <c r="Z424" i="22" s="1"/>
  <c r="AA424" i="22" s="1"/>
  <c r="AB424" i="22" s="1"/>
  <c r="AC424" i="22" s="1"/>
  <c r="AD424" i="22" s="1"/>
  <c r="AE424" i="22" s="1"/>
  <c r="AF424" i="22" s="1"/>
  <c r="AG424" i="22" s="1"/>
  <c r="AI414" i="22"/>
  <c r="AJ414" i="22" s="1"/>
  <c r="AK414" i="22" s="1"/>
  <c r="AL414" i="22" s="1"/>
  <c r="AM414" i="22" s="1"/>
  <c r="AN414" i="22" s="1"/>
  <c r="AO414" i="22" s="1"/>
  <c r="AP414" i="22" s="1"/>
  <c r="AQ414" i="22" s="1"/>
  <c r="AR414" i="22" s="1"/>
  <c r="AS414" i="22" s="1"/>
  <c r="AT414" i="22" s="1"/>
  <c r="AU414" i="22" s="1"/>
  <c r="AV414" i="22" s="1"/>
  <c r="AW414" i="22" s="1"/>
  <c r="AX414" i="22" s="1"/>
  <c r="AY414" i="22" s="1"/>
  <c r="AZ414" i="22" s="1"/>
  <c r="BA414" i="22" s="1"/>
  <c r="BB414" i="22" s="1"/>
  <c r="BC414" i="22" s="1"/>
  <c r="BD414" i="22" s="1"/>
  <c r="BE414" i="22" s="1"/>
  <c r="O398" i="22"/>
  <c r="P398" i="22" s="1"/>
  <c r="Q398" i="22" s="1"/>
  <c r="R398" i="22" s="1"/>
  <c r="S398" i="22" s="1"/>
  <c r="T398" i="22" s="1"/>
  <c r="U398" i="22" s="1"/>
  <c r="V398" i="22" s="1"/>
  <c r="W398" i="22" s="1"/>
  <c r="X398" i="22" s="1"/>
  <c r="Y398" i="22" s="1"/>
  <c r="Z398" i="22" s="1"/>
  <c r="AA398" i="22" s="1"/>
  <c r="AB398" i="22" s="1"/>
  <c r="AC398" i="22" s="1"/>
  <c r="AD398" i="22" s="1"/>
  <c r="AE398" i="22" s="1"/>
  <c r="AF398" i="22" s="1"/>
  <c r="AG398" i="22" s="1"/>
  <c r="AI393" i="22"/>
  <c r="AJ393" i="22" s="1"/>
  <c r="AK393" i="22" s="1"/>
  <c r="AL393" i="22" s="1"/>
  <c r="AM393" i="22" s="1"/>
  <c r="AN393" i="22" s="1"/>
  <c r="AO393" i="22" s="1"/>
  <c r="AP393" i="22" s="1"/>
  <c r="AQ393" i="22" s="1"/>
  <c r="AR393" i="22" s="1"/>
  <c r="AS393" i="22" s="1"/>
  <c r="AT393" i="22" s="1"/>
  <c r="AU393" i="22" s="1"/>
  <c r="AV393" i="22" s="1"/>
  <c r="AW393" i="22" s="1"/>
  <c r="AX393" i="22" s="1"/>
  <c r="AY393" i="22" s="1"/>
  <c r="AZ393" i="22" s="1"/>
  <c r="BA393" i="22" s="1"/>
  <c r="BB393" i="22" s="1"/>
  <c r="BC393" i="22" s="1"/>
  <c r="BD393" i="22" s="1"/>
  <c r="BE393" i="22" s="1"/>
  <c r="O388" i="22"/>
  <c r="P388" i="22" s="1"/>
  <c r="Q388" i="22" s="1"/>
  <c r="R388" i="22" s="1"/>
  <c r="S388" i="22" s="1"/>
  <c r="T388" i="22" s="1"/>
  <c r="U388" i="22" s="1"/>
  <c r="V388" i="22" s="1"/>
  <c r="W388" i="22" s="1"/>
  <c r="X388" i="22" s="1"/>
  <c r="Y388" i="22" s="1"/>
  <c r="Z388" i="22" s="1"/>
  <c r="AA388" i="22" s="1"/>
  <c r="AB388" i="22" s="1"/>
  <c r="AC388" i="22" s="1"/>
  <c r="AD388" i="22" s="1"/>
  <c r="AE388" i="22" s="1"/>
  <c r="AF388" i="22" s="1"/>
  <c r="AG388" i="22" s="1"/>
  <c r="AI366" i="22"/>
  <c r="AJ366" i="22" s="1"/>
  <c r="AK366" i="22" s="1"/>
  <c r="AL366" i="22" s="1"/>
  <c r="AM366" i="22" s="1"/>
  <c r="AN366" i="22" s="1"/>
  <c r="AO366" i="22" s="1"/>
  <c r="AP366" i="22" s="1"/>
  <c r="AQ366" i="22" s="1"/>
  <c r="AR366" i="22" s="1"/>
  <c r="AS366" i="22" s="1"/>
  <c r="AT366" i="22" s="1"/>
  <c r="AU366" i="22" s="1"/>
  <c r="AV366" i="22" s="1"/>
  <c r="AW366" i="22" s="1"/>
  <c r="AX366" i="22" s="1"/>
  <c r="AY366" i="22" s="1"/>
  <c r="AZ366" i="22" s="1"/>
  <c r="BA366" i="22" s="1"/>
  <c r="BB366" i="22" s="1"/>
  <c r="BC366" i="22" s="1"/>
  <c r="BD366" i="22" s="1"/>
  <c r="BE366" i="22" s="1"/>
  <c r="O361" i="22"/>
  <c r="P361" i="22" s="1"/>
  <c r="Q361" i="22" s="1"/>
  <c r="R361" i="22" s="1"/>
  <c r="S361" i="22" s="1"/>
  <c r="T361" i="22" s="1"/>
  <c r="U361" i="22" s="1"/>
  <c r="V361" i="22" s="1"/>
  <c r="W361" i="22" s="1"/>
  <c r="X361" i="22" s="1"/>
  <c r="Y361" i="22" s="1"/>
  <c r="Z361" i="22" s="1"/>
  <c r="AA361" i="22" s="1"/>
  <c r="AB361" i="22" s="1"/>
  <c r="AC361" i="22" s="1"/>
  <c r="AD361" i="22" s="1"/>
  <c r="AE361" i="22" s="1"/>
  <c r="AF361" i="22" s="1"/>
  <c r="AG361" i="22" s="1"/>
  <c r="AI353" i="22"/>
  <c r="AJ353" i="22" s="1"/>
  <c r="AK353" i="22" s="1"/>
  <c r="AL353" i="22" s="1"/>
  <c r="AM353" i="22" s="1"/>
  <c r="AN353" i="22" s="1"/>
  <c r="AO353" i="22" s="1"/>
  <c r="AP353" i="22" s="1"/>
  <c r="AQ353" i="22" s="1"/>
  <c r="AR353" i="22" s="1"/>
  <c r="AS353" i="22" s="1"/>
  <c r="AT353" i="22" s="1"/>
  <c r="AU353" i="22" s="1"/>
  <c r="AV353" i="22" s="1"/>
  <c r="AW353" i="22" s="1"/>
  <c r="AX353" i="22" s="1"/>
  <c r="AY353" i="22" s="1"/>
  <c r="AZ353" i="22" s="1"/>
  <c r="BA353" i="22" s="1"/>
  <c r="BB353" i="22" s="1"/>
  <c r="BC353" i="22" s="1"/>
  <c r="BD353" i="22" s="1"/>
  <c r="BE353" i="22" s="1"/>
  <c r="O349" i="22"/>
  <c r="P349" i="22" s="1"/>
  <c r="Q349" i="22" s="1"/>
  <c r="R349" i="22" s="1"/>
  <c r="S349" i="22" s="1"/>
  <c r="T349" i="22" s="1"/>
  <c r="U349" i="22" s="1"/>
  <c r="V349" i="22" s="1"/>
  <c r="W349" i="22" s="1"/>
  <c r="X349" i="22" s="1"/>
  <c r="Y349" i="22" s="1"/>
  <c r="Z349" i="22" s="1"/>
  <c r="AA349" i="22" s="1"/>
  <c r="AB349" i="22" s="1"/>
  <c r="AC349" i="22" s="1"/>
  <c r="AD349" i="22" s="1"/>
  <c r="AE349" i="22" s="1"/>
  <c r="AF349" i="22" s="1"/>
  <c r="AG349" i="22" s="1"/>
  <c r="AI343" i="22"/>
  <c r="AJ343" i="22" s="1"/>
  <c r="AK343" i="22" s="1"/>
  <c r="AL343" i="22" s="1"/>
  <c r="AM343" i="22" s="1"/>
  <c r="AN343" i="22" s="1"/>
  <c r="AO343" i="22" s="1"/>
  <c r="AP343" i="22" s="1"/>
  <c r="AQ343" i="22" s="1"/>
  <c r="AR343" i="22" s="1"/>
  <c r="AS343" i="22" s="1"/>
  <c r="AT343" i="22" s="1"/>
  <c r="AU343" i="22" s="1"/>
  <c r="AV343" i="22" s="1"/>
  <c r="AW343" i="22" s="1"/>
  <c r="AX343" i="22" s="1"/>
  <c r="AY343" i="22" s="1"/>
  <c r="AZ343" i="22" s="1"/>
  <c r="BA343" i="22" s="1"/>
  <c r="BB343" i="22" s="1"/>
  <c r="BC343" i="22" s="1"/>
  <c r="BD343" i="22" s="1"/>
  <c r="BE343" i="22" s="1"/>
  <c r="AI340" i="22"/>
  <c r="AJ340" i="22" s="1"/>
  <c r="AK340" i="22" s="1"/>
  <c r="AL340" i="22" s="1"/>
  <c r="AM340" i="22" s="1"/>
  <c r="AN340" i="22" s="1"/>
  <c r="AO340" i="22" s="1"/>
  <c r="AP340" i="22" s="1"/>
  <c r="AQ340" i="22" s="1"/>
  <c r="AR340" i="22" s="1"/>
  <c r="AS340" i="22" s="1"/>
  <c r="AT340" i="22" s="1"/>
  <c r="AU340" i="22" s="1"/>
  <c r="AV340" i="22" s="1"/>
  <c r="AW340" i="22" s="1"/>
  <c r="AX340" i="22" s="1"/>
  <c r="AY340" i="22" s="1"/>
  <c r="AZ340" i="22" s="1"/>
  <c r="BA340" i="22" s="1"/>
  <c r="BB340" i="22" s="1"/>
  <c r="BC340" i="22" s="1"/>
  <c r="BD340" i="22" s="1"/>
  <c r="BE340" i="22" s="1"/>
  <c r="O339" i="22"/>
  <c r="P339" i="22" s="1"/>
  <c r="Q339" i="22" s="1"/>
  <c r="R339" i="22" s="1"/>
  <c r="S339" i="22" s="1"/>
  <c r="T339" i="22" s="1"/>
  <c r="U339" i="22" s="1"/>
  <c r="V339" i="22" s="1"/>
  <c r="W339" i="22" s="1"/>
  <c r="X339" i="22" s="1"/>
  <c r="Y339" i="22" s="1"/>
  <c r="Z339" i="22" s="1"/>
  <c r="AA339" i="22" s="1"/>
  <c r="AB339" i="22" s="1"/>
  <c r="AC339" i="22" s="1"/>
  <c r="AD339" i="22" s="1"/>
  <c r="AE339" i="22" s="1"/>
  <c r="AF339" i="22" s="1"/>
  <c r="AG339" i="22" s="1"/>
  <c r="AI330" i="22"/>
  <c r="AJ330" i="22" s="1"/>
  <c r="AK330" i="22" s="1"/>
  <c r="AL330" i="22" s="1"/>
  <c r="AM330" i="22" s="1"/>
  <c r="AN330" i="22" s="1"/>
  <c r="AO330" i="22" s="1"/>
  <c r="AP330" i="22" s="1"/>
  <c r="AQ330" i="22" s="1"/>
  <c r="AR330" i="22" s="1"/>
  <c r="AS330" i="22" s="1"/>
  <c r="AT330" i="22" s="1"/>
  <c r="AU330" i="22" s="1"/>
  <c r="AV330" i="22" s="1"/>
  <c r="AW330" i="22" s="1"/>
  <c r="AX330" i="22" s="1"/>
  <c r="AY330" i="22" s="1"/>
  <c r="AZ330" i="22" s="1"/>
  <c r="BA330" i="22" s="1"/>
  <c r="BB330" i="22" s="1"/>
  <c r="BC330" i="22" s="1"/>
  <c r="BD330" i="22" s="1"/>
  <c r="BE330" i="22" s="1"/>
  <c r="O316" i="22"/>
  <c r="P316" i="22" s="1"/>
  <c r="Q316" i="22" s="1"/>
  <c r="R316" i="22" s="1"/>
  <c r="S316" i="22" s="1"/>
  <c r="T316" i="22" s="1"/>
  <c r="U316" i="22" s="1"/>
  <c r="V316" i="22" s="1"/>
  <c r="W316" i="22" s="1"/>
  <c r="X316" i="22" s="1"/>
  <c r="Y316" i="22" s="1"/>
  <c r="Z316" i="22" s="1"/>
  <c r="AA316" i="22" s="1"/>
  <c r="AB316" i="22" s="1"/>
  <c r="AC316" i="22" s="1"/>
  <c r="AD316" i="22" s="1"/>
  <c r="AE316" i="22" s="1"/>
  <c r="AF316" i="22" s="1"/>
  <c r="AG316" i="22" s="1"/>
  <c r="O313" i="22"/>
  <c r="P313" i="22" s="1"/>
  <c r="Q313" i="22" s="1"/>
  <c r="R313" i="22" s="1"/>
  <c r="S313" i="22" s="1"/>
  <c r="T313" i="22" s="1"/>
  <c r="U313" i="22" s="1"/>
  <c r="V313" i="22" s="1"/>
  <c r="W313" i="22" s="1"/>
  <c r="X313" i="22" s="1"/>
  <c r="Y313" i="22" s="1"/>
  <c r="Z313" i="22" s="1"/>
  <c r="AA313" i="22" s="1"/>
  <c r="AB313" i="22" s="1"/>
  <c r="AC313" i="22" s="1"/>
  <c r="AD313" i="22" s="1"/>
  <c r="AE313" i="22" s="1"/>
  <c r="AF313" i="22" s="1"/>
  <c r="AG313" i="22" s="1"/>
  <c r="O610" i="22"/>
  <c r="P610" i="22" s="1"/>
  <c r="Q610" i="22" s="1"/>
  <c r="R610" i="22" s="1"/>
  <c r="S610" i="22" s="1"/>
  <c r="T610" i="22" s="1"/>
  <c r="U610" i="22" s="1"/>
  <c r="V610" i="22" s="1"/>
  <c r="W610" i="22" s="1"/>
  <c r="X610" i="22" s="1"/>
  <c r="Y610" i="22" s="1"/>
  <c r="Z610" i="22" s="1"/>
  <c r="AA610" i="22" s="1"/>
  <c r="AB610" i="22" s="1"/>
  <c r="AC610" i="22" s="1"/>
  <c r="AD610" i="22" s="1"/>
  <c r="AE610" i="22" s="1"/>
  <c r="AF610" i="22" s="1"/>
  <c r="AG610" i="22" s="1"/>
  <c r="O493" i="22"/>
  <c r="P493" i="22" s="1"/>
  <c r="Q493" i="22" s="1"/>
  <c r="R493" i="22" s="1"/>
  <c r="S493" i="22" s="1"/>
  <c r="T493" i="22" s="1"/>
  <c r="U493" i="22" s="1"/>
  <c r="V493" i="22" s="1"/>
  <c r="W493" i="22" s="1"/>
  <c r="X493" i="22" s="1"/>
  <c r="Y493" i="22" s="1"/>
  <c r="Z493" i="22" s="1"/>
  <c r="AA493" i="22" s="1"/>
  <c r="AB493" i="22" s="1"/>
  <c r="AC493" i="22" s="1"/>
  <c r="AD493" i="22" s="1"/>
  <c r="AE493" i="22" s="1"/>
  <c r="AF493" i="22" s="1"/>
  <c r="AG493" i="22" s="1"/>
  <c r="O485" i="22"/>
  <c r="P485" i="22" s="1"/>
  <c r="Q485" i="22" s="1"/>
  <c r="R485" i="22" s="1"/>
  <c r="S485" i="22" s="1"/>
  <c r="T485" i="22" s="1"/>
  <c r="U485" i="22" s="1"/>
  <c r="V485" i="22" s="1"/>
  <c r="W485" i="22" s="1"/>
  <c r="X485" i="22" s="1"/>
  <c r="Y485" i="22" s="1"/>
  <c r="Z485" i="22" s="1"/>
  <c r="AA485" i="22" s="1"/>
  <c r="AB485" i="22" s="1"/>
  <c r="AC485" i="22" s="1"/>
  <c r="AD485" i="22" s="1"/>
  <c r="AE485" i="22" s="1"/>
  <c r="AF485" i="22" s="1"/>
  <c r="AG485" i="22" s="1"/>
  <c r="O458" i="22"/>
  <c r="P458" i="22" s="1"/>
  <c r="Q458" i="22" s="1"/>
  <c r="R458" i="22" s="1"/>
  <c r="S458" i="22" s="1"/>
  <c r="T458" i="22" s="1"/>
  <c r="U458" i="22" s="1"/>
  <c r="V458" i="22" s="1"/>
  <c r="W458" i="22" s="1"/>
  <c r="X458" i="22" s="1"/>
  <c r="Y458" i="22" s="1"/>
  <c r="Z458" i="22" s="1"/>
  <c r="AA458" i="22" s="1"/>
  <c r="AB458" i="22" s="1"/>
  <c r="AC458" i="22" s="1"/>
  <c r="AD458" i="22" s="1"/>
  <c r="AE458" i="22" s="1"/>
  <c r="AF458" i="22" s="1"/>
  <c r="AG458" i="22" s="1"/>
  <c r="O446" i="22"/>
  <c r="P446" i="22" s="1"/>
  <c r="Q446" i="22" s="1"/>
  <c r="R446" i="22" s="1"/>
  <c r="S446" i="22" s="1"/>
  <c r="T446" i="22" s="1"/>
  <c r="U446" i="22" s="1"/>
  <c r="V446" i="22" s="1"/>
  <c r="W446" i="22" s="1"/>
  <c r="X446" i="22" s="1"/>
  <c r="Y446" i="22" s="1"/>
  <c r="Z446" i="22" s="1"/>
  <c r="AA446" i="22" s="1"/>
  <c r="AB446" i="22" s="1"/>
  <c r="AC446" i="22" s="1"/>
  <c r="AD446" i="22" s="1"/>
  <c r="AE446" i="22" s="1"/>
  <c r="AF446" i="22" s="1"/>
  <c r="AG446" i="22" s="1"/>
  <c r="AI420" i="22"/>
  <c r="AJ420" i="22" s="1"/>
  <c r="AK420" i="22" s="1"/>
  <c r="AL420" i="22" s="1"/>
  <c r="AM420" i="22" s="1"/>
  <c r="AN420" i="22" s="1"/>
  <c r="AO420" i="22" s="1"/>
  <c r="AP420" i="22" s="1"/>
  <c r="AQ420" i="22" s="1"/>
  <c r="AR420" i="22" s="1"/>
  <c r="AS420" i="22" s="1"/>
  <c r="AT420" i="22" s="1"/>
  <c r="AU420" i="22" s="1"/>
  <c r="AV420" i="22" s="1"/>
  <c r="AW420" i="22" s="1"/>
  <c r="AX420" i="22" s="1"/>
  <c r="AY420" i="22" s="1"/>
  <c r="AZ420" i="22" s="1"/>
  <c r="BA420" i="22" s="1"/>
  <c r="BB420" i="22" s="1"/>
  <c r="BC420" i="22" s="1"/>
  <c r="BD420" i="22" s="1"/>
  <c r="BE420" i="22" s="1"/>
  <c r="AI418" i="22"/>
  <c r="AJ418" i="22" s="1"/>
  <c r="AK418" i="22" s="1"/>
  <c r="AL418" i="22" s="1"/>
  <c r="AM418" i="22" s="1"/>
  <c r="AN418" i="22" s="1"/>
  <c r="AO418" i="22" s="1"/>
  <c r="AP418" i="22" s="1"/>
  <c r="AQ418" i="22" s="1"/>
  <c r="AR418" i="22" s="1"/>
  <c r="AS418" i="22" s="1"/>
  <c r="AT418" i="22" s="1"/>
  <c r="AU418" i="22" s="1"/>
  <c r="AV418" i="22" s="1"/>
  <c r="AW418" i="22" s="1"/>
  <c r="AX418" i="22" s="1"/>
  <c r="AY418" i="22" s="1"/>
  <c r="AZ418" i="22" s="1"/>
  <c r="BA418" i="22" s="1"/>
  <c r="BB418" i="22" s="1"/>
  <c r="BC418" i="22" s="1"/>
  <c r="BD418" i="22" s="1"/>
  <c r="BE418" i="22" s="1"/>
  <c r="O413" i="22"/>
  <c r="P413" i="22" s="1"/>
  <c r="Q413" i="22" s="1"/>
  <c r="R413" i="22" s="1"/>
  <c r="S413" i="22" s="1"/>
  <c r="T413" i="22" s="1"/>
  <c r="U413" i="22" s="1"/>
  <c r="V413" i="22" s="1"/>
  <c r="W413" i="22" s="1"/>
  <c r="X413" i="22" s="1"/>
  <c r="Y413" i="22" s="1"/>
  <c r="Z413" i="22" s="1"/>
  <c r="AA413" i="22" s="1"/>
  <c r="AB413" i="22" s="1"/>
  <c r="AC413" i="22" s="1"/>
  <c r="AD413" i="22" s="1"/>
  <c r="AE413" i="22" s="1"/>
  <c r="AF413" i="22" s="1"/>
  <c r="AG413" i="22" s="1"/>
  <c r="AI398" i="22"/>
  <c r="AJ398" i="22" s="1"/>
  <c r="AK398" i="22" s="1"/>
  <c r="AL398" i="22" s="1"/>
  <c r="AM398" i="22" s="1"/>
  <c r="AN398" i="22" s="1"/>
  <c r="AO398" i="22" s="1"/>
  <c r="AP398" i="22" s="1"/>
  <c r="AQ398" i="22" s="1"/>
  <c r="AR398" i="22" s="1"/>
  <c r="AS398" i="22" s="1"/>
  <c r="AT398" i="22" s="1"/>
  <c r="AU398" i="22" s="1"/>
  <c r="AV398" i="22" s="1"/>
  <c r="AW398" i="22" s="1"/>
  <c r="AX398" i="22" s="1"/>
  <c r="AY398" i="22" s="1"/>
  <c r="AZ398" i="22" s="1"/>
  <c r="BA398" i="22" s="1"/>
  <c r="BB398" i="22" s="1"/>
  <c r="BC398" i="22" s="1"/>
  <c r="BD398" i="22" s="1"/>
  <c r="BE398" i="22" s="1"/>
  <c r="O393" i="22"/>
  <c r="P393" i="22" s="1"/>
  <c r="Q393" i="22" s="1"/>
  <c r="R393" i="22" s="1"/>
  <c r="S393" i="22" s="1"/>
  <c r="T393" i="22" s="1"/>
  <c r="U393" i="22" s="1"/>
  <c r="V393" i="22" s="1"/>
  <c r="W393" i="22" s="1"/>
  <c r="X393" i="22" s="1"/>
  <c r="Y393" i="22" s="1"/>
  <c r="Z393" i="22" s="1"/>
  <c r="AA393" i="22" s="1"/>
  <c r="AB393" i="22" s="1"/>
  <c r="AC393" i="22" s="1"/>
  <c r="AD393" i="22" s="1"/>
  <c r="AE393" i="22" s="1"/>
  <c r="AF393" i="22" s="1"/>
  <c r="AG393" i="22" s="1"/>
  <c r="AI388" i="22"/>
  <c r="AJ388" i="22" s="1"/>
  <c r="AK388" i="22" s="1"/>
  <c r="AL388" i="22" s="1"/>
  <c r="AM388" i="22" s="1"/>
  <c r="AN388" i="22" s="1"/>
  <c r="AO388" i="22" s="1"/>
  <c r="AP388" i="22" s="1"/>
  <c r="AQ388" i="22" s="1"/>
  <c r="AR388" i="22" s="1"/>
  <c r="AS388" i="22" s="1"/>
  <c r="AT388" i="22" s="1"/>
  <c r="AU388" i="22" s="1"/>
  <c r="AV388" i="22" s="1"/>
  <c r="AW388" i="22" s="1"/>
  <c r="AX388" i="22" s="1"/>
  <c r="AY388" i="22" s="1"/>
  <c r="AZ388" i="22" s="1"/>
  <c r="BA388" i="22" s="1"/>
  <c r="BB388" i="22" s="1"/>
  <c r="BC388" i="22" s="1"/>
  <c r="BD388" i="22" s="1"/>
  <c r="BE388" i="22" s="1"/>
  <c r="O383" i="22"/>
  <c r="P383" i="22" s="1"/>
  <c r="Q383" i="22" s="1"/>
  <c r="R383" i="22" s="1"/>
  <c r="S383" i="22" s="1"/>
  <c r="T383" i="22" s="1"/>
  <c r="U383" i="22" s="1"/>
  <c r="V383" i="22" s="1"/>
  <c r="W383" i="22" s="1"/>
  <c r="X383" i="22" s="1"/>
  <c r="Y383" i="22" s="1"/>
  <c r="Z383" i="22" s="1"/>
  <c r="AA383" i="22" s="1"/>
  <c r="AB383" i="22" s="1"/>
  <c r="AC383" i="22" s="1"/>
  <c r="AD383" i="22" s="1"/>
  <c r="AE383" i="22" s="1"/>
  <c r="AF383" i="22" s="1"/>
  <c r="AG383" i="22" s="1"/>
  <c r="AI361" i="22"/>
  <c r="AJ361" i="22" s="1"/>
  <c r="AK361" i="22" s="1"/>
  <c r="AL361" i="22" s="1"/>
  <c r="AM361" i="22" s="1"/>
  <c r="AN361" i="22" s="1"/>
  <c r="AO361" i="22" s="1"/>
  <c r="AP361" i="22" s="1"/>
  <c r="AQ361" i="22" s="1"/>
  <c r="AR361" i="22" s="1"/>
  <c r="AS361" i="22" s="1"/>
  <c r="AT361" i="22" s="1"/>
  <c r="AU361" i="22" s="1"/>
  <c r="AV361" i="22" s="1"/>
  <c r="AW361" i="22" s="1"/>
  <c r="AX361" i="22" s="1"/>
  <c r="AY361" i="22" s="1"/>
  <c r="AZ361" i="22" s="1"/>
  <c r="BA361" i="22" s="1"/>
  <c r="BB361" i="22" s="1"/>
  <c r="BC361" i="22" s="1"/>
  <c r="BD361" i="22" s="1"/>
  <c r="BE361" i="22" s="1"/>
  <c r="AI350" i="22"/>
  <c r="AJ350" i="22" s="1"/>
  <c r="AK350" i="22" s="1"/>
  <c r="AL350" i="22" s="1"/>
  <c r="AM350" i="22" s="1"/>
  <c r="AN350" i="22" s="1"/>
  <c r="AO350" i="22" s="1"/>
  <c r="AP350" i="22" s="1"/>
  <c r="AQ350" i="22" s="1"/>
  <c r="AR350" i="22" s="1"/>
  <c r="AS350" i="22" s="1"/>
  <c r="AT350" i="22" s="1"/>
  <c r="AU350" i="22" s="1"/>
  <c r="AV350" i="22" s="1"/>
  <c r="AW350" i="22" s="1"/>
  <c r="AX350" i="22" s="1"/>
  <c r="AY350" i="22" s="1"/>
  <c r="AZ350" i="22" s="1"/>
  <c r="BA350" i="22" s="1"/>
  <c r="BB350" i="22" s="1"/>
  <c r="BC350" i="22" s="1"/>
  <c r="BD350" i="22" s="1"/>
  <c r="BE350" i="22" s="1"/>
  <c r="O346" i="22"/>
  <c r="P346" i="22" s="1"/>
  <c r="Q346" i="22" s="1"/>
  <c r="R346" i="22" s="1"/>
  <c r="S346" i="22" s="1"/>
  <c r="T346" i="22" s="1"/>
  <c r="U346" i="22" s="1"/>
  <c r="V346" i="22" s="1"/>
  <c r="W346" i="22" s="1"/>
  <c r="X346" i="22" s="1"/>
  <c r="Y346" i="22" s="1"/>
  <c r="Z346" i="22" s="1"/>
  <c r="AA346" i="22" s="1"/>
  <c r="AB346" i="22" s="1"/>
  <c r="AC346" i="22" s="1"/>
  <c r="AD346" i="22" s="1"/>
  <c r="AE346" i="22" s="1"/>
  <c r="AF346" i="22" s="1"/>
  <c r="AG346" i="22" s="1"/>
  <c r="O336" i="22"/>
  <c r="P336" i="22" s="1"/>
  <c r="Q336" i="22" s="1"/>
  <c r="R336" i="22" s="1"/>
  <c r="S336" i="22" s="1"/>
  <c r="T336" i="22" s="1"/>
  <c r="U336" i="22" s="1"/>
  <c r="V336" i="22" s="1"/>
  <c r="W336" i="22" s="1"/>
  <c r="X336" i="22" s="1"/>
  <c r="Y336" i="22" s="1"/>
  <c r="Z336" i="22" s="1"/>
  <c r="AA336" i="22" s="1"/>
  <c r="AB336" i="22" s="1"/>
  <c r="AC336" i="22" s="1"/>
  <c r="AD336" i="22" s="1"/>
  <c r="AE336" i="22" s="1"/>
  <c r="AF336" i="22" s="1"/>
  <c r="AG336" i="22" s="1"/>
  <c r="O333" i="22"/>
  <c r="P333" i="22" s="1"/>
  <c r="Q333" i="22" s="1"/>
  <c r="R333" i="22" s="1"/>
  <c r="S333" i="22" s="1"/>
  <c r="T333" i="22" s="1"/>
  <c r="U333" i="22" s="1"/>
  <c r="V333" i="22" s="1"/>
  <c r="W333" i="22" s="1"/>
  <c r="X333" i="22" s="1"/>
  <c r="Y333" i="22" s="1"/>
  <c r="Z333" i="22" s="1"/>
  <c r="AA333" i="22" s="1"/>
  <c r="AB333" i="22" s="1"/>
  <c r="AC333" i="22" s="1"/>
  <c r="AD333" i="22" s="1"/>
  <c r="AE333" i="22" s="1"/>
  <c r="AF333" i="22" s="1"/>
  <c r="AG333" i="22" s="1"/>
  <c r="O326" i="22"/>
  <c r="P326" i="22" s="1"/>
  <c r="Q326" i="22" s="1"/>
  <c r="R326" i="22" s="1"/>
  <c r="S326" i="22" s="1"/>
  <c r="T326" i="22" s="1"/>
  <c r="U326" i="22" s="1"/>
  <c r="V326" i="22" s="1"/>
  <c r="W326" i="22" s="1"/>
  <c r="X326" i="22" s="1"/>
  <c r="Y326" i="22" s="1"/>
  <c r="Z326" i="22" s="1"/>
  <c r="AA326" i="22" s="1"/>
  <c r="AB326" i="22" s="1"/>
  <c r="AC326" i="22" s="1"/>
  <c r="AD326" i="22" s="1"/>
  <c r="AE326" i="22" s="1"/>
  <c r="AF326" i="22" s="1"/>
  <c r="AG326" i="22" s="1"/>
  <c r="O323" i="22"/>
  <c r="P323" i="22" s="1"/>
  <c r="Q323" i="22" s="1"/>
  <c r="R323" i="22" s="1"/>
  <c r="S323" i="22" s="1"/>
  <c r="T323" i="22" s="1"/>
  <c r="U323" i="22" s="1"/>
  <c r="V323" i="22" s="1"/>
  <c r="W323" i="22" s="1"/>
  <c r="X323" i="22" s="1"/>
  <c r="Y323" i="22" s="1"/>
  <c r="Z323" i="22" s="1"/>
  <c r="AA323" i="22" s="1"/>
  <c r="AB323" i="22" s="1"/>
  <c r="AC323" i="22" s="1"/>
  <c r="AD323" i="22" s="1"/>
  <c r="AE323" i="22" s="1"/>
  <c r="AF323" i="22" s="1"/>
  <c r="AG323" i="22" s="1"/>
  <c r="AI307" i="22"/>
  <c r="AJ307" i="22" s="1"/>
  <c r="AK307" i="22" s="1"/>
  <c r="AL307" i="22" s="1"/>
  <c r="AM307" i="22" s="1"/>
  <c r="AN307" i="22" s="1"/>
  <c r="AO307" i="22" s="1"/>
  <c r="AP307" i="22" s="1"/>
  <c r="AQ307" i="22" s="1"/>
  <c r="AR307" i="22" s="1"/>
  <c r="AS307" i="22" s="1"/>
  <c r="AT307" i="22" s="1"/>
  <c r="AU307" i="22" s="1"/>
  <c r="AV307" i="22" s="1"/>
  <c r="AW307" i="22" s="1"/>
  <c r="AX307" i="22" s="1"/>
  <c r="AY307" i="22" s="1"/>
  <c r="AZ307" i="22" s="1"/>
  <c r="BA307" i="22" s="1"/>
  <c r="BB307" i="22" s="1"/>
  <c r="BC307" i="22" s="1"/>
  <c r="BD307" i="22" s="1"/>
  <c r="BE307" i="22" s="1"/>
  <c r="O278" i="22"/>
  <c r="P278" i="22" s="1"/>
  <c r="Q278" i="22" s="1"/>
  <c r="R278" i="22" s="1"/>
  <c r="S278" i="22" s="1"/>
  <c r="T278" i="22" s="1"/>
  <c r="U278" i="22" s="1"/>
  <c r="V278" i="22" s="1"/>
  <c r="W278" i="22" s="1"/>
  <c r="X278" i="22" s="1"/>
  <c r="Y278" i="22" s="1"/>
  <c r="Z278" i="22" s="1"/>
  <c r="AA278" i="22" s="1"/>
  <c r="AB278" i="22" s="1"/>
  <c r="AC278" i="22" s="1"/>
  <c r="AD278" i="22" s="1"/>
  <c r="AE278" i="22" s="1"/>
  <c r="AF278" i="22" s="1"/>
  <c r="AG278" i="22" s="1"/>
  <c r="O273" i="22"/>
  <c r="P273" i="22" s="1"/>
  <c r="Q273" i="22" s="1"/>
  <c r="R273" i="22" s="1"/>
  <c r="S273" i="22" s="1"/>
  <c r="T273" i="22" s="1"/>
  <c r="U273" i="22" s="1"/>
  <c r="V273" i="22" s="1"/>
  <c r="W273" i="22" s="1"/>
  <c r="X273" i="22" s="1"/>
  <c r="Y273" i="22" s="1"/>
  <c r="Z273" i="22" s="1"/>
  <c r="AA273" i="22" s="1"/>
  <c r="AB273" i="22" s="1"/>
  <c r="AC273" i="22" s="1"/>
  <c r="AD273" i="22" s="1"/>
  <c r="AE273" i="22" s="1"/>
  <c r="AF273" i="22" s="1"/>
  <c r="AG273" i="22" s="1"/>
  <c r="AI271" i="22"/>
  <c r="AJ271" i="22" s="1"/>
  <c r="AK271" i="22" s="1"/>
  <c r="AL271" i="22" s="1"/>
  <c r="AM271" i="22" s="1"/>
  <c r="AN271" i="22" s="1"/>
  <c r="AO271" i="22" s="1"/>
  <c r="AP271" i="22" s="1"/>
  <c r="AQ271" i="22" s="1"/>
  <c r="AR271" i="22" s="1"/>
  <c r="AS271" i="22" s="1"/>
  <c r="AT271" i="22" s="1"/>
  <c r="AU271" i="22" s="1"/>
  <c r="AV271" i="22" s="1"/>
  <c r="AW271" i="22" s="1"/>
  <c r="AX271" i="22" s="1"/>
  <c r="AY271" i="22" s="1"/>
  <c r="AZ271" i="22" s="1"/>
  <c r="BA271" i="22" s="1"/>
  <c r="BB271" i="22" s="1"/>
  <c r="BC271" i="22" s="1"/>
  <c r="BD271" i="22" s="1"/>
  <c r="BE271" i="22" s="1"/>
  <c r="AI267" i="22"/>
  <c r="AJ267" i="22" s="1"/>
  <c r="AK267" i="22" s="1"/>
  <c r="AL267" i="22" s="1"/>
  <c r="AM267" i="22" s="1"/>
  <c r="AN267" i="22" s="1"/>
  <c r="AO267" i="22" s="1"/>
  <c r="AP267" i="22" s="1"/>
  <c r="AQ267" i="22" s="1"/>
  <c r="AR267" i="22" s="1"/>
  <c r="AS267" i="22" s="1"/>
  <c r="AT267" i="22" s="1"/>
  <c r="AU267" i="22" s="1"/>
  <c r="AV267" i="22" s="1"/>
  <c r="AW267" i="22" s="1"/>
  <c r="AX267" i="22" s="1"/>
  <c r="AY267" i="22" s="1"/>
  <c r="AZ267" i="22" s="1"/>
  <c r="BA267" i="22" s="1"/>
  <c r="BB267" i="22" s="1"/>
  <c r="BC267" i="22" s="1"/>
  <c r="BD267" i="22" s="1"/>
  <c r="BE267" i="22" s="1"/>
  <c r="AI265" i="22"/>
  <c r="AJ265" i="22" s="1"/>
  <c r="AK265" i="22" s="1"/>
  <c r="AL265" i="22" s="1"/>
  <c r="AM265" i="22" s="1"/>
  <c r="AN265" i="22" s="1"/>
  <c r="AO265" i="22" s="1"/>
  <c r="AP265" i="22" s="1"/>
  <c r="AQ265" i="22" s="1"/>
  <c r="AR265" i="22" s="1"/>
  <c r="AS265" i="22" s="1"/>
  <c r="AT265" i="22" s="1"/>
  <c r="AU265" i="22" s="1"/>
  <c r="AV265" i="22" s="1"/>
  <c r="AW265" i="22" s="1"/>
  <c r="AX265" i="22" s="1"/>
  <c r="AY265" i="22" s="1"/>
  <c r="AZ265" i="22" s="1"/>
  <c r="BA265" i="22" s="1"/>
  <c r="BB265" i="22" s="1"/>
  <c r="BC265" i="22" s="1"/>
  <c r="BD265" i="22" s="1"/>
  <c r="BE265" i="22" s="1"/>
  <c r="AI263" i="22"/>
  <c r="AJ263" i="22" s="1"/>
  <c r="AK263" i="22" s="1"/>
  <c r="AL263" i="22" s="1"/>
  <c r="AM263" i="22" s="1"/>
  <c r="AN263" i="22" s="1"/>
  <c r="AO263" i="22" s="1"/>
  <c r="AP263" i="22" s="1"/>
  <c r="AQ263" i="22" s="1"/>
  <c r="AR263" i="22" s="1"/>
  <c r="AS263" i="22" s="1"/>
  <c r="AT263" i="22" s="1"/>
  <c r="AU263" i="22" s="1"/>
  <c r="AV263" i="22" s="1"/>
  <c r="AW263" i="22" s="1"/>
  <c r="AX263" i="22" s="1"/>
  <c r="AY263" i="22" s="1"/>
  <c r="AZ263" i="22" s="1"/>
  <c r="BA263" i="22" s="1"/>
  <c r="BB263" i="22" s="1"/>
  <c r="BC263" i="22" s="1"/>
  <c r="BD263" i="22" s="1"/>
  <c r="BE263" i="22" s="1"/>
  <c r="AI261" i="22"/>
  <c r="AJ261" i="22" s="1"/>
  <c r="AK261" i="22" s="1"/>
  <c r="AL261" i="22" s="1"/>
  <c r="AM261" i="22" s="1"/>
  <c r="AN261" i="22" s="1"/>
  <c r="AO261" i="22" s="1"/>
  <c r="AP261" i="22" s="1"/>
  <c r="AQ261" i="22" s="1"/>
  <c r="AR261" i="22" s="1"/>
  <c r="AS261" i="22" s="1"/>
  <c r="AT261" i="22" s="1"/>
  <c r="AU261" i="22" s="1"/>
  <c r="AV261" i="22" s="1"/>
  <c r="AW261" i="22" s="1"/>
  <c r="AX261" i="22" s="1"/>
  <c r="AY261" i="22" s="1"/>
  <c r="AZ261" i="22" s="1"/>
  <c r="BA261" i="22" s="1"/>
  <c r="BB261" i="22" s="1"/>
  <c r="BC261" i="22" s="1"/>
  <c r="BD261" i="22" s="1"/>
  <c r="BE261" i="22" s="1"/>
  <c r="AI259" i="22"/>
  <c r="AJ259" i="22" s="1"/>
  <c r="AK259" i="22" s="1"/>
  <c r="AL259" i="22" s="1"/>
  <c r="AM259" i="22" s="1"/>
  <c r="AN259" i="22" s="1"/>
  <c r="AO259" i="22" s="1"/>
  <c r="AP259" i="22" s="1"/>
  <c r="AQ259" i="22" s="1"/>
  <c r="AR259" i="22" s="1"/>
  <c r="AS259" i="22" s="1"/>
  <c r="AT259" i="22" s="1"/>
  <c r="AU259" i="22" s="1"/>
  <c r="AV259" i="22" s="1"/>
  <c r="AW259" i="22" s="1"/>
  <c r="AX259" i="22" s="1"/>
  <c r="AY259" i="22" s="1"/>
  <c r="AZ259" i="22" s="1"/>
  <c r="BA259" i="22" s="1"/>
  <c r="BB259" i="22" s="1"/>
  <c r="BC259" i="22" s="1"/>
  <c r="BD259" i="22" s="1"/>
  <c r="BE259" i="22" s="1"/>
  <c r="AI257" i="22"/>
  <c r="AJ257" i="22" s="1"/>
  <c r="AK257" i="22" s="1"/>
  <c r="AL257" i="22" s="1"/>
  <c r="AM257" i="22" s="1"/>
  <c r="AN257" i="22" s="1"/>
  <c r="AO257" i="22" s="1"/>
  <c r="AP257" i="22" s="1"/>
  <c r="AQ257" i="22" s="1"/>
  <c r="AR257" i="22" s="1"/>
  <c r="AS257" i="22" s="1"/>
  <c r="AT257" i="22" s="1"/>
  <c r="AU257" i="22" s="1"/>
  <c r="AV257" i="22" s="1"/>
  <c r="AW257" i="22" s="1"/>
  <c r="AX257" i="22" s="1"/>
  <c r="AY257" i="22" s="1"/>
  <c r="AZ257" i="22" s="1"/>
  <c r="BA257" i="22" s="1"/>
  <c r="BB257" i="22" s="1"/>
  <c r="BC257" i="22" s="1"/>
  <c r="BD257" i="22" s="1"/>
  <c r="BE257" i="22" s="1"/>
  <c r="AI255" i="22"/>
  <c r="AJ255" i="22" s="1"/>
  <c r="AK255" i="22" s="1"/>
  <c r="AL255" i="22" s="1"/>
  <c r="AM255" i="22" s="1"/>
  <c r="AN255" i="22" s="1"/>
  <c r="AO255" i="22" s="1"/>
  <c r="AP255" i="22" s="1"/>
  <c r="AQ255" i="22" s="1"/>
  <c r="AR255" i="22" s="1"/>
  <c r="AS255" i="22" s="1"/>
  <c r="AT255" i="22" s="1"/>
  <c r="AU255" i="22" s="1"/>
  <c r="AV255" i="22" s="1"/>
  <c r="AW255" i="22" s="1"/>
  <c r="AX255" i="22" s="1"/>
  <c r="AY255" i="22" s="1"/>
  <c r="AZ255" i="22" s="1"/>
  <c r="BA255" i="22" s="1"/>
  <c r="BB255" i="22" s="1"/>
  <c r="BC255" i="22" s="1"/>
  <c r="BD255" i="22" s="1"/>
  <c r="BE255" i="22" s="1"/>
  <c r="AI253" i="22"/>
  <c r="AJ253" i="22" s="1"/>
  <c r="AK253" i="22" s="1"/>
  <c r="AL253" i="22" s="1"/>
  <c r="AM253" i="22" s="1"/>
  <c r="AN253" i="22" s="1"/>
  <c r="AO253" i="22" s="1"/>
  <c r="AP253" i="22" s="1"/>
  <c r="AQ253" i="22" s="1"/>
  <c r="AR253" i="22" s="1"/>
  <c r="AS253" i="22" s="1"/>
  <c r="AT253" i="22" s="1"/>
  <c r="AU253" i="22" s="1"/>
  <c r="AV253" i="22" s="1"/>
  <c r="AW253" i="22" s="1"/>
  <c r="AX253" i="22" s="1"/>
  <c r="AY253" i="22" s="1"/>
  <c r="AZ253" i="22" s="1"/>
  <c r="BA253" i="22" s="1"/>
  <c r="BB253" i="22" s="1"/>
  <c r="BC253" i="22" s="1"/>
  <c r="BD253" i="22" s="1"/>
  <c r="BE253" i="22" s="1"/>
  <c r="AI251" i="22"/>
  <c r="AJ251" i="22" s="1"/>
  <c r="AK251" i="22" s="1"/>
  <c r="AL251" i="22" s="1"/>
  <c r="AM251" i="22" s="1"/>
  <c r="AN251" i="22" s="1"/>
  <c r="AO251" i="22" s="1"/>
  <c r="AP251" i="22" s="1"/>
  <c r="AQ251" i="22" s="1"/>
  <c r="AR251" i="22" s="1"/>
  <c r="AS251" i="22" s="1"/>
  <c r="AT251" i="22" s="1"/>
  <c r="AU251" i="22" s="1"/>
  <c r="AV251" i="22" s="1"/>
  <c r="AW251" i="22" s="1"/>
  <c r="AX251" i="22" s="1"/>
  <c r="AY251" i="22" s="1"/>
  <c r="AZ251" i="22" s="1"/>
  <c r="BA251" i="22" s="1"/>
  <c r="BB251" i="22" s="1"/>
  <c r="BC251" i="22" s="1"/>
  <c r="BD251" i="22" s="1"/>
  <c r="BE251" i="22" s="1"/>
  <c r="AI249" i="22"/>
  <c r="AJ249" i="22" s="1"/>
  <c r="AK249" i="22" s="1"/>
  <c r="AL249" i="22" s="1"/>
  <c r="AM249" i="22" s="1"/>
  <c r="AN249" i="22" s="1"/>
  <c r="AO249" i="22" s="1"/>
  <c r="AP249" i="22" s="1"/>
  <c r="AQ249" i="22" s="1"/>
  <c r="AR249" i="22" s="1"/>
  <c r="AS249" i="22" s="1"/>
  <c r="AT249" i="22" s="1"/>
  <c r="AU249" i="22" s="1"/>
  <c r="AV249" i="22" s="1"/>
  <c r="AW249" i="22" s="1"/>
  <c r="AX249" i="22" s="1"/>
  <c r="AY249" i="22" s="1"/>
  <c r="AZ249" i="22" s="1"/>
  <c r="BA249" i="22" s="1"/>
  <c r="BB249" i="22" s="1"/>
  <c r="BC249" i="22" s="1"/>
  <c r="BD249" i="22" s="1"/>
  <c r="BE249" i="22" s="1"/>
  <c r="AI247" i="22"/>
  <c r="AJ247" i="22" s="1"/>
  <c r="AK247" i="22" s="1"/>
  <c r="AL247" i="22" s="1"/>
  <c r="AM247" i="22" s="1"/>
  <c r="AN247" i="22" s="1"/>
  <c r="AO247" i="22" s="1"/>
  <c r="AP247" i="22" s="1"/>
  <c r="AQ247" i="22" s="1"/>
  <c r="AR247" i="22" s="1"/>
  <c r="AS247" i="22" s="1"/>
  <c r="AT247" i="22" s="1"/>
  <c r="AU247" i="22" s="1"/>
  <c r="AV247" i="22" s="1"/>
  <c r="AW247" i="22" s="1"/>
  <c r="AX247" i="22" s="1"/>
  <c r="AY247" i="22" s="1"/>
  <c r="AZ247" i="22" s="1"/>
  <c r="BA247" i="22" s="1"/>
  <c r="BB247" i="22" s="1"/>
  <c r="BC247" i="22" s="1"/>
  <c r="BD247" i="22" s="1"/>
  <c r="BE247" i="22" s="1"/>
  <c r="AI245" i="22"/>
  <c r="AJ245" i="22" s="1"/>
  <c r="AK245" i="22" s="1"/>
  <c r="AL245" i="22" s="1"/>
  <c r="AM245" i="22" s="1"/>
  <c r="AN245" i="22" s="1"/>
  <c r="AO245" i="22" s="1"/>
  <c r="AP245" i="22" s="1"/>
  <c r="AQ245" i="22" s="1"/>
  <c r="AR245" i="22" s="1"/>
  <c r="AS245" i="22" s="1"/>
  <c r="AT245" i="22" s="1"/>
  <c r="AU245" i="22" s="1"/>
  <c r="AV245" i="22" s="1"/>
  <c r="AW245" i="22" s="1"/>
  <c r="AX245" i="22" s="1"/>
  <c r="AY245" i="22" s="1"/>
  <c r="AZ245" i="22" s="1"/>
  <c r="BA245" i="22" s="1"/>
  <c r="BB245" i="22" s="1"/>
  <c r="BC245" i="22" s="1"/>
  <c r="BD245" i="22" s="1"/>
  <c r="BE245" i="22" s="1"/>
  <c r="AI243" i="22"/>
  <c r="AJ243" i="22" s="1"/>
  <c r="AK243" i="22" s="1"/>
  <c r="AL243" i="22" s="1"/>
  <c r="AM243" i="22" s="1"/>
  <c r="AN243" i="22" s="1"/>
  <c r="AO243" i="22" s="1"/>
  <c r="AP243" i="22" s="1"/>
  <c r="AQ243" i="22" s="1"/>
  <c r="AR243" i="22" s="1"/>
  <c r="AS243" i="22" s="1"/>
  <c r="AT243" i="22" s="1"/>
  <c r="AU243" i="22" s="1"/>
  <c r="AV243" i="22" s="1"/>
  <c r="AW243" i="22" s="1"/>
  <c r="AX243" i="22" s="1"/>
  <c r="AY243" i="22" s="1"/>
  <c r="AZ243" i="22" s="1"/>
  <c r="BA243" i="22" s="1"/>
  <c r="BB243" i="22" s="1"/>
  <c r="BC243" i="22" s="1"/>
  <c r="BD243" i="22" s="1"/>
  <c r="BE243" i="22" s="1"/>
  <c r="AI241" i="22"/>
  <c r="AJ241" i="22" s="1"/>
  <c r="AK241" i="22" s="1"/>
  <c r="AL241" i="22" s="1"/>
  <c r="AM241" i="22" s="1"/>
  <c r="AN241" i="22" s="1"/>
  <c r="AO241" i="22" s="1"/>
  <c r="AP241" i="22" s="1"/>
  <c r="AQ241" i="22" s="1"/>
  <c r="AR241" i="22" s="1"/>
  <c r="AS241" i="22" s="1"/>
  <c r="AT241" i="22" s="1"/>
  <c r="AU241" i="22" s="1"/>
  <c r="AV241" i="22" s="1"/>
  <c r="AW241" i="22" s="1"/>
  <c r="AX241" i="22" s="1"/>
  <c r="AY241" i="22" s="1"/>
  <c r="AZ241" i="22" s="1"/>
  <c r="BA241" i="22" s="1"/>
  <c r="BB241" i="22" s="1"/>
  <c r="BC241" i="22" s="1"/>
  <c r="BD241" i="22" s="1"/>
  <c r="BE241" i="22" s="1"/>
  <c r="AI239" i="22"/>
  <c r="AJ239" i="22" s="1"/>
  <c r="AK239" i="22" s="1"/>
  <c r="AL239" i="22" s="1"/>
  <c r="AM239" i="22" s="1"/>
  <c r="AN239" i="22" s="1"/>
  <c r="AO239" i="22" s="1"/>
  <c r="AP239" i="22" s="1"/>
  <c r="AQ239" i="22" s="1"/>
  <c r="AR239" i="22" s="1"/>
  <c r="AS239" i="22" s="1"/>
  <c r="AT239" i="22" s="1"/>
  <c r="AU239" i="22" s="1"/>
  <c r="AV239" i="22" s="1"/>
  <c r="AW239" i="22" s="1"/>
  <c r="AX239" i="22" s="1"/>
  <c r="AY239" i="22" s="1"/>
  <c r="AZ239" i="22" s="1"/>
  <c r="BA239" i="22" s="1"/>
  <c r="BB239" i="22" s="1"/>
  <c r="BC239" i="22" s="1"/>
  <c r="BD239" i="22" s="1"/>
  <c r="BE239" i="22" s="1"/>
  <c r="AI237" i="22"/>
  <c r="AJ237" i="22" s="1"/>
  <c r="AK237" i="22" s="1"/>
  <c r="AL237" i="22" s="1"/>
  <c r="AM237" i="22" s="1"/>
  <c r="AN237" i="22" s="1"/>
  <c r="AO237" i="22" s="1"/>
  <c r="AP237" i="22" s="1"/>
  <c r="AQ237" i="22" s="1"/>
  <c r="AR237" i="22" s="1"/>
  <c r="AS237" i="22" s="1"/>
  <c r="AT237" i="22" s="1"/>
  <c r="AU237" i="22" s="1"/>
  <c r="AV237" i="22" s="1"/>
  <c r="AW237" i="22" s="1"/>
  <c r="AX237" i="22" s="1"/>
  <c r="AY237" i="22" s="1"/>
  <c r="AZ237" i="22" s="1"/>
  <c r="BA237" i="22" s="1"/>
  <c r="BB237" i="22" s="1"/>
  <c r="BC237" i="22" s="1"/>
  <c r="BD237" i="22" s="1"/>
  <c r="BE237" i="22" s="1"/>
  <c r="AI235" i="22"/>
  <c r="AJ235" i="22" s="1"/>
  <c r="AK235" i="22" s="1"/>
  <c r="AL235" i="22" s="1"/>
  <c r="AM235" i="22" s="1"/>
  <c r="AN235" i="22" s="1"/>
  <c r="AO235" i="22" s="1"/>
  <c r="AP235" i="22" s="1"/>
  <c r="AQ235" i="22" s="1"/>
  <c r="AR235" i="22" s="1"/>
  <c r="AS235" i="22" s="1"/>
  <c r="AT235" i="22" s="1"/>
  <c r="AU235" i="22" s="1"/>
  <c r="AV235" i="22" s="1"/>
  <c r="AW235" i="22" s="1"/>
  <c r="AX235" i="22" s="1"/>
  <c r="AY235" i="22" s="1"/>
  <c r="AZ235" i="22" s="1"/>
  <c r="BA235" i="22" s="1"/>
  <c r="BB235" i="22" s="1"/>
  <c r="BC235" i="22" s="1"/>
  <c r="BD235" i="22" s="1"/>
  <c r="BE235" i="22" s="1"/>
  <c r="AI233" i="22"/>
  <c r="AJ233" i="22" s="1"/>
  <c r="AK233" i="22" s="1"/>
  <c r="AL233" i="22" s="1"/>
  <c r="AM233" i="22" s="1"/>
  <c r="AN233" i="22" s="1"/>
  <c r="AO233" i="22" s="1"/>
  <c r="AP233" i="22" s="1"/>
  <c r="AQ233" i="22" s="1"/>
  <c r="AR233" i="22" s="1"/>
  <c r="AS233" i="22" s="1"/>
  <c r="AT233" i="22" s="1"/>
  <c r="AU233" i="22" s="1"/>
  <c r="AV233" i="22" s="1"/>
  <c r="AW233" i="22" s="1"/>
  <c r="AX233" i="22" s="1"/>
  <c r="AY233" i="22" s="1"/>
  <c r="AZ233" i="22" s="1"/>
  <c r="BA233" i="22" s="1"/>
  <c r="BB233" i="22" s="1"/>
  <c r="BC233" i="22" s="1"/>
  <c r="BD233" i="22" s="1"/>
  <c r="BE233" i="22" s="1"/>
  <c r="AI231" i="22"/>
  <c r="AJ231" i="22" s="1"/>
  <c r="AK231" i="22" s="1"/>
  <c r="AL231" i="22" s="1"/>
  <c r="AM231" i="22" s="1"/>
  <c r="AN231" i="22" s="1"/>
  <c r="AO231" i="22" s="1"/>
  <c r="AP231" i="22" s="1"/>
  <c r="AQ231" i="22" s="1"/>
  <c r="AR231" i="22" s="1"/>
  <c r="AS231" i="22" s="1"/>
  <c r="AT231" i="22" s="1"/>
  <c r="AU231" i="22" s="1"/>
  <c r="AV231" i="22" s="1"/>
  <c r="AW231" i="22" s="1"/>
  <c r="AX231" i="22" s="1"/>
  <c r="AY231" i="22" s="1"/>
  <c r="AZ231" i="22" s="1"/>
  <c r="BA231" i="22" s="1"/>
  <c r="BB231" i="22" s="1"/>
  <c r="BC231" i="22" s="1"/>
  <c r="BD231" i="22" s="1"/>
  <c r="BE231" i="22" s="1"/>
  <c r="AI229" i="22"/>
  <c r="AJ229" i="22" s="1"/>
  <c r="AK229" i="22" s="1"/>
  <c r="AL229" i="22" s="1"/>
  <c r="AM229" i="22" s="1"/>
  <c r="AN229" i="22" s="1"/>
  <c r="AO229" i="22" s="1"/>
  <c r="AP229" i="22" s="1"/>
  <c r="AQ229" i="22" s="1"/>
  <c r="AR229" i="22" s="1"/>
  <c r="AS229" i="22" s="1"/>
  <c r="AT229" i="22" s="1"/>
  <c r="AU229" i="22" s="1"/>
  <c r="AV229" i="22" s="1"/>
  <c r="AW229" i="22" s="1"/>
  <c r="AX229" i="22" s="1"/>
  <c r="AY229" i="22" s="1"/>
  <c r="AZ229" i="22" s="1"/>
  <c r="BA229" i="22" s="1"/>
  <c r="BB229" i="22" s="1"/>
  <c r="BC229" i="22" s="1"/>
  <c r="BD229" i="22" s="1"/>
  <c r="BE229" i="22" s="1"/>
  <c r="AI227" i="22"/>
  <c r="AJ227" i="22" s="1"/>
  <c r="AK227" i="22" s="1"/>
  <c r="AL227" i="22" s="1"/>
  <c r="AM227" i="22" s="1"/>
  <c r="AN227" i="22" s="1"/>
  <c r="AO227" i="22" s="1"/>
  <c r="AP227" i="22" s="1"/>
  <c r="AQ227" i="22" s="1"/>
  <c r="AR227" i="22" s="1"/>
  <c r="AS227" i="22" s="1"/>
  <c r="AT227" i="22" s="1"/>
  <c r="AU227" i="22" s="1"/>
  <c r="AV227" i="22" s="1"/>
  <c r="AW227" i="22" s="1"/>
  <c r="AX227" i="22" s="1"/>
  <c r="AY227" i="22" s="1"/>
  <c r="AZ227" i="22" s="1"/>
  <c r="BA227" i="22" s="1"/>
  <c r="BB227" i="22" s="1"/>
  <c r="BC227" i="22" s="1"/>
  <c r="BD227" i="22" s="1"/>
  <c r="BE227" i="22" s="1"/>
  <c r="AI546" i="22"/>
  <c r="AJ546" i="22" s="1"/>
  <c r="AK546" i="22" s="1"/>
  <c r="AL546" i="22" s="1"/>
  <c r="AM546" i="22" s="1"/>
  <c r="AN546" i="22" s="1"/>
  <c r="AO546" i="22" s="1"/>
  <c r="AP546" i="22" s="1"/>
  <c r="AQ546" i="22" s="1"/>
  <c r="AR546" i="22" s="1"/>
  <c r="AS546" i="22" s="1"/>
  <c r="AT546" i="22" s="1"/>
  <c r="AU546" i="22" s="1"/>
  <c r="AV546" i="22" s="1"/>
  <c r="AW546" i="22" s="1"/>
  <c r="AX546" i="22" s="1"/>
  <c r="AY546" i="22" s="1"/>
  <c r="AZ546" i="22" s="1"/>
  <c r="BA546" i="22" s="1"/>
  <c r="BB546" i="22" s="1"/>
  <c r="BC546" i="22" s="1"/>
  <c r="BD546" i="22" s="1"/>
  <c r="BE546" i="22" s="1"/>
  <c r="AI432" i="22"/>
  <c r="AJ432" i="22" s="1"/>
  <c r="AK432" i="22" s="1"/>
  <c r="AL432" i="22" s="1"/>
  <c r="AM432" i="22" s="1"/>
  <c r="AN432" i="22" s="1"/>
  <c r="AO432" i="22" s="1"/>
  <c r="AP432" i="22" s="1"/>
  <c r="AQ432" i="22" s="1"/>
  <c r="AR432" i="22" s="1"/>
  <c r="AS432" i="22" s="1"/>
  <c r="AT432" i="22" s="1"/>
  <c r="AU432" i="22" s="1"/>
  <c r="AV432" i="22" s="1"/>
  <c r="AW432" i="22" s="1"/>
  <c r="AX432" i="22" s="1"/>
  <c r="AY432" i="22" s="1"/>
  <c r="AZ432" i="22" s="1"/>
  <c r="BA432" i="22" s="1"/>
  <c r="BB432" i="22" s="1"/>
  <c r="BC432" i="22" s="1"/>
  <c r="BD432" i="22" s="1"/>
  <c r="BE432" i="22" s="1"/>
  <c r="O421" i="22"/>
  <c r="P421" i="22" s="1"/>
  <c r="Q421" i="22" s="1"/>
  <c r="R421" i="22" s="1"/>
  <c r="S421" i="22" s="1"/>
  <c r="T421" i="22" s="1"/>
  <c r="U421" i="22" s="1"/>
  <c r="V421" i="22" s="1"/>
  <c r="W421" i="22" s="1"/>
  <c r="X421" i="22" s="1"/>
  <c r="Y421" i="22" s="1"/>
  <c r="Z421" i="22" s="1"/>
  <c r="AA421" i="22" s="1"/>
  <c r="AB421" i="22" s="1"/>
  <c r="AC421" i="22" s="1"/>
  <c r="AD421" i="22" s="1"/>
  <c r="AE421" i="22" s="1"/>
  <c r="AF421" i="22" s="1"/>
  <c r="AG421" i="22" s="1"/>
  <c r="O415" i="22"/>
  <c r="P415" i="22" s="1"/>
  <c r="Q415" i="22" s="1"/>
  <c r="R415" i="22" s="1"/>
  <c r="S415" i="22" s="1"/>
  <c r="T415" i="22" s="1"/>
  <c r="U415" i="22" s="1"/>
  <c r="V415" i="22" s="1"/>
  <c r="W415" i="22" s="1"/>
  <c r="X415" i="22" s="1"/>
  <c r="Y415" i="22" s="1"/>
  <c r="Z415" i="22" s="1"/>
  <c r="AA415" i="22" s="1"/>
  <c r="AB415" i="22" s="1"/>
  <c r="AC415" i="22" s="1"/>
  <c r="AD415" i="22" s="1"/>
  <c r="AE415" i="22" s="1"/>
  <c r="AF415" i="22" s="1"/>
  <c r="AG415" i="22" s="1"/>
  <c r="AI407" i="22"/>
  <c r="AJ407" i="22" s="1"/>
  <c r="AK407" i="22" s="1"/>
  <c r="AL407" i="22" s="1"/>
  <c r="AM407" i="22" s="1"/>
  <c r="AN407" i="22" s="1"/>
  <c r="AO407" i="22" s="1"/>
  <c r="AP407" i="22" s="1"/>
  <c r="AQ407" i="22" s="1"/>
  <c r="AR407" i="22" s="1"/>
  <c r="AS407" i="22" s="1"/>
  <c r="AT407" i="22" s="1"/>
  <c r="AU407" i="22" s="1"/>
  <c r="AV407" i="22" s="1"/>
  <c r="AW407" i="22" s="1"/>
  <c r="AX407" i="22" s="1"/>
  <c r="AY407" i="22" s="1"/>
  <c r="AZ407" i="22" s="1"/>
  <c r="BA407" i="22" s="1"/>
  <c r="BB407" i="22" s="1"/>
  <c r="BC407" i="22" s="1"/>
  <c r="BD407" i="22" s="1"/>
  <c r="BE407" i="22" s="1"/>
  <c r="O403" i="22"/>
  <c r="P403" i="22" s="1"/>
  <c r="Q403" i="22" s="1"/>
  <c r="R403" i="22" s="1"/>
  <c r="S403" i="22" s="1"/>
  <c r="T403" i="22" s="1"/>
  <c r="U403" i="22" s="1"/>
  <c r="V403" i="22" s="1"/>
  <c r="W403" i="22" s="1"/>
  <c r="X403" i="22" s="1"/>
  <c r="Y403" i="22" s="1"/>
  <c r="Z403" i="22" s="1"/>
  <c r="AA403" i="22" s="1"/>
  <c r="AB403" i="22" s="1"/>
  <c r="AC403" i="22" s="1"/>
  <c r="AD403" i="22" s="1"/>
  <c r="AE403" i="22" s="1"/>
  <c r="AF403" i="22" s="1"/>
  <c r="AG403" i="22" s="1"/>
  <c r="AI392" i="22"/>
  <c r="AJ392" i="22" s="1"/>
  <c r="AK392" i="22" s="1"/>
  <c r="AL392" i="22" s="1"/>
  <c r="AM392" i="22" s="1"/>
  <c r="AN392" i="22" s="1"/>
  <c r="AO392" i="22" s="1"/>
  <c r="AP392" i="22" s="1"/>
  <c r="AQ392" i="22" s="1"/>
  <c r="AR392" i="22" s="1"/>
  <c r="AS392" i="22" s="1"/>
  <c r="AT392" i="22" s="1"/>
  <c r="AU392" i="22" s="1"/>
  <c r="AV392" i="22" s="1"/>
  <c r="AW392" i="22" s="1"/>
  <c r="AX392" i="22" s="1"/>
  <c r="AY392" i="22" s="1"/>
  <c r="AZ392" i="22" s="1"/>
  <c r="BA392" i="22" s="1"/>
  <c r="BB392" i="22" s="1"/>
  <c r="BC392" i="22" s="1"/>
  <c r="BD392" i="22" s="1"/>
  <c r="BE392" i="22" s="1"/>
  <c r="AI383" i="22"/>
  <c r="AJ383" i="22" s="1"/>
  <c r="AK383" i="22" s="1"/>
  <c r="AL383" i="22" s="1"/>
  <c r="AM383" i="22" s="1"/>
  <c r="AN383" i="22" s="1"/>
  <c r="AO383" i="22" s="1"/>
  <c r="AP383" i="22" s="1"/>
  <c r="AQ383" i="22" s="1"/>
  <c r="AR383" i="22" s="1"/>
  <c r="AS383" i="22" s="1"/>
  <c r="AT383" i="22" s="1"/>
  <c r="AU383" i="22" s="1"/>
  <c r="AV383" i="22" s="1"/>
  <c r="AW383" i="22" s="1"/>
  <c r="AX383" i="22" s="1"/>
  <c r="AY383" i="22" s="1"/>
  <c r="AZ383" i="22" s="1"/>
  <c r="BA383" i="22" s="1"/>
  <c r="BB383" i="22" s="1"/>
  <c r="BC383" i="22" s="1"/>
  <c r="BD383" i="22" s="1"/>
  <c r="BE383" i="22" s="1"/>
  <c r="O378" i="22"/>
  <c r="P378" i="22" s="1"/>
  <c r="Q378" i="22" s="1"/>
  <c r="R378" i="22" s="1"/>
  <c r="S378" i="22" s="1"/>
  <c r="T378" i="22" s="1"/>
  <c r="U378" i="22" s="1"/>
  <c r="V378" i="22" s="1"/>
  <c r="W378" i="22" s="1"/>
  <c r="X378" i="22" s="1"/>
  <c r="Y378" i="22" s="1"/>
  <c r="Z378" i="22" s="1"/>
  <c r="AA378" i="22" s="1"/>
  <c r="AB378" i="22" s="1"/>
  <c r="AC378" i="22" s="1"/>
  <c r="AD378" i="22" s="1"/>
  <c r="AE378" i="22" s="1"/>
  <c r="AF378" i="22" s="1"/>
  <c r="AG378" i="22" s="1"/>
  <c r="O373" i="22"/>
  <c r="P373" i="22" s="1"/>
  <c r="Q373" i="22" s="1"/>
  <c r="R373" i="22" s="1"/>
  <c r="S373" i="22" s="1"/>
  <c r="T373" i="22" s="1"/>
  <c r="U373" i="22" s="1"/>
  <c r="V373" i="22" s="1"/>
  <c r="W373" i="22" s="1"/>
  <c r="X373" i="22" s="1"/>
  <c r="Y373" i="22" s="1"/>
  <c r="Z373" i="22" s="1"/>
  <c r="AA373" i="22" s="1"/>
  <c r="AB373" i="22" s="1"/>
  <c r="AC373" i="22" s="1"/>
  <c r="AD373" i="22" s="1"/>
  <c r="AE373" i="22" s="1"/>
  <c r="AF373" i="22" s="1"/>
  <c r="AG373" i="22" s="1"/>
  <c r="AI360" i="22"/>
  <c r="AJ360" i="22" s="1"/>
  <c r="AK360" i="22" s="1"/>
  <c r="AL360" i="22" s="1"/>
  <c r="AM360" i="22" s="1"/>
  <c r="AN360" i="22" s="1"/>
  <c r="AO360" i="22" s="1"/>
  <c r="AP360" i="22" s="1"/>
  <c r="AQ360" i="22" s="1"/>
  <c r="AR360" i="22" s="1"/>
  <c r="AS360" i="22" s="1"/>
  <c r="AT360" i="22" s="1"/>
  <c r="AU360" i="22" s="1"/>
  <c r="AV360" i="22" s="1"/>
  <c r="AW360" i="22" s="1"/>
  <c r="AX360" i="22" s="1"/>
  <c r="AY360" i="22" s="1"/>
  <c r="AZ360" i="22" s="1"/>
  <c r="BA360" i="22" s="1"/>
  <c r="BB360" i="22" s="1"/>
  <c r="BC360" i="22" s="1"/>
  <c r="BD360" i="22" s="1"/>
  <c r="BE360" i="22" s="1"/>
  <c r="O356" i="22"/>
  <c r="P356" i="22" s="1"/>
  <c r="Q356" i="22" s="1"/>
  <c r="R356" i="22" s="1"/>
  <c r="S356" i="22" s="1"/>
  <c r="T356" i="22" s="1"/>
  <c r="U356" i="22" s="1"/>
  <c r="V356" i="22" s="1"/>
  <c r="W356" i="22" s="1"/>
  <c r="X356" i="22" s="1"/>
  <c r="Y356" i="22" s="1"/>
  <c r="Z356" i="22" s="1"/>
  <c r="AA356" i="22" s="1"/>
  <c r="AB356" i="22" s="1"/>
  <c r="AC356" i="22" s="1"/>
  <c r="AD356" i="22" s="1"/>
  <c r="AE356" i="22" s="1"/>
  <c r="AF356" i="22" s="1"/>
  <c r="AG356" i="22" s="1"/>
  <c r="O343" i="22"/>
  <c r="P343" i="22" s="1"/>
  <c r="Q343" i="22" s="1"/>
  <c r="R343" i="22" s="1"/>
  <c r="S343" i="22" s="1"/>
  <c r="T343" i="22" s="1"/>
  <c r="U343" i="22" s="1"/>
  <c r="V343" i="22" s="1"/>
  <c r="W343" i="22" s="1"/>
  <c r="X343" i="22" s="1"/>
  <c r="Y343" i="22" s="1"/>
  <c r="Z343" i="22" s="1"/>
  <c r="AA343" i="22" s="1"/>
  <c r="AB343" i="22" s="1"/>
  <c r="AC343" i="22" s="1"/>
  <c r="AD343" i="22" s="1"/>
  <c r="AE343" i="22" s="1"/>
  <c r="AF343" i="22" s="1"/>
  <c r="AG343" i="22" s="1"/>
  <c r="AI337" i="22"/>
  <c r="AJ337" i="22" s="1"/>
  <c r="AK337" i="22" s="1"/>
  <c r="AL337" i="22" s="1"/>
  <c r="AM337" i="22" s="1"/>
  <c r="AN337" i="22" s="1"/>
  <c r="AO337" i="22" s="1"/>
  <c r="AP337" i="22" s="1"/>
  <c r="AQ337" i="22" s="1"/>
  <c r="AR337" i="22" s="1"/>
  <c r="AS337" i="22" s="1"/>
  <c r="AT337" i="22" s="1"/>
  <c r="AU337" i="22" s="1"/>
  <c r="AV337" i="22" s="1"/>
  <c r="AW337" i="22" s="1"/>
  <c r="AX337" i="22" s="1"/>
  <c r="AY337" i="22" s="1"/>
  <c r="AZ337" i="22" s="1"/>
  <c r="BA337" i="22" s="1"/>
  <c r="BB337" i="22" s="1"/>
  <c r="BC337" i="22" s="1"/>
  <c r="BD337" i="22" s="1"/>
  <c r="BE337" i="22" s="1"/>
  <c r="AI324" i="22"/>
  <c r="AJ324" i="22" s="1"/>
  <c r="AK324" i="22" s="1"/>
  <c r="AL324" i="22" s="1"/>
  <c r="AM324" i="22" s="1"/>
  <c r="AN324" i="22" s="1"/>
  <c r="AO324" i="22" s="1"/>
  <c r="AP324" i="22" s="1"/>
  <c r="AQ324" i="22" s="1"/>
  <c r="AR324" i="22" s="1"/>
  <c r="AS324" i="22" s="1"/>
  <c r="AT324" i="22" s="1"/>
  <c r="AU324" i="22" s="1"/>
  <c r="AV324" i="22" s="1"/>
  <c r="AW324" i="22" s="1"/>
  <c r="AX324" i="22" s="1"/>
  <c r="AY324" i="22" s="1"/>
  <c r="AZ324" i="22" s="1"/>
  <c r="BA324" i="22" s="1"/>
  <c r="BB324" i="22" s="1"/>
  <c r="BC324" i="22" s="1"/>
  <c r="BD324" i="22" s="1"/>
  <c r="BE324" i="22" s="1"/>
  <c r="AI314" i="22"/>
  <c r="AJ314" i="22" s="1"/>
  <c r="AK314" i="22" s="1"/>
  <c r="AL314" i="22" s="1"/>
  <c r="AM314" i="22" s="1"/>
  <c r="AN314" i="22" s="1"/>
  <c r="AO314" i="22" s="1"/>
  <c r="AP314" i="22" s="1"/>
  <c r="AQ314" i="22" s="1"/>
  <c r="AR314" i="22" s="1"/>
  <c r="AS314" i="22" s="1"/>
  <c r="AT314" i="22" s="1"/>
  <c r="AU314" i="22" s="1"/>
  <c r="AV314" i="22" s="1"/>
  <c r="AW314" i="22" s="1"/>
  <c r="AX314" i="22" s="1"/>
  <c r="AY314" i="22" s="1"/>
  <c r="AZ314" i="22" s="1"/>
  <c r="BA314" i="22" s="1"/>
  <c r="BB314" i="22" s="1"/>
  <c r="BC314" i="22" s="1"/>
  <c r="BD314" i="22" s="1"/>
  <c r="BE314" i="22" s="1"/>
  <c r="O449" i="22"/>
  <c r="P449" i="22" s="1"/>
  <c r="Q449" i="22" s="1"/>
  <c r="R449" i="22" s="1"/>
  <c r="S449" i="22" s="1"/>
  <c r="T449" i="22" s="1"/>
  <c r="U449" i="22" s="1"/>
  <c r="V449" i="22" s="1"/>
  <c r="W449" i="22" s="1"/>
  <c r="X449" i="22" s="1"/>
  <c r="Y449" i="22" s="1"/>
  <c r="Z449" i="22" s="1"/>
  <c r="AA449" i="22" s="1"/>
  <c r="AB449" i="22" s="1"/>
  <c r="AC449" i="22" s="1"/>
  <c r="AD449" i="22" s="1"/>
  <c r="AE449" i="22" s="1"/>
  <c r="AF449" i="22" s="1"/>
  <c r="AG449" i="22" s="1"/>
  <c r="O444" i="22"/>
  <c r="P444" i="22" s="1"/>
  <c r="Q444" i="22" s="1"/>
  <c r="R444" i="22" s="1"/>
  <c r="S444" i="22" s="1"/>
  <c r="T444" i="22" s="1"/>
  <c r="U444" i="22" s="1"/>
  <c r="V444" i="22" s="1"/>
  <c r="W444" i="22" s="1"/>
  <c r="X444" i="22" s="1"/>
  <c r="Y444" i="22" s="1"/>
  <c r="Z444" i="22" s="1"/>
  <c r="AA444" i="22" s="1"/>
  <c r="AB444" i="22" s="1"/>
  <c r="AC444" i="22" s="1"/>
  <c r="AD444" i="22" s="1"/>
  <c r="AE444" i="22" s="1"/>
  <c r="AF444" i="22" s="1"/>
  <c r="AG444" i="22" s="1"/>
  <c r="O390" i="22"/>
  <c r="P390" i="22" s="1"/>
  <c r="Q390" i="22" s="1"/>
  <c r="R390" i="22" s="1"/>
  <c r="S390" i="22" s="1"/>
  <c r="T390" i="22" s="1"/>
  <c r="U390" i="22" s="1"/>
  <c r="V390" i="22" s="1"/>
  <c r="W390" i="22" s="1"/>
  <c r="X390" i="22" s="1"/>
  <c r="Y390" i="22" s="1"/>
  <c r="Z390" i="22" s="1"/>
  <c r="AA390" i="22" s="1"/>
  <c r="AB390" i="22" s="1"/>
  <c r="AC390" i="22" s="1"/>
  <c r="AD390" i="22" s="1"/>
  <c r="AE390" i="22" s="1"/>
  <c r="AF390" i="22" s="1"/>
  <c r="AG390" i="22" s="1"/>
  <c r="O386" i="22"/>
  <c r="P386" i="22" s="1"/>
  <c r="Q386" i="22" s="1"/>
  <c r="R386" i="22" s="1"/>
  <c r="S386" i="22" s="1"/>
  <c r="T386" i="22" s="1"/>
  <c r="U386" i="22" s="1"/>
  <c r="V386" i="22" s="1"/>
  <c r="W386" i="22" s="1"/>
  <c r="X386" i="22" s="1"/>
  <c r="Y386" i="22" s="1"/>
  <c r="Z386" i="22" s="1"/>
  <c r="AA386" i="22" s="1"/>
  <c r="AB386" i="22" s="1"/>
  <c r="AC386" i="22" s="1"/>
  <c r="AD386" i="22" s="1"/>
  <c r="AE386" i="22" s="1"/>
  <c r="AF386" i="22" s="1"/>
  <c r="AG386" i="22" s="1"/>
  <c r="O376" i="22"/>
  <c r="P376" i="22" s="1"/>
  <c r="Q376" i="22" s="1"/>
  <c r="R376" i="22" s="1"/>
  <c r="S376" i="22" s="1"/>
  <c r="T376" i="22" s="1"/>
  <c r="U376" i="22" s="1"/>
  <c r="V376" i="22" s="1"/>
  <c r="W376" i="22" s="1"/>
  <c r="X376" i="22" s="1"/>
  <c r="Y376" i="22" s="1"/>
  <c r="Z376" i="22" s="1"/>
  <c r="AA376" i="22" s="1"/>
  <c r="AB376" i="22" s="1"/>
  <c r="AC376" i="22" s="1"/>
  <c r="AD376" i="22" s="1"/>
  <c r="AE376" i="22" s="1"/>
  <c r="AF376" i="22" s="1"/>
  <c r="AG376" i="22" s="1"/>
  <c r="O372" i="22"/>
  <c r="P372" i="22" s="1"/>
  <c r="Q372" i="22" s="1"/>
  <c r="R372" i="22" s="1"/>
  <c r="S372" i="22" s="1"/>
  <c r="T372" i="22" s="1"/>
  <c r="U372" i="22" s="1"/>
  <c r="V372" i="22" s="1"/>
  <c r="W372" i="22" s="1"/>
  <c r="X372" i="22" s="1"/>
  <c r="Y372" i="22" s="1"/>
  <c r="Z372" i="22" s="1"/>
  <c r="AA372" i="22" s="1"/>
  <c r="AB372" i="22" s="1"/>
  <c r="AC372" i="22" s="1"/>
  <c r="AD372" i="22" s="1"/>
  <c r="AE372" i="22" s="1"/>
  <c r="AF372" i="22" s="1"/>
  <c r="AG372" i="22" s="1"/>
  <c r="AI336" i="22"/>
  <c r="AJ336" i="22" s="1"/>
  <c r="AK336" i="22" s="1"/>
  <c r="AL336" i="22" s="1"/>
  <c r="AM336" i="22" s="1"/>
  <c r="AN336" i="22" s="1"/>
  <c r="AO336" i="22" s="1"/>
  <c r="AP336" i="22" s="1"/>
  <c r="AQ336" i="22" s="1"/>
  <c r="AR336" i="22" s="1"/>
  <c r="AS336" i="22" s="1"/>
  <c r="AT336" i="22" s="1"/>
  <c r="AU336" i="22" s="1"/>
  <c r="AV336" i="22" s="1"/>
  <c r="AW336" i="22" s="1"/>
  <c r="AX336" i="22" s="1"/>
  <c r="AY336" i="22" s="1"/>
  <c r="AZ336" i="22" s="1"/>
  <c r="BA336" i="22" s="1"/>
  <c r="BB336" i="22" s="1"/>
  <c r="BC336" i="22" s="1"/>
  <c r="BD336" i="22" s="1"/>
  <c r="BE336" i="22" s="1"/>
  <c r="AI326" i="22"/>
  <c r="AJ326" i="22" s="1"/>
  <c r="AK326" i="22" s="1"/>
  <c r="AL326" i="22" s="1"/>
  <c r="AM326" i="22" s="1"/>
  <c r="AN326" i="22" s="1"/>
  <c r="AO326" i="22" s="1"/>
  <c r="AP326" i="22" s="1"/>
  <c r="AQ326" i="22" s="1"/>
  <c r="AR326" i="22" s="1"/>
  <c r="AS326" i="22" s="1"/>
  <c r="AT326" i="22" s="1"/>
  <c r="AU326" i="22" s="1"/>
  <c r="AV326" i="22" s="1"/>
  <c r="AW326" i="22" s="1"/>
  <c r="AX326" i="22" s="1"/>
  <c r="AY326" i="22" s="1"/>
  <c r="AZ326" i="22" s="1"/>
  <c r="BA326" i="22" s="1"/>
  <c r="BB326" i="22" s="1"/>
  <c r="BC326" i="22" s="1"/>
  <c r="BD326" i="22" s="1"/>
  <c r="BE326" i="22" s="1"/>
  <c r="AI316" i="22"/>
  <c r="AJ316" i="22" s="1"/>
  <c r="AK316" i="22" s="1"/>
  <c r="AL316" i="22" s="1"/>
  <c r="AM316" i="22" s="1"/>
  <c r="AN316" i="22" s="1"/>
  <c r="AO316" i="22" s="1"/>
  <c r="AP316" i="22" s="1"/>
  <c r="AQ316" i="22" s="1"/>
  <c r="AR316" i="22" s="1"/>
  <c r="AS316" i="22" s="1"/>
  <c r="AT316" i="22" s="1"/>
  <c r="AU316" i="22" s="1"/>
  <c r="AV316" i="22" s="1"/>
  <c r="AW316" i="22" s="1"/>
  <c r="AX316" i="22" s="1"/>
  <c r="AY316" i="22" s="1"/>
  <c r="AZ316" i="22" s="1"/>
  <c r="BA316" i="22" s="1"/>
  <c r="BB316" i="22" s="1"/>
  <c r="BC316" i="22" s="1"/>
  <c r="BD316" i="22" s="1"/>
  <c r="BE316" i="22" s="1"/>
  <c r="O312" i="22"/>
  <c r="P312" i="22" s="1"/>
  <c r="Q312" i="22" s="1"/>
  <c r="R312" i="22" s="1"/>
  <c r="S312" i="22" s="1"/>
  <c r="T312" i="22" s="1"/>
  <c r="U312" i="22" s="1"/>
  <c r="V312" i="22" s="1"/>
  <c r="W312" i="22" s="1"/>
  <c r="X312" i="22" s="1"/>
  <c r="Y312" i="22" s="1"/>
  <c r="Z312" i="22" s="1"/>
  <c r="AA312" i="22" s="1"/>
  <c r="AB312" i="22" s="1"/>
  <c r="AC312" i="22" s="1"/>
  <c r="AD312" i="22" s="1"/>
  <c r="AE312" i="22" s="1"/>
  <c r="AF312" i="22" s="1"/>
  <c r="AG312" i="22" s="1"/>
  <c r="AI311" i="22"/>
  <c r="AJ311" i="22" s="1"/>
  <c r="AK311" i="22" s="1"/>
  <c r="AL311" i="22" s="1"/>
  <c r="AM311" i="22" s="1"/>
  <c r="AN311" i="22" s="1"/>
  <c r="AO311" i="22" s="1"/>
  <c r="AP311" i="22" s="1"/>
  <c r="AQ311" i="22" s="1"/>
  <c r="AR311" i="22" s="1"/>
  <c r="AS311" i="22" s="1"/>
  <c r="AT311" i="22" s="1"/>
  <c r="AU311" i="22" s="1"/>
  <c r="AV311" i="22" s="1"/>
  <c r="AW311" i="22" s="1"/>
  <c r="AX311" i="22" s="1"/>
  <c r="AY311" i="22" s="1"/>
  <c r="AZ311" i="22" s="1"/>
  <c r="BA311" i="22" s="1"/>
  <c r="BB311" i="22" s="1"/>
  <c r="BC311" i="22" s="1"/>
  <c r="BD311" i="22" s="1"/>
  <c r="BE311" i="22" s="1"/>
  <c r="O306" i="22"/>
  <c r="P306" i="22" s="1"/>
  <c r="Q306" i="22" s="1"/>
  <c r="R306" i="22" s="1"/>
  <c r="S306" i="22" s="1"/>
  <c r="T306" i="22" s="1"/>
  <c r="U306" i="22" s="1"/>
  <c r="V306" i="22" s="1"/>
  <c r="W306" i="22" s="1"/>
  <c r="X306" i="22" s="1"/>
  <c r="Y306" i="22" s="1"/>
  <c r="Z306" i="22" s="1"/>
  <c r="AA306" i="22" s="1"/>
  <c r="AB306" i="22" s="1"/>
  <c r="AC306" i="22" s="1"/>
  <c r="AD306" i="22" s="1"/>
  <c r="AE306" i="22" s="1"/>
  <c r="AF306" i="22" s="1"/>
  <c r="AG306" i="22" s="1"/>
  <c r="AI290" i="22"/>
  <c r="AJ290" i="22" s="1"/>
  <c r="AK290" i="22" s="1"/>
  <c r="AL290" i="22" s="1"/>
  <c r="AM290" i="22" s="1"/>
  <c r="AN290" i="22" s="1"/>
  <c r="AO290" i="22" s="1"/>
  <c r="AP290" i="22" s="1"/>
  <c r="AQ290" i="22" s="1"/>
  <c r="AR290" i="22" s="1"/>
  <c r="AS290" i="22" s="1"/>
  <c r="AT290" i="22" s="1"/>
  <c r="AU290" i="22" s="1"/>
  <c r="AV290" i="22" s="1"/>
  <c r="AW290" i="22" s="1"/>
  <c r="AX290" i="22" s="1"/>
  <c r="AY290" i="22" s="1"/>
  <c r="AZ290" i="22" s="1"/>
  <c r="BA290" i="22" s="1"/>
  <c r="BB290" i="22" s="1"/>
  <c r="BC290" i="22" s="1"/>
  <c r="BD290" i="22" s="1"/>
  <c r="BE290" i="22" s="1"/>
  <c r="O288" i="22"/>
  <c r="P288" i="22" s="1"/>
  <c r="Q288" i="22" s="1"/>
  <c r="R288" i="22" s="1"/>
  <c r="S288" i="22" s="1"/>
  <c r="T288" i="22" s="1"/>
  <c r="U288" i="22" s="1"/>
  <c r="V288" i="22" s="1"/>
  <c r="W288" i="22" s="1"/>
  <c r="X288" i="22" s="1"/>
  <c r="Y288" i="22" s="1"/>
  <c r="Z288" i="22" s="1"/>
  <c r="AA288" i="22" s="1"/>
  <c r="AB288" i="22" s="1"/>
  <c r="AC288" i="22" s="1"/>
  <c r="AD288" i="22" s="1"/>
  <c r="AE288" i="22" s="1"/>
  <c r="AF288" i="22" s="1"/>
  <c r="AG288" i="22" s="1"/>
  <c r="AI269" i="22"/>
  <c r="AJ269" i="22" s="1"/>
  <c r="AK269" i="22" s="1"/>
  <c r="AL269" i="22" s="1"/>
  <c r="AM269" i="22" s="1"/>
  <c r="AN269" i="22" s="1"/>
  <c r="AO269" i="22" s="1"/>
  <c r="AP269" i="22" s="1"/>
  <c r="AQ269" i="22" s="1"/>
  <c r="AR269" i="22" s="1"/>
  <c r="AS269" i="22" s="1"/>
  <c r="AT269" i="22" s="1"/>
  <c r="AU269" i="22" s="1"/>
  <c r="AV269" i="22" s="1"/>
  <c r="AW269" i="22" s="1"/>
  <c r="AX269" i="22" s="1"/>
  <c r="AY269" i="22" s="1"/>
  <c r="AZ269" i="22" s="1"/>
  <c r="BA269" i="22" s="1"/>
  <c r="BB269" i="22" s="1"/>
  <c r="BC269" i="22" s="1"/>
  <c r="BD269" i="22" s="1"/>
  <c r="BE269" i="22" s="1"/>
  <c r="O258" i="22"/>
  <c r="P258" i="22" s="1"/>
  <c r="Q258" i="22" s="1"/>
  <c r="R258" i="22" s="1"/>
  <c r="S258" i="22" s="1"/>
  <c r="T258" i="22" s="1"/>
  <c r="U258" i="22" s="1"/>
  <c r="V258" i="22" s="1"/>
  <c r="W258" i="22" s="1"/>
  <c r="X258" i="22" s="1"/>
  <c r="Y258" i="22" s="1"/>
  <c r="Z258" i="22" s="1"/>
  <c r="AA258" i="22" s="1"/>
  <c r="AB258" i="22" s="1"/>
  <c r="AC258" i="22" s="1"/>
  <c r="AD258" i="22" s="1"/>
  <c r="AE258" i="22" s="1"/>
  <c r="AF258" i="22" s="1"/>
  <c r="AG258" i="22" s="1"/>
  <c r="O257" i="22"/>
  <c r="P257" i="22" s="1"/>
  <c r="Q257" i="22" s="1"/>
  <c r="R257" i="22" s="1"/>
  <c r="S257" i="22" s="1"/>
  <c r="T257" i="22" s="1"/>
  <c r="U257" i="22" s="1"/>
  <c r="V257" i="22" s="1"/>
  <c r="W257" i="22" s="1"/>
  <c r="X257" i="22" s="1"/>
  <c r="Y257" i="22" s="1"/>
  <c r="Z257" i="22" s="1"/>
  <c r="AA257" i="22" s="1"/>
  <c r="AB257" i="22" s="1"/>
  <c r="AC257" i="22" s="1"/>
  <c r="AD257" i="22" s="1"/>
  <c r="AE257" i="22" s="1"/>
  <c r="AF257" i="22" s="1"/>
  <c r="AG257" i="22" s="1"/>
  <c r="O246" i="22"/>
  <c r="P246" i="22" s="1"/>
  <c r="Q246" i="22" s="1"/>
  <c r="R246" i="22" s="1"/>
  <c r="S246" i="22" s="1"/>
  <c r="T246" i="22" s="1"/>
  <c r="U246" i="22" s="1"/>
  <c r="V246" i="22" s="1"/>
  <c r="W246" i="22" s="1"/>
  <c r="X246" i="22" s="1"/>
  <c r="Y246" i="22" s="1"/>
  <c r="Z246" i="22" s="1"/>
  <c r="AA246" i="22" s="1"/>
  <c r="AB246" i="22" s="1"/>
  <c r="AC246" i="22" s="1"/>
  <c r="AD246" i="22" s="1"/>
  <c r="AE246" i="22" s="1"/>
  <c r="AF246" i="22" s="1"/>
  <c r="AG246" i="22" s="1"/>
  <c r="O245" i="22"/>
  <c r="P245" i="22" s="1"/>
  <c r="Q245" i="22" s="1"/>
  <c r="R245" i="22" s="1"/>
  <c r="S245" i="22" s="1"/>
  <c r="T245" i="22" s="1"/>
  <c r="U245" i="22" s="1"/>
  <c r="V245" i="22" s="1"/>
  <c r="W245" i="22" s="1"/>
  <c r="X245" i="22" s="1"/>
  <c r="Y245" i="22" s="1"/>
  <c r="Z245" i="22" s="1"/>
  <c r="AA245" i="22" s="1"/>
  <c r="AB245" i="22" s="1"/>
  <c r="AC245" i="22" s="1"/>
  <c r="AD245" i="22" s="1"/>
  <c r="AE245" i="22" s="1"/>
  <c r="AF245" i="22" s="1"/>
  <c r="AG245" i="22" s="1"/>
  <c r="O234" i="22"/>
  <c r="P234" i="22" s="1"/>
  <c r="Q234" i="22" s="1"/>
  <c r="R234" i="22" s="1"/>
  <c r="S234" i="22" s="1"/>
  <c r="T234" i="22" s="1"/>
  <c r="U234" i="22" s="1"/>
  <c r="V234" i="22" s="1"/>
  <c r="W234" i="22" s="1"/>
  <c r="X234" i="22" s="1"/>
  <c r="Y234" i="22" s="1"/>
  <c r="Z234" i="22" s="1"/>
  <c r="AA234" i="22" s="1"/>
  <c r="AB234" i="22" s="1"/>
  <c r="AC234" i="22" s="1"/>
  <c r="AD234" i="22" s="1"/>
  <c r="AE234" i="22" s="1"/>
  <c r="AF234" i="22" s="1"/>
  <c r="AG234" i="22" s="1"/>
  <c r="O233" i="22"/>
  <c r="P233" i="22" s="1"/>
  <c r="Q233" i="22" s="1"/>
  <c r="R233" i="22" s="1"/>
  <c r="S233" i="22" s="1"/>
  <c r="T233" i="22" s="1"/>
  <c r="U233" i="22" s="1"/>
  <c r="V233" i="22" s="1"/>
  <c r="W233" i="22" s="1"/>
  <c r="X233" i="22" s="1"/>
  <c r="Y233" i="22" s="1"/>
  <c r="Z233" i="22" s="1"/>
  <c r="AA233" i="22" s="1"/>
  <c r="AB233" i="22" s="1"/>
  <c r="AC233" i="22" s="1"/>
  <c r="AD233" i="22" s="1"/>
  <c r="AE233" i="22" s="1"/>
  <c r="AF233" i="22" s="1"/>
  <c r="AG233" i="22" s="1"/>
  <c r="AI218" i="22"/>
  <c r="AJ218" i="22" s="1"/>
  <c r="AK218" i="22" s="1"/>
  <c r="AL218" i="22" s="1"/>
  <c r="AM218" i="22" s="1"/>
  <c r="AN218" i="22" s="1"/>
  <c r="AO218" i="22" s="1"/>
  <c r="AP218" i="22" s="1"/>
  <c r="AQ218" i="22" s="1"/>
  <c r="AR218" i="22" s="1"/>
  <c r="AS218" i="22" s="1"/>
  <c r="AT218" i="22" s="1"/>
  <c r="AU218" i="22" s="1"/>
  <c r="AV218" i="22" s="1"/>
  <c r="AW218" i="22" s="1"/>
  <c r="AX218" i="22" s="1"/>
  <c r="AY218" i="22" s="1"/>
  <c r="AZ218" i="22" s="1"/>
  <c r="BA218" i="22" s="1"/>
  <c r="BB218" i="22" s="1"/>
  <c r="BC218" i="22" s="1"/>
  <c r="BD218" i="22" s="1"/>
  <c r="BE218" i="22" s="1"/>
  <c r="AI425" i="22"/>
  <c r="AJ425" i="22" s="1"/>
  <c r="AK425" i="22" s="1"/>
  <c r="AL425" i="22" s="1"/>
  <c r="AM425" i="22" s="1"/>
  <c r="AN425" i="22" s="1"/>
  <c r="AO425" i="22" s="1"/>
  <c r="AP425" i="22" s="1"/>
  <c r="AQ425" i="22" s="1"/>
  <c r="AR425" i="22" s="1"/>
  <c r="AS425" i="22" s="1"/>
  <c r="AT425" i="22" s="1"/>
  <c r="AU425" i="22" s="1"/>
  <c r="AV425" i="22" s="1"/>
  <c r="AW425" i="22" s="1"/>
  <c r="AX425" i="22" s="1"/>
  <c r="AY425" i="22" s="1"/>
  <c r="AZ425" i="22" s="1"/>
  <c r="BA425" i="22" s="1"/>
  <c r="BB425" i="22" s="1"/>
  <c r="BC425" i="22" s="1"/>
  <c r="BD425" i="22" s="1"/>
  <c r="BE425" i="22" s="1"/>
  <c r="AI406" i="22"/>
  <c r="AJ406" i="22" s="1"/>
  <c r="AK406" i="22" s="1"/>
  <c r="AL406" i="22" s="1"/>
  <c r="AM406" i="22" s="1"/>
  <c r="AN406" i="22" s="1"/>
  <c r="AO406" i="22" s="1"/>
  <c r="AP406" i="22" s="1"/>
  <c r="AQ406" i="22" s="1"/>
  <c r="AR406" i="22" s="1"/>
  <c r="AS406" i="22" s="1"/>
  <c r="AT406" i="22" s="1"/>
  <c r="AU406" i="22" s="1"/>
  <c r="AV406" i="22" s="1"/>
  <c r="AW406" i="22" s="1"/>
  <c r="AX406" i="22" s="1"/>
  <c r="AY406" i="22" s="1"/>
  <c r="AZ406" i="22" s="1"/>
  <c r="BA406" i="22" s="1"/>
  <c r="BB406" i="22" s="1"/>
  <c r="BC406" i="22" s="1"/>
  <c r="BD406" i="22" s="1"/>
  <c r="BE406" i="22" s="1"/>
  <c r="O400" i="22"/>
  <c r="P400" i="22" s="1"/>
  <c r="Q400" i="22" s="1"/>
  <c r="R400" i="22" s="1"/>
  <c r="S400" i="22" s="1"/>
  <c r="T400" i="22" s="1"/>
  <c r="U400" i="22" s="1"/>
  <c r="V400" i="22" s="1"/>
  <c r="W400" i="22" s="1"/>
  <c r="X400" i="22" s="1"/>
  <c r="Y400" i="22" s="1"/>
  <c r="Z400" i="22" s="1"/>
  <c r="AA400" i="22" s="1"/>
  <c r="AB400" i="22" s="1"/>
  <c r="AC400" i="22" s="1"/>
  <c r="AD400" i="22" s="1"/>
  <c r="AE400" i="22" s="1"/>
  <c r="AF400" i="22" s="1"/>
  <c r="AG400" i="22" s="1"/>
  <c r="AI387" i="22"/>
  <c r="AJ387" i="22" s="1"/>
  <c r="AK387" i="22" s="1"/>
  <c r="AL387" i="22" s="1"/>
  <c r="AM387" i="22" s="1"/>
  <c r="AN387" i="22" s="1"/>
  <c r="AO387" i="22" s="1"/>
  <c r="AP387" i="22" s="1"/>
  <c r="AQ387" i="22" s="1"/>
  <c r="AR387" i="22" s="1"/>
  <c r="AS387" i="22" s="1"/>
  <c r="AT387" i="22" s="1"/>
  <c r="AU387" i="22" s="1"/>
  <c r="AV387" i="22" s="1"/>
  <c r="AW387" i="22" s="1"/>
  <c r="AX387" i="22" s="1"/>
  <c r="AY387" i="22" s="1"/>
  <c r="AZ387" i="22" s="1"/>
  <c r="BA387" i="22" s="1"/>
  <c r="BB387" i="22" s="1"/>
  <c r="BC387" i="22" s="1"/>
  <c r="BD387" i="22" s="1"/>
  <c r="BE387" i="22" s="1"/>
  <c r="AI359" i="22"/>
  <c r="AJ359" i="22" s="1"/>
  <c r="AK359" i="22" s="1"/>
  <c r="AL359" i="22" s="1"/>
  <c r="AM359" i="22" s="1"/>
  <c r="AN359" i="22" s="1"/>
  <c r="AO359" i="22" s="1"/>
  <c r="AP359" i="22" s="1"/>
  <c r="AQ359" i="22" s="1"/>
  <c r="AR359" i="22" s="1"/>
  <c r="AS359" i="22" s="1"/>
  <c r="AT359" i="22" s="1"/>
  <c r="AU359" i="22" s="1"/>
  <c r="AV359" i="22" s="1"/>
  <c r="AW359" i="22" s="1"/>
  <c r="AX359" i="22" s="1"/>
  <c r="AY359" i="22" s="1"/>
  <c r="AZ359" i="22" s="1"/>
  <c r="BA359" i="22" s="1"/>
  <c r="BB359" i="22" s="1"/>
  <c r="BC359" i="22" s="1"/>
  <c r="BD359" i="22" s="1"/>
  <c r="BE359" i="22" s="1"/>
  <c r="O357" i="22"/>
  <c r="P357" i="22" s="1"/>
  <c r="Q357" i="22" s="1"/>
  <c r="R357" i="22" s="1"/>
  <c r="S357" i="22" s="1"/>
  <c r="T357" i="22" s="1"/>
  <c r="U357" i="22" s="1"/>
  <c r="V357" i="22" s="1"/>
  <c r="W357" i="22" s="1"/>
  <c r="X357" i="22" s="1"/>
  <c r="Y357" i="22" s="1"/>
  <c r="Z357" i="22" s="1"/>
  <c r="AA357" i="22" s="1"/>
  <c r="AB357" i="22" s="1"/>
  <c r="AC357" i="22" s="1"/>
  <c r="AD357" i="22" s="1"/>
  <c r="AE357" i="22" s="1"/>
  <c r="AF357" i="22" s="1"/>
  <c r="AG357" i="22" s="1"/>
  <c r="AI356" i="22"/>
  <c r="AJ356" i="22" s="1"/>
  <c r="AK356" i="22" s="1"/>
  <c r="AL356" i="22" s="1"/>
  <c r="AM356" i="22" s="1"/>
  <c r="AN356" i="22" s="1"/>
  <c r="AO356" i="22" s="1"/>
  <c r="AP356" i="22" s="1"/>
  <c r="AQ356" i="22" s="1"/>
  <c r="AR356" i="22" s="1"/>
  <c r="AS356" i="22" s="1"/>
  <c r="AT356" i="22" s="1"/>
  <c r="AU356" i="22" s="1"/>
  <c r="AV356" i="22" s="1"/>
  <c r="AW356" i="22" s="1"/>
  <c r="AX356" i="22" s="1"/>
  <c r="AY356" i="22" s="1"/>
  <c r="AZ356" i="22" s="1"/>
  <c r="BA356" i="22" s="1"/>
  <c r="BB356" i="22" s="1"/>
  <c r="BC356" i="22" s="1"/>
  <c r="BD356" i="22" s="1"/>
  <c r="BE356" i="22" s="1"/>
  <c r="O352" i="22"/>
  <c r="P352" i="22" s="1"/>
  <c r="Q352" i="22" s="1"/>
  <c r="R352" i="22" s="1"/>
  <c r="S352" i="22" s="1"/>
  <c r="T352" i="22" s="1"/>
  <c r="U352" i="22" s="1"/>
  <c r="V352" i="22" s="1"/>
  <c r="W352" i="22" s="1"/>
  <c r="X352" i="22" s="1"/>
  <c r="Y352" i="22" s="1"/>
  <c r="Z352" i="22" s="1"/>
  <c r="AA352" i="22" s="1"/>
  <c r="AB352" i="22" s="1"/>
  <c r="AC352" i="22" s="1"/>
  <c r="AD352" i="22" s="1"/>
  <c r="AE352" i="22" s="1"/>
  <c r="AF352" i="22" s="1"/>
  <c r="AG352" i="22" s="1"/>
  <c r="O436" i="22"/>
  <c r="P436" i="22" s="1"/>
  <c r="Q436" i="22" s="1"/>
  <c r="R436" i="22" s="1"/>
  <c r="S436" i="22" s="1"/>
  <c r="T436" i="22" s="1"/>
  <c r="U436" i="22" s="1"/>
  <c r="V436" i="22" s="1"/>
  <c r="W436" i="22" s="1"/>
  <c r="X436" i="22" s="1"/>
  <c r="Y436" i="22" s="1"/>
  <c r="Z436" i="22" s="1"/>
  <c r="AA436" i="22" s="1"/>
  <c r="AB436" i="22" s="1"/>
  <c r="AC436" i="22" s="1"/>
  <c r="AD436" i="22" s="1"/>
  <c r="AE436" i="22" s="1"/>
  <c r="AF436" i="22" s="1"/>
  <c r="AG436" i="22" s="1"/>
  <c r="AI495" i="22"/>
  <c r="AJ495" i="22" s="1"/>
  <c r="AK495" i="22" s="1"/>
  <c r="AL495" i="22" s="1"/>
  <c r="AM495" i="22" s="1"/>
  <c r="AN495" i="22" s="1"/>
  <c r="AO495" i="22" s="1"/>
  <c r="AP495" i="22" s="1"/>
  <c r="AQ495" i="22" s="1"/>
  <c r="AR495" i="22" s="1"/>
  <c r="AS495" i="22" s="1"/>
  <c r="AT495" i="22" s="1"/>
  <c r="AU495" i="22" s="1"/>
  <c r="AV495" i="22" s="1"/>
  <c r="AW495" i="22" s="1"/>
  <c r="AX495" i="22" s="1"/>
  <c r="AY495" i="22" s="1"/>
  <c r="AZ495" i="22" s="1"/>
  <c r="BA495" i="22" s="1"/>
  <c r="BB495" i="22" s="1"/>
  <c r="BC495" i="22" s="1"/>
  <c r="BD495" i="22" s="1"/>
  <c r="BE495" i="22" s="1"/>
  <c r="AI453" i="22"/>
  <c r="AJ453" i="22" s="1"/>
  <c r="AK453" i="22" s="1"/>
  <c r="AL453" i="22" s="1"/>
  <c r="AM453" i="22" s="1"/>
  <c r="AN453" i="22" s="1"/>
  <c r="AO453" i="22" s="1"/>
  <c r="AP453" i="22" s="1"/>
  <c r="AQ453" i="22" s="1"/>
  <c r="AR453" i="22" s="1"/>
  <c r="AS453" i="22" s="1"/>
  <c r="AT453" i="22" s="1"/>
  <c r="AU453" i="22" s="1"/>
  <c r="AV453" i="22" s="1"/>
  <c r="AW453" i="22" s="1"/>
  <c r="AX453" i="22" s="1"/>
  <c r="AY453" i="22" s="1"/>
  <c r="AZ453" i="22" s="1"/>
  <c r="BA453" i="22" s="1"/>
  <c r="BB453" i="22" s="1"/>
  <c r="BC453" i="22" s="1"/>
  <c r="BD453" i="22" s="1"/>
  <c r="BE453" i="22" s="1"/>
  <c r="O405" i="22"/>
  <c r="P405" i="22" s="1"/>
  <c r="Q405" i="22" s="1"/>
  <c r="R405" i="22" s="1"/>
  <c r="S405" i="22" s="1"/>
  <c r="T405" i="22" s="1"/>
  <c r="U405" i="22" s="1"/>
  <c r="V405" i="22" s="1"/>
  <c r="W405" i="22" s="1"/>
  <c r="X405" i="22" s="1"/>
  <c r="Y405" i="22" s="1"/>
  <c r="Z405" i="22" s="1"/>
  <c r="AA405" i="22" s="1"/>
  <c r="AB405" i="22" s="1"/>
  <c r="AC405" i="22" s="1"/>
  <c r="AD405" i="22" s="1"/>
  <c r="AE405" i="22" s="1"/>
  <c r="AF405" i="22" s="1"/>
  <c r="AG405" i="22" s="1"/>
  <c r="O392" i="22"/>
  <c r="P392" i="22" s="1"/>
  <c r="Q392" i="22" s="1"/>
  <c r="R392" i="22" s="1"/>
  <c r="S392" i="22" s="1"/>
  <c r="T392" i="22" s="1"/>
  <c r="U392" i="22" s="1"/>
  <c r="V392" i="22" s="1"/>
  <c r="W392" i="22" s="1"/>
  <c r="X392" i="22" s="1"/>
  <c r="Y392" i="22" s="1"/>
  <c r="Z392" i="22" s="1"/>
  <c r="AA392" i="22" s="1"/>
  <c r="AB392" i="22" s="1"/>
  <c r="AC392" i="22" s="1"/>
  <c r="AD392" i="22" s="1"/>
  <c r="AE392" i="22" s="1"/>
  <c r="AF392" i="22" s="1"/>
  <c r="AG392" i="22" s="1"/>
  <c r="AI352" i="22"/>
  <c r="AJ352" i="22" s="1"/>
  <c r="AK352" i="22" s="1"/>
  <c r="AL352" i="22" s="1"/>
  <c r="AM352" i="22" s="1"/>
  <c r="AN352" i="22" s="1"/>
  <c r="AO352" i="22" s="1"/>
  <c r="AP352" i="22" s="1"/>
  <c r="AQ352" i="22" s="1"/>
  <c r="AR352" i="22" s="1"/>
  <c r="AS352" i="22" s="1"/>
  <c r="AT352" i="22" s="1"/>
  <c r="AU352" i="22" s="1"/>
  <c r="AV352" i="22" s="1"/>
  <c r="AW352" i="22" s="1"/>
  <c r="AX352" i="22" s="1"/>
  <c r="AY352" i="22" s="1"/>
  <c r="AZ352" i="22" s="1"/>
  <c r="BA352" i="22" s="1"/>
  <c r="BB352" i="22" s="1"/>
  <c r="BC352" i="22" s="1"/>
  <c r="BD352" i="22" s="1"/>
  <c r="BE352" i="22" s="1"/>
  <c r="O348" i="22"/>
  <c r="P348" i="22" s="1"/>
  <c r="Q348" i="22" s="1"/>
  <c r="R348" i="22" s="1"/>
  <c r="S348" i="22" s="1"/>
  <c r="T348" i="22" s="1"/>
  <c r="U348" i="22" s="1"/>
  <c r="V348" i="22" s="1"/>
  <c r="W348" i="22" s="1"/>
  <c r="X348" i="22" s="1"/>
  <c r="Y348" i="22" s="1"/>
  <c r="Z348" i="22" s="1"/>
  <c r="AA348" i="22" s="1"/>
  <c r="AB348" i="22" s="1"/>
  <c r="AC348" i="22" s="1"/>
  <c r="AD348" i="22" s="1"/>
  <c r="AE348" i="22" s="1"/>
  <c r="AF348" i="22" s="1"/>
  <c r="AG348" i="22" s="1"/>
  <c r="AI342" i="22"/>
  <c r="AJ342" i="22" s="1"/>
  <c r="AK342" i="22" s="1"/>
  <c r="AL342" i="22" s="1"/>
  <c r="AM342" i="22" s="1"/>
  <c r="AN342" i="22" s="1"/>
  <c r="AO342" i="22" s="1"/>
  <c r="AP342" i="22" s="1"/>
  <c r="AQ342" i="22" s="1"/>
  <c r="AR342" i="22" s="1"/>
  <c r="AS342" i="22" s="1"/>
  <c r="AT342" i="22" s="1"/>
  <c r="AU342" i="22" s="1"/>
  <c r="AV342" i="22" s="1"/>
  <c r="AW342" i="22" s="1"/>
  <c r="AX342" i="22" s="1"/>
  <c r="AY342" i="22" s="1"/>
  <c r="AZ342" i="22" s="1"/>
  <c r="BA342" i="22" s="1"/>
  <c r="BB342" i="22" s="1"/>
  <c r="BC342" i="22" s="1"/>
  <c r="BD342" i="22" s="1"/>
  <c r="BE342" i="22" s="1"/>
  <c r="O338" i="22"/>
  <c r="P338" i="22" s="1"/>
  <c r="Q338" i="22" s="1"/>
  <c r="R338" i="22" s="1"/>
  <c r="S338" i="22" s="1"/>
  <c r="T338" i="22" s="1"/>
  <c r="U338" i="22" s="1"/>
  <c r="V338" i="22" s="1"/>
  <c r="W338" i="22" s="1"/>
  <c r="X338" i="22" s="1"/>
  <c r="Y338" i="22" s="1"/>
  <c r="Z338" i="22" s="1"/>
  <c r="AA338" i="22" s="1"/>
  <c r="AB338" i="22" s="1"/>
  <c r="AC338" i="22" s="1"/>
  <c r="AD338" i="22" s="1"/>
  <c r="AE338" i="22" s="1"/>
  <c r="AF338" i="22" s="1"/>
  <c r="AG338" i="22" s="1"/>
  <c r="AI332" i="22"/>
  <c r="AJ332" i="22" s="1"/>
  <c r="AK332" i="22" s="1"/>
  <c r="AL332" i="22" s="1"/>
  <c r="AM332" i="22" s="1"/>
  <c r="AN332" i="22" s="1"/>
  <c r="AO332" i="22" s="1"/>
  <c r="AP332" i="22" s="1"/>
  <c r="AQ332" i="22" s="1"/>
  <c r="AR332" i="22" s="1"/>
  <c r="AS332" i="22" s="1"/>
  <c r="AT332" i="22" s="1"/>
  <c r="AU332" i="22" s="1"/>
  <c r="AV332" i="22" s="1"/>
  <c r="AW332" i="22" s="1"/>
  <c r="AX332" i="22" s="1"/>
  <c r="AY332" i="22" s="1"/>
  <c r="AZ332" i="22" s="1"/>
  <c r="BA332" i="22" s="1"/>
  <c r="BB332" i="22" s="1"/>
  <c r="BC332" i="22" s="1"/>
  <c r="BD332" i="22" s="1"/>
  <c r="BE332" i="22" s="1"/>
  <c r="AI318" i="22"/>
  <c r="AJ318" i="22" s="1"/>
  <c r="AK318" i="22" s="1"/>
  <c r="AL318" i="22" s="1"/>
  <c r="AM318" i="22" s="1"/>
  <c r="AN318" i="22" s="1"/>
  <c r="AO318" i="22" s="1"/>
  <c r="AP318" i="22" s="1"/>
  <c r="AQ318" i="22" s="1"/>
  <c r="AR318" i="22" s="1"/>
  <c r="AS318" i="22" s="1"/>
  <c r="AT318" i="22" s="1"/>
  <c r="AU318" i="22" s="1"/>
  <c r="AV318" i="22" s="1"/>
  <c r="AW318" i="22" s="1"/>
  <c r="AX318" i="22" s="1"/>
  <c r="AY318" i="22" s="1"/>
  <c r="AZ318" i="22" s="1"/>
  <c r="BA318" i="22" s="1"/>
  <c r="BB318" i="22" s="1"/>
  <c r="BC318" i="22" s="1"/>
  <c r="BD318" i="22" s="1"/>
  <c r="BE318" i="22" s="1"/>
  <c r="O314" i="22"/>
  <c r="P314" i="22" s="1"/>
  <c r="Q314" i="22" s="1"/>
  <c r="R314" i="22" s="1"/>
  <c r="S314" i="22" s="1"/>
  <c r="T314" i="22" s="1"/>
  <c r="U314" i="22" s="1"/>
  <c r="V314" i="22" s="1"/>
  <c r="W314" i="22" s="1"/>
  <c r="X314" i="22" s="1"/>
  <c r="Y314" i="22" s="1"/>
  <c r="Z314" i="22" s="1"/>
  <c r="AA314" i="22" s="1"/>
  <c r="AB314" i="22" s="1"/>
  <c r="AC314" i="22" s="1"/>
  <c r="AD314" i="22" s="1"/>
  <c r="AE314" i="22" s="1"/>
  <c r="AF314" i="22" s="1"/>
  <c r="AG314" i="22" s="1"/>
  <c r="O308" i="22"/>
  <c r="P308" i="22" s="1"/>
  <c r="Q308" i="22" s="1"/>
  <c r="R308" i="22" s="1"/>
  <c r="S308" i="22" s="1"/>
  <c r="T308" i="22" s="1"/>
  <c r="U308" i="22" s="1"/>
  <c r="V308" i="22" s="1"/>
  <c r="W308" i="22" s="1"/>
  <c r="X308" i="22" s="1"/>
  <c r="Y308" i="22" s="1"/>
  <c r="Z308" i="22" s="1"/>
  <c r="AA308" i="22" s="1"/>
  <c r="AB308" i="22" s="1"/>
  <c r="AC308" i="22" s="1"/>
  <c r="AD308" i="22" s="1"/>
  <c r="AE308" i="22" s="1"/>
  <c r="AF308" i="22" s="1"/>
  <c r="AG308" i="22" s="1"/>
  <c r="AI301" i="22"/>
  <c r="AJ301" i="22" s="1"/>
  <c r="AK301" i="22" s="1"/>
  <c r="AL301" i="22" s="1"/>
  <c r="AM301" i="22" s="1"/>
  <c r="AN301" i="22" s="1"/>
  <c r="AO301" i="22" s="1"/>
  <c r="AP301" i="22" s="1"/>
  <c r="AQ301" i="22" s="1"/>
  <c r="AR301" i="22" s="1"/>
  <c r="AS301" i="22" s="1"/>
  <c r="AT301" i="22" s="1"/>
  <c r="AU301" i="22" s="1"/>
  <c r="AV301" i="22" s="1"/>
  <c r="AW301" i="22" s="1"/>
  <c r="AX301" i="22" s="1"/>
  <c r="AY301" i="22" s="1"/>
  <c r="AZ301" i="22" s="1"/>
  <c r="BA301" i="22" s="1"/>
  <c r="BB301" i="22" s="1"/>
  <c r="BC301" i="22" s="1"/>
  <c r="BD301" i="22" s="1"/>
  <c r="BE301" i="22" s="1"/>
  <c r="O301" i="22"/>
  <c r="P301" i="22" s="1"/>
  <c r="Q301" i="22" s="1"/>
  <c r="R301" i="22" s="1"/>
  <c r="S301" i="22" s="1"/>
  <c r="T301" i="22" s="1"/>
  <c r="U301" i="22" s="1"/>
  <c r="V301" i="22" s="1"/>
  <c r="W301" i="22" s="1"/>
  <c r="X301" i="22" s="1"/>
  <c r="Y301" i="22" s="1"/>
  <c r="Z301" i="22" s="1"/>
  <c r="AA301" i="22" s="1"/>
  <c r="AB301" i="22" s="1"/>
  <c r="AC301" i="22" s="1"/>
  <c r="AD301" i="22" s="1"/>
  <c r="AE301" i="22" s="1"/>
  <c r="AF301" i="22" s="1"/>
  <c r="AG301" i="22" s="1"/>
  <c r="AI287" i="22"/>
  <c r="AJ287" i="22" s="1"/>
  <c r="AK287" i="22" s="1"/>
  <c r="AL287" i="22" s="1"/>
  <c r="AM287" i="22" s="1"/>
  <c r="AN287" i="22" s="1"/>
  <c r="AO287" i="22" s="1"/>
  <c r="AP287" i="22" s="1"/>
  <c r="AQ287" i="22" s="1"/>
  <c r="AR287" i="22" s="1"/>
  <c r="AS287" i="22" s="1"/>
  <c r="AT287" i="22" s="1"/>
  <c r="AU287" i="22" s="1"/>
  <c r="AV287" i="22" s="1"/>
  <c r="AW287" i="22" s="1"/>
  <c r="AX287" i="22" s="1"/>
  <c r="AY287" i="22" s="1"/>
  <c r="AZ287" i="22" s="1"/>
  <c r="BA287" i="22" s="1"/>
  <c r="BB287" i="22" s="1"/>
  <c r="BC287" i="22" s="1"/>
  <c r="BD287" i="22" s="1"/>
  <c r="BE287" i="22" s="1"/>
  <c r="AI282" i="22"/>
  <c r="AJ282" i="22" s="1"/>
  <c r="AK282" i="22" s="1"/>
  <c r="AL282" i="22" s="1"/>
  <c r="AM282" i="22" s="1"/>
  <c r="AN282" i="22" s="1"/>
  <c r="AO282" i="22" s="1"/>
  <c r="AP282" i="22" s="1"/>
  <c r="AQ282" i="22" s="1"/>
  <c r="AR282" i="22" s="1"/>
  <c r="AS282" i="22" s="1"/>
  <c r="AT282" i="22" s="1"/>
  <c r="AU282" i="22" s="1"/>
  <c r="AV282" i="22" s="1"/>
  <c r="AW282" i="22" s="1"/>
  <c r="AX282" i="22" s="1"/>
  <c r="AY282" i="22" s="1"/>
  <c r="AZ282" i="22" s="1"/>
  <c r="BA282" i="22" s="1"/>
  <c r="BB282" i="22" s="1"/>
  <c r="BC282" i="22" s="1"/>
  <c r="BD282" i="22" s="1"/>
  <c r="BE282" i="22" s="1"/>
  <c r="AI279" i="22"/>
  <c r="AJ279" i="22" s="1"/>
  <c r="AK279" i="22" s="1"/>
  <c r="AL279" i="22" s="1"/>
  <c r="AM279" i="22" s="1"/>
  <c r="AN279" i="22" s="1"/>
  <c r="AO279" i="22" s="1"/>
  <c r="AP279" i="22" s="1"/>
  <c r="AQ279" i="22" s="1"/>
  <c r="AR279" i="22" s="1"/>
  <c r="AS279" i="22" s="1"/>
  <c r="AT279" i="22" s="1"/>
  <c r="AU279" i="22" s="1"/>
  <c r="AV279" i="22" s="1"/>
  <c r="AW279" i="22" s="1"/>
  <c r="AX279" i="22" s="1"/>
  <c r="AY279" i="22" s="1"/>
  <c r="AZ279" i="22" s="1"/>
  <c r="BA279" i="22" s="1"/>
  <c r="BB279" i="22" s="1"/>
  <c r="BC279" i="22" s="1"/>
  <c r="BD279" i="22" s="1"/>
  <c r="BE279" i="22" s="1"/>
  <c r="AI276" i="22"/>
  <c r="AJ276" i="22" s="1"/>
  <c r="AK276" i="22" s="1"/>
  <c r="AL276" i="22" s="1"/>
  <c r="AM276" i="22" s="1"/>
  <c r="AN276" i="22" s="1"/>
  <c r="AO276" i="22" s="1"/>
  <c r="AP276" i="22" s="1"/>
  <c r="AQ276" i="22" s="1"/>
  <c r="AR276" i="22" s="1"/>
  <c r="AS276" i="22" s="1"/>
  <c r="AT276" i="22" s="1"/>
  <c r="AU276" i="22" s="1"/>
  <c r="AV276" i="22" s="1"/>
  <c r="AW276" i="22" s="1"/>
  <c r="AX276" i="22" s="1"/>
  <c r="AY276" i="22" s="1"/>
  <c r="AZ276" i="22" s="1"/>
  <c r="BA276" i="22" s="1"/>
  <c r="BB276" i="22" s="1"/>
  <c r="BC276" i="22" s="1"/>
  <c r="BD276" i="22" s="1"/>
  <c r="BE276" i="22" s="1"/>
  <c r="AI270" i="22"/>
  <c r="AJ270" i="22" s="1"/>
  <c r="AK270" i="22" s="1"/>
  <c r="AL270" i="22" s="1"/>
  <c r="AM270" i="22" s="1"/>
  <c r="AN270" i="22" s="1"/>
  <c r="AO270" i="22" s="1"/>
  <c r="AP270" i="22" s="1"/>
  <c r="AQ270" i="22" s="1"/>
  <c r="AR270" i="22" s="1"/>
  <c r="AS270" i="22" s="1"/>
  <c r="AT270" i="22" s="1"/>
  <c r="AU270" i="22" s="1"/>
  <c r="AV270" i="22" s="1"/>
  <c r="AW270" i="22" s="1"/>
  <c r="AX270" i="22" s="1"/>
  <c r="AY270" i="22" s="1"/>
  <c r="AZ270" i="22" s="1"/>
  <c r="BA270" i="22" s="1"/>
  <c r="BB270" i="22" s="1"/>
  <c r="BC270" i="22" s="1"/>
  <c r="BD270" i="22" s="1"/>
  <c r="BE270" i="22" s="1"/>
  <c r="AI264" i="22"/>
  <c r="AJ264" i="22" s="1"/>
  <c r="AK264" i="22" s="1"/>
  <c r="AL264" i="22" s="1"/>
  <c r="AM264" i="22" s="1"/>
  <c r="AN264" i="22" s="1"/>
  <c r="AO264" i="22" s="1"/>
  <c r="AP264" i="22" s="1"/>
  <c r="AQ264" i="22" s="1"/>
  <c r="AR264" i="22" s="1"/>
  <c r="AS264" i="22" s="1"/>
  <c r="AT264" i="22" s="1"/>
  <c r="AU264" i="22" s="1"/>
  <c r="AV264" i="22" s="1"/>
  <c r="AW264" i="22" s="1"/>
  <c r="AX264" i="22" s="1"/>
  <c r="AY264" i="22" s="1"/>
  <c r="AZ264" i="22" s="1"/>
  <c r="BA264" i="22" s="1"/>
  <c r="BB264" i="22" s="1"/>
  <c r="BC264" i="22" s="1"/>
  <c r="BD264" i="22" s="1"/>
  <c r="BE264" i="22" s="1"/>
  <c r="AI252" i="22"/>
  <c r="AJ252" i="22" s="1"/>
  <c r="AK252" i="22" s="1"/>
  <c r="AL252" i="22" s="1"/>
  <c r="AM252" i="22" s="1"/>
  <c r="AN252" i="22" s="1"/>
  <c r="AO252" i="22" s="1"/>
  <c r="AP252" i="22" s="1"/>
  <c r="AQ252" i="22" s="1"/>
  <c r="AR252" i="22" s="1"/>
  <c r="AS252" i="22" s="1"/>
  <c r="AT252" i="22" s="1"/>
  <c r="AU252" i="22" s="1"/>
  <c r="AV252" i="22" s="1"/>
  <c r="AW252" i="22" s="1"/>
  <c r="AX252" i="22" s="1"/>
  <c r="AY252" i="22" s="1"/>
  <c r="AZ252" i="22" s="1"/>
  <c r="BA252" i="22" s="1"/>
  <c r="BB252" i="22" s="1"/>
  <c r="BC252" i="22" s="1"/>
  <c r="BD252" i="22" s="1"/>
  <c r="BE252" i="22" s="1"/>
  <c r="AI518" i="22"/>
  <c r="AJ518" i="22" s="1"/>
  <c r="AK518" i="22" s="1"/>
  <c r="AL518" i="22" s="1"/>
  <c r="AM518" i="22" s="1"/>
  <c r="AN518" i="22" s="1"/>
  <c r="AO518" i="22" s="1"/>
  <c r="AP518" i="22" s="1"/>
  <c r="AQ518" i="22" s="1"/>
  <c r="AR518" i="22" s="1"/>
  <c r="AS518" i="22" s="1"/>
  <c r="AT518" i="22" s="1"/>
  <c r="AU518" i="22" s="1"/>
  <c r="AV518" i="22" s="1"/>
  <c r="AW518" i="22" s="1"/>
  <c r="AX518" i="22" s="1"/>
  <c r="AY518" i="22" s="1"/>
  <c r="AZ518" i="22" s="1"/>
  <c r="BA518" i="22" s="1"/>
  <c r="BB518" i="22" s="1"/>
  <c r="BC518" i="22" s="1"/>
  <c r="BD518" i="22" s="1"/>
  <c r="BE518" i="22" s="1"/>
  <c r="AI445" i="22"/>
  <c r="AJ445" i="22" s="1"/>
  <c r="AK445" i="22" s="1"/>
  <c r="AL445" i="22" s="1"/>
  <c r="AM445" i="22" s="1"/>
  <c r="AN445" i="22" s="1"/>
  <c r="AO445" i="22" s="1"/>
  <c r="AP445" i="22" s="1"/>
  <c r="AQ445" i="22" s="1"/>
  <c r="AR445" i="22" s="1"/>
  <c r="AS445" i="22" s="1"/>
  <c r="AT445" i="22" s="1"/>
  <c r="AU445" i="22" s="1"/>
  <c r="AV445" i="22" s="1"/>
  <c r="AW445" i="22" s="1"/>
  <c r="AX445" i="22" s="1"/>
  <c r="AY445" i="22" s="1"/>
  <c r="AZ445" i="22" s="1"/>
  <c r="BA445" i="22" s="1"/>
  <c r="BB445" i="22" s="1"/>
  <c r="BC445" i="22" s="1"/>
  <c r="BD445" i="22" s="1"/>
  <c r="BE445" i="22" s="1"/>
  <c r="O410" i="22"/>
  <c r="P410" i="22" s="1"/>
  <c r="Q410" i="22" s="1"/>
  <c r="R410" i="22" s="1"/>
  <c r="S410" i="22" s="1"/>
  <c r="T410" i="22" s="1"/>
  <c r="U410" i="22" s="1"/>
  <c r="V410" i="22" s="1"/>
  <c r="W410" i="22" s="1"/>
  <c r="X410" i="22" s="1"/>
  <c r="Y410" i="22" s="1"/>
  <c r="Z410" i="22" s="1"/>
  <c r="AA410" i="22" s="1"/>
  <c r="AB410" i="22" s="1"/>
  <c r="AC410" i="22" s="1"/>
  <c r="AD410" i="22" s="1"/>
  <c r="AE410" i="22" s="1"/>
  <c r="AF410" i="22" s="1"/>
  <c r="AG410" i="22" s="1"/>
  <c r="O406" i="22"/>
  <c r="P406" i="22" s="1"/>
  <c r="Q406" i="22" s="1"/>
  <c r="R406" i="22" s="1"/>
  <c r="S406" i="22" s="1"/>
  <c r="T406" i="22" s="1"/>
  <c r="U406" i="22" s="1"/>
  <c r="V406" i="22" s="1"/>
  <c r="W406" i="22" s="1"/>
  <c r="X406" i="22" s="1"/>
  <c r="Y406" i="22" s="1"/>
  <c r="Z406" i="22" s="1"/>
  <c r="AA406" i="22" s="1"/>
  <c r="AB406" i="22" s="1"/>
  <c r="AC406" i="22" s="1"/>
  <c r="AD406" i="22" s="1"/>
  <c r="AE406" i="22" s="1"/>
  <c r="AF406" i="22" s="1"/>
  <c r="AG406" i="22" s="1"/>
  <c r="AI372" i="22"/>
  <c r="AJ372" i="22" s="1"/>
  <c r="AK372" i="22" s="1"/>
  <c r="AL372" i="22" s="1"/>
  <c r="AM372" i="22" s="1"/>
  <c r="AN372" i="22" s="1"/>
  <c r="AO372" i="22" s="1"/>
  <c r="AP372" i="22" s="1"/>
  <c r="AQ372" i="22" s="1"/>
  <c r="AR372" i="22" s="1"/>
  <c r="AS372" i="22" s="1"/>
  <c r="AT372" i="22" s="1"/>
  <c r="AU372" i="22" s="1"/>
  <c r="AV372" i="22" s="1"/>
  <c r="AW372" i="22" s="1"/>
  <c r="AX372" i="22" s="1"/>
  <c r="AY372" i="22" s="1"/>
  <c r="AZ372" i="22" s="1"/>
  <c r="BA372" i="22" s="1"/>
  <c r="BB372" i="22" s="1"/>
  <c r="BC372" i="22" s="1"/>
  <c r="BD372" i="22" s="1"/>
  <c r="BE372" i="22" s="1"/>
  <c r="O371" i="22"/>
  <c r="P371" i="22" s="1"/>
  <c r="Q371" i="22" s="1"/>
  <c r="R371" i="22" s="1"/>
  <c r="S371" i="22" s="1"/>
  <c r="T371" i="22" s="1"/>
  <c r="U371" i="22" s="1"/>
  <c r="V371" i="22" s="1"/>
  <c r="W371" i="22" s="1"/>
  <c r="X371" i="22" s="1"/>
  <c r="Y371" i="22" s="1"/>
  <c r="Z371" i="22" s="1"/>
  <c r="AA371" i="22" s="1"/>
  <c r="AB371" i="22" s="1"/>
  <c r="AC371" i="22" s="1"/>
  <c r="AD371" i="22" s="1"/>
  <c r="AE371" i="22" s="1"/>
  <c r="AF371" i="22" s="1"/>
  <c r="AG371" i="22" s="1"/>
  <c r="AI348" i="22"/>
  <c r="AJ348" i="22" s="1"/>
  <c r="AK348" i="22" s="1"/>
  <c r="AL348" i="22" s="1"/>
  <c r="AM348" i="22" s="1"/>
  <c r="AN348" i="22" s="1"/>
  <c r="AO348" i="22" s="1"/>
  <c r="AP348" i="22" s="1"/>
  <c r="AQ348" i="22" s="1"/>
  <c r="AR348" i="22" s="1"/>
  <c r="AS348" i="22" s="1"/>
  <c r="AT348" i="22" s="1"/>
  <c r="AU348" i="22" s="1"/>
  <c r="AV348" i="22" s="1"/>
  <c r="AW348" i="22" s="1"/>
  <c r="AX348" i="22" s="1"/>
  <c r="AY348" i="22" s="1"/>
  <c r="AZ348" i="22" s="1"/>
  <c r="BA348" i="22" s="1"/>
  <c r="BB348" i="22" s="1"/>
  <c r="BC348" i="22" s="1"/>
  <c r="BD348" i="22" s="1"/>
  <c r="BE348" i="22" s="1"/>
  <c r="AI323" i="22"/>
  <c r="AJ323" i="22" s="1"/>
  <c r="AK323" i="22" s="1"/>
  <c r="AL323" i="22" s="1"/>
  <c r="AM323" i="22" s="1"/>
  <c r="AN323" i="22" s="1"/>
  <c r="AO323" i="22" s="1"/>
  <c r="AP323" i="22" s="1"/>
  <c r="AQ323" i="22" s="1"/>
  <c r="AR323" i="22" s="1"/>
  <c r="AS323" i="22" s="1"/>
  <c r="AT323" i="22" s="1"/>
  <c r="AU323" i="22" s="1"/>
  <c r="AV323" i="22" s="1"/>
  <c r="AW323" i="22" s="1"/>
  <c r="AX323" i="22" s="1"/>
  <c r="AY323" i="22" s="1"/>
  <c r="AZ323" i="22" s="1"/>
  <c r="BA323" i="22" s="1"/>
  <c r="BB323" i="22" s="1"/>
  <c r="BC323" i="22" s="1"/>
  <c r="BD323" i="22" s="1"/>
  <c r="BE323" i="22" s="1"/>
  <c r="AI313" i="22"/>
  <c r="AJ313" i="22" s="1"/>
  <c r="AK313" i="22" s="1"/>
  <c r="AL313" i="22" s="1"/>
  <c r="AM313" i="22" s="1"/>
  <c r="AN313" i="22" s="1"/>
  <c r="AO313" i="22" s="1"/>
  <c r="AP313" i="22" s="1"/>
  <c r="AQ313" i="22" s="1"/>
  <c r="AR313" i="22" s="1"/>
  <c r="AS313" i="22" s="1"/>
  <c r="AT313" i="22" s="1"/>
  <c r="AU313" i="22" s="1"/>
  <c r="AV313" i="22" s="1"/>
  <c r="AW313" i="22" s="1"/>
  <c r="AX313" i="22" s="1"/>
  <c r="AY313" i="22" s="1"/>
  <c r="AZ313" i="22" s="1"/>
  <c r="BA313" i="22" s="1"/>
  <c r="BB313" i="22" s="1"/>
  <c r="BC313" i="22" s="1"/>
  <c r="BD313" i="22" s="1"/>
  <c r="BE313" i="22" s="1"/>
  <c r="AI305" i="22"/>
  <c r="AJ305" i="22" s="1"/>
  <c r="AK305" i="22" s="1"/>
  <c r="AL305" i="22" s="1"/>
  <c r="AM305" i="22" s="1"/>
  <c r="AN305" i="22" s="1"/>
  <c r="AO305" i="22" s="1"/>
  <c r="AP305" i="22" s="1"/>
  <c r="AQ305" i="22" s="1"/>
  <c r="AR305" i="22" s="1"/>
  <c r="AS305" i="22" s="1"/>
  <c r="AT305" i="22" s="1"/>
  <c r="AU305" i="22" s="1"/>
  <c r="AV305" i="22" s="1"/>
  <c r="AW305" i="22" s="1"/>
  <c r="AX305" i="22" s="1"/>
  <c r="AY305" i="22" s="1"/>
  <c r="AZ305" i="22" s="1"/>
  <c r="BA305" i="22" s="1"/>
  <c r="BB305" i="22" s="1"/>
  <c r="BC305" i="22" s="1"/>
  <c r="BD305" i="22" s="1"/>
  <c r="BE305" i="22" s="1"/>
  <c r="O305" i="22"/>
  <c r="P305" i="22" s="1"/>
  <c r="Q305" i="22" s="1"/>
  <c r="R305" i="22" s="1"/>
  <c r="S305" i="22" s="1"/>
  <c r="T305" i="22" s="1"/>
  <c r="U305" i="22" s="1"/>
  <c r="V305" i="22" s="1"/>
  <c r="W305" i="22" s="1"/>
  <c r="X305" i="22" s="1"/>
  <c r="Y305" i="22" s="1"/>
  <c r="Z305" i="22" s="1"/>
  <c r="AA305" i="22" s="1"/>
  <c r="AB305" i="22" s="1"/>
  <c r="AC305" i="22" s="1"/>
  <c r="AD305" i="22" s="1"/>
  <c r="AE305" i="22" s="1"/>
  <c r="AF305" i="22" s="1"/>
  <c r="AG305" i="22" s="1"/>
  <c r="AI289" i="22"/>
  <c r="AJ289" i="22" s="1"/>
  <c r="AK289" i="22" s="1"/>
  <c r="AL289" i="22" s="1"/>
  <c r="AM289" i="22" s="1"/>
  <c r="AN289" i="22" s="1"/>
  <c r="AO289" i="22" s="1"/>
  <c r="AP289" i="22" s="1"/>
  <c r="AQ289" i="22" s="1"/>
  <c r="AR289" i="22" s="1"/>
  <c r="AS289" i="22" s="1"/>
  <c r="AT289" i="22" s="1"/>
  <c r="AU289" i="22" s="1"/>
  <c r="AV289" i="22" s="1"/>
  <c r="AW289" i="22" s="1"/>
  <c r="AX289" i="22" s="1"/>
  <c r="AY289" i="22" s="1"/>
  <c r="AZ289" i="22" s="1"/>
  <c r="BA289" i="22" s="1"/>
  <c r="BB289" i="22" s="1"/>
  <c r="BC289" i="22" s="1"/>
  <c r="BD289" i="22" s="1"/>
  <c r="BE289" i="22" s="1"/>
  <c r="O600" i="22"/>
  <c r="P600" i="22" s="1"/>
  <c r="Q600" i="22" s="1"/>
  <c r="R600" i="22" s="1"/>
  <c r="S600" i="22" s="1"/>
  <c r="T600" i="22" s="1"/>
  <c r="U600" i="22" s="1"/>
  <c r="V600" i="22" s="1"/>
  <c r="W600" i="22" s="1"/>
  <c r="X600" i="22" s="1"/>
  <c r="Y600" i="22" s="1"/>
  <c r="Z600" i="22" s="1"/>
  <c r="AA600" i="22" s="1"/>
  <c r="AB600" i="22" s="1"/>
  <c r="AC600" i="22" s="1"/>
  <c r="AD600" i="22" s="1"/>
  <c r="AE600" i="22" s="1"/>
  <c r="AF600" i="22" s="1"/>
  <c r="AG600" i="22" s="1"/>
  <c r="AI560" i="22"/>
  <c r="AJ560" i="22" s="1"/>
  <c r="AK560" i="22" s="1"/>
  <c r="AL560" i="22" s="1"/>
  <c r="AM560" i="22" s="1"/>
  <c r="AN560" i="22" s="1"/>
  <c r="AO560" i="22" s="1"/>
  <c r="AP560" i="22" s="1"/>
  <c r="AQ560" i="22" s="1"/>
  <c r="AR560" i="22" s="1"/>
  <c r="AS560" i="22" s="1"/>
  <c r="AT560" i="22" s="1"/>
  <c r="AU560" i="22" s="1"/>
  <c r="AV560" i="22" s="1"/>
  <c r="AW560" i="22" s="1"/>
  <c r="AX560" i="22" s="1"/>
  <c r="AY560" i="22" s="1"/>
  <c r="AZ560" i="22" s="1"/>
  <c r="BA560" i="22" s="1"/>
  <c r="BB560" i="22" s="1"/>
  <c r="BC560" i="22" s="1"/>
  <c r="BD560" i="22" s="1"/>
  <c r="BE560" i="22" s="1"/>
  <c r="O448" i="22"/>
  <c r="P448" i="22" s="1"/>
  <c r="Q448" i="22" s="1"/>
  <c r="R448" i="22" s="1"/>
  <c r="S448" i="22" s="1"/>
  <c r="T448" i="22" s="1"/>
  <c r="U448" i="22" s="1"/>
  <c r="V448" i="22" s="1"/>
  <c r="W448" i="22" s="1"/>
  <c r="X448" i="22" s="1"/>
  <c r="Y448" i="22" s="1"/>
  <c r="Z448" i="22" s="1"/>
  <c r="AA448" i="22" s="1"/>
  <c r="AB448" i="22" s="1"/>
  <c r="AC448" i="22" s="1"/>
  <c r="AD448" i="22" s="1"/>
  <c r="AE448" i="22" s="1"/>
  <c r="AF448" i="22" s="1"/>
  <c r="AG448" i="22" s="1"/>
  <c r="AI419" i="22"/>
  <c r="AJ419" i="22" s="1"/>
  <c r="AK419" i="22" s="1"/>
  <c r="AL419" i="22" s="1"/>
  <c r="AM419" i="22" s="1"/>
  <c r="AN419" i="22" s="1"/>
  <c r="AO419" i="22" s="1"/>
  <c r="AP419" i="22" s="1"/>
  <c r="AQ419" i="22" s="1"/>
  <c r="AR419" i="22" s="1"/>
  <c r="AS419" i="22" s="1"/>
  <c r="AT419" i="22" s="1"/>
  <c r="AU419" i="22" s="1"/>
  <c r="AV419" i="22" s="1"/>
  <c r="AW419" i="22" s="1"/>
  <c r="AX419" i="22" s="1"/>
  <c r="AY419" i="22" s="1"/>
  <c r="AZ419" i="22" s="1"/>
  <c r="BA419" i="22" s="1"/>
  <c r="BB419" i="22" s="1"/>
  <c r="BC419" i="22" s="1"/>
  <c r="BD419" i="22" s="1"/>
  <c r="BE419" i="22" s="1"/>
  <c r="AI386" i="22"/>
  <c r="AJ386" i="22" s="1"/>
  <c r="AK386" i="22" s="1"/>
  <c r="AL386" i="22" s="1"/>
  <c r="AM386" i="22" s="1"/>
  <c r="AN386" i="22" s="1"/>
  <c r="AO386" i="22" s="1"/>
  <c r="AP386" i="22" s="1"/>
  <c r="AQ386" i="22" s="1"/>
  <c r="AR386" i="22" s="1"/>
  <c r="AS386" i="22" s="1"/>
  <c r="AT386" i="22" s="1"/>
  <c r="AU386" i="22" s="1"/>
  <c r="AV386" i="22" s="1"/>
  <c r="AW386" i="22" s="1"/>
  <c r="AX386" i="22" s="1"/>
  <c r="AY386" i="22" s="1"/>
  <c r="AZ386" i="22" s="1"/>
  <c r="BA386" i="22" s="1"/>
  <c r="BB386" i="22" s="1"/>
  <c r="BC386" i="22" s="1"/>
  <c r="BD386" i="22" s="1"/>
  <c r="BE386" i="22" s="1"/>
  <c r="AI379" i="22"/>
  <c r="AJ379" i="22" s="1"/>
  <c r="AK379" i="22" s="1"/>
  <c r="AL379" i="22" s="1"/>
  <c r="AM379" i="22" s="1"/>
  <c r="AN379" i="22" s="1"/>
  <c r="AO379" i="22" s="1"/>
  <c r="AP379" i="22" s="1"/>
  <c r="AQ379" i="22" s="1"/>
  <c r="AR379" i="22" s="1"/>
  <c r="AS379" i="22" s="1"/>
  <c r="AT379" i="22" s="1"/>
  <c r="AU379" i="22" s="1"/>
  <c r="AV379" i="22" s="1"/>
  <c r="AW379" i="22" s="1"/>
  <c r="AX379" i="22" s="1"/>
  <c r="AY379" i="22" s="1"/>
  <c r="AZ379" i="22" s="1"/>
  <c r="BA379" i="22" s="1"/>
  <c r="BB379" i="22" s="1"/>
  <c r="BC379" i="22" s="1"/>
  <c r="BD379" i="22" s="1"/>
  <c r="BE379" i="22" s="1"/>
  <c r="O374" i="22"/>
  <c r="P374" i="22" s="1"/>
  <c r="Q374" i="22" s="1"/>
  <c r="R374" i="22" s="1"/>
  <c r="S374" i="22" s="1"/>
  <c r="T374" i="22" s="1"/>
  <c r="U374" i="22" s="1"/>
  <c r="V374" i="22" s="1"/>
  <c r="W374" i="22" s="1"/>
  <c r="X374" i="22" s="1"/>
  <c r="Y374" i="22" s="1"/>
  <c r="Z374" i="22" s="1"/>
  <c r="AA374" i="22" s="1"/>
  <c r="AB374" i="22" s="1"/>
  <c r="AC374" i="22" s="1"/>
  <c r="AD374" i="22" s="1"/>
  <c r="AE374" i="22" s="1"/>
  <c r="AF374" i="22" s="1"/>
  <c r="AG374" i="22" s="1"/>
  <c r="AI354" i="22"/>
  <c r="AJ354" i="22" s="1"/>
  <c r="AK354" i="22" s="1"/>
  <c r="AL354" i="22" s="1"/>
  <c r="AM354" i="22" s="1"/>
  <c r="AN354" i="22" s="1"/>
  <c r="AO354" i="22" s="1"/>
  <c r="AP354" i="22" s="1"/>
  <c r="AQ354" i="22" s="1"/>
  <c r="AR354" i="22" s="1"/>
  <c r="AS354" i="22" s="1"/>
  <c r="AT354" i="22" s="1"/>
  <c r="AU354" i="22" s="1"/>
  <c r="AV354" i="22" s="1"/>
  <c r="AW354" i="22" s="1"/>
  <c r="AX354" i="22" s="1"/>
  <c r="AY354" i="22" s="1"/>
  <c r="AZ354" i="22" s="1"/>
  <c r="BA354" i="22" s="1"/>
  <c r="BB354" i="22" s="1"/>
  <c r="BC354" i="22" s="1"/>
  <c r="BD354" i="22" s="1"/>
  <c r="BE354" i="22" s="1"/>
  <c r="O354" i="22"/>
  <c r="P354" i="22" s="1"/>
  <c r="Q354" i="22" s="1"/>
  <c r="R354" i="22" s="1"/>
  <c r="S354" i="22" s="1"/>
  <c r="T354" i="22" s="1"/>
  <c r="U354" i="22" s="1"/>
  <c r="V354" i="22" s="1"/>
  <c r="W354" i="22" s="1"/>
  <c r="X354" i="22" s="1"/>
  <c r="Y354" i="22" s="1"/>
  <c r="Z354" i="22" s="1"/>
  <c r="AA354" i="22" s="1"/>
  <c r="AB354" i="22" s="1"/>
  <c r="AC354" i="22" s="1"/>
  <c r="AD354" i="22" s="1"/>
  <c r="AE354" i="22" s="1"/>
  <c r="AF354" i="22" s="1"/>
  <c r="AG354" i="22" s="1"/>
  <c r="AI344" i="22"/>
  <c r="AJ344" i="22" s="1"/>
  <c r="AK344" i="22" s="1"/>
  <c r="AL344" i="22" s="1"/>
  <c r="AM344" i="22" s="1"/>
  <c r="AN344" i="22" s="1"/>
  <c r="AO344" i="22" s="1"/>
  <c r="AP344" i="22" s="1"/>
  <c r="AQ344" i="22" s="1"/>
  <c r="AR344" i="22" s="1"/>
  <c r="AS344" i="22" s="1"/>
  <c r="AT344" i="22" s="1"/>
  <c r="AU344" i="22" s="1"/>
  <c r="AV344" i="22" s="1"/>
  <c r="AW344" i="22" s="1"/>
  <c r="AX344" i="22" s="1"/>
  <c r="AY344" i="22" s="1"/>
  <c r="AZ344" i="22" s="1"/>
  <c r="BA344" i="22" s="1"/>
  <c r="BB344" i="22" s="1"/>
  <c r="BC344" i="22" s="1"/>
  <c r="BD344" i="22" s="1"/>
  <c r="BE344" i="22" s="1"/>
  <c r="O330" i="22"/>
  <c r="P330" i="22" s="1"/>
  <c r="Q330" i="22" s="1"/>
  <c r="R330" i="22" s="1"/>
  <c r="S330" i="22" s="1"/>
  <c r="T330" i="22" s="1"/>
  <c r="U330" i="22" s="1"/>
  <c r="V330" i="22" s="1"/>
  <c r="W330" i="22" s="1"/>
  <c r="X330" i="22" s="1"/>
  <c r="Y330" i="22" s="1"/>
  <c r="Z330" i="22" s="1"/>
  <c r="AA330" i="22" s="1"/>
  <c r="AB330" i="22" s="1"/>
  <c r="AC330" i="22" s="1"/>
  <c r="AD330" i="22" s="1"/>
  <c r="AE330" i="22" s="1"/>
  <c r="AF330" i="22" s="1"/>
  <c r="AG330" i="22" s="1"/>
  <c r="O320" i="22"/>
  <c r="P320" i="22" s="1"/>
  <c r="Q320" i="22" s="1"/>
  <c r="R320" i="22" s="1"/>
  <c r="S320" i="22" s="1"/>
  <c r="T320" i="22" s="1"/>
  <c r="U320" i="22" s="1"/>
  <c r="V320" i="22" s="1"/>
  <c r="W320" i="22" s="1"/>
  <c r="X320" i="22" s="1"/>
  <c r="Y320" i="22" s="1"/>
  <c r="Z320" i="22" s="1"/>
  <c r="AA320" i="22" s="1"/>
  <c r="AB320" i="22" s="1"/>
  <c r="AC320" i="22" s="1"/>
  <c r="AD320" i="22" s="1"/>
  <c r="AE320" i="22" s="1"/>
  <c r="AF320" i="22" s="1"/>
  <c r="AG320" i="22" s="1"/>
  <c r="AI291" i="22"/>
  <c r="AJ291" i="22" s="1"/>
  <c r="AK291" i="22" s="1"/>
  <c r="AL291" i="22" s="1"/>
  <c r="AM291" i="22" s="1"/>
  <c r="AN291" i="22" s="1"/>
  <c r="AO291" i="22" s="1"/>
  <c r="AP291" i="22" s="1"/>
  <c r="AQ291" i="22" s="1"/>
  <c r="AR291" i="22" s="1"/>
  <c r="AS291" i="22" s="1"/>
  <c r="AT291" i="22" s="1"/>
  <c r="AU291" i="22" s="1"/>
  <c r="AV291" i="22" s="1"/>
  <c r="AW291" i="22" s="1"/>
  <c r="AX291" i="22" s="1"/>
  <c r="AY291" i="22" s="1"/>
  <c r="AZ291" i="22" s="1"/>
  <c r="BA291" i="22" s="1"/>
  <c r="BB291" i="22" s="1"/>
  <c r="BC291" i="22" s="1"/>
  <c r="BD291" i="22" s="1"/>
  <c r="BE291" i="22" s="1"/>
  <c r="O287" i="22"/>
  <c r="P287" i="22" s="1"/>
  <c r="Q287" i="22" s="1"/>
  <c r="R287" i="22" s="1"/>
  <c r="S287" i="22" s="1"/>
  <c r="T287" i="22" s="1"/>
  <c r="U287" i="22" s="1"/>
  <c r="V287" i="22" s="1"/>
  <c r="W287" i="22" s="1"/>
  <c r="X287" i="22" s="1"/>
  <c r="Y287" i="22" s="1"/>
  <c r="Z287" i="22" s="1"/>
  <c r="AA287" i="22" s="1"/>
  <c r="AB287" i="22" s="1"/>
  <c r="AC287" i="22" s="1"/>
  <c r="AD287" i="22" s="1"/>
  <c r="AE287" i="22" s="1"/>
  <c r="AF287" i="22" s="1"/>
  <c r="AG287" i="22" s="1"/>
  <c r="AI400" i="22"/>
  <c r="AJ400" i="22" s="1"/>
  <c r="AK400" i="22" s="1"/>
  <c r="AL400" i="22" s="1"/>
  <c r="AM400" i="22" s="1"/>
  <c r="AN400" i="22" s="1"/>
  <c r="AO400" i="22" s="1"/>
  <c r="AP400" i="22" s="1"/>
  <c r="AQ400" i="22" s="1"/>
  <c r="AR400" i="22" s="1"/>
  <c r="AS400" i="22" s="1"/>
  <c r="AT400" i="22" s="1"/>
  <c r="AU400" i="22" s="1"/>
  <c r="AV400" i="22" s="1"/>
  <c r="AW400" i="22" s="1"/>
  <c r="AX400" i="22" s="1"/>
  <c r="AY400" i="22" s="1"/>
  <c r="AZ400" i="22" s="1"/>
  <c r="BA400" i="22" s="1"/>
  <c r="BB400" i="22" s="1"/>
  <c r="BC400" i="22" s="1"/>
  <c r="BD400" i="22" s="1"/>
  <c r="BE400" i="22" s="1"/>
  <c r="O387" i="22"/>
  <c r="P387" i="22" s="1"/>
  <c r="Q387" i="22" s="1"/>
  <c r="R387" i="22" s="1"/>
  <c r="S387" i="22" s="1"/>
  <c r="T387" i="22" s="1"/>
  <c r="U387" i="22" s="1"/>
  <c r="V387" i="22" s="1"/>
  <c r="W387" i="22" s="1"/>
  <c r="X387" i="22" s="1"/>
  <c r="Y387" i="22" s="1"/>
  <c r="Z387" i="22" s="1"/>
  <c r="AA387" i="22" s="1"/>
  <c r="AB387" i="22" s="1"/>
  <c r="AC387" i="22" s="1"/>
  <c r="AD387" i="22" s="1"/>
  <c r="AE387" i="22" s="1"/>
  <c r="AF387" i="22" s="1"/>
  <c r="AG387" i="22" s="1"/>
  <c r="AI376" i="22"/>
  <c r="AJ376" i="22" s="1"/>
  <c r="AK376" i="22" s="1"/>
  <c r="AL376" i="22" s="1"/>
  <c r="AM376" i="22" s="1"/>
  <c r="AN376" i="22" s="1"/>
  <c r="AO376" i="22" s="1"/>
  <c r="AP376" i="22" s="1"/>
  <c r="AQ376" i="22" s="1"/>
  <c r="AR376" i="22" s="1"/>
  <c r="AS376" i="22" s="1"/>
  <c r="AT376" i="22" s="1"/>
  <c r="AU376" i="22" s="1"/>
  <c r="AV376" i="22" s="1"/>
  <c r="AW376" i="22" s="1"/>
  <c r="AX376" i="22" s="1"/>
  <c r="AY376" i="22" s="1"/>
  <c r="AZ376" i="22" s="1"/>
  <c r="BA376" i="22" s="1"/>
  <c r="BB376" i="22" s="1"/>
  <c r="BC376" i="22" s="1"/>
  <c r="BD376" i="22" s="1"/>
  <c r="BE376" i="22" s="1"/>
  <c r="O324" i="22"/>
  <c r="P324" i="22" s="1"/>
  <c r="Q324" i="22" s="1"/>
  <c r="R324" i="22" s="1"/>
  <c r="S324" i="22" s="1"/>
  <c r="T324" i="22" s="1"/>
  <c r="U324" i="22" s="1"/>
  <c r="V324" i="22" s="1"/>
  <c r="W324" i="22" s="1"/>
  <c r="X324" i="22" s="1"/>
  <c r="Y324" i="22" s="1"/>
  <c r="Z324" i="22" s="1"/>
  <c r="AA324" i="22" s="1"/>
  <c r="AB324" i="22" s="1"/>
  <c r="AC324" i="22" s="1"/>
  <c r="AD324" i="22" s="1"/>
  <c r="AE324" i="22" s="1"/>
  <c r="AF324" i="22" s="1"/>
  <c r="AG324" i="22" s="1"/>
  <c r="AI321" i="22"/>
  <c r="AJ321" i="22" s="1"/>
  <c r="AK321" i="22" s="1"/>
  <c r="AL321" i="22" s="1"/>
  <c r="AM321" i="22" s="1"/>
  <c r="AN321" i="22" s="1"/>
  <c r="AO321" i="22" s="1"/>
  <c r="AP321" i="22" s="1"/>
  <c r="AQ321" i="22" s="1"/>
  <c r="AR321" i="22" s="1"/>
  <c r="AS321" i="22" s="1"/>
  <c r="AT321" i="22" s="1"/>
  <c r="AU321" i="22" s="1"/>
  <c r="AV321" i="22" s="1"/>
  <c r="AW321" i="22" s="1"/>
  <c r="AX321" i="22" s="1"/>
  <c r="AY321" i="22" s="1"/>
  <c r="AZ321" i="22" s="1"/>
  <c r="BA321" i="22" s="1"/>
  <c r="BB321" i="22" s="1"/>
  <c r="BC321" i="22" s="1"/>
  <c r="BD321" i="22" s="1"/>
  <c r="BE321" i="22" s="1"/>
  <c r="O303" i="22"/>
  <c r="P303" i="22" s="1"/>
  <c r="Q303" i="22" s="1"/>
  <c r="R303" i="22" s="1"/>
  <c r="S303" i="22" s="1"/>
  <c r="T303" i="22" s="1"/>
  <c r="U303" i="22" s="1"/>
  <c r="V303" i="22" s="1"/>
  <c r="W303" i="22" s="1"/>
  <c r="X303" i="22" s="1"/>
  <c r="Y303" i="22" s="1"/>
  <c r="Z303" i="22" s="1"/>
  <c r="AA303" i="22" s="1"/>
  <c r="AB303" i="22" s="1"/>
  <c r="AC303" i="22" s="1"/>
  <c r="AD303" i="22" s="1"/>
  <c r="AE303" i="22" s="1"/>
  <c r="AF303" i="22" s="1"/>
  <c r="AG303" i="22" s="1"/>
  <c r="O267" i="22"/>
  <c r="P267" i="22" s="1"/>
  <c r="Q267" i="22" s="1"/>
  <c r="R267" i="22" s="1"/>
  <c r="S267" i="22" s="1"/>
  <c r="T267" i="22" s="1"/>
  <c r="U267" i="22" s="1"/>
  <c r="V267" i="22" s="1"/>
  <c r="W267" i="22" s="1"/>
  <c r="X267" i="22" s="1"/>
  <c r="Y267" i="22" s="1"/>
  <c r="Z267" i="22" s="1"/>
  <c r="AA267" i="22" s="1"/>
  <c r="AB267" i="22" s="1"/>
  <c r="AC267" i="22" s="1"/>
  <c r="AD267" i="22" s="1"/>
  <c r="AE267" i="22" s="1"/>
  <c r="AF267" i="22" s="1"/>
  <c r="AG267" i="22" s="1"/>
  <c r="AI262" i="22"/>
  <c r="AJ262" i="22" s="1"/>
  <c r="AK262" i="22" s="1"/>
  <c r="AL262" i="22" s="1"/>
  <c r="AM262" i="22" s="1"/>
  <c r="AN262" i="22" s="1"/>
  <c r="AO262" i="22" s="1"/>
  <c r="AP262" i="22" s="1"/>
  <c r="AQ262" i="22" s="1"/>
  <c r="AR262" i="22" s="1"/>
  <c r="AS262" i="22" s="1"/>
  <c r="AT262" i="22" s="1"/>
  <c r="AU262" i="22" s="1"/>
  <c r="AV262" i="22" s="1"/>
  <c r="AW262" i="22" s="1"/>
  <c r="AX262" i="22" s="1"/>
  <c r="AY262" i="22" s="1"/>
  <c r="AZ262" i="22" s="1"/>
  <c r="BA262" i="22" s="1"/>
  <c r="BB262" i="22" s="1"/>
  <c r="BC262" i="22" s="1"/>
  <c r="BD262" i="22" s="1"/>
  <c r="BE262" i="22" s="1"/>
  <c r="O262" i="22"/>
  <c r="P262" i="22" s="1"/>
  <c r="Q262" i="22" s="1"/>
  <c r="R262" i="22" s="1"/>
  <c r="S262" i="22" s="1"/>
  <c r="T262" i="22" s="1"/>
  <c r="U262" i="22" s="1"/>
  <c r="V262" i="22" s="1"/>
  <c r="W262" i="22" s="1"/>
  <c r="X262" i="22" s="1"/>
  <c r="Y262" i="22" s="1"/>
  <c r="Z262" i="22" s="1"/>
  <c r="AA262" i="22" s="1"/>
  <c r="AB262" i="22" s="1"/>
  <c r="AC262" i="22" s="1"/>
  <c r="AD262" i="22" s="1"/>
  <c r="AE262" i="22" s="1"/>
  <c r="AF262" i="22" s="1"/>
  <c r="AG262" i="22" s="1"/>
  <c r="O253" i="22"/>
  <c r="P253" i="22" s="1"/>
  <c r="Q253" i="22" s="1"/>
  <c r="R253" i="22" s="1"/>
  <c r="S253" i="22" s="1"/>
  <c r="T253" i="22" s="1"/>
  <c r="U253" i="22" s="1"/>
  <c r="V253" i="22" s="1"/>
  <c r="W253" i="22" s="1"/>
  <c r="X253" i="22" s="1"/>
  <c r="Y253" i="22" s="1"/>
  <c r="Z253" i="22" s="1"/>
  <c r="AA253" i="22" s="1"/>
  <c r="AB253" i="22" s="1"/>
  <c r="AC253" i="22" s="1"/>
  <c r="AD253" i="22" s="1"/>
  <c r="AE253" i="22" s="1"/>
  <c r="AF253" i="22" s="1"/>
  <c r="AG253" i="22" s="1"/>
  <c r="AI236" i="22"/>
  <c r="AJ236" i="22" s="1"/>
  <c r="AK236" i="22" s="1"/>
  <c r="AL236" i="22" s="1"/>
  <c r="AM236" i="22" s="1"/>
  <c r="AN236" i="22" s="1"/>
  <c r="AO236" i="22" s="1"/>
  <c r="AP236" i="22" s="1"/>
  <c r="AQ236" i="22" s="1"/>
  <c r="AR236" i="22" s="1"/>
  <c r="AS236" i="22" s="1"/>
  <c r="AT236" i="22" s="1"/>
  <c r="AU236" i="22" s="1"/>
  <c r="AV236" i="22" s="1"/>
  <c r="AW236" i="22" s="1"/>
  <c r="AX236" i="22" s="1"/>
  <c r="AY236" i="22" s="1"/>
  <c r="AZ236" i="22" s="1"/>
  <c r="BA236" i="22" s="1"/>
  <c r="BB236" i="22" s="1"/>
  <c r="BC236" i="22" s="1"/>
  <c r="BD236" i="22" s="1"/>
  <c r="BE236" i="22" s="1"/>
  <c r="AI230" i="22"/>
  <c r="AJ230" i="22" s="1"/>
  <c r="AK230" i="22" s="1"/>
  <c r="AL230" i="22" s="1"/>
  <c r="AM230" i="22" s="1"/>
  <c r="AN230" i="22" s="1"/>
  <c r="AO230" i="22" s="1"/>
  <c r="AP230" i="22" s="1"/>
  <c r="AQ230" i="22" s="1"/>
  <c r="AR230" i="22" s="1"/>
  <c r="AS230" i="22" s="1"/>
  <c r="AT230" i="22" s="1"/>
  <c r="AU230" i="22" s="1"/>
  <c r="AV230" i="22" s="1"/>
  <c r="AW230" i="22" s="1"/>
  <c r="AX230" i="22" s="1"/>
  <c r="AY230" i="22" s="1"/>
  <c r="AZ230" i="22" s="1"/>
  <c r="BA230" i="22" s="1"/>
  <c r="BB230" i="22" s="1"/>
  <c r="BC230" i="22" s="1"/>
  <c r="BD230" i="22" s="1"/>
  <c r="BE230" i="22" s="1"/>
  <c r="AI213" i="22"/>
  <c r="AJ213" i="22" s="1"/>
  <c r="AK213" i="22" s="1"/>
  <c r="AL213" i="22" s="1"/>
  <c r="AM213" i="22" s="1"/>
  <c r="AN213" i="22" s="1"/>
  <c r="AO213" i="22" s="1"/>
  <c r="AP213" i="22" s="1"/>
  <c r="AQ213" i="22" s="1"/>
  <c r="AR213" i="22" s="1"/>
  <c r="AS213" i="22" s="1"/>
  <c r="AT213" i="22" s="1"/>
  <c r="AU213" i="22" s="1"/>
  <c r="AV213" i="22" s="1"/>
  <c r="AW213" i="22" s="1"/>
  <c r="AX213" i="22" s="1"/>
  <c r="AY213" i="22" s="1"/>
  <c r="AZ213" i="22" s="1"/>
  <c r="BA213" i="22" s="1"/>
  <c r="BB213" i="22" s="1"/>
  <c r="BC213" i="22" s="1"/>
  <c r="BD213" i="22" s="1"/>
  <c r="BE213" i="22" s="1"/>
  <c r="O210" i="22"/>
  <c r="P210" i="22" s="1"/>
  <c r="Q210" i="22" s="1"/>
  <c r="R210" i="22" s="1"/>
  <c r="S210" i="22" s="1"/>
  <c r="T210" i="22" s="1"/>
  <c r="U210" i="22" s="1"/>
  <c r="V210" i="22" s="1"/>
  <c r="W210" i="22" s="1"/>
  <c r="X210" i="22" s="1"/>
  <c r="Y210" i="22" s="1"/>
  <c r="Z210" i="22" s="1"/>
  <c r="AA210" i="22" s="1"/>
  <c r="AB210" i="22" s="1"/>
  <c r="AC210" i="22" s="1"/>
  <c r="AD210" i="22" s="1"/>
  <c r="AE210" i="22" s="1"/>
  <c r="AF210" i="22" s="1"/>
  <c r="AG210" i="22" s="1"/>
  <c r="O205" i="22"/>
  <c r="P205" i="22" s="1"/>
  <c r="Q205" i="22" s="1"/>
  <c r="R205" i="22" s="1"/>
  <c r="S205" i="22" s="1"/>
  <c r="T205" i="22" s="1"/>
  <c r="U205" i="22" s="1"/>
  <c r="V205" i="22" s="1"/>
  <c r="W205" i="22" s="1"/>
  <c r="X205" i="22" s="1"/>
  <c r="Y205" i="22" s="1"/>
  <c r="Z205" i="22" s="1"/>
  <c r="AA205" i="22" s="1"/>
  <c r="AB205" i="22" s="1"/>
  <c r="AC205" i="22" s="1"/>
  <c r="AD205" i="22" s="1"/>
  <c r="AE205" i="22" s="1"/>
  <c r="AF205" i="22" s="1"/>
  <c r="AG205" i="22" s="1"/>
  <c r="AI203" i="22"/>
  <c r="AJ203" i="22" s="1"/>
  <c r="AK203" i="22" s="1"/>
  <c r="AL203" i="22" s="1"/>
  <c r="AM203" i="22" s="1"/>
  <c r="AN203" i="22" s="1"/>
  <c r="AO203" i="22" s="1"/>
  <c r="AP203" i="22" s="1"/>
  <c r="AQ203" i="22" s="1"/>
  <c r="AR203" i="22" s="1"/>
  <c r="AS203" i="22" s="1"/>
  <c r="AT203" i="22" s="1"/>
  <c r="AU203" i="22" s="1"/>
  <c r="AV203" i="22" s="1"/>
  <c r="AW203" i="22" s="1"/>
  <c r="AX203" i="22" s="1"/>
  <c r="AY203" i="22" s="1"/>
  <c r="AZ203" i="22" s="1"/>
  <c r="BA203" i="22" s="1"/>
  <c r="BB203" i="22" s="1"/>
  <c r="BC203" i="22" s="1"/>
  <c r="BD203" i="22" s="1"/>
  <c r="BE203" i="22" s="1"/>
  <c r="AI198" i="22"/>
  <c r="AJ198" i="22" s="1"/>
  <c r="AK198" i="22" s="1"/>
  <c r="AL198" i="22" s="1"/>
  <c r="AM198" i="22" s="1"/>
  <c r="AN198" i="22" s="1"/>
  <c r="AO198" i="22" s="1"/>
  <c r="AP198" i="22" s="1"/>
  <c r="AQ198" i="22" s="1"/>
  <c r="AR198" i="22" s="1"/>
  <c r="AS198" i="22" s="1"/>
  <c r="AT198" i="22" s="1"/>
  <c r="AU198" i="22" s="1"/>
  <c r="AV198" i="22" s="1"/>
  <c r="AW198" i="22" s="1"/>
  <c r="AX198" i="22" s="1"/>
  <c r="AY198" i="22" s="1"/>
  <c r="AZ198" i="22" s="1"/>
  <c r="BA198" i="22" s="1"/>
  <c r="BB198" i="22" s="1"/>
  <c r="BC198" i="22" s="1"/>
  <c r="BD198" i="22" s="1"/>
  <c r="BE198" i="22" s="1"/>
  <c r="AI191" i="22"/>
  <c r="AJ191" i="22" s="1"/>
  <c r="AK191" i="22" s="1"/>
  <c r="AL191" i="22" s="1"/>
  <c r="AM191" i="22" s="1"/>
  <c r="AN191" i="22" s="1"/>
  <c r="AO191" i="22" s="1"/>
  <c r="AP191" i="22" s="1"/>
  <c r="AQ191" i="22" s="1"/>
  <c r="AR191" i="22" s="1"/>
  <c r="AS191" i="22" s="1"/>
  <c r="AT191" i="22" s="1"/>
  <c r="AU191" i="22" s="1"/>
  <c r="AV191" i="22" s="1"/>
  <c r="AW191" i="22" s="1"/>
  <c r="AX191" i="22" s="1"/>
  <c r="AY191" i="22" s="1"/>
  <c r="AZ191" i="22" s="1"/>
  <c r="BA191" i="22" s="1"/>
  <c r="BB191" i="22" s="1"/>
  <c r="BC191" i="22" s="1"/>
  <c r="BD191" i="22" s="1"/>
  <c r="BE191" i="22" s="1"/>
  <c r="AI189" i="22"/>
  <c r="AJ189" i="22" s="1"/>
  <c r="AK189" i="22" s="1"/>
  <c r="AL189" i="22" s="1"/>
  <c r="AM189" i="22" s="1"/>
  <c r="AN189" i="22" s="1"/>
  <c r="AO189" i="22" s="1"/>
  <c r="AP189" i="22" s="1"/>
  <c r="AQ189" i="22" s="1"/>
  <c r="AR189" i="22" s="1"/>
  <c r="AS189" i="22" s="1"/>
  <c r="AT189" i="22" s="1"/>
  <c r="AU189" i="22" s="1"/>
  <c r="AV189" i="22" s="1"/>
  <c r="AW189" i="22" s="1"/>
  <c r="AX189" i="22" s="1"/>
  <c r="AY189" i="22" s="1"/>
  <c r="AZ189" i="22" s="1"/>
  <c r="BA189" i="22" s="1"/>
  <c r="BB189" i="22" s="1"/>
  <c r="BC189" i="22" s="1"/>
  <c r="BD189" i="22" s="1"/>
  <c r="BE189" i="22" s="1"/>
  <c r="AI187" i="22"/>
  <c r="AJ187" i="22" s="1"/>
  <c r="AK187" i="22" s="1"/>
  <c r="AL187" i="22" s="1"/>
  <c r="AM187" i="22" s="1"/>
  <c r="AN187" i="22" s="1"/>
  <c r="AO187" i="22" s="1"/>
  <c r="AP187" i="22" s="1"/>
  <c r="AQ187" i="22" s="1"/>
  <c r="AR187" i="22" s="1"/>
  <c r="AS187" i="22" s="1"/>
  <c r="AT187" i="22" s="1"/>
  <c r="AU187" i="22" s="1"/>
  <c r="AV187" i="22" s="1"/>
  <c r="AW187" i="22" s="1"/>
  <c r="AX187" i="22" s="1"/>
  <c r="AY187" i="22" s="1"/>
  <c r="AZ187" i="22" s="1"/>
  <c r="BA187" i="22" s="1"/>
  <c r="BB187" i="22" s="1"/>
  <c r="BC187" i="22" s="1"/>
  <c r="BD187" i="22" s="1"/>
  <c r="BE187" i="22" s="1"/>
  <c r="AI185" i="22"/>
  <c r="AJ185" i="22" s="1"/>
  <c r="AK185" i="22" s="1"/>
  <c r="AL185" i="22" s="1"/>
  <c r="AM185" i="22" s="1"/>
  <c r="AN185" i="22" s="1"/>
  <c r="AO185" i="22" s="1"/>
  <c r="AP185" i="22" s="1"/>
  <c r="AQ185" i="22" s="1"/>
  <c r="AR185" i="22" s="1"/>
  <c r="AS185" i="22" s="1"/>
  <c r="AT185" i="22" s="1"/>
  <c r="AU185" i="22" s="1"/>
  <c r="AV185" i="22" s="1"/>
  <c r="AW185" i="22" s="1"/>
  <c r="AX185" i="22" s="1"/>
  <c r="AY185" i="22" s="1"/>
  <c r="AZ185" i="22" s="1"/>
  <c r="BA185" i="22" s="1"/>
  <c r="BB185" i="22" s="1"/>
  <c r="BC185" i="22" s="1"/>
  <c r="BD185" i="22" s="1"/>
  <c r="BE185" i="22" s="1"/>
  <c r="AI183" i="22"/>
  <c r="AJ183" i="22" s="1"/>
  <c r="AK183" i="22" s="1"/>
  <c r="AL183" i="22" s="1"/>
  <c r="AM183" i="22" s="1"/>
  <c r="AN183" i="22" s="1"/>
  <c r="AO183" i="22" s="1"/>
  <c r="AP183" i="22" s="1"/>
  <c r="AQ183" i="22" s="1"/>
  <c r="AR183" i="22" s="1"/>
  <c r="AS183" i="22" s="1"/>
  <c r="AT183" i="22" s="1"/>
  <c r="AU183" i="22" s="1"/>
  <c r="AV183" i="22" s="1"/>
  <c r="AW183" i="22" s="1"/>
  <c r="AX183" i="22" s="1"/>
  <c r="AY183" i="22" s="1"/>
  <c r="AZ183" i="22" s="1"/>
  <c r="BA183" i="22" s="1"/>
  <c r="BB183" i="22" s="1"/>
  <c r="BC183" i="22" s="1"/>
  <c r="BD183" i="22" s="1"/>
  <c r="BE183" i="22" s="1"/>
  <c r="AI181" i="22"/>
  <c r="AJ181" i="22" s="1"/>
  <c r="AK181" i="22" s="1"/>
  <c r="AL181" i="22" s="1"/>
  <c r="AM181" i="22" s="1"/>
  <c r="AN181" i="22" s="1"/>
  <c r="AO181" i="22" s="1"/>
  <c r="AP181" i="22" s="1"/>
  <c r="AQ181" i="22" s="1"/>
  <c r="AR181" i="22" s="1"/>
  <c r="AS181" i="22" s="1"/>
  <c r="AT181" i="22" s="1"/>
  <c r="AU181" i="22" s="1"/>
  <c r="AV181" i="22" s="1"/>
  <c r="AW181" i="22" s="1"/>
  <c r="AX181" i="22" s="1"/>
  <c r="AY181" i="22" s="1"/>
  <c r="AZ181" i="22" s="1"/>
  <c r="BA181" i="22" s="1"/>
  <c r="BB181" i="22" s="1"/>
  <c r="BC181" i="22" s="1"/>
  <c r="BD181" i="22" s="1"/>
  <c r="BE181" i="22" s="1"/>
  <c r="AI179" i="22"/>
  <c r="AJ179" i="22" s="1"/>
  <c r="AK179" i="22" s="1"/>
  <c r="AL179" i="22" s="1"/>
  <c r="AM179" i="22" s="1"/>
  <c r="AN179" i="22" s="1"/>
  <c r="AO179" i="22" s="1"/>
  <c r="AP179" i="22" s="1"/>
  <c r="AQ179" i="22" s="1"/>
  <c r="AR179" i="22" s="1"/>
  <c r="AS179" i="22" s="1"/>
  <c r="AT179" i="22" s="1"/>
  <c r="AU179" i="22" s="1"/>
  <c r="AV179" i="22" s="1"/>
  <c r="AW179" i="22" s="1"/>
  <c r="AX179" i="22" s="1"/>
  <c r="AY179" i="22" s="1"/>
  <c r="AZ179" i="22" s="1"/>
  <c r="BA179" i="22" s="1"/>
  <c r="BB179" i="22" s="1"/>
  <c r="BC179" i="22" s="1"/>
  <c r="BD179" i="22" s="1"/>
  <c r="BE179" i="22" s="1"/>
  <c r="AI177" i="22"/>
  <c r="AJ177" i="22" s="1"/>
  <c r="AK177" i="22" s="1"/>
  <c r="AL177" i="22" s="1"/>
  <c r="AM177" i="22" s="1"/>
  <c r="AN177" i="22" s="1"/>
  <c r="AO177" i="22" s="1"/>
  <c r="AP177" i="22" s="1"/>
  <c r="AQ177" i="22" s="1"/>
  <c r="AR177" i="22" s="1"/>
  <c r="AS177" i="22" s="1"/>
  <c r="AT177" i="22" s="1"/>
  <c r="AU177" i="22" s="1"/>
  <c r="AV177" i="22" s="1"/>
  <c r="AW177" i="22" s="1"/>
  <c r="AX177" i="22" s="1"/>
  <c r="AY177" i="22" s="1"/>
  <c r="AZ177" i="22" s="1"/>
  <c r="BA177" i="22" s="1"/>
  <c r="BB177" i="22" s="1"/>
  <c r="BC177" i="22" s="1"/>
  <c r="BD177" i="22" s="1"/>
  <c r="BE177" i="22" s="1"/>
  <c r="AI175" i="22"/>
  <c r="AJ175" i="22" s="1"/>
  <c r="AK175" i="22" s="1"/>
  <c r="AL175" i="22" s="1"/>
  <c r="AM175" i="22" s="1"/>
  <c r="AN175" i="22" s="1"/>
  <c r="AO175" i="22" s="1"/>
  <c r="AP175" i="22" s="1"/>
  <c r="AQ175" i="22" s="1"/>
  <c r="AR175" i="22" s="1"/>
  <c r="AS175" i="22" s="1"/>
  <c r="AT175" i="22" s="1"/>
  <c r="AU175" i="22" s="1"/>
  <c r="AV175" i="22" s="1"/>
  <c r="AW175" i="22" s="1"/>
  <c r="AX175" i="22" s="1"/>
  <c r="AY175" i="22" s="1"/>
  <c r="AZ175" i="22" s="1"/>
  <c r="BA175" i="22" s="1"/>
  <c r="BB175" i="22" s="1"/>
  <c r="BC175" i="22" s="1"/>
  <c r="BD175" i="22" s="1"/>
  <c r="BE175" i="22" s="1"/>
  <c r="AI173" i="22"/>
  <c r="AJ173" i="22" s="1"/>
  <c r="AK173" i="22" s="1"/>
  <c r="AL173" i="22" s="1"/>
  <c r="AM173" i="22" s="1"/>
  <c r="AN173" i="22" s="1"/>
  <c r="AO173" i="22" s="1"/>
  <c r="AP173" i="22" s="1"/>
  <c r="AQ173" i="22" s="1"/>
  <c r="AR173" i="22" s="1"/>
  <c r="AS173" i="22" s="1"/>
  <c r="AT173" i="22" s="1"/>
  <c r="AU173" i="22" s="1"/>
  <c r="AV173" i="22" s="1"/>
  <c r="AW173" i="22" s="1"/>
  <c r="AX173" i="22" s="1"/>
  <c r="AY173" i="22" s="1"/>
  <c r="AZ173" i="22" s="1"/>
  <c r="BA173" i="22" s="1"/>
  <c r="BB173" i="22" s="1"/>
  <c r="BC173" i="22" s="1"/>
  <c r="BD173" i="22" s="1"/>
  <c r="BE173" i="22" s="1"/>
  <c r="AI171" i="22"/>
  <c r="AJ171" i="22" s="1"/>
  <c r="AK171" i="22" s="1"/>
  <c r="AL171" i="22" s="1"/>
  <c r="AM171" i="22" s="1"/>
  <c r="AN171" i="22" s="1"/>
  <c r="AO171" i="22" s="1"/>
  <c r="AP171" i="22" s="1"/>
  <c r="AQ171" i="22" s="1"/>
  <c r="AR171" i="22" s="1"/>
  <c r="AS171" i="22" s="1"/>
  <c r="AT171" i="22" s="1"/>
  <c r="AU171" i="22" s="1"/>
  <c r="AV171" i="22" s="1"/>
  <c r="AW171" i="22" s="1"/>
  <c r="AX171" i="22" s="1"/>
  <c r="AY171" i="22" s="1"/>
  <c r="AZ171" i="22" s="1"/>
  <c r="BA171" i="22" s="1"/>
  <c r="BB171" i="22" s="1"/>
  <c r="BC171" i="22" s="1"/>
  <c r="BD171" i="22" s="1"/>
  <c r="BE171" i="22" s="1"/>
  <c r="AI169" i="22"/>
  <c r="AJ169" i="22" s="1"/>
  <c r="AK169" i="22" s="1"/>
  <c r="AL169" i="22" s="1"/>
  <c r="AM169" i="22" s="1"/>
  <c r="AN169" i="22" s="1"/>
  <c r="AO169" i="22" s="1"/>
  <c r="AP169" i="22" s="1"/>
  <c r="AQ169" i="22" s="1"/>
  <c r="AR169" i="22" s="1"/>
  <c r="AS169" i="22" s="1"/>
  <c r="AT169" i="22" s="1"/>
  <c r="AU169" i="22" s="1"/>
  <c r="AV169" i="22" s="1"/>
  <c r="AW169" i="22" s="1"/>
  <c r="AX169" i="22" s="1"/>
  <c r="AY169" i="22" s="1"/>
  <c r="AZ169" i="22" s="1"/>
  <c r="BA169" i="22" s="1"/>
  <c r="BB169" i="22" s="1"/>
  <c r="BC169" i="22" s="1"/>
  <c r="BD169" i="22" s="1"/>
  <c r="BE169" i="22" s="1"/>
  <c r="AI167" i="22"/>
  <c r="AJ167" i="22" s="1"/>
  <c r="AK167" i="22" s="1"/>
  <c r="AL167" i="22" s="1"/>
  <c r="AM167" i="22" s="1"/>
  <c r="AN167" i="22" s="1"/>
  <c r="AO167" i="22" s="1"/>
  <c r="AP167" i="22" s="1"/>
  <c r="AQ167" i="22" s="1"/>
  <c r="AR167" i="22" s="1"/>
  <c r="AS167" i="22" s="1"/>
  <c r="AT167" i="22" s="1"/>
  <c r="AU167" i="22" s="1"/>
  <c r="AV167" i="22" s="1"/>
  <c r="AW167" i="22" s="1"/>
  <c r="AX167" i="22" s="1"/>
  <c r="AY167" i="22" s="1"/>
  <c r="AZ167" i="22" s="1"/>
  <c r="BA167" i="22" s="1"/>
  <c r="BB167" i="22" s="1"/>
  <c r="BC167" i="22" s="1"/>
  <c r="BD167" i="22" s="1"/>
  <c r="BE167" i="22" s="1"/>
  <c r="AI165" i="22"/>
  <c r="AJ165" i="22" s="1"/>
  <c r="AK165" i="22" s="1"/>
  <c r="AL165" i="22" s="1"/>
  <c r="AM165" i="22" s="1"/>
  <c r="AN165" i="22" s="1"/>
  <c r="AO165" i="22" s="1"/>
  <c r="AP165" i="22" s="1"/>
  <c r="AQ165" i="22" s="1"/>
  <c r="AR165" i="22" s="1"/>
  <c r="AS165" i="22" s="1"/>
  <c r="AT165" i="22" s="1"/>
  <c r="AU165" i="22" s="1"/>
  <c r="AV165" i="22" s="1"/>
  <c r="AW165" i="22" s="1"/>
  <c r="AX165" i="22" s="1"/>
  <c r="AY165" i="22" s="1"/>
  <c r="AZ165" i="22" s="1"/>
  <c r="BA165" i="22" s="1"/>
  <c r="BB165" i="22" s="1"/>
  <c r="BC165" i="22" s="1"/>
  <c r="BD165" i="22" s="1"/>
  <c r="BE165" i="22" s="1"/>
  <c r="AI163" i="22"/>
  <c r="AJ163" i="22" s="1"/>
  <c r="AK163" i="22" s="1"/>
  <c r="AL163" i="22" s="1"/>
  <c r="AM163" i="22" s="1"/>
  <c r="AN163" i="22" s="1"/>
  <c r="AO163" i="22" s="1"/>
  <c r="AP163" i="22" s="1"/>
  <c r="AQ163" i="22" s="1"/>
  <c r="AR163" i="22" s="1"/>
  <c r="AS163" i="22" s="1"/>
  <c r="AT163" i="22" s="1"/>
  <c r="AU163" i="22" s="1"/>
  <c r="AV163" i="22" s="1"/>
  <c r="AW163" i="22" s="1"/>
  <c r="AX163" i="22" s="1"/>
  <c r="AY163" i="22" s="1"/>
  <c r="AZ163" i="22" s="1"/>
  <c r="BA163" i="22" s="1"/>
  <c r="BB163" i="22" s="1"/>
  <c r="BC163" i="22" s="1"/>
  <c r="BD163" i="22" s="1"/>
  <c r="BE163" i="22" s="1"/>
  <c r="AI161" i="22"/>
  <c r="AJ161" i="22" s="1"/>
  <c r="AK161" i="22" s="1"/>
  <c r="AL161" i="22" s="1"/>
  <c r="AM161" i="22" s="1"/>
  <c r="AN161" i="22" s="1"/>
  <c r="AO161" i="22" s="1"/>
  <c r="AP161" i="22" s="1"/>
  <c r="AQ161" i="22" s="1"/>
  <c r="AR161" i="22" s="1"/>
  <c r="AS161" i="22" s="1"/>
  <c r="AT161" i="22" s="1"/>
  <c r="AU161" i="22" s="1"/>
  <c r="AV161" i="22" s="1"/>
  <c r="AW161" i="22" s="1"/>
  <c r="AX161" i="22" s="1"/>
  <c r="AY161" i="22" s="1"/>
  <c r="AZ161" i="22" s="1"/>
  <c r="BA161" i="22" s="1"/>
  <c r="BB161" i="22" s="1"/>
  <c r="BC161" i="22" s="1"/>
  <c r="BD161" i="22" s="1"/>
  <c r="BE161" i="22" s="1"/>
  <c r="AI159" i="22"/>
  <c r="AJ159" i="22" s="1"/>
  <c r="AK159" i="22" s="1"/>
  <c r="AL159" i="22" s="1"/>
  <c r="AM159" i="22" s="1"/>
  <c r="AN159" i="22" s="1"/>
  <c r="AO159" i="22" s="1"/>
  <c r="AP159" i="22" s="1"/>
  <c r="AQ159" i="22" s="1"/>
  <c r="AR159" i="22" s="1"/>
  <c r="AS159" i="22" s="1"/>
  <c r="AT159" i="22" s="1"/>
  <c r="AU159" i="22" s="1"/>
  <c r="AV159" i="22" s="1"/>
  <c r="AW159" i="22" s="1"/>
  <c r="AX159" i="22" s="1"/>
  <c r="AY159" i="22" s="1"/>
  <c r="AZ159" i="22" s="1"/>
  <c r="BA159" i="22" s="1"/>
  <c r="BB159" i="22" s="1"/>
  <c r="BC159" i="22" s="1"/>
  <c r="BD159" i="22" s="1"/>
  <c r="BE159" i="22" s="1"/>
  <c r="AI157" i="22"/>
  <c r="AJ157" i="22" s="1"/>
  <c r="AK157" i="22" s="1"/>
  <c r="AL157" i="22" s="1"/>
  <c r="AM157" i="22" s="1"/>
  <c r="AN157" i="22" s="1"/>
  <c r="AO157" i="22" s="1"/>
  <c r="AP157" i="22" s="1"/>
  <c r="AQ157" i="22" s="1"/>
  <c r="AR157" i="22" s="1"/>
  <c r="AS157" i="22" s="1"/>
  <c r="AT157" i="22" s="1"/>
  <c r="AU157" i="22" s="1"/>
  <c r="AV157" i="22" s="1"/>
  <c r="AW157" i="22" s="1"/>
  <c r="AX157" i="22" s="1"/>
  <c r="AY157" i="22" s="1"/>
  <c r="AZ157" i="22" s="1"/>
  <c r="BA157" i="22" s="1"/>
  <c r="BB157" i="22" s="1"/>
  <c r="BC157" i="22" s="1"/>
  <c r="BD157" i="22" s="1"/>
  <c r="BE157" i="22" s="1"/>
  <c r="AI152" i="22"/>
  <c r="AJ152" i="22" s="1"/>
  <c r="AK152" i="22" s="1"/>
  <c r="AL152" i="22" s="1"/>
  <c r="AM152" i="22" s="1"/>
  <c r="AN152" i="22" s="1"/>
  <c r="AO152" i="22" s="1"/>
  <c r="AP152" i="22" s="1"/>
  <c r="AQ152" i="22" s="1"/>
  <c r="AR152" i="22" s="1"/>
  <c r="AS152" i="22" s="1"/>
  <c r="AT152" i="22" s="1"/>
  <c r="AU152" i="22" s="1"/>
  <c r="AV152" i="22" s="1"/>
  <c r="AW152" i="22" s="1"/>
  <c r="AX152" i="22" s="1"/>
  <c r="AY152" i="22" s="1"/>
  <c r="AZ152" i="22" s="1"/>
  <c r="BA152" i="22" s="1"/>
  <c r="BB152" i="22" s="1"/>
  <c r="BC152" i="22" s="1"/>
  <c r="BD152" i="22" s="1"/>
  <c r="BE152" i="22" s="1"/>
  <c r="AI150" i="22"/>
  <c r="AJ150" i="22" s="1"/>
  <c r="AK150" i="22" s="1"/>
  <c r="AL150" i="22" s="1"/>
  <c r="AM150" i="22" s="1"/>
  <c r="AN150" i="22" s="1"/>
  <c r="AO150" i="22" s="1"/>
  <c r="AP150" i="22" s="1"/>
  <c r="AQ150" i="22" s="1"/>
  <c r="AR150" i="22" s="1"/>
  <c r="AS150" i="22" s="1"/>
  <c r="AT150" i="22" s="1"/>
  <c r="AU150" i="22" s="1"/>
  <c r="AV150" i="22" s="1"/>
  <c r="AW150" i="22" s="1"/>
  <c r="AX150" i="22" s="1"/>
  <c r="AY150" i="22" s="1"/>
  <c r="AZ150" i="22" s="1"/>
  <c r="BA150" i="22" s="1"/>
  <c r="BB150" i="22" s="1"/>
  <c r="BC150" i="22" s="1"/>
  <c r="BD150" i="22" s="1"/>
  <c r="BE150" i="22" s="1"/>
  <c r="AI148" i="22"/>
  <c r="AJ148" i="22" s="1"/>
  <c r="AK148" i="22" s="1"/>
  <c r="AL148" i="22" s="1"/>
  <c r="AM148" i="22" s="1"/>
  <c r="AN148" i="22" s="1"/>
  <c r="AO148" i="22" s="1"/>
  <c r="AP148" i="22" s="1"/>
  <c r="AQ148" i="22" s="1"/>
  <c r="AR148" i="22" s="1"/>
  <c r="AS148" i="22" s="1"/>
  <c r="AT148" i="22" s="1"/>
  <c r="AU148" i="22" s="1"/>
  <c r="AV148" i="22" s="1"/>
  <c r="AW148" i="22" s="1"/>
  <c r="AX148" i="22" s="1"/>
  <c r="AY148" i="22" s="1"/>
  <c r="AZ148" i="22" s="1"/>
  <c r="BA148" i="22" s="1"/>
  <c r="BB148" i="22" s="1"/>
  <c r="BC148" i="22" s="1"/>
  <c r="BD148" i="22" s="1"/>
  <c r="BE148" i="22" s="1"/>
  <c r="AI146" i="22"/>
  <c r="AJ146" i="22" s="1"/>
  <c r="AK146" i="22" s="1"/>
  <c r="AL146" i="22" s="1"/>
  <c r="AM146" i="22" s="1"/>
  <c r="AN146" i="22" s="1"/>
  <c r="AO146" i="22" s="1"/>
  <c r="AP146" i="22" s="1"/>
  <c r="AQ146" i="22" s="1"/>
  <c r="AR146" i="22" s="1"/>
  <c r="AS146" i="22" s="1"/>
  <c r="AT146" i="22" s="1"/>
  <c r="AU146" i="22" s="1"/>
  <c r="AV146" i="22" s="1"/>
  <c r="AW146" i="22" s="1"/>
  <c r="AX146" i="22" s="1"/>
  <c r="AY146" i="22" s="1"/>
  <c r="AZ146" i="22" s="1"/>
  <c r="BA146" i="22" s="1"/>
  <c r="BB146" i="22" s="1"/>
  <c r="BC146" i="22" s="1"/>
  <c r="BD146" i="22" s="1"/>
  <c r="BE146" i="22" s="1"/>
  <c r="AI144" i="22"/>
  <c r="AJ144" i="22" s="1"/>
  <c r="AK144" i="22" s="1"/>
  <c r="AL144" i="22" s="1"/>
  <c r="AM144" i="22" s="1"/>
  <c r="AN144" i="22" s="1"/>
  <c r="AO144" i="22" s="1"/>
  <c r="AP144" i="22" s="1"/>
  <c r="AQ144" i="22" s="1"/>
  <c r="AR144" i="22" s="1"/>
  <c r="AS144" i="22" s="1"/>
  <c r="AT144" i="22" s="1"/>
  <c r="AU144" i="22" s="1"/>
  <c r="AV144" i="22" s="1"/>
  <c r="AW144" i="22" s="1"/>
  <c r="AX144" i="22" s="1"/>
  <c r="AY144" i="22" s="1"/>
  <c r="AZ144" i="22" s="1"/>
  <c r="BA144" i="22" s="1"/>
  <c r="BB144" i="22" s="1"/>
  <c r="BC144" i="22" s="1"/>
  <c r="BD144" i="22" s="1"/>
  <c r="BE144" i="22" s="1"/>
  <c r="AI142" i="22"/>
  <c r="AJ142" i="22" s="1"/>
  <c r="AK142" i="22" s="1"/>
  <c r="AL142" i="22" s="1"/>
  <c r="AM142" i="22" s="1"/>
  <c r="AN142" i="22" s="1"/>
  <c r="AO142" i="22" s="1"/>
  <c r="AP142" i="22" s="1"/>
  <c r="AQ142" i="22" s="1"/>
  <c r="AR142" i="22" s="1"/>
  <c r="AS142" i="22" s="1"/>
  <c r="AT142" i="22" s="1"/>
  <c r="AU142" i="22" s="1"/>
  <c r="AV142" i="22" s="1"/>
  <c r="AW142" i="22" s="1"/>
  <c r="AX142" i="22" s="1"/>
  <c r="AY142" i="22" s="1"/>
  <c r="AZ142" i="22" s="1"/>
  <c r="BA142" i="22" s="1"/>
  <c r="BB142" i="22" s="1"/>
  <c r="BC142" i="22" s="1"/>
  <c r="BD142" i="22" s="1"/>
  <c r="BE142" i="22" s="1"/>
  <c r="AI140" i="22"/>
  <c r="AJ140" i="22" s="1"/>
  <c r="AK140" i="22" s="1"/>
  <c r="AL140" i="22" s="1"/>
  <c r="AM140" i="22" s="1"/>
  <c r="AN140" i="22" s="1"/>
  <c r="AO140" i="22" s="1"/>
  <c r="AP140" i="22" s="1"/>
  <c r="AQ140" i="22" s="1"/>
  <c r="AR140" i="22" s="1"/>
  <c r="AS140" i="22" s="1"/>
  <c r="AT140" i="22" s="1"/>
  <c r="AU140" i="22" s="1"/>
  <c r="AV140" i="22" s="1"/>
  <c r="AW140" i="22" s="1"/>
  <c r="AX140" i="22" s="1"/>
  <c r="AY140" i="22" s="1"/>
  <c r="AZ140" i="22" s="1"/>
  <c r="BA140" i="22" s="1"/>
  <c r="BB140" i="22" s="1"/>
  <c r="BC140" i="22" s="1"/>
  <c r="BD140" i="22" s="1"/>
  <c r="BE140" i="22" s="1"/>
  <c r="AI138" i="22"/>
  <c r="AJ138" i="22" s="1"/>
  <c r="AK138" i="22" s="1"/>
  <c r="AL138" i="22" s="1"/>
  <c r="AM138" i="22" s="1"/>
  <c r="AN138" i="22" s="1"/>
  <c r="AO138" i="22" s="1"/>
  <c r="AP138" i="22" s="1"/>
  <c r="AQ138" i="22" s="1"/>
  <c r="AR138" i="22" s="1"/>
  <c r="AS138" i="22" s="1"/>
  <c r="AT138" i="22" s="1"/>
  <c r="AU138" i="22" s="1"/>
  <c r="AV138" i="22" s="1"/>
  <c r="AW138" i="22" s="1"/>
  <c r="AX138" i="22" s="1"/>
  <c r="AY138" i="22" s="1"/>
  <c r="AZ138" i="22" s="1"/>
  <c r="BA138" i="22" s="1"/>
  <c r="BB138" i="22" s="1"/>
  <c r="BC138" i="22" s="1"/>
  <c r="BD138" i="22" s="1"/>
  <c r="BE138" i="22" s="1"/>
  <c r="AI136" i="22"/>
  <c r="AJ136" i="22" s="1"/>
  <c r="AK136" i="22" s="1"/>
  <c r="AL136" i="22" s="1"/>
  <c r="AM136" i="22" s="1"/>
  <c r="AN136" i="22" s="1"/>
  <c r="AO136" i="22" s="1"/>
  <c r="AP136" i="22" s="1"/>
  <c r="AQ136" i="22" s="1"/>
  <c r="AR136" i="22" s="1"/>
  <c r="AS136" i="22" s="1"/>
  <c r="AT136" i="22" s="1"/>
  <c r="AU136" i="22" s="1"/>
  <c r="AV136" i="22" s="1"/>
  <c r="AW136" i="22" s="1"/>
  <c r="AX136" i="22" s="1"/>
  <c r="AY136" i="22" s="1"/>
  <c r="AZ136" i="22" s="1"/>
  <c r="BA136" i="22" s="1"/>
  <c r="BB136" i="22" s="1"/>
  <c r="BC136" i="22" s="1"/>
  <c r="BD136" i="22" s="1"/>
  <c r="BE136" i="22" s="1"/>
  <c r="AI134" i="22"/>
  <c r="AJ134" i="22" s="1"/>
  <c r="AK134" i="22" s="1"/>
  <c r="AL134" i="22" s="1"/>
  <c r="AM134" i="22" s="1"/>
  <c r="AN134" i="22" s="1"/>
  <c r="AO134" i="22" s="1"/>
  <c r="AP134" i="22" s="1"/>
  <c r="AQ134" i="22" s="1"/>
  <c r="AR134" i="22" s="1"/>
  <c r="AS134" i="22" s="1"/>
  <c r="AT134" i="22" s="1"/>
  <c r="AU134" i="22" s="1"/>
  <c r="AV134" i="22" s="1"/>
  <c r="AW134" i="22" s="1"/>
  <c r="AX134" i="22" s="1"/>
  <c r="AY134" i="22" s="1"/>
  <c r="AZ134" i="22" s="1"/>
  <c r="BA134" i="22" s="1"/>
  <c r="BB134" i="22" s="1"/>
  <c r="BC134" i="22" s="1"/>
  <c r="BD134" i="22" s="1"/>
  <c r="BE134" i="22" s="1"/>
  <c r="AI132" i="22"/>
  <c r="AJ132" i="22" s="1"/>
  <c r="AK132" i="22" s="1"/>
  <c r="AL132" i="22" s="1"/>
  <c r="AM132" i="22" s="1"/>
  <c r="AN132" i="22" s="1"/>
  <c r="AO132" i="22" s="1"/>
  <c r="AP132" i="22" s="1"/>
  <c r="AQ132" i="22" s="1"/>
  <c r="AR132" i="22" s="1"/>
  <c r="AS132" i="22" s="1"/>
  <c r="AT132" i="22" s="1"/>
  <c r="AU132" i="22" s="1"/>
  <c r="AV132" i="22" s="1"/>
  <c r="AW132" i="22" s="1"/>
  <c r="AX132" i="22" s="1"/>
  <c r="AY132" i="22" s="1"/>
  <c r="AZ132" i="22" s="1"/>
  <c r="BA132" i="22" s="1"/>
  <c r="BB132" i="22" s="1"/>
  <c r="BC132" i="22" s="1"/>
  <c r="BD132" i="22" s="1"/>
  <c r="BE132" i="22" s="1"/>
  <c r="O391" i="22"/>
  <c r="P391" i="22" s="1"/>
  <c r="Q391" i="22" s="1"/>
  <c r="R391" i="22" s="1"/>
  <c r="S391" i="22" s="1"/>
  <c r="T391" i="22" s="1"/>
  <c r="U391" i="22" s="1"/>
  <c r="V391" i="22" s="1"/>
  <c r="W391" i="22" s="1"/>
  <c r="X391" i="22" s="1"/>
  <c r="Y391" i="22" s="1"/>
  <c r="Z391" i="22" s="1"/>
  <c r="AA391" i="22" s="1"/>
  <c r="AB391" i="22" s="1"/>
  <c r="AC391" i="22" s="1"/>
  <c r="AD391" i="22" s="1"/>
  <c r="AE391" i="22" s="1"/>
  <c r="AF391" i="22" s="1"/>
  <c r="AG391" i="22" s="1"/>
  <c r="AI341" i="22"/>
  <c r="AJ341" i="22" s="1"/>
  <c r="AK341" i="22" s="1"/>
  <c r="AL341" i="22" s="1"/>
  <c r="AM341" i="22" s="1"/>
  <c r="AN341" i="22" s="1"/>
  <c r="AO341" i="22" s="1"/>
  <c r="AP341" i="22" s="1"/>
  <c r="AQ341" i="22" s="1"/>
  <c r="AR341" i="22" s="1"/>
  <c r="AS341" i="22" s="1"/>
  <c r="AT341" i="22" s="1"/>
  <c r="AU341" i="22" s="1"/>
  <c r="AV341" i="22" s="1"/>
  <c r="AW341" i="22" s="1"/>
  <c r="AX341" i="22" s="1"/>
  <c r="AY341" i="22" s="1"/>
  <c r="AZ341" i="22" s="1"/>
  <c r="BA341" i="22" s="1"/>
  <c r="BB341" i="22" s="1"/>
  <c r="BC341" i="22" s="1"/>
  <c r="BD341" i="22" s="1"/>
  <c r="BE341" i="22" s="1"/>
  <c r="AI331" i="22"/>
  <c r="AJ331" i="22" s="1"/>
  <c r="AK331" i="22" s="1"/>
  <c r="AL331" i="22" s="1"/>
  <c r="AM331" i="22" s="1"/>
  <c r="AN331" i="22" s="1"/>
  <c r="AO331" i="22" s="1"/>
  <c r="AP331" i="22" s="1"/>
  <c r="AQ331" i="22" s="1"/>
  <c r="AR331" i="22" s="1"/>
  <c r="AS331" i="22" s="1"/>
  <c r="AT331" i="22" s="1"/>
  <c r="AU331" i="22" s="1"/>
  <c r="AV331" i="22" s="1"/>
  <c r="AW331" i="22" s="1"/>
  <c r="AX331" i="22" s="1"/>
  <c r="AY331" i="22" s="1"/>
  <c r="AZ331" i="22" s="1"/>
  <c r="BA331" i="22" s="1"/>
  <c r="BB331" i="22" s="1"/>
  <c r="BC331" i="22" s="1"/>
  <c r="BD331" i="22" s="1"/>
  <c r="BE331" i="22" s="1"/>
  <c r="AI274" i="22"/>
  <c r="AJ274" i="22" s="1"/>
  <c r="AK274" i="22" s="1"/>
  <c r="AL274" i="22" s="1"/>
  <c r="AM274" i="22" s="1"/>
  <c r="AN274" i="22" s="1"/>
  <c r="AO274" i="22" s="1"/>
  <c r="AP274" i="22" s="1"/>
  <c r="AQ274" i="22" s="1"/>
  <c r="AR274" i="22" s="1"/>
  <c r="AS274" i="22" s="1"/>
  <c r="AT274" i="22" s="1"/>
  <c r="AU274" i="22" s="1"/>
  <c r="AV274" i="22" s="1"/>
  <c r="AW274" i="22" s="1"/>
  <c r="AX274" i="22" s="1"/>
  <c r="AY274" i="22" s="1"/>
  <c r="AZ274" i="22" s="1"/>
  <c r="BA274" i="22" s="1"/>
  <c r="BB274" i="22" s="1"/>
  <c r="BC274" i="22" s="1"/>
  <c r="BD274" i="22" s="1"/>
  <c r="BE274" i="22" s="1"/>
  <c r="O270" i="22"/>
  <c r="P270" i="22" s="1"/>
  <c r="Q270" i="22" s="1"/>
  <c r="R270" i="22" s="1"/>
  <c r="S270" i="22" s="1"/>
  <c r="T270" i="22" s="1"/>
  <c r="U270" i="22" s="1"/>
  <c r="V270" i="22" s="1"/>
  <c r="W270" i="22" s="1"/>
  <c r="X270" i="22" s="1"/>
  <c r="Y270" i="22" s="1"/>
  <c r="Z270" i="22" s="1"/>
  <c r="AA270" i="22" s="1"/>
  <c r="AB270" i="22" s="1"/>
  <c r="AC270" i="22" s="1"/>
  <c r="AD270" i="22" s="1"/>
  <c r="AE270" i="22" s="1"/>
  <c r="AF270" i="22" s="1"/>
  <c r="AG270" i="22" s="1"/>
  <c r="AI248" i="22"/>
  <c r="AJ248" i="22" s="1"/>
  <c r="AK248" i="22" s="1"/>
  <c r="AL248" i="22" s="1"/>
  <c r="AM248" i="22" s="1"/>
  <c r="AN248" i="22" s="1"/>
  <c r="AO248" i="22" s="1"/>
  <c r="AP248" i="22" s="1"/>
  <c r="AQ248" i="22" s="1"/>
  <c r="AR248" i="22" s="1"/>
  <c r="AS248" i="22" s="1"/>
  <c r="AT248" i="22" s="1"/>
  <c r="AU248" i="22" s="1"/>
  <c r="AV248" i="22" s="1"/>
  <c r="AW248" i="22" s="1"/>
  <c r="AX248" i="22" s="1"/>
  <c r="AY248" i="22" s="1"/>
  <c r="AZ248" i="22" s="1"/>
  <c r="BA248" i="22" s="1"/>
  <c r="BB248" i="22" s="1"/>
  <c r="BC248" i="22" s="1"/>
  <c r="BD248" i="22" s="1"/>
  <c r="BE248" i="22" s="1"/>
  <c r="O248" i="22"/>
  <c r="P248" i="22" s="1"/>
  <c r="Q248" i="22" s="1"/>
  <c r="R248" i="22" s="1"/>
  <c r="S248" i="22" s="1"/>
  <c r="T248" i="22" s="1"/>
  <c r="U248" i="22" s="1"/>
  <c r="V248" i="22" s="1"/>
  <c r="W248" i="22" s="1"/>
  <c r="X248" i="22" s="1"/>
  <c r="Y248" i="22" s="1"/>
  <c r="Z248" i="22" s="1"/>
  <c r="AA248" i="22" s="1"/>
  <c r="AB248" i="22" s="1"/>
  <c r="AC248" i="22" s="1"/>
  <c r="AD248" i="22" s="1"/>
  <c r="AE248" i="22" s="1"/>
  <c r="AF248" i="22" s="1"/>
  <c r="AG248" i="22" s="1"/>
  <c r="O242" i="22"/>
  <c r="P242" i="22" s="1"/>
  <c r="Q242" i="22" s="1"/>
  <c r="R242" i="22" s="1"/>
  <c r="S242" i="22" s="1"/>
  <c r="T242" i="22" s="1"/>
  <c r="U242" i="22" s="1"/>
  <c r="V242" i="22" s="1"/>
  <c r="W242" i="22" s="1"/>
  <c r="X242" i="22" s="1"/>
  <c r="Y242" i="22" s="1"/>
  <c r="Z242" i="22" s="1"/>
  <c r="AA242" i="22" s="1"/>
  <c r="AB242" i="22" s="1"/>
  <c r="AC242" i="22" s="1"/>
  <c r="AD242" i="22" s="1"/>
  <c r="AE242" i="22" s="1"/>
  <c r="AF242" i="22" s="1"/>
  <c r="AG242" i="22" s="1"/>
  <c r="O236" i="22"/>
  <c r="P236" i="22" s="1"/>
  <c r="Q236" i="22" s="1"/>
  <c r="R236" i="22" s="1"/>
  <c r="S236" i="22" s="1"/>
  <c r="T236" i="22" s="1"/>
  <c r="U236" i="22" s="1"/>
  <c r="V236" i="22" s="1"/>
  <c r="W236" i="22" s="1"/>
  <c r="X236" i="22" s="1"/>
  <c r="Y236" i="22" s="1"/>
  <c r="Z236" i="22" s="1"/>
  <c r="AA236" i="22" s="1"/>
  <c r="AB236" i="22" s="1"/>
  <c r="AC236" i="22" s="1"/>
  <c r="AD236" i="22" s="1"/>
  <c r="AE236" i="22" s="1"/>
  <c r="AF236" i="22" s="1"/>
  <c r="AG236" i="22" s="1"/>
  <c r="AI214" i="22"/>
  <c r="AJ214" i="22" s="1"/>
  <c r="AK214" i="22" s="1"/>
  <c r="AL214" i="22" s="1"/>
  <c r="AM214" i="22" s="1"/>
  <c r="AN214" i="22" s="1"/>
  <c r="AO214" i="22" s="1"/>
  <c r="AP214" i="22" s="1"/>
  <c r="AQ214" i="22" s="1"/>
  <c r="AR214" i="22" s="1"/>
  <c r="AS214" i="22" s="1"/>
  <c r="AT214" i="22" s="1"/>
  <c r="AU214" i="22" s="1"/>
  <c r="AV214" i="22" s="1"/>
  <c r="AW214" i="22" s="1"/>
  <c r="AX214" i="22" s="1"/>
  <c r="AY214" i="22" s="1"/>
  <c r="AZ214" i="22" s="1"/>
  <c r="BA214" i="22" s="1"/>
  <c r="BB214" i="22" s="1"/>
  <c r="BC214" i="22" s="1"/>
  <c r="BD214" i="22" s="1"/>
  <c r="BE214" i="22" s="1"/>
  <c r="AI212" i="22"/>
  <c r="AJ212" i="22" s="1"/>
  <c r="AK212" i="22" s="1"/>
  <c r="AL212" i="22" s="1"/>
  <c r="AM212" i="22" s="1"/>
  <c r="AN212" i="22" s="1"/>
  <c r="AO212" i="22" s="1"/>
  <c r="AP212" i="22" s="1"/>
  <c r="AQ212" i="22" s="1"/>
  <c r="AR212" i="22" s="1"/>
  <c r="AS212" i="22" s="1"/>
  <c r="AT212" i="22" s="1"/>
  <c r="AU212" i="22" s="1"/>
  <c r="AV212" i="22" s="1"/>
  <c r="AW212" i="22" s="1"/>
  <c r="AX212" i="22" s="1"/>
  <c r="AY212" i="22" s="1"/>
  <c r="AZ212" i="22" s="1"/>
  <c r="BA212" i="22" s="1"/>
  <c r="BB212" i="22" s="1"/>
  <c r="BC212" i="22" s="1"/>
  <c r="BD212" i="22" s="1"/>
  <c r="BE212" i="22" s="1"/>
  <c r="O200" i="22"/>
  <c r="P200" i="22" s="1"/>
  <c r="Q200" i="22" s="1"/>
  <c r="R200" i="22" s="1"/>
  <c r="S200" i="22" s="1"/>
  <c r="T200" i="22" s="1"/>
  <c r="U200" i="22" s="1"/>
  <c r="V200" i="22" s="1"/>
  <c r="W200" i="22" s="1"/>
  <c r="X200" i="22" s="1"/>
  <c r="Y200" i="22" s="1"/>
  <c r="Z200" i="22" s="1"/>
  <c r="AA200" i="22" s="1"/>
  <c r="AB200" i="22" s="1"/>
  <c r="AC200" i="22" s="1"/>
  <c r="AD200" i="22" s="1"/>
  <c r="AE200" i="22" s="1"/>
  <c r="AF200" i="22" s="1"/>
  <c r="AG200" i="22" s="1"/>
  <c r="O195" i="22"/>
  <c r="P195" i="22" s="1"/>
  <c r="Q195" i="22" s="1"/>
  <c r="R195" i="22" s="1"/>
  <c r="S195" i="22" s="1"/>
  <c r="T195" i="22" s="1"/>
  <c r="U195" i="22" s="1"/>
  <c r="V195" i="22" s="1"/>
  <c r="W195" i="22" s="1"/>
  <c r="X195" i="22" s="1"/>
  <c r="Y195" i="22" s="1"/>
  <c r="Z195" i="22" s="1"/>
  <c r="AA195" i="22" s="1"/>
  <c r="AB195" i="22" s="1"/>
  <c r="AC195" i="22" s="1"/>
  <c r="AD195" i="22" s="1"/>
  <c r="AE195" i="22" s="1"/>
  <c r="AF195" i="22" s="1"/>
  <c r="AG195" i="22" s="1"/>
  <c r="AI193" i="22"/>
  <c r="AJ193" i="22" s="1"/>
  <c r="AK193" i="22" s="1"/>
  <c r="AL193" i="22" s="1"/>
  <c r="AM193" i="22" s="1"/>
  <c r="AN193" i="22" s="1"/>
  <c r="AO193" i="22" s="1"/>
  <c r="AP193" i="22" s="1"/>
  <c r="AQ193" i="22" s="1"/>
  <c r="AR193" i="22" s="1"/>
  <c r="AS193" i="22" s="1"/>
  <c r="AT193" i="22" s="1"/>
  <c r="AU193" i="22" s="1"/>
  <c r="AV193" i="22" s="1"/>
  <c r="AW193" i="22" s="1"/>
  <c r="AX193" i="22" s="1"/>
  <c r="AY193" i="22" s="1"/>
  <c r="AZ193" i="22" s="1"/>
  <c r="BA193" i="22" s="1"/>
  <c r="BB193" i="22" s="1"/>
  <c r="BC193" i="22" s="1"/>
  <c r="BD193" i="22" s="1"/>
  <c r="BE193" i="22" s="1"/>
  <c r="O192" i="22"/>
  <c r="P192" i="22" s="1"/>
  <c r="Q192" i="22" s="1"/>
  <c r="R192" i="22" s="1"/>
  <c r="S192" i="22" s="1"/>
  <c r="T192" i="22" s="1"/>
  <c r="U192" i="22" s="1"/>
  <c r="V192" i="22" s="1"/>
  <c r="W192" i="22" s="1"/>
  <c r="X192" i="22" s="1"/>
  <c r="Y192" i="22" s="1"/>
  <c r="Z192" i="22" s="1"/>
  <c r="AA192" i="22" s="1"/>
  <c r="AB192" i="22" s="1"/>
  <c r="AC192" i="22" s="1"/>
  <c r="AD192" i="22" s="1"/>
  <c r="AE192" i="22" s="1"/>
  <c r="AF192" i="22" s="1"/>
  <c r="AG192" i="22" s="1"/>
  <c r="O190" i="22"/>
  <c r="P190" i="22" s="1"/>
  <c r="Q190" i="22" s="1"/>
  <c r="R190" i="22" s="1"/>
  <c r="S190" i="22" s="1"/>
  <c r="T190" i="22" s="1"/>
  <c r="U190" i="22" s="1"/>
  <c r="V190" i="22" s="1"/>
  <c r="W190" i="22" s="1"/>
  <c r="X190" i="22" s="1"/>
  <c r="Y190" i="22" s="1"/>
  <c r="Z190" i="22" s="1"/>
  <c r="AA190" i="22" s="1"/>
  <c r="AB190" i="22" s="1"/>
  <c r="AC190" i="22" s="1"/>
  <c r="AD190" i="22" s="1"/>
  <c r="AE190" i="22" s="1"/>
  <c r="AF190" i="22" s="1"/>
  <c r="AG190" i="22" s="1"/>
  <c r="AI489" i="22"/>
  <c r="AJ489" i="22" s="1"/>
  <c r="AK489" i="22" s="1"/>
  <c r="AL489" i="22" s="1"/>
  <c r="AM489" i="22" s="1"/>
  <c r="AN489" i="22" s="1"/>
  <c r="AO489" i="22" s="1"/>
  <c r="AP489" i="22" s="1"/>
  <c r="AQ489" i="22" s="1"/>
  <c r="AR489" i="22" s="1"/>
  <c r="AS489" i="22" s="1"/>
  <c r="AT489" i="22" s="1"/>
  <c r="AU489" i="22" s="1"/>
  <c r="AV489" i="22" s="1"/>
  <c r="AW489" i="22" s="1"/>
  <c r="AX489" i="22" s="1"/>
  <c r="AY489" i="22" s="1"/>
  <c r="AZ489" i="22" s="1"/>
  <c r="BA489" i="22" s="1"/>
  <c r="BB489" i="22" s="1"/>
  <c r="BC489" i="22" s="1"/>
  <c r="BD489" i="22" s="1"/>
  <c r="BE489" i="22" s="1"/>
  <c r="O416" i="22"/>
  <c r="P416" i="22" s="1"/>
  <c r="Q416" i="22" s="1"/>
  <c r="R416" i="22" s="1"/>
  <c r="S416" i="22" s="1"/>
  <c r="T416" i="22" s="1"/>
  <c r="U416" i="22" s="1"/>
  <c r="V416" i="22" s="1"/>
  <c r="W416" i="22" s="1"/>
  <c r="X416" i="22" s="1"/>
  <c r="Y416" i="22" s="1"/>
  <c r="Z416" i="22" s="1"/>
  <c r="AA416" i="22" s="1"/>
  <c r="AB416" i="22" s="1"/>
  <c r="AC416" i="22" s="1"/>
  <c r="AD416" i="22" s="1"/>
  <c r="AE416" i="22" s="1"/>
  <c r="AF416" i="22" s="1"/>
  <c r="AG416" i="22" s="1"/>
  <c r="AI300" i="22"/>
  <c r="AJ300" i="22" s="1"/>
  <c r="AK300" i="22" s="1"/>
  <c r="AL300" i="22" s="1"/>
  <c r="AM300" i="22" s="1"/>
  <c r="AN300" i="22" s="1"/>
  <c r="AO300" i="22" s="1"/>
  <c r="AP300" i="22" s="1"/>
  <c r="AQ300" i="22" s="1"/>
  <c r="AR300" i="22" s="1"/>
  <c r="AS300" i="22" s="1"/>
  <c r="AT300" i="22" s="1"/>
  <c r="AU300" i="22" s="1"/>
  <c r="AV300" i="22" s="1"/>
  <c r="AW300" i="22" s="1"/>
  <c r="AX300" i="22" s="1"/>
  <c r="AY300" i="22" s="1"/>
  <c r="AZ300" i="22" s="1"/>
  <c r="BA300" i="22" s="1"/>
  <c r="BB300" i="22" s="1"/>
  <c r="BC300" i="22" s="1"/>
  <c r="BD300" i="22" s="1"/>
  <c r="BE300" i="22" s="1"/>
  <c r="O291" i="22"/>
  <c r="P291" i="22" s="1"/>
  <c r="Q291" i="22" s="1"/>
  <c r="R291" i="22" s="1"/>
  <c r="S291" i="22" s="1"/>
  <c r="T291" i="22" s="1"/>
  <c r="U291" i="22" s="1"/>
  <c r="V291" i="22" s="1"/>
  <c r="W291" i="22" s="1"/>
  <c r="X291" i="22" s="1"/>
  <c r="Y291" i="22" s="1"/>
  <c r="Z291" i="22" s="1"/>
  <c r="AA291" i="22" s="1"/>
  <c r="AB291" i="22" s="1"/>
  <c r="AC291" i="22" s="1"/>
  <c r="AD291" i="22" s="1"/>
  <c r="AE291" i="22" s="1"/>
  <c r="AF291" i="22" s="1"/>
  <c r="AG291" i="22" s="1"/>
  <c r="O274" i="22"/>
  <c r="P274" i="22" s="1"/>
  <c r="Q274" i="22" s="1"/>
  <c r="R274" i="22" s="1"/>
  <c r="S274" i="22" s="1"/>
  <c r="T274" i="22" s="1"/>
  <c r="U274" i="22" s="1"/>
  <c r="V274" i="22" s="1"/>
  <c r="W274" i="22" s="1"/>
  <c r="X274" i="22" s="1"/>
  <c r="Y274" i="22" s="1"/>
  <c r="Z274" i="22" s="1"/>
  <c r="AA274" i="22" s="1"/>
  <c r="AB274" i="22" s="1"/>
  <c r="AC274" i="22" s="1"/>
  <c r="AD274" i="22" s="1"/>
  <c r="AE274" i="22" s="1"/>
  <c r="AF274" i="22" s="1"/>
  <c r="AG274" i="22" s="1"/>
  <c r="O264" i="22"/>
  <c r="P264" i="22" s="1"/>
  <c r="Q264" i="22" s="1"/>
  <c r="R264" i="22" s="1"/>
  <c r="S264" i="22" s="1"/>
  <c r="T264" i="22" s="1"/>
  <c r="U264" i="22" s="1"/>
  <c r="V264" i="22" s="1"/>
  <c r="W264" i="22" s="1"/>
  <c r="X264" i="22" s="1"/>
  <c r="Y264" i="22" s="1"/>
  <c r="Z264" i="22" s="1"/>
  <c r="AA264" i="22" s="1"/>
  <c r="AB264" i="22" s="1"/>
  <c r="AC264" i="22" s="1"/>
  <c r="AD264" i="22" s="1"/>
  <c r="AE264" i="22" s="1"/>
  <c r="AF264" i="22" s="1"/>
  <c r="AG264" i="22" s="1"/>
  <c r="O255" i="22"/>
  <c r="P255" i="22" s="1"/>
  <c r="Q255" i="22" s="1"/>
  <c r="R255" i="22" s="1"/>
  <c r="S255" i="22" s="1"/>
  <c r="T255" i="22" s="1"/>
  <c r="U255" i="22" s="1"/>
  <c r="V255" i="22" s="1"/>
  <c r="W255" i="22" s="1"/>
  <c r="X255" i="22" s="1"/>
  <c r="Y255" i="22" s="1"/>
  <c r="Z255" i="22" s="1"/>
  <c r="AA255" i="22" s="1"/>
  <c r="AB255" i="22" s="1"/>
  <c r="AC255" i="22" s="1"/>
  <c r="AD255" i="22" s="1"/>
  <c r="AE255" i="22" s="1"/>
  <c r="AF255" i="22" s="1"/>
  <c r="AG255" i="22" s="1"/>
  <c r="AI250" i="22"/>
  <c r="AJ250" i="22" s="1"/>
  <c r="AK250" i="22" s="1"/>
  <c r="AL250" i="22" s="1"/>
  <c r="AM250" i="22" s="1"/>
  <c r="AN250" i="22" s="1"/>
  <c r="AO250" i="22" s="1"/>
  <c r="AP250" i="22" s="1"/>
  <c r="AQ250" i="22" s="1"/>
  <c r="AR250" i="22" s="1"/>
  <c r="AS250" i="22" s="1"/>
  <c r="AT250" i="22" s="1"/>
  <c r="AU250" i="22" s="1"/>
  <c r="AV250" i="22" s="1"/>
  <c r="AW250" i="22" s="1"/>
  <c r="AX250" i="22" s="1"/>
  <c r="AY250" i="22" s="1"/>
  <c r="AZ250" i="22" s="1"/>
  <c r="BA250" i="22" s="1"/>
  <c r="BB250" i="22" s="1"/>
  <c r="BC250" i="22" s="1"/>
  <c r="BD250" i="22" s="1"/>
  <c r="BE250" i="22" s="1"/>
  <c r="O250" i="22"/>
  <c r="P250" i="22" s="1"/>
  <c r="Q250" i="22" s="1"/>
  <c r="R250" i="22" s="1"/>
  <c r="S250" i="22" s="1"/>
  <c r="T250" i="22" s="1"/>
  <c r="U250" i="22" s="1"/>
  <c r="V250" i="22" s="1"/>
  <c r="W250" i="22" s="1"/>
  <c r="X250" i="22" s="1"/>
  <c r="Y250" i="22" s="1"/>
  <c r="Z250" i="22" s="1"/>
  <c r="AA250" i="22" s="1"/>
  <c r="AB250" i="22" s="1"/>
  <c r="AC250" i="22" s="1"/>
  <c r="AD250" i="22" s="1"/>
  <c r="AE250" i="22" s="1"/>
  <c r="AF250" i="22" s="1"/>
  <c r="AG250" i="22" s="1"/>
  <c r="O425" i="22"/>
  <c r="P425" i="22" s="1"/>
  <c r="Q425" i="22" s="1"/>
  <c r="R425" i="22" s="1"/>
  <c r="S425" i="22" s="1"/>
  <c r="T425" i="22" s="1"/>
  <c r="U425" i="22" s="1"/>
  <c r="V425" i="22" s="1"/>
  <c r="W425" i="22" s="1"/>
  <c r="X425" i="22" s="1"/>
  <c r="Y425" i="22" s="1"/>
  <c r="Z425" i="22" s="1"/>
  <c r="AA425" i="22" s="1"/>
  <c r="AB425" i="22" s="1"/>
  <c r="AC425" i="22" s="1"/>
  <c r="AD425" i="22" s="1"/>
  <c r="AE425" i="22" s="1"/>
  <c r="AF425" i="22" s="1"/>
  <c r="AG425" i="22" s="1"/>
  <c r="AI413" i="22"/>
  <c r="AJ413" i="22" s="1"/>
  <c r="AK413" i="22" s="1"/>
  <c r="AL413" i="22" s="1"/>
  <c r="AM413" i="22" s="1"/>
  <c r="AN413" i="22" s="1"/>
  <c r="AO413" i="22" s="1"/>
  <c r="AP413" i="22" s="1"/>
  <c r="AQ413" i="22" s="1"/>
  <c r="AR413" i="22" s="1"/>
  <c r="AS413" i="22" s="1"/>
  <c r="AT413" i="22" s="1"/>
  <c r="AU413" i="22" s="1"/>
  <c r="AV413" i="22" s="1"/>
  <c r="AW413" i="22" s="1"/>
  <c r="AX413" i="22" s="1"/>
  <c r="AY413" i="22" s="1"/>
  <c r="AZ413" i="22" s="1"/>
  <c r="BA413" i="22" s="1"/>
  <c r="BB413" i="22" s="1"/>
  <c r="BC413" i="22" s="1"/>
  <c r="BD413" i="22" s="1"/>
  <c r="BE413" i="22" s="1"/>
  <c r="AI401" i="22"/>
  <c r="AJ401" i="22" s="1"/>
  <c r="AK401" i="22" s="1"/>
  <c r="AL401" i="22" s="1"/>
  <c r="AM401" i="22" s="1"/>
  <c r="AN401" i="22" s="1"/>
  <c r="AO401" i="22" s="1"/>
  <c r="AP401" i="22" s="1"/>
  <c r="AQ401" i="22" s="1"/>
  <c r="AR401" i="22" s="1"/>
  <c r="AS401" i="22" s="1"/>
  <c r="AT401" i="22" s="1"/>
  <c r="AU401" i="22" s="1"/>
  <c r="AV401" i="22" s="1"/>
  <c r="AW401" i="22" s="1"/>
  <c r="AX401" i="22" s="1"/>
  <c r="AY401" i="22" s="1"/>
  <c r="AZ401" i="22" s="1"/>
  <c r="BA401" i="22" s="1"/>
  <c r="BB401" i="22" s="1"/>
  <c r="BC401" i="22" s="1"/>
  <c r="BD401" i="22" s="1"/>
  <c r="BE401" i="22" s="1"/>
  <c r="AI377" i="22"/>
  <c r="AJ377" i="22" s="1"/>
  <c r="AK377" i="22" s="1"/>
  <c r="AL377" i="22" s="1"/>
  <c r="AM377" i="22" s="1"/>
  <c r="AN377" i="22" s="1"/>
  <c r="AO377" i="22" s="1"/>
  <c r="AP377" i="22" s="1"/>
  <c r="AQ377" i="22" s="1"/>
  <c r="AR377" i="22" s="1"/>
  <c r="AS377" i="22" s="1"/>
  <c r="AT377" i="22" s="1"/>
  <c r="AU377" i="22" s="1"/>
  <c r="AV377" i="22" s="1"/>
  <c r="AW377" i="22" s="1"/>
  <c r="AX377" i="22" s="1"/>
  <c r="AY377" i="22" s="1"/>
  <c r="AZ377" i="22" s="1"/>
  <c r="BA377" i="22" s="1"/>
  <c r="BB377" i="22" s="1"/>
  <c r="BC377" i="22" s="1"/>
  <c r="BD377" i="22" s="1"/>
  <c r="BE377" i="22" s="1"/>
  <c r="AI335" i="22"/>
  <c r="AJ335" i="22" s="1"/>
  <c r="AK335" i="22" s="1"/>
  <c r="AL335" i="22" s="1"/>
  <c r="AM335" i="22" s="1"/>
  <c r="AN335" i="22" s="1"/>
  <c r="AO335" i="22" s="1"/>
  <c r="AP335" i="22" s="1"/>
  <c r="AQ335" i="22" s="1"/>
  <c r="AR335" i="22" s="1"/>
  <c r="AS335" i="22" s="1"/>
  <c r="AT335" i="22" s="1"/>
  <c r="AU335" i="22" s="1"/>
  <c r="AV335" i="22" s="1"/>
  <c r="AW335" i="22" s="1"/>
  <c r="AX335" i="22" s="1"/>
  <c r="AY335" i="22" s="1"/>
  <c r="AZ335" i="22" s="1"/>
  <c r="BA335" i="22" s="1"/>
  <c r="BB335" i="22" s="1"/>
  <c r="BC335" i="22" s="1"/>
  <c r="BD335" i="22" s="1"/>
  <c r="BE335" i="22" s="1"/>
  <c r="AI325" i="22"/>
  <c r="AJ325" i="22" s="1"/>
  <c r="AK325" i="22" s="1"/>
  <c r="AL325" i="22" s="1"/>
  <c r="AM325" i="22" s="1"/>
  <c r="AN325" i="22" s="1"/>
  <c r="AO325" i="22" s="1"/>
  <c r="AP325" i="22" s="1"/>
  <c r="AQ325" i="22" s="1"/>
  <c r="AR325" i="22" s="1"/>
  <c r="AS325" i="22" s="1"/>
  <c r="AT325" i="22" s="1"/>
  <c r="AU325" i="22" s="1"/>
  <c r="AV325" i="22" s="1"/>
  <c r="AW325" i="22" s="1"/>
  <c r="AX325" i="22" s="1"/>
  <c r="AY325" i="22" s="1"/>
  <c r="AZ325" i="22" s="1"/>
  <c r="BA325" i="22" s="1"/>
  <c r="BB325" i="22" s="1"/>
  <c r="BC325" i="22" s="1"/>
  <c r="BD325" i="22" s="1"/>
  <c r="BE325" i="22" s="1"/>
  <c r="AI320" i="22"/>
  <c r="AJ320" i="22" s="1"/>
  <c r="AK320" i="22" s="1"/>
  <c r="AL320" i="22" s="1"/>
  <c r="AM320" i="22" s="1"/>
  <c r="AN320" i="22" s="1"/>
  <c r="AO320" i="22" s="1"/>
  <c r="AP320" i="22" s="1"/>
  <c r="AQ320" i="22" s="1"/>
  <c r="AR320" i="22" s="1"/>
  <c r="AS320" i="22" s="1"/>
  <c r="AT320" i="22" s="1"/>
  <c r="AU320" i="22" s="1"/>
  <c r="AV320" i="22" s="1"/>
  <c r="AW320" i="22" s="1"/>
  <c r="AX320" i="22" s="1"/>
  <c r="AY320" i="22" s="1"/>
  <c r="AZ320" i="22" s="1"/>
  <c r="BA320" i="22" s="1"/>
  <c r="BB320" i="22" s="1"/>
  <c r="BC320" i="22" s="1"/>
  <c r="BD320" i="22" s="1"/>
  <c r="BE320" i="22" s="1"/>
  <c r="O318" i="22"/>
  <c r="P318" i="22" s="1"/>
  <c r="Q318" i="22" s="1"/>
  <c r="R318" i="22" s="1"/>
  <c r="S318" i="22" s="1"/>
  <c r="T318" i="22" s="1"/>
  <c r="U318" i="22" s="1"/>
  <c r="V318" i="22" s="1"/>
  <c r="W318" i="22" s="1"/>
  <c r="X318" i="22" s="1"/>
  <c r="Y318" i="22" s="1"/>
  <c r="Z318" i="22" s="1"/>
  <c r="AA318" i="22" s="1"/>
  <c r="AB318" i="22" s="1"/>
  <c r="AC318" i="22" s="1"/>
  <c r="AD318" i="22" s="1"/>
  <c r="AE318" i="22" s="1"/>
  <c r="AF318" i="22" s="1"/>
  <c r="AG318" i="22" s="1"/>
  <c r="AI315" i="22"/>
  <c r="AJ315" i="22" s="1"/>
  <c r="AK315" i="22" s="1"/>
  <c r="AL315" i="22" s="1"/>
  <c r="AM315" i="22" s="1"/>
  <c r="AN315" i="22" s="1"/>
  <c r="AO315" i="22" s="1"/>
  <c r="AP315" i="22" s="1"/>
  <c r="AQ315" i="22" s="1"/>
  <c r="AR315" i="22" s="1"/>
  <c r="AS315" i="22" s="1"/>
  <c r="AT315" i="22" s="1"/>
  <c r="AU315" i="22" s="1"/>
  <c r="AV315" i="22" s="1"/>
  <c r="AW315" i="22" s="1"/>
  <c r="AX315" i="22" s="1"/>
  <c r="AY315" i="22" s="1"/>
  <c r="AZ315" i="22" s="1"/>
  <c r="BA315" i="22" s="1"/>
  <c r="BB315" i="22" s="1"/>
  <c r="BC315" i="22" s="1"/>
  <c r="BD315" i="22" s="1"/>
  <c r="BE315" i="22" s="1"/>
  <c r="AI308" i="22"/>
  <c r="AJ308" i="22" s="1"/>
  <c r="AK308" i="22" s="1"/>
  <c r="AL308" i="22" s="1"/>
  <c r="AM308" i="22" s="1"/>
  <c r="AN308" i="22" s="1"/>
  <c r="AO308" i="22" s="1"/>
  <c r="AP308" i="22" s="1"/>
  <c r="AQ308" i="22" s="1"/>
  <c r="AR308" i="22" s="1"/>
  <c r="AS308" i="22" s="1"/>
  <c r="AT308" i="22" s="1"/>
  <c r="AU308" i="22" s="1"/>
  <c r="AV308" i="22" s="1"/>
  <c r="AW308" i="22" s="1"/>
  <c r="AX308" i="22" s="1"/>
  <c r="AY308" i="22" s="1"/>
  <c r="AZ308" i="22" s="1"/>
  <c r="BA308" i="22" s="1"/>
  <c r="BB308" i="22" s="1"/>
  <c r="BC308" i="22" s="1"/>
  <c r="BD308" i="22" s="1"/>
  <c r="BE308" i="22" s="1"/>
  <c r="AI278" i="22"/>
  <c r="AJ278" i="22" s="1"/>
  <c r="AK278" i="22" s="1"/>
  <c r="AL278" i="22" s="1"/>
  <c r="AM278" i="22" s="1"/>
  <c r="AN278" i="22" s="1"/>
  <c r="AO278" i="22" s="1"/>
  <c r="AP278" i="22" s="1"/>
  <c r="AQ278" i="22" s="1"/>
  <c r="AR278" i="22" s="1"/>
  <c r="AS278" i="22" s="1"/>
  <c r="AT278" i="22" s="1"/>
  <c r="AU278" i="22" s="1"/>
  <c r="AV278" i="22" s="1"/>
  <c r="AW278" i="22" s="1"/>
  <c r="AX278" i="22" s="1"/>
  <c r="AY278" i="22" s="1"/>
  <c r="AZ278" i="22" s="1"/>
  <c r="BA278" i="22" s="1"/>
  <c r="BB278" i="22" s="1"/>
  <c r="BC278" i="22" s="1"/>
  <c r="BD278" i="22" s="1"/>
  <c r="BE278" i="22" s="1"/>
  <c r="O269" i="22"/>
  <c r="P269" i="22" s="1"/>
  <c r="Q269" i="22" s="1"/>
  <c r="R269" i="22" s="1"/>
  <c r="S269" i="22" s="1"/>
  <c r="T269" i="22" s="1"/>
  <c r="U269" i="22" s="1"/>
  <c r="V269" i="22" s="1"/>
  <c r="W269" i="22" s="1"/>
  <c r="X269" i="22" s="1"/>
  <c r="Y269" i="22" s="1"/>
  <c r="Z269" i="22" s="1"/>
  <c r="AA269" i="22" s="1"/>
  <c r="AB269" i="22" s="1"/>
  <c r="AC269" i="22" s="1"/>
  <c r="AD269" i="22" s="1"/>
  <c r="AE269" i="22" s="1"/>
  <c r="AF269" i="22" s="1"/>
  <c r="AG269" i="22" s="1"/>
  <c r="AI266" i="22"/>
  <c r="AJ266" i="22" s="1"/>
  <c r="AK266" i="22" s="1"/>
  <c r="AL266" i="22" s="1"/>
  <c r="AM266" i="22" s="1"/>
  <c r="AN266" i="22" s="1"/>
  <c r="AO266" i="22" s="1"/>
  <c r="AP266" i="22" s="1"/>
  <c r="AQ266" i="22" s="1"/>
  <c r="AR266" i="22" s="1"/>
  <c r="AS266" i="22" s="1"/>
  <c r="AT266" i="22" s="1"/>
  <c r="AU266" i="22" s="1"/>
  <c r="AV266" i="22" s="1"/>
  <c r="AW266" i="22" s="1"/>
  <c r="AX266" i="22" s="1"/>
  <c r="AY266" i="22" s="1"/>
  <c r="AZ266" i="22" s="1"/>
  <c r="BA266" i="22" s="1"/>
  <c r="BB266" i="22" s="1"/>
  <c r="BC266" i="22" s="1"/>
  <c r="BD266" i="22" s="1"/>
  <c r="BE266" i="22" s="1"/>
  <c r="AI246" i="22"/>
  <c r="AJ246" i="22" s="1"/>
  <c r="AK246" i="22" s="1"/>
  <c r="AL246" i="22" s="1"/>
  <c r="AM246" i="22" s="1"/>
  <c r="AN246" i="22" s="1"/>
  <c r="AO246" i="22" s="1"/>
  <c r="AP246" i="22" s="1"/>
  <c r="AQ246" i="22" s="1"/>
  <c r="AR246" i="22" s="1"/>
  <c r="AS246" i="22" s="1"/>
  <c r="AT246" i="22" s="1"/>
  <c r="AU246" i="22" s="1"/>
  <c r="AV246" i="22" s="1"/>
  <c r="AW246" i="22" s="1"/>
  <c r="AX246" i="22" s="1"/>
  <c r="AY246" i="22" s="1"/>
  <c r="AZ246" i="22" s="1"/>
  <c r="BA246" i="22" s="1"/>
  <c r="BB246" i="22" s="1"/>
  <c r="BC246" i="22" s="1"/>
  <c r="BD246" i="22" s="1"/>
  <c r="BE246" i="22" s="1"/>
  <c r="AI240" i="22"/>
  <c r="AJ240" i="22" s="1"/>
  <c r="AK240" i="22" s="1"/>
  <c r="AL240" i="22" s="1"/>
  <c r="AM240" i="22" s="1"/>
  <c r="AN240" i="22" s="1"/>
  <c r="AO240" i="22" s="1"/>
  <c r="AP240" i="22" s="1"/>
  <c r="AQ240" i="22" s="1"/>
  <c r="AR240" i="22" s="1"/>
  <c r="AS240" i="22" s="1"/>
  <c r="AT240" i="22" s="1"/>
  <c r="AU240" i="22" s="1"/>
  <c r="AV240" i="22" s="1"/>
  <c r="AW240" i="22" s="1"/>
  <c r="AX240" i="22" s="1"/>
  <c r="AY240" i="22" s="1"/>
  <c r="AZ240" i="22" s="1"/>
  <c r="BA240" i="22" s="1"/>
  <c r="BB240" i="22" s="1"/>
  <c r="BC240" i="22" s="1"/>
  <c r="BD240" i="22" s="1"/>
  <c r="BE240" i="22" s="1"/>
  <c r="O227" i="22"/>
  <c r="P227" i="22" s="1"/>
  <c r="Q227" i="22" s="1"/>
  <c r="R227" i="22" s="1"/>
  <c r="S227" i="22" s="1"/>
  <c r="T227" i="22" s="1"/>
  <c r="U227" i="22" s="1"/>
  <c r="V227" i="22" s="1"/>
  <c r="W227" i="22" s="1"/>
  <c r="X227" i="22" s="1"/>
  <c r="Y227" i="22" s="1"/>
  <c r="Z227" i="22" s="1"/>
  <c r="AA227" i="22" s="1"/>
  <c r="AB227" i="22" s="1"/>
  <c r="AC227" i="22" s="1"/>
  <c r="AD227" i="22" s="1"/>
  <c r="AE227" i="22" s="1"/>
  <c r="AF227" i="22" s="1"/>
  <c r="AG227" i="22" s="1"/>
  <c r="AI217" i="22"/>
  <c r="AJ217" i="22" s="1"/>
  <c r="AK217" i="22" s="1"/>
  <c r="AL217" i="22" s="1"/>
  <c r="AM217" i="22" s="1"/>
  <c r="AN217" i="22" s="1"/>
  <c r="AO217" i="22" s="1"/>
  <c r="AP217" i="22" s="1"/>
  <c r="AQ217" i="22" s="1"/>
  <c r="AR217" i="22" s="1"/>
  <c r="AS217" i="22" s="1"/>
  <c r="AT217" i="22" s="1"/>
  <c r="AU217" i="22" s="1"/>
  <c r="AV217" i="22" s="1"/>
  <c r="AW217" i="22" s="1"/>
  <c r="AX217" i="22" s="1"/>
  <c r="AY217" i="22" s="1"/>
  <c r="AZ217" i="22" s="1"/>
  <c r="BA217" i="22" s="1"/>
  <c r="BB217" i="22" s="1"/>
  <c r="BC217" i="22" s="1"/>
  <c r="BD217" i="22" s="1"/>
  <c r="BE217" i="22" s="1"/>
  <c r="O204" i="22"/>
  <c r="P204" i="22" s="1"/>
  <c r="Q204" i="22" s="1"/>
  <c r="R204" i="22" s="1"/>
  <c r="S204" i="22" s="1"/>
  <c r="T204" i="22" s="1"/>
  <c r="U204" i="22" s="1"/>
  <c r="V204" i="22" s="1"/>
  <c r="W204" i="22" s="1"/>
  <c r="X204" i="22" s="1"/>
  <c r="Y204" i="22" s="1"/>
  <c r="Z204" i="22" s="1"/>
  <c r="AA204" i="22" s="1"/>
  <c r="AB204" i="22" s="1"/>
  <c r="AC204" i="22" s="1"/>
  <c r="AD204" i="22" s="1"/>
  <c r="AE204" i="22" s="1"/>
  <c r="AF204" i="22" s="1"/>
  <c r="AG204" i="22" s="1"/>
  <c r="AI530" i="22"/>
  <c r="AJ530" i="22" s="1"/>
  <c r="AK530" i="22" s="1"/>
  <c r="AL530" i="22" s="1"/>
  <c r="AM530" i="22" s="1"/>
  <c r="AN530" i="22" s="1"/>
  <c r="AO530" i="22" s="1"/>
  <c r="AP530" i="22" s="1"/>
  <c r="AQ530" i="22" s="1"/>
  <c r="AR530" i="22" s="1"/>
  <c r="AS530" i="22" s="1"/>
  <c r="AT530" i="22" s="1"/>
  <c r="AU530" i="22" s="1"/>
  <c r="AV530" i="22" s="1"/>
  <c r="AW530" i="22" s="1"/>
  <c r="AX530" i="22" s="1"/>
  <c r="AY530" i="22" s="1"/>
  <c r="AZ530" i="22" s="1"/>
  <c r="BA530" i="22" s="1"/>
  <c r="BB530" i="22" s="1"/>
  <c r="BC530" i="22" s="1"/>
  <c r="BD530" i="22" s="1"/>
  <c r="BE530" i="22" s="1"/>
  <c r="AI415" i="22"/>
  <c r="AJ415" i="22" s="1"/>
  <c r="AK415" i="22" s="1"/>
  <c r="AL415" i="22" s="1"/>
  <c r="AM415" i="22" s="1"/>
  <c r="AN415" i="22" s="1"/>
  <c r="AO415" i="22" s="1"/>
  <c r="AP415" i="22" s="1"/>
  <c r="AQ415" i="22" s="1"/>
  <c r="AR415" i="22" s="1"/>
  <c r="AS415" i="22" s="1"/>
  <c r="AT415" i="22" s="1"/>
  <c r="AU415" i="22" s="1"/>
  <c r="AV415" i="22" s="1"/>
  <c r="AW415" i="22" s="1"/>
  <c r="AX415" i="22" s="1"/>
  <c r="AY415" i="22" s="1"/>
  <c r="AZ415" i="22" s="1"/>
  <c r="BA415" i="22" s="1"/>
  <c r="BB415" i="22" s="1"/>
  <c r="BC415" i="22" s="1"/>
  <c r="BD415" i="22" s="1"/>
  <c r="BE415" i="22" s="1"/>
  <c r="AI381" i="22"/>
  <c r="AJ381" i="22" s="1"/>
  <c r="AK381" i="22" s="1"/>
  <c r="AL381" i="22" s="1"/>
  <c r="AM381" i="22" s="1"/>
  <c r="AN381" i="22" s="1"/>
  <c r="AO381" i="22" s="1"/>
  <c r="AP381" i="22" s="1"/>
  <c r="AQ381" i="22" s="1"/>
  <c r="AR381" i="22" s="1"/>
  <c r="AS381" i="22" s="1"/>
  <c r="AT381" i="22" s="1"/>
  <c r="AU381" i="22" s="1"/>
  <c r="AV381" i="22" s="1"/>
  <c r="AW381" i="22" s="1"/>
  <c r="AX381" i="22" s="1"/>
  <c r="AY381" i="22" s="1"/>
  <c r="AZ381" i="22" s="1"/>
  <c r="BA381" i="22" s="1"/>
  <c r="BB381" i="22" s="1"/>
  <c r="BC381" i="22" s="1"/>
  <c r="BD381" i="22" s="1"/>
  <c r="BE381" i="22" s="1"/>
  <c r="AI345" i="22"/>
  <c r="AJ345" i="22" s="1"/>
  <c r="AK345" i="22" s="1"/>
  <c r="AL345" i="22" s="1"/>
  <c r="AM345" i="22" s="1"/>
  <c r="AN345" i="22" s="1"/>
  <c r="AO345" i="22" s="1"/>
  <c r="AP345" i="22" s="1"/>
  <c r="AQ345" i="22" s="1"/>
  <c r="AR345" i="22" s="1"/>
  <c r="AS345" i="22" s="1"/>
  <c r="AT345" i="22" s="1"/>
  <c r="AU345" i="22" s="1"/>
  <c r="AV345" i="22" s="1"/>
  <c r="AW345" i="22" s="1"/>
  <c r="AX345" i="22" s="1"/>
  <c r="AY345" i="22" s="1"/>
  <c r="AZ345" i="22" s="1"/>
  <c r="BA345" i="22" s="1"/>
  <c r="BB345" i="22" s="1"/>
  <c r="BC345" i="22" s="1"/>
  <c r="BD345" i="22" s="1"/>
  <c r="BE345" i="22" s="1"/>
  <c r="O317" i="22"/>
  <c r="P317" i="22" s="1"/>
  <c r="Q317" i="22" s="1"/>
  <c r="R317" i="22" s="1"/>
  <c r="S317" i="22" s="1"/>
  <c r="T317" i="22" s="1"/>
  <c r="U317" i="22" s="1"/>
  <c r="V317" i="22" s="1"/>
  <c r="W317" i="22" s="1"/>
  <c r="X317" i="22" s="1"/>
  <c r="Y317" i="22" s="1"/>
  <c r="Z317" i="22" s="1"/>
  <c r="AA317" i="22" s="1"/>
  <c r="AB317" i="22" s="1"/>
  <c r="AC317" i="22" s="1"/>
  <c r="AD317" i="22" s="1"/>
  <c r="AE317" i="22" s="1"/>
  <c r="AF317" i="22" s="1"/>
  <c r="AG317" i="22" s="1"/>
  <c r="AI273" i="22"/>
  <c r="AJ273" i="22" s="1"/>
  <c r="AK273" i="22" s="1"/>
  <c r="AL273" i="22" s="1"/>
  <c r="AM273" i="22" s="1"/>
  <c r="AN273" i="22" s="1"/>
  <c r="AO273" i="22" s="1"/>
  <c r="AP273" i="22" s="1"/>
  <c r="AQ273" i="22" s="1"/>
  <c r="AR273" i="22" s="1"/>
  <c r="AS273" i="22" s="1"/>
  <c r="AT273" i="22" s="1"/>
  <c r="AU273" i="22" s="1"/>
  <c r="AV273" i="22" s="1"/>
  <c r="AW273" i="22" s="1"/>
  <c r="AX273" i="22" s="1"/>
  <c r="AY273" i="22" s="1"/>
  <c r="AZ273" i="22" s="1"/>
  <c r="BA273" i="22" s="1"/>
  <c r="BB273" i="22" s="1"/>
  <c r="BC273" i="22" s="1"/>
  <c r="BD273" i="22" s="1"/>
  <c r="BE273" i="22" s="1"/>
  <c r="O266" i="22"/>
  <c r="P266" i="22" s="1"/>
  <c r="Q266" i="22" s="1"/>
  <c r="R266" i="22" s="1"/>
  <c r="S266" i="22" s="1"/>
  <c r="T266" i="22" s="1"/>
  <c r="U266" i="22" s="1"/>
  <c r="V266" i="22" s="1"/>
  <c r="W266" i="22" s="1"/>
  <c r="X266" i="22" s="1"/>
  <c r="Y266" i="22" s="1"/>
  <c r="Z266" i="22" s="1"/>
  <c r="AA266" i="22" s="1"/>
  <c r="AB266" i="22" s="1"/>
  <c r="AC266" i="22" s="1"/>
  <c r="AD266" i="22" s="1"/>
  <c r="AE266" i="22" s="1"/>
  <c r="AF266" i="22" s="1"/>
  <c r="AG266" i="22" s="1"/>
  <c r="O252" i="22"/>
  <c r="P252" i="22" s="1"/>
  <c r="Q252" i="22" s="1"/>
  <c r="R252" i="22" s="1"/>
  <c r="S252" i="22" s="1"/>
  <c r="T252" i="22" s="1"/>
  <c r="U252" i="22" s="1"/>
  <c r="V252" i="22" s="1"/>
  <c r="W252" i="22" s="1"/>
  <c r="X252" i="22" s="1"/>
  <c r="Y252" i="22" s="1"/>
  <c r="Z252" i="22" s="1"/>
  <c r="AA252" i="22" s="1"/>
  <c r="AB252" i="22" s="1"/>
  <c r="AC252" i="22" s="1"/>
  <c r="AD252" i="22" s="1"/>
  <c r="AE252" i="22" s="1"/>
  <c r="AF252" i="22" s="1"/>
  <c r="AG252" i="22" s="1"/>
  <c r="AI234" i="22"/>
  <c r="AJ234" i="22" s="1"/>
  <c r="AK234" i="22" s="1"/>
  <c r="AL234" i="22" s="1"/>
  <c r="AM234" i="22" s="1"/>
  <c r="AN234" i="22" s="1"/>
  <c r="AO234" i="22" s="1"/>
  <c r="AP234" i="22" s="1"/>
  <c r="AQ234" i="22" s="1"/>
  <c r="AR234" i="22" s="1"/>
  <c r="AS234" i="22" s="1"/>
  <c r="AT234" i="22" s="1"/>
  <c r="AU234" i="22" s="1"/>
  <c r="AV234" i="22" s="1"/>
  <c r="AW234" i="22" s="1"/>
  <c r="AX234" i="22" s="1"/>
  <c r="AY234" i="22" s="1"/>
  <c r="AZ234" i="22" s="1"/>
  <c r="BA234" i="22" s="1"/>
  <c r="BB234" i="22" s="1"/>
  <c r="BC234" i="22" s="1"/>
  <c r="BD234" i="22" s="1"/>
  <c r="BE234" i="22" s="1"/>
  <c r="AI228" i="22"/>
  <c r="AJ228" i="22" s="1"/>
  <c r="AK228" i="22" s="1"/>
  <c r="AL228" i="22" s="1"/>
  <c r="AM228" i="22" s="1"/>
  <c r="AN228" i="22" s="1"/>
  <c r="AO228" i="22" s="1"/>
  <c r="AP228" i="22" s="1"/>
  <c r="AQ228" i="22" s="1"/>
  <c r="AR228" i="22" s="1"/>
  <c r="AS228" i="22" s="1"/>
  <c r="AT228" i="22" s="1"/>
  <c r="AU228" i="22" s="1"/>
  <c r="AV228" i="22" s="1"/>
  <c r="AW228" i="22" s="1"/>
  <c r="AX228" i="22" s="1"/>
  <c r="AY228" i="22" s="1"/>
  <c r="AZ228" i="22" s="1"/>
  <c r="BA228" i="22" s="1"/>
  <c r="BB228" i="22" s="1"/>
  <c r="BC228" i="22" s="1"/>
  <c r="BD228" i="22" s="1"/>
  <c r="BE228" i="22" s="1"/>
  <c r="O213" i="22"/>
  <c r="P213" i="22" s="1"/>
  <c r="Q213" i="22" s="1"/>
  <c r="R213" i="22" s="1"/>
  <c r="S213" i="22" s="1"/>
  <c r="T213" i="22" s="1"/>
  <c r="U213" i="22" s="1"/>
  <c r="V213" i="22" s="1"/>
  <c r="W213" i="22" s="1"/>
  <c r="X213" i="22" s="1"/>
  <c r="Y213" i="22" s="1"/>
  <c r="Z213" i="22" s="1"/>
  <c r="AA213" i="22" s="1"/>
  <c r="AB213" i="22" s="1"/>
  <c r="AC213" i="22" s="1"/>
  <c r="AD213" i="22" s="1"/>
  <c r="AE213" i="22" s="1"/>
  <c r="AF213" i="22" s="1"/>
  <c r="AG213" i="22" s="1"/>
  <c r="AI211" i="22"/>
  <c r="AJ211" i="22" s="1"/>
  <c r="AK211" i="22" s="1"/>
  <c r="AL211" i="22" s="1"/>
  <c r="AM211" i="22" s="1"/>
  <c r="AN211" i="22" s="1"/>
  <c r="AO211" i="22" s="1"/>
  <c r="AP211" i="22" s="1"/>
  <c r="AQ211" i="22" s="1"/>
  <c r="AR211" i="22" s="1"/>
  <c r="AS211" i="22" s="1"/>
  <c r="AT211" i="22" s="1"/>
  <c r="AU211" i="22" s="1"/>
  <c r="AV211" i="22" s="1"/>
  <c r="AW211" i="22" s="1"/>
  <c r="AX211" i="22" s="1"/>
  <c r="AY211" i="22" s="1"/>
  <c r="AZ211" i="22" s="1"/>
  <c r="BA211" i="22" s="1"/>
  <c r="BB211" i="22" s="1"/>
  <c r="BC211" i="22" s="1"/>
  <c r="BD211" i="22" s="1"/>
  <c r="BE211" i="22" s="1"/>
  <c r="AI206" i="22"/>
  <c r="AJ206" i="22" s="1"/>
  <c r="AK206" i="22" s="1"/>
  <c r="AL206" i="22" s="1"/>
  <c r="AM206" i="22" s="1"/>
  <c r="AN206" i="22" s="1"/>
  <c r="AO206" i="22" s="1"/>
  <c r="AP206" i="22" s="1"/>
  <c r="AQ206" i="22" s="1"/>
  <c r="AR206" i="22" s="1"/>
  <c r="AS206" i="22" s="1"/>
  <c r="AT206" i="22" s="1"/>
  <c r="AU206" i="22" s="1"/>
  <c r="AV206" i="22" s="1"/>
  <c r="AW206" i="22" s="1"/>
  <c r="AX206" i="22" s="1"/>
  <c r="AY206" i="22" s="1"/>
  <c r="AZ206" i="22" s="1"/>
  <c r="BA206" i="22" s="1"/>
  <c r="BB206" i="22" s="1"/>
  <c r="BC206" i="22" s="1"/>
  <c r="BD206" i="22" s="1"/>
  <c r="BE206" i="22" s="1"/>
  <c r="O194" i="22"/>
  <c r="P194" i="22" s="1"/>
  <c r="Q194" i="22" s="1"/>
  <c r="R194" i="22" s="1"/>
  <c r="S194" i="22" s="1"/>
  <c r="T194" i="22" s="1"/>
  <c r="U194" i="22" s="1"/>
  <c r="V194" i="22" s="1"/>
  <c r="W194" i="22" s="1"/>
  <c r="X194" i="22" s="1"/>
  <c r="Y194" i="22" s="1"/>
  <c r="Z194" i="22" s="1"/>
  <c r="AA194" i="22" s="1"/>
  <c r="AB194" i="22" s="1"/>
  <c r="AC194" i="22" s="1"/>
  <c r="AD194" i="22" s="1"/>
  <c r="AE194" i="22" s="1"/>
  <c r="AF194" i="22" s="1"/>
  <c r="AG194" i="22" s="1"/>
  <c r="AI424" i="22"/>
  <c r="AJ424" i="22" s="1"/>
  <c r="AK424" i="22" s="1"/>
  <c r="AL424" i="22" s="1"/>
  <c r="AM424" i="22" s="1"/>
  <c r="AN424" i="22" s="1"/>
  <c r="AO424" i="22" s="1"/>
  <c r="AP424" i="22" s="1"/>
  <c r="AQ424" i="22" s="1"/>
  <c r="AR424" i="22" s="1"/>
  <c r="AS424" i="22" s="1"/>
  <c r="AT424" i="22" s="1"/>
  <c r="AU424" i="22" s="1"/>
  <c r="AV424" i="22" s="1"/>
  <c r="AW424" i="22" s="1"/>
  <c r="AX424" i="22" s="1"/>
  <c r="AY424" i="22" s="1"/>
  <c r="AZ424" i="22" s="1"/>
  <c r="BA424" i="22" s="1"/>
  <c r="BB424" i="22" s="1"/>
  <c r="BC424" i="22" s="1"/>
  <c r="BD424" i="22" s="1"/>
  <c r="BE424" i="22" s="1"/>
  <c r="AI382" i="22"/>
  <c r="AJ382" i="22" s="1"/>
  <c r="AK382" i="22" s="1"/>
  <c r="AL382" i="22" s="1"/>
  <c r="AM382" i="22" s="1"/>
  <c r="AN382" i="22" s="1"/>
  <c r="AO382" i="22" s="1"/>
  <c r="AP382" i="22" s="1"/>
  <c r="AQ382" i="22" s="1"/>
  <c r="AR382" i="22" s="1"/>
  <c r="AS382" i="22" s="1"/>
  <c r="AT382" i="22" s="1"/>
  <c r="AU382" i="22" s="1"/>
  <c r="AV382" i="22" s="1"/>
  <c r="AW382" i="22" s="1"/>
  <c r="AX382" i="22" s="1"/>
  <c r="AY382" i="22" s="1"/>
  <c r="AZ382" i="22" s="1"/>
  <c r="BA382" i="22" s="1"/>
  <c r="BB382" i="22" s="1"/>
  <c r="BC382" i="22" s="1"/>
  <c r="BD382" i="22" s="1"/>
  <c r="BE382" i="22" s="1"/>
  <c r="O360" i="22"/>
  <c r="P360" i="22" s="1"/>
  <c r="Q360" i="22" s="1"/>
  <c r="R360" i="22" s="1"/>
  <c r="S360" i="22" s="1"/>
  <c r="T360" i="22" s="1"/>
  <c r="U360" i="22" s="1"/>
  <c r="V360" i="22" s="1"/>
  <c r="W360" i="22" s="1"/>
  <c r="X360" i="22" s="1"/>
  <c r="Y360" i="22" s="1"/>
  <c r="Z360" i="22" s="1"/>
  <c r="AA360" i="22" s="1"/>
  <c r="AB360" i="22" s="1"/>
  <c r="AC360" i="22" s="1"/>
  <c r="AD360" i="22" s="1"/>
  <c r="AE360" i="22" s="1"/>
  <c r="AF360" i="22" s="1"/>
  <c r="AG360" i="22" s="1"/>
  <c r="O347" i="22"/>
  <c r="P347" i="22" s="1"/>
  <c r="Q347" i="22" s="1"/>
  <c r="R347" i="22" s="1"/>
  <c r="S347" i="22" s="1"/>
  <c r="T347" i="22" s="1"/>
  <c r="U347" i="22" s="1"/>
  <c r="V347" i="22" s="1"/>
  <c r="W347" i="22" s="1"/>
  <c r="X347" i="22" s="1"/>
  <c r="Y347" i="22" s="1"/>
  <c r="Z347" i="22" s="1"/>
  <c r="AA347" i="22" s="1"/>
  <c r="AB347" i="22" s="1"/>
  <c r="AC347" i="22" s="1"/>
  <c r="AD347" i="22" s="1"/>
  <c r="AE347" i="22" s="1"/>
  <c r="AF347" i="22" s="1"/>
  <c r="AG347" i="22" s="1"/>
  <c r="O337" i="22"/>
  <c r="P337" i="22" s="1"/>
  <c r="Q337" i="22" s="1"/>
  <c r="R337" i="22" s="1"/>
  <c r="S337" i="22" s="1"/>
  <c r="T337" i="22" s="1"/>
  <c r="U337" i="22" s="1"/>
  <c r="V337" i="22" s="1"/>
  <c r="W337" i="22" s="1"/>
  <c r="X337" i="22" s="1"/>
  <c r="Y337" i="22" s="1"/>
  <c r="Z337" i="22" s="1"/>
  <c r="AA337" i="22" s="1"/>
  <c r="AB337" i="22" s="1"/>
  <c r="AC337" i="22" s="1"/>
  <c r="AD337" i="22" s="1"/>
  <c r="AE337" i="22" s="1"/>
  <c r="AF337" i="22" s="1"/>
  <c r="AG337" i="22" s="1"/>
  <c r="O327" i="22"/>
  <c r="P327" i="22" s="1"/>
  <c r="Q327" i="22" s="1"/>
  <c r="R327" i="22" s="1"/>
  <c r="S327" i="22" s="1"/>
  <c r="T327" i="22" s="1"/>
  <c r="U327" i="22" s="1"/>
  <c r="V327" i="22" s="1"/>
  <c r="W327" i="22" s="1"/>
  <c r="X327" i="22" s="1"/>
  <c r="Y327" i="22" s="1"/>
  <c r="Z327" i="22" s="1"/>
  <c r="AA327" i="22" s="1"/>
  <c r="AB327" i="22" s="1"/>
  <c r="AC327" i="22" s="1"/>
  <c r="AD327" i="22" s="1"/>
  <c r="AE327" i="22" s="1"/>
  <c r="AF327" i="22" s="1"/>
  <c r="AG327" i="22" s="1"/>
  <c r="AI319" i="22"/>
  <c r="AJ319" i="22" s="1"/>
  <c r="AK319" i="22" s="1"/>
  <c r="AL319" i="22" s="1"/>
  <c r="AM319" i="22" s="1"/>
  <c r="AN319" i="22" s="1"/>
  <c r="AO319" i="22" s="1"/>
  <c r="AP319" i="22" s="1"/>
  <c r="AQ319" i="22" s="1"/>
  <c r="AR319" i="22" s="1"/>
  <c r="AS319" i="22" s="1"/>
  <c r="AT319" i="22" s="1"/>
  <c r="AU319" i="22" s="1"/>
  <c r="AV319" i="22" s="1"/>
  <c r="AW319" i="22" s="1"/>
  <c r="AX319" i="22" s="1"/>
  <c r="AY319" i="22" s="1"/>
  <c r="AZ319" i="22" s="1"/>
  <c r="BA319" i="22" s="1"/>
  <c r="BB319" i="22" s="1"/>
  <c r="BC319" i="22" s="1"/>
  <c r="BD319" i="22" s="1"/>
  <c r="BE319" i="22" s="1"/>
  <c r="O307" i="22"/>
  <c r="P307" i="22" s="1"/>
  <c r="Q307" i="22" s="1"/>
  <c r="R307" i="22" s="1"/>
  <c r="S307" i="22" s="1"/>
  <c r="T307" i="22" s="1"/>
  <c r="U307" i="22" s="1"/>
  <c r="V307" i="22" s="1"/>
  <c r="W307" i="22" s="1"/>
  <c r="X307" i="22" s="1"/>
  <c r="Y307" i="22" s="1"/>
  <c r="Z307" i="22" s="1"/>
  <c r="AA307" i="22" s="1"/>
  <c r="AB307" i="22" s="1"/>
  <c r="AC307" i="22" s="1"/>
  <c r="AD307" i="22" s="1"/>
  <c r="AE307" i="22" s="1"/>
  <c r="AF307" i="22" s="1"/>
  <c r="AG307" i="22" s="1"/>
  <c r="AI306" i="22"/>
  <c r="AJ306" i="22" s="1"/>
  <c r="AK306" i="22" s="1"/>
  <c r="AL306" i="22" s="1"/>
  <c r="AM306" i="22" s="1"/>
  <c r="AN306" i="22" s="1"/>
  <c r="AO306" i="22" s="1"/>
  <c r="AP306" i="22" s="1"/>
  <c r="AQ306" i="22" s="1"/>
  <c r="AR306" i="22" s="1"/>
  <c r="AS306" i="22" s="1"/>
  <c r="AT306" i="22" s="1"/>
  <c r="AU306" i="22" s="1"/>
  <c r="AV306" i="22" s="1"/>
  <c r="AW306" i="22" s="1"/>
  <c r="AX306" i="22" s="1"/>
  <c r="AY306" i="22" s="1"/>
  <c r="AZ306" i="22" s="1"/>
  <c r="BA306" i="22" s="1"/>
  <c r="BB306" i="22" s="1"/>
  <c r="BC306" i="22" s="1"/>
  <c r="BD306" i="22" s="1"/>
  <c r="BE306" i="22" s="1"/>
  <c r="O304" i="22"/>
  <c r="P304" i="22" s="1"/>
  <c r="Q304" i="22" s="1"/>
  <c r="R304" i="22" s="1"/>
  <c r="S304" i="22" s="1"/>
  <c r="T304" i="22" s="1"/>
  <c r="U304" i="22" s="1"/>
  <c r="V304" i="22" s="1"/>
  <c r="W304" i="22" s="1"/>
  <c r="X304" i="22" s="1"/>
  <c r="Y304" i="22" s="1"/>
  <c r="Z304" i="22" s="1"/>
  <c r="AA304" i="22" s="1"/>
  <c r="AB304" i="22" s="1"/>
  <c r="AC304" i="22" s="1"/>
  <c r="AD304" i="22" s="1"/>
  <c r="AE304" i="22" s="1"/>
  <c r="AF304" i="22" s="1"/>
  <c r="AG304" i="22" s="1"/>
  <c r="O289" i="22"/>
  <c r="P289" i="22" s="1"/>
  <c r="Q289" i="22" s="1"/>
  <c r="R289" i="22" s="1"/>
  <c r="S289" i="22" s="1"/>
  <c r="T289" i="22" s="1"/>
  <c r="U289" i="22" s="1"/>
  <c r="V289" i="22" s="1"/>
  <c r="W289" i="22" s="1"/>
  <c r="X289" i="22" s="1"/>
  <c r="Y289" i="22" s="1"/>
  <c r="Z289" i="22" s="1"/>
  <c r="AA289" i="22" s="1"/>
  <c r="AB289" i="22" s="1"/>
  <c r="AC289" i="22" s="1"/>
  <c r="AD289" i="22" s="1"/>
  <c r="AE289" i="22" s="1"/>
  <c r="AF289" i="22" s="1"/>
  <c r="AG289" i="22" s="1"/>
  <c r="O277" i="22"/>
  <c r="P277" i="22" s="1"/>
  <c r="Q277" i="22" s="1"/>
  <c r="R277" i="22" s="1"/>
  <c r="S277" i="22" s="1"/>
  <c r="T277" i="22" s="1"/>
  <c r="U277" i="22" s="1"/>
  <c r="V277" i="22" s="1"/>
  <c r="W277" i="22" s="1"/>
  <c r="X277" i="22" s="1"/>
  <c r="Y277" i="22" s="1"/>
  <c r="Z277" i="22" s="1"/>
  <c r="AA277" i="22" s="1"/>
  <c r="AB277" i="22" s="1"/>
  <c r="AC277" i="22" s="1"/>
  <c r="AD277" i="22" s="1"/>
  <c r="AE277" i="22" s="1"/>
  <c r="AF277" i="22" s="1"/>
  <c r="AG277" i="22" s="1"/>
  <c r="O259" i="22"/>
  <c r="P259" i="22" s="1"/>
  <c r="Q259" i="22" s="1"/>
  <c r="R259" i="22" s="1"/>
  <c r="S259" i="22" s="1"/>
  <c r="T259" i="22" s="1"/>
  <c r="U259" i="22" s="1"/>
  <c r="V259" i="22" s="1"/>
  <c r="W259" i="22" s="1"/>
  <c r="X259" i="22" s="1"/>
  <c r="Y259" i="22" s="1"/>
  <c r="Z259" i="22" s="1"/>
  <c r="AA259" i="22" s="1"/>
  <c r="AB259" i="22" s="1"/>
  <c r="AC259" i="22" s="1"/>
  <c r="AD259" i="22" s="1"/>
  <c r="AE259" i="22" s="1"/>
  <c r="AF259" i="22" s="1"/>
  <c r="AG259" i="22" s="1"/>
  <c r="AI254" i="22"/>
  <c r="AJ254" i="22" s="1"/>
  <c r="AK254" i="22" s="1"/>
  <c r="AL254" i="22" s="1"/>
  <c r="AM254" i="22" s="1"/>
  <c r="AN254" i="22" s="1"/>
  <c r="AO254" i="22" s="1"/>
  <c r="AP254" i="22" s="1"/>
  <c r="AQ254" i="22" s="1"/>
  <c r="AR254" i="22" s="1"/>
  <c r="AS254" i="22" s="1"/>
  <c r="AT254" i="22" s="1"/>
  <c r="AU254" i="22" s="1"/>
  <c r="AV254" i="22" s="1"/>
  <c r="AW254" i="22" s="1"/>
  <c r="AX254" i="22" s="1"/>
  <c r="AY254" i="22" s="1"/>
  <c r="AZ254" i="22" s="1"/>
  <c r="BA254" i="22" s="1"/>
  <c r="BB254" i="22" s="1"/>
  <c r="BC254" i="22" s="1"/>
  <c r="BD254" i="22" s="1"/>
  <c r="BE254" i="22" s="1"/>
  <c r="O240" i="22"/>
  <c r="P240" i="22" s="1"/>
  <c r="Q240" i="22" s="1"/>
  <c r="R240" i="22" s="1"/>
  <c r="S240" i="22" s="1"/>
  <c r="T240" i="22" s="1"/>
  <c r="U240" i="22" s="1"/>
  <c r="V240" i="22" s="1"/>
  <c r="W240" i="22" s="1"/>
  <c r="X240" i="22" s="1"/>
  <c r="Y240" i="22" s="1"/>
  <c r="Z240" i="22" s="1"/>
  <c r="AA240" i="22" s="1"/>
  <c r="AB240" i="22" s="1"/>
  <c r="AC240" i="22" s="1"/>
  <c r="AD240" i="22" s="1"/>
  <c r="AE240" i="22" s="1"/>
  <c r="AF240" i="22" s="1"/>
  <c r="AG240" i="22" s="1"/>
  <c r="AI220" i="22"/>
  <c r="AJ220" i="22" s="1"/>
  <c r="AK220" i="22" s="1"/>
  <c r="AL220" i="22" s="1"/>
  <c r="AM220" i="22" s="1"/>
  <c r="AN220" i="22" s="1"/>
  <c r="AO220" i="22" s="1"/>
  <c r="AP220" i="22" s="1"/>
  <c r="AQ220" i="22" s="1"/>
  <c r="AR220" i="22" s="1"/>
  <c r="AS220" i="22" s="1"/>
  <c r="AT220" i="22" s="1"/>
  <c r="AU220" i="22" s="1"/>
  <c r="AV220" i="22" s="1"/>
  <c r="AW220" i="22" s="1"/>
  <c r="AX220" i="22" s="1"/>
  <c r="AY220" i="22" s="1"/>
  <c r="AZ220" i="22" s="1"/>
  <c r="BA220" i="22" s="1"/>
  <c r="BB220" i="22" s="1"/>
  <c r="BC220" i="22" s="1"/>
  <c r="BD220" i="22" s="1"/>
  <c r="BE220" i="22" s="1"/>
  <c r="AI219" i="22"/>
  <c r="AJ219" i="22" s="1"/>
  <c r="AK219" i="22" s="1"/>
  <c r="AL219" i="22" s="1"/>
  <c r="AM219" i="22" s="1"/>
  <c r="AN219" i="22" s="1"/>
  <c r="AO219" i="22" s="1"/>
  <c r="AP219" i="22" s="1"/>
  <c r="AQ219" i="22" s="1"/>
  <c r="AR219" i="22" s="1"/>
  <c r="AS219" i="22" s="1"/>
  <c r="AT219" i="22" s="1"/>
  <c r="AU219" i="22" s="1"/>
  <c r="AV219" i="22" s="1"/>
  <c r="AW219" i="22" s="1"/>
  <c r="AX219" i="22" s="1"/>
  <c r="AY219" i="22" s="1"/>
  <c r="AZ219" i="22" s="1"/>
  <c r="BA219" i="22" s="1"/>
  <c r="BB219" i="22" s="1"/>
  <c r="BC219" i="22" s="1"/>
  <c r="BD219" i="22" s="1"/>
  <c r="BE219" i="22" s="1"/>
  <c r="O215" i="22"/>
  <c r="P215" i="22" s="1"/>
  <c r="Q215" i="22" s="1"/>
  <c r="R215" i="22" s="1"/>
  <c r="S215" i="22" s="1"/>
  <c r="T215" i="22" s="1"/>
  <c r="U215" i="22" s="1"/>
  <c r="V215" i="22" s="1"/>
  <c r="W215" i="22" s="1"/>
  <c r="X215" i="22" s="1"/>
  <c r="Y215" i="22" s="1"/>
  <c r="Z215" i="22" s="1"/>
  <c r="AA215" i="22" s="1"/>
  <c r="AB215" i="22" s="1"/>
  <c r="AC215" i="22" s="1"/>
  <c r="AD215" i="22" s="1"/>
  <c r="AE215" i="22" s="1"/>
  <c r="AF215" i="22" s="1"/>
  <c r="AG215" i="22" s="1"/>
  <c r="O214" i="22"/>
  <c r="P214" i="22" s="1"/>
  <c r="Q214" i="22" s="1"/>
  <c r="R214" i="22" s="1"/>
  <c r="S214" i="22" s="1"/>
  <c r="T214" i="22" s="1"/>
  <c r="U214" i="22" s="1"/>
  <c r="V214" i="22" s="1"/>
  <c r="W214" i="22" s="1"/>
  <c r="X214" i="22" s="1"/>
  <c r="Y214" i="22" s="1"/>
  <c r="Z214" i="22" s="1"/>
  <c r="AA214" i="22" s="1"/>
  <c r="AB214" i="22" s="1"/>
  <c r="AC214" i="22" s="1"/>
  <c r="AD214" i="22" s="1"/>
  <c r="AE214" i="22" s="1"/>
  <c r="AF214" i="22" s="1"/>
  <c r="AG214" i="22" s="1"/>
  <c r="O208" i="22"/>
  <c r="P208" i="22" s="1"/>
  <c r="Q208" i="22" s="1"/>
  <c r="R208" i="22" s="1"/>
  <c r="S208" i="22" s="1"/>
  <c r="T208" i="22" s="1"/>
  <c r="U208" i="22" s="1"/>
  <c r="V208" i="22" s="1"/>
  <c r="W208" i="22" s="1"/>
  <c r="X208" i="22" s="1"/>
  <c r="Y208" i="22" s="1"/>
  <c r="Z208" i="22" s="1"/>
  <c r="AA208" i="22" s="1"/>
  <c r="AB208" i="22" s="1"/>
  <c r="AC208" i="22" s="1"/>
  <c r="AD208" i="22" s="1"/>
  <c r="AE208" i="22" s="1"/>
  <c r="AF208" i="22" s="1"/>
  <c r="AG208" i="22" s="1"/>
  <c r="O203" i="22"/>
  <c r="P203" i="22" s="1"/>
  <c r="Q203" i="22" s="1"/>
  <c r="R203" i="22" s="1"/>
  <c r="S203" i="22" s="1"/>
  <c r="T203" i="22" s="1"/>
  <c r="U203" i="22" s="1"/>
  <c r="V203" i="22" s="1"/>
  <c r="W203" i="22" s="1"/>
  <c r="X203" i="22" s="1"/>
  <c r="Y203" i="22" s="1"/>
  <c r="Z203" i="22" s="1"/>
  <c r="AA203" i="22" s="1"/>
  <c r="AB203" i="22" s="1"/>
  <c r="AC203" i="22" s="1"/>
  <c r="AD203" i="22" s="1"/>
  <c r="AE203" i="22" s="1"/>
  <c r="AF203" i="22" s="1"/>
  <c r="AG203" i="22" s="1"/>
  <c r="AI201" i="22"/>
  <c r="AJ201" i="22" s="1"/>
  <c r="AK201" i="22" s="1"/>
  <c r="AL201" i="22" s="1"/>
  <c r="AM201" i="22" s="1"/>
  <c r="AN201" i="22" s="1"/>
  <c r="AO201" i="22" s="1"/>
  <c r="AP201" i="22" s="1"/>
  <c r="AQ201" i="22" s="1"/>
  <c r="AR201" i="22" s="1"/>
  <c r="AS201" i="22" s="1"/>
  <c r="AT201" i="22" s="1"/>
  <c r="AU201" i="22" s="1"/>
  <c r="AV201" i="22" s="1"/>
  <c r="AW201" i="22" s="1"/>
  <c r="AX201" i="22" s="1"/>
  <c r="AY201" i="22" s="1"/>
  <c r="AZ201" i="22" s="1"/>
  <c r="BA201" i="22" s="1"/>
  <c r="BB201" i="22" s="1"/>
  <c r="BC201" i="22" s="1"/>
  <c r="BD201" i="22" s="1"/>
  <c r="BE201" i="22" s="1"/>
  <c r="O447" i="22"/>
  <c r="P447" i="22" s="1"/>
  <c r="Q447" i="22" s="1"/>
  <c r="R447" i="22" s="1"/>
  <c r="S447" i="22" s="1"/>
  <c r="T447" i="22" s="1"/>
  <c r="U447" i="22" s="1"/>
  <c r="V447" i="22" s="1"/>
  <c r="W447" i="22" s="1"/>
  <c r="X447" i="22" s="1"/>
  <c r="Y447" i="22" s="1"/>
  <c r="Z447" i="22" s="1"/>
  <c r="AA447" i="22" s="1"/>
  <c r="AB447" i="22" s="1"/>
  <c r="AC447" i="22" s="1"/>
  <c r="AD447" i="22" s="1"/>
  <c r="AE447" i="22" s="1"/>
  <c r="AF447" i="22" s="1"/>
  <c r="AG447" i="22" s="1"/>
  <c r="O370" i="22"/>
  <c r="P370" i="22" s="1"/>
  <c r="Q370" i="22" s="1"/>
  <c r="R370" i="22" s="1"/>
  <c r="S370" i="22" s="1"/>
  <c r="T370" i="22" s="1"/>
  <c r="U370" i="22" s="1"/>
  <c r="V370" i="22" s="1"/>
  <c r="W370" i="22" s="1"/>
  <c r="X370" i="22" s="1"/>
  <c r="Y370" i="22" s="1"/>
  <c r="Z370" i="22" s="1"/>
  <c r="AA370" i="22" s="1"/>
  <c r="AB370" i="22" s="1"/>
  <c r="AC370" i="22" s="1"/>
  <c r="AD370" i="22" s="1"/>
  <c r="AE370" i="22" s="1"/>
  <c r="AF370" i="22" s="1"/>
  <c r="AG370" i="22" s="1"/>
  <c r="AI364" i="22"/>
  <c r="AJ364" i="22" s="1"/>
  <c r="AK364" i="22" s="1"/>
  <c r="AL364" i="22" s="1"/>
  <c r="AM364" i="22" s="1"/>
  <c r="AN364" i="22" s="1"/>
  <c r="AO364" i="22" s="1"/>
  <c r="AP364" i="22" s="1"/>
  <c r="AQ364" i="22" s="1"/>
  <c r="AR364" i="22" s="1"/>
  <c r="AS364" i="22" s="1"/>
  <c r="AT364" i="22" s="1"/>
  <c r="AU364" i="22" s="1"/>
  <c r="AV364" i="22" s="1"/>
  <c r="AW364" i="22" s="1"/>
  <c r="AX364" i="22" s="1"/>
  <c r="AY364" i="22" s="1"/>
  <c r="AZ364" i="22" s="1"/>
  <c r="BA364" i="22" s="1"/>
  <c r="BB364" i="22" s="1"/>
  <c r="BC364" i="22" s="1"/>
  <c r="BD364" i="22" s="1"/>
  <c r="BE364" i="22" s="1"/>
  <c r="AI357" i="22"/>
  <c r="AJ357" i="22" s="1"/>
  <c r="AK357" i="22" s="1"/>
  <c r="AL357" i="22" s="1"/>
  <c r="AM357" i="22" s="1"/>
  <c r="AN357" i="22" s="1"/>
  <c r="AO357" i="22" s="1"/>
  <c r="AP357" i="22" s="1"/>
  <c r="AQ357" i="22" s="1"/>
  <c r="AR357" i="22" s="1"/>
  <c r="AS357" i="22" s="1"/>
  <c r="AT357" i="22" s="1"/>
  <c r="AU357" i="22" s="1"/>
  <c r="AV357" i="22" s="1"/>
  <c r="AW357" i="22" s="1"/>
  <c r="AX357" i="22" s="1"/>
  <c r="AY357" i="22" s="1"/>
  <c r="AZ357" i="22" s="1"/>
  <c r="BA357" i="22" s="1"/>
  <c r="BB357" i="22" s="1"/>
  <c r="BC357" i="22" s="1"/>
  <c r="BD357" i="22" s="1"/>
  <c r="BE357" i="22" s="1"/>
  <c r="O335" i="22"/>
  <c r="P335" i="22" s="1"/>
  <c r="Q335" i="22" s="1"/>
  <c r="R335" i="22" s="1"/>
  <c r="S335" i="22" s="1"/>
  <c r="T335" i="22" s="1"/>
  <c r="U335" i="22" s="1"/>
  <c r="V335" i="22" s="1"/>
  <c r="W335" i="22" s="1"/>
  <c r="X335" i="22" s="1"/>
  <c r="Y335" i="22" s="1"/>
  <c r="Z335" i="22" s="1"/>
  <c r="AA335" i="22" s="1"/>
  <c r="AB335" i="22" s="1"/>
  <c r="AC335" i="22" s="1"/>
  <c r="AD335" i="22" s="1"/>
  <c r="AE335" i="22" s="1"/>
  <c r="AF335" i="22" s="1"/>
  <c r="AG335" i="22" s="1"/>
  <c r="O325" i="22"/>
  <c r="P325" i="22" s="1"/>
  <c r="Q325" i="22" s="1"/>
  <c r="R325" i="22" s="1"/>
  <c r="S325" i="22" s="1"/>
  <c r="T325" i="22" s="1"/>
  <c r="U325" i="22" s="1"/>
  <c r="V325" i="22" s="1"/>
  <c r="W325" i="22" s="1"/>
  <c r="X325" i="22" s="1"/>
  <c r="Y325" i="22" s="1"/>
  <c r="Z325" i="22" s="1"/>
  <c r="AA325" i="22" s="1"/>
  <c r="AB325" i="22" s="1"/>
  <c r="AC325" i="22" s="1"/>
  <c r="AD325" i="22" s="1"/>
  <c r="AE325" i="22" s="1"/>
  <c r="AF325" i="22" s="1"/>
  <c r="AG325" i="22" s="1"/>
  <c r="O280" i="22"/>
  <c r="P280" i="22" s="1"/>
  <c r="Q280" i="22" s="1"/>
  <c r="R280" i="22" s="1"/>
  <c r="S280" i="22" s="1"/>
  <c r="T280" i="22" s="1"/>
  <c r="U280" i="22" s="1"/>
  <c r="V280" i="22" s="1"/>
  <c r="W280" i="22" s="1"/>
  <c r="X280" i="22" s="1"/>
  <c r="Y280" i="22" s="1"/>
  <c r="Z280" i="22" s="1"/>
  <c r="AA280" i="22" s="1"/>
  <c r="AB280" i="22" s="1"/>
  <c r="AC280" i="22" s="1"/>
  <c r="AD280" i="22" s="1"/>
  <c r="AE280" i="22" s="1"/>
  <c r="AF280" i="22" s="1"/>
  <c r="AG280" i="22" s="1"/>
  <c r="O271" i="22"/>
  <c r="P271" i="22" s="1"/>
  <c r="Q271" i="22" s="1"/>
  <c r="R271" i="22" s="1"/>
  <c r="S271" i="22" s="1"/>
  <c r="T271" i="22" s="1"/>
  <c r="U271" i="22" s="1"/>
  <c r="V271" i="22" s="1"/>
  <c r="W271" i="22" s="1"/>
  <c r="X271" i="22" s="1"/>
  <c r="Y271" i="22" s="1"/>
  <c r="Z271" i="22" s="1"/>
  <c r="AA271" i="22" s="1"/>
  <c r="AB271" i="22" s="1"/>
  <c r="AC271" i="22" s="1"/>
  <c r="AD271" i="22" s="1"/>
  <c r="AE271" i="22" s="1"/>
  <c r="AF271" i="22" s="1"/>
  <c r="AG271" i="22" s="1"/>
  <c r="O265" i="22"/>
  <c r="P265" i="22" s="1"/>
  <c r="Q265" i="22" s="1"/>
  <c r="R265" i="22" s="1"/>
  <c r="S265" i="22" s="1"/>
  <c r="T265" i="22" s="1"/>
  <c r="U265" i="22" s="1"/>
  <c r="V265" i="22" s="1"/>
  <c r="W265" i="22" s="1"/>
  <c r="X265" i="22" s="1"/>
  <c r="Y265" i="22" s="1"/>
  <c r="Z265" i="22" s="1"/>
  <c r="AA265" i="22" s="1"/>
  <c r="AB265" i="22" s="1"/>
  <c r="AC265" i="22" s="1"/>
  <c r="AD265" i="22" s="1"/>
  <c r="AE265" i="22" s="1"/>
  <c r="AF265" i="22" s="1"/>
  <c r="AG265" i="22" s="1"/>
  <c r="O251" i="22"/>
  <c r="P251" i="22" s="1"/>
  <c r="Q251" i="22" s="1"/>
  <c r="R251" i="22" s="1"/>
  <c r="S251" i="22" s="1"/>
  <c r="T251" i="22" s="1"/>
  <c r="U251" i="22" s="1"/>
  <c r="V251" i="22" s="1"/>
  <c r="W251" i="22" s="1"/>
  <c r="X251" i="22" s="1"/>
  <c r="Y251" i="22" s="1"/>
  <c r="Z251" i="22" s="1"/>
  <c r="AA251" i="22" s="1"/>
  <c r="AB251" i="22" s="1"/>
  <c r="AC251" i="22" s="1"/>
  <c r="AD251" i="22" s="1"/>
  <c r="AE251" i="22" s="1"/>
  <c r="AF251" i="22" s="1"/>
  <c r="AG251" i="22" s="1"/>
  <c r="O238" i="22"/>
  <c r="P238" i="22" s="1"/>
  <c r="Q238" i="22" s="1"/>
  <c r="R238" i="22" s="1"/>
  <c r="S238" i="22" s="1"/>
  <c r="T238" i="22" s="1"/>
  <c r="U238" i="22" s="1"/>
  <c r="V238" i="22" s="1"/>
  <c r="W238" i="22" s="1"/>
  <c r="X238" i="22" s="1"/>
  <c r="Y238" i="22" s="1"/>
  <c r="Z238" i="22" s="1"/>
  <c r="AA238" i="22" s="1"/>
  <c r="AB238" i="22" s="1"/>
  <c r="AC238" i="22" s="1"/>
  <c r="AD238" i="22" s="1"/>
  <c r="AE238" i="22" s="1"/>
  <c r="AF238" i="22" s="1"/>
  <c r="AG238" i="22" s="1"/>
  <c r="AI226" i="22"/>
  <c r="AJ226" i="22" s="1"/>
  <c r="AK226" i="22" s="1"/>
  <c r="AL226" i="22" s="1"/>
  <c r="AM226" i="22" s="1"/>
  <c r="AN226" i="22" s="1"/>
  <c r="AO226" i="22" s="1"/>
  <c r="AP226" i="22" s="1"/>
  <c r="AQ226" i="22" s="1"/>
  <c r="AR226" i="22" s="1"/>
  <c r="AS226" i="22" s="1"/>
  <c r="AT226" i="22" s="1"/>
  <c r="AU226" i="22" s="1"/>
  <c r="AV226" i="22" s="1"/>
  <c r="AW226" i="22" s="1"/>
  <c r="AX226" i="22" s="1"/>
  <c r="AY226" i="22" s="1"/>
  <c r="AZ226" i="22" s="1"/>
  <c r="BA226" i="22" s="1"/>
  <c r="BB226" i="22" s="1"/>
  <c r="BC226" i="22" s="1"/>
  <c r="BD226" i="22" s="1"/>
  <c r="BE226" i="22" s="1"/>
  <c r="O217" i="22"/>
  <c r="P217" i="22" s="1"/>
  <c r="Q217" i="22" s="1"/>
  <c r="R217" i="22" s="1"/>
  <c r="S217" i="22" s="1"/>
  <c r="T217" i="22" s="1"/>
  <c r="U217" i="22" s="1"/>
  <c r="V217" i="22" s="1"/>
  <c r="W217" i="22" s="1"/>
  <c r="X217" i="22" s="1"/>
  <c r="Y217" i="22" s="1"/>
  <c r="Z217" i="22" s="1"/>
  <c r="AA217" i="22" s="1"/>
  <c r="AB217" i="22" s="1"/>
  <c r="AC217" i="22" s="1"/>
  <c r="AD217" i="22" s="1"/>
  <c r="AE217" i="22" s="1"/>
  <c r="AF217" i="22" s="1"/>
  <c r="AG217" i="22" s="1"/>
  <c r="AI216" i="22"/>
  <c r="AJ216" i="22" s="1"/>
  <c r="AK216" i="22" s="1"/>
  <c r="AL216" i="22" s="1"/>
  <c r="AM216" i="22" s="1"/>
  <c r="AN216" i="22" s="1"/>
  <c r="AO216" i="22" s="1"/>
  <c r="AP216" i="22" s="1"/>
  <c r="AQ216" i="22" s="1"/>
  <c r="AR216" i="22" s="1"/>
  <c r="AS216" i="22" s="1"/>
  <c r="AT216" i="22" s="1"/>
  <c r="AU216" i="22" s="1"/>
  <c r="AV216" i="22" s="1"/>
  <c r="AW216" i="22" s="1"/>
  <c r="AX216" i="22" s="1"/>
  <c r="AY216" i="22" s="1"/>
  <c r="AZ216" i="22" s="1"/>
  <c r="BA216" i="22" s="1"/>
  <c r="BB216" i="22" s="1"/>
  <c r="BC216" i="22" s="1"/>
  <c r="BD216" i="22" s="1"/>
  <c r="BE216" i="22" s="1"/>
  <c r="AI205" i="22"/>
  <c r="AJ205" i="22" s="1"/>
  <c r="AK205" i="22" s="1"/>
  <c r="AL205" i="22" s="1"/>
  <c r="AM205" i="22" s="1"/>
  <c r="AN205" i="22" s="1"/>
  <c r="AO205" i="22" s="1"/>
  <c r="AP205" i="22" s="1"/>
  <c r="AQ205" i="22" s="1"/>
  <c r="AR205" i="22" s="1"/>
  <c r="AS205" i="22" s="1"/>
  <c r="AT205" i="22" s="1"/>
  <c r="AU205" i="22" s="1"/>
  <c r="AV205" i="22" s="1"/>
  <c r="AW205" i="22" s="1"/>
  <c r="AX205" i="22" s="1"/>
  <c r="AY205" i="22" s="1"/>
  <c r="AZ205" i="22" s="1"/>
  <c r="BA205" i="22" s="1"/>
  <c r="BB205" i="22" s="1"/>
  <c r="BC205" i="22" s="1"/>
  <c r="BD205" i="22" s="1"/>
  <c r="BE205" i="22" s="1"/>
  <c r="O188" i="22"/>
  <c r="P188" i="22" s="1"/>
  <c r="Q188" i="22" s="1"/>
  <c r="R188" i="22" s="1"/>
  <c r="S188" i="22" s="1"/>
  <c r="T188" i="22" s="1"/>
  <c r="U188" i="22" s="1"/>
  <c r="V188" i="22" s="1"/>
  <c r="W188" i="22" s="1"/>
  <c r="X188" i="22" s="1"/>
  <c r="Y188" i="22" s="1"/>
  <c r="Z188" i="22" s="1"/>
  <c r="AA188" i="22" s="1"/>
  <c r="AB188" i="22" s="1"/>
  <c r="AC188" i="22" s="1"/>
  <c r="AD188" i="22" s="1"/>
  <c r="AE188" i="22" s="1"/>
  <c r="AF188" i="22" s="1"/>
  <c r="AG188" i="22" s="1"/>
  <c r="AI180" i="22"/>
  <c r="AJ180" i="22" s="1"/>
  <c r="AK180" i="22" s="1"/>
  <c r="AL180" i="22" s="1"/>
  <c r="AM180" i="22" s="1"/>
  <c r="AN180" i="22" s="1"/>
  <c r="AO180" i="22" s="1"/>
  <c r="AP180" i="22" s="1"/>
  <c r="AQ180" i="22" s="1"/>
  <c r="AR180" i="22" s="1"/>
  <c r="AS180" i="22" s="1"/>
  <c r="AT180" i="22" s="1"/>
  <c r="AU180" i="22" s="1"/>
  <c r="AV180" i="22" s="1"/>
  <c r="AW180" i="22" s="1"/>
  <c r="AX180" i="22" s="1"/>
  <c r="AY180" i="22" s="1"/>
  <c r="AZ180" i="22" s="1"/>
  <c r="BA180" i="22" s="1"/>
  <c r="BB180" i="22" s="1"/>
  <c r="BC180" i="22" s="1"/>
  <c r="BD180" i="22" s="1"/>
  <c r="BE180" i="22" s="1"/>
  <c r="O176" i="22"/>
  <c r="P176" i="22" s="1"/>
  <c r="Q176" i="22" s="1"/>
  <c r="R176" i="22" s="1"/>
  <c r="S176" i="22" s="1"/>
  <c r="T176" i="22" s="1"/>
  <c r="U176" i="22" s="1"/>
  <c r="V176" i="22" s="1"/>
  <c r="W176" i="22" s="1"/>
  <c r="X176" i="22" s="1"/>
  <c r="Y176" i="22" s="1"/>
  <c r="Z176" i="22" s="1"/>
  <c r="AA176" i="22" s="1"/>
  <c r="AB176" i="22" s="1"/>
  <c r="AC176" i="22" s="1"/>
  <c r="AD176" i="22" s="1"/>
  <c r="AE176" i="22" s="1"/>
  <c r="AF176" i="22" s="1"/>
  <c r="AG176" i="22" s="1"/>
  <c r="AI168" i="22"/>
  <c r="AJ168" i="22" s="1"/>
  <c r="AK168" i="22" s="1"/>
  <c r="AL168" i="22" s="1"/>
  <c r="AM168" i="22" s="1"/>
  <c r="AN168" i="22" s="1"/>
  <c r="AO168" i="22" s="1"/>
  <c r="AP168" i="22" s="1"/>
  <c r="AQ168" i="22" s="1"/>
  <c r="AR168" i="22" s="1"/>
  <c r="AS168" i="22" s="1"/>
  <c r="AT168" i="22" s="1"/>
  <c r="AU168" i="22" s="1"/>
  <c r="AV168" i="22" s="1"/>
  <c r="AW168" i="22" s="1"/>
  <c r="AX168" i="22" s="1"/>
  <c r="AY168" i="22" s="1"/>
  <c r="AZ168" i="22" s="1"/>
  <c r="BA168" i="22" s="1"/>
  <c r="BB168" i="22" s="1"/>
  <c r="BC168" i="22" s="1"/>
  <c r="BD168" i="22" s="1"/>
  <c r="BE168" i="22" s="1"/>
  <c r="O164" i="22"/>
  <c r="P164" i="22" s="1"/>
  <c r="Q164" i="22" s="1"/>
  <c r="R164" i="22" s="1"/>
  <c r="S164" i="22" s="1"/>
  <c r="T164" i="22" s="1"/>
  <c r="U164" i="22" s="1"/>
  <c r="V164" i="22" s="1"/>
  <c r="W164" i="22" s="1"/>
  <c r="X164" i="22" s="1"/>
  <c r="Y164" i="22" s="1"/>
  <c r="Z164" i="22" s="1"/>
  <c r="AA164" i="22" s="1"/>
  <c r="AB164" i="22" s="1"/>
  <c r="AC164" i="22" s="1"/>
  <c r="AD164" i="22" s="1"/>
  <c r="AE164" i="22" s="1"/>
  <c r="AF164" i="22" s="1"/>
  <c r="AG164" i="22" s="1"/>
  <c r="AI156" i="22"/>
  <c r="AJ156" i="22" s="1"/>
  <c r="AK156" i="22" s="1"/>
  <c r="AL156" i="22" s="1"/>
  <c r="AM156" i="22" s="1"/>
  <c r="AN156" i="22" s="1"/>
  <c r="AO156" i="22" s="1"/>
  <c r="AP156" i="22" s="1"/>
  <c r="AQ156" i="22" s="1"/>
  <c r="AR156" i="22" s="1"/>
  <c r="AS156" i="22" s="1"/>
  <c r="AT156" i="22" s="1"/>
  <c r="AU156" i="22" s="1"/>
  <c r="AV156" i="22" s="1"/>
  <c r="AW156" i="22" s="1"/>
  <c r="AX156" i="22" s="1"/>
  <c r="AY156" i="22" s="1"/>
  <c r="AZ156" i="22" s="1"/>
  <c r="BA156" i="22" s="1"/>
  <c r="BB156" i="22" s="1"/>
  <c r="BC156" i="22" s="1"/>
  <c r="BD156" i="22" s="1"/>
  <c r="BE156" i="22" s="1"/>
  <c r="O149" i="22"/>
  <c r="P149" i="22" s="1"/>
  <c r="Q149" i="22" s="1"/>
  <c r="R149" i="22" s="1"/>
  <c r="S149" i="22" s="1"/>
  <c r="T149" i="22" s="1"/>
  <c r="U149" i="22" s="1"/>
  <c r="V149" i="22" s="1"/>
  <c r="W149" i="22" s="1"/>
  <c r="X149" i="22" s="1"/>
  <c r="Y149" i="22" s="1"/>
  <c r="Z149" i="22" s="1"/>
  <c r="AA149" i="22" s="1"/>
  <c r="AB149" i="22" s="1"/>
  <c r="AC149" i="22" s="1"/>
  <c r="AD149" i="22" s="1"/>
  <c r="AE149" i="22" s="1"/>
  <c r="AF149" i="22" s="1"/>
  <c r="AG149" i="22" s="1"/>
  <c r="AI141" i="22"/>
  <c r="AJ141" i="22" s="1"/>
  <c r="AK141" i="22" s="1"/>
  <c r="AL141" i="22" s="1"/>
  <c r="AM141" i="22" s="1"/>
  <c r="AN141" i="22" s="1"/>
  <c r="AO141" i="22" s="1"/>
  <c r="AP141" i="22" s="1"/>
  <c r="AQ141" i="22" s="1"/>
  <c r="AR141" i="22" s="1"/>
  <c r="AS141" i="22" s="1"/>
  <c r="AT141" i="22" s="1"/>
  <c r="AU141" i="22" s="1"/>
  <c r="AV141" i="22" s="1"/>
  <c r="AW141" i="22" s="1"/>
  <c r="AX141" i="22" s="1"/>
  <c r="AY141" i="22" s="1"/>
  <c r="AZ141" i="22" s="1"/>
  <c r="BA141" i="22" s="1"/>
  <c r="BB141" i="22" s="1"/>
  <c r="BC141" i="22" s="1"/>
  <c r="BD141" i="22" s="1"/>
  <c r="BE141" i="22" s="1"/>
  <c r="O137" i="22"/>
  <c r="P137" i="22" s="1"/>
  <c r="Q137" i="22" s="1"/>
  <c r="R137" i="22" s="1"/>
  <c r="S137" i="22" s="1"/>
  <c r="T137" i="22" s="1"/>
  <c r="U137" i="22" s="1"/>
  <c r="V137" i="22" s="1"/>
  <c r="W137" i="22" s="1"/>
  <c r="X137" i="22" s="1"/>
  <c r="Y137" i="22" s="1"/>
  <c r="Z137" i="22" s="1"/>
  <c r="AA137" i="22" s="1"/>
  <c r="AB137" i="22" s="1"/>
  <c r="AC137" i="22" s="1"/>
  <c r="AD137" i="22" s="1"/>
  <c r="AE137" i="22" s="1"/>
  <c r="AF137" i="22" s="1"/>
  <c r="AG137" i="22" s="1"/>
  <c r="O129" i="22"/>
  <c r="P129" i="22" s="1"/>
  <c r="Q129" i="22" s="1"/>
  <c r="R129" i="22" s="1"/>
  <c r="S129" i="22" s="1"/>
  <c r="T129" i="22" s="1"/>
  <c r="U129" i="22" s="1"/>
  <c r="V129" i="22" s="1"/>
  <c r="W129" i="22" s="1"/>
  <c r="X129" i="22" s="1"/>
  <c r="Y129" i="22" s="1"/>
  <c r="Z129" i="22" s="1"/>
  <c r="AA129" i="22" s="1"/>
  <c r="AB129" i="22" s="1"/>
  <c r="AC129" i="22" s="1"/>
  <c r="AD129" i="22" s="1"/>
  <c r="AE129" i="22" s="1"/>
  <c r="AF129" i="22" s="1"/>
  <c r="AG129" i="22" s="1"/>
  <c r="O124" i="22"/>
  <c r="P124" i="22" s="1"/>
  <c r="Q124" i="22" s="1"/>
  <c r="R124" i="22" s="1"/>
  <c r="S124" i="22" s="1"/>
  <c r="T124" i="22" s="1"/>
  <c r="U124" i="22" s="1"/>
  <c r="V124" i="22" s="1"/>
  <c r="W124" i="22" s="1"/>
  <c r="X124" i="22" s="1"/>
  <c r="Y124" i="22" s="1"/>
  <c r="Z124" i="22" s="1"/>
  <c r="AA124" i="22" s="1"/>
  <c r="AB124" i="22" s="1"/>
  <c r="AC124" i="22" s="1"/>
  <c r="AD124" i="22" s="1"/>
  <c r="AE124" i="22" s="1"/>
  <c r="AF124" i="22" s="1"/>
  <c r="AG124" i="22" s="1"/>
  <c r="AI122" i="22"/>
  <c r="AJ122" i="22" s="1"/>
  <c r="AK122" i="22" s="1"/>
  <c r="AL122" i="22" s="1"/>
  <c r="AM122" i="22" s="1"/>
  <c r="AN122" i="22" s="1"/>
  <c r="AO122" i="22" s="1"/>
  <c r="AP122" i="22" s="1"/>
  <c r="AQ122" i="22" s="1"/>
  <c r="AR122" i="22" s="1"/>
  <c r="AS122" i="22" s="1"/>
  <c r="AT122" i="22" s="1"/>
  <c r="AU122" i="22" s="1"/>
  <c r="AV122" i="22" s="1"/>
  <c r="AW122" i="22" s="1"/>
  <c r="AX122" i="22" s="1"/>
  <c r="AY122" i="22" s="1"/>
  <c r="AZ122" i="22" s="1"/>
  <c r="BA122" i="22" s="1"/>
  <c r="BB122" i="22" s="1"/>
  <c r="BC122" i="22" s="1"/>
  <c r="BD122" i="22" s="1"/>
  <c r="BE122" i="22" s="1"/>
  <c r="AI117" i="22"/>
  <c r="AJ117" i="22" s="1"/>
  <c r="AK117" i="22" s="1"/>
  <c r="AL117" i="22" s="1"/>
  <c r="AM117" i="22" s="1"/>
  <c r="AN117" i="22" s="1"/>
  <c r="AO117" i="22" s="1"/>
  <c r="AP117" i="22" s="1"/>
  <c r="AQ117" i="22" s="1"/>
  <c r="AR117" i="22" s="1"/>
  <c r="AS117" i="22" s="1"/>
  <c r="AT117" i="22" s="1"/>
  <c r="AU117" i="22" s="1"/>
  <c r="AV117" i="22" s="1"/>
  <c r="AW117" i="22" s="1"/>
  <c r="AX117" i="22" s="1"/>
  <c r="AY117" i="22" s="1"/>
  <c r="AZ117" i="22" s="1"/>
  <c r="BA117" i="22" s="1"/>
  <c r="BB117" i="22" s="1"/>
  <c r="BC117" i="22" s="1"/>
  <c r="BD117" i="22" s="1"/>
  <c r="BE117" i="22" s="1"/>
  <c r="O105" i="22"/>
  <c r="P105" i="22" s="1"/>
  <c r="Q105" i="22" s="1"/>
  <c r="R105" i="22" s="1"/>
  <c r="S105" i="22" s="1"/>
  <c r="T105" i="22" s="1"/>
  <c r="U105" i="22" s="1"/>
  <c r="V105" i="22" s="1"/>
  <c r="W105" i="22" s="1"/>
  <c r="X105" i="22" s="1"/>
  <c r="Y105" i="22" s="1"/>
  <c r="Z105" i="22" s="1"/>
  <c r="AA105" i="22" s="1"/>
  <c r="AB105" i="22" s="1"/>
  <c r="AC105" i="22" s="1"/>
  <c r="AD105" i="22" s="1"/>
  <c r="AE105" i="22" s="1"/>
  <c r="AF105" i="22" s="1"/>
  <c r="AG105" i="22" s="1"/>
  <c r="AH51" i="22"/>
  <c r="AH50" i="22"/>
  <c r="AI395" i="22"/>
  <c r="AJ395" i="22" s="1"/>
  <c r="AK395" i="22" s="1"/>
  <c r="AL395" i="22" s="1"/>
  <c r="AM395" i="22" s="1"/>
  <c r="AN395" i="22" s="1"/>
  <c r="AO395" i="22" s="1"/>
  <c r="AP395" i="22" s="1"/>
  <c r="AQ395" i="22" s="1"/>
  <c r="AR395" i="22" s="1"/>
  <c r="AS395" i="22" s="1"/>
  <c r="AT395" i="22" s="1"/>
  <c r="AU395" i="22" s="1"/>
  <c r="AV395" i="22" s="1"/>
  <c r="AW395" i="22" s="1"/>
  <c r="AX395" i="22" s="1"/>
  <c r="AY395" i="22" s="1"/>
  <c r="AZ395" i="22" s="1"/>
  <c r="BA395" i="22" s="1"/>
  <c r="BB395" i="22" s="1"/>
  <c r="BC395" i="22" s="1"/>
  <c r="BD395" i="22" s="1"/>
  <c r="BE395" i="22" s="1"/>
  <c r="AI312" i="22"/>
  <c r="AJ312" i="22" s="1"/>
  <c r="AK312" i="22" s="1"/>
  <c r="AL312" i="22" s="1"/>
  <c r="AM312" i="22" s="1"/>
  <c r="AN312" i="22" s="1"/>
  <c r="AO312" i="22" s="1"/>
  <c r="AP312" i="22" s="1"/>
  <c r="AQ312" i="22" s="1"/>
  <c r="AR312" i="22" s="1"/>
  <c r="AS312" i="22" s="1"/>
  <c r="AT312" i="22" s="1"/>
  <c r="AU312" i="22" s="1"/>
  <c r="AV312" i="22" s="1"/>
  <c r="AW312" i="22" s="1"/>
  <c r="AX312" i="22" s="1"/>
  <c r="AY312" i="22" s="1"/>
  <c r="AZ312" i="22" s="1"/>
  <c r="BA312" i="22" s="1"/>
  <c r="BB312" i="22" s="1"/>
  <c r="BC312" i="22" s="1"/>
  <c r="BD312" i="22" s="1"/>
  <c r="BE312" i="22" s="1"/>
  <c r="AI292" i="22"/>
  <c r="AJ292" i="22" s="1"/>
  <c r="AK292" i="22" s="1"/>
  <c r="AL292" i="22" s="1"/>
  <c r="AM292" i="22" s="1"/>
  <c r="AN292" i="22" s="1"/>
  <c r="AO292" i="22" s="1"/>
  <c r="AP292" i="22" s="1"/>
  <c r="AQ292" i="22" s="1"/>
  <c r="AR292" i="22" s="1"/>
  <c r="AS292" i="22" s="1"/>
  <c r="AT292" i="22" s="1"/>
  <c r="AU292" i="22" s="1"/>
  <c r="AV292" i="22" s="1"/>
  <c r="AW292" i="22" s="1"/>
  <c r="AX292" i="22" s="1"/>
  <c r="AY292" i="22" s="1"/>
  <c r="AZ292" i="22" s="1"/>
  <c r="BA292" i="22" s="1"/>
  <c r="BB292" i="22" s="1"/>
  <c r="BC292" i="22" s="1"/>
  <c r="BD292" i="22" s="1"/>
  <c r="BE292" i="22" s="1"/>
  <c r="AI286" i="22"/>
  <c r="AJ286" i="22" s="1"/>
  <c r="AK286" i="22" s="1"/>
  <c r="AL286" i="22" s="1"/>
  <c r="AM286" i="22" s="1"/>
  <c r="AN286" i="22" s="1"/>
  <c r="AO286" i="22" s="1"/>
  <c r="AP286" i="22" s="1"/>
  <c r="AQ286" i="22" s="1"/>
  <c r="AR286" i="22" s="1"/>
  <c r="AS286" i="22" s="1"/>
  <c r="AT286" i="22" s="1"/>
  <c r="AU286" i="22" s="1"/>
  <c r="AV286" i="22" s="1"/>
  <c r="AW286" i="22" s="1"/>
  <c r="AX286" i="22" s="1"/>
  <c r="AY286" i="22" s="1"/>
  <c r="AZ286" i="22" s="1"/>
  <c r="BA286" i="22" s="1"/>
  <c r="BB286" i="22" s="1"/>
  <c r="BC286" i="22" s="1"/>
  <c r="BD286" i="22" s="1"/>
  <c r="BE286" i="22" s="1"/>
  <c r="O239" i="22"/>
  <c r="P239" i="22" s="1"/>
  <c r="Q239" i="22" s="1"/>
  <c r="R239" i="22" s="1"/>
  <c r="S239" i="22" s="1"/>
  <c r="T239" i="22" s="1"/>
  <c r="U239" i="22" s="1"/>
  <c r="V239" i="22" s="1"/>
  <c r="W239" i="22" s="1"/>
  <c r="X239" i="22" s="1"/>
  <c r="Y239" i="22" s="1"/>
  <c r="Z239" i="22" s="1"/>
  <c r="AA239" i="22" s="1"/>
  <c r="AB239" i="22" s="1"/>
  <c r="AC239" i="22" s="1"/>
  <c r="AD239" i="22" s="1"/>
  <c r="AE239" i="22" s="1"/>
  <c r="AF239" i="22" s="1"/>
  <c r="AG239" i="22" s="1"/>
  <c r="O237" i="22"/>
  <c r="P237" i="22" s="1"/>
  <c r="Q237" i="22" s="1"/>
  <c r="R237" i="22" s="1"/>
  <c r="S237" i="22" s="1"/>
  <c r="T237" i="22" s="1"/>
  <c r="U237" i="22" s="1"/>
  <c r="V237" i="22" s="1"/>
  <c r="W237" i="22" s="1"/>
  <c r="X237" i="22" s="1"/>
  <c r="Y237" i="22" s="1"/>
  <c r="Z237" i="22" s="1"/>
  <c r="AA237" i="22" s="1"/>
  <c r="AB237" i="22" s="1"/>
  <c r="AC237" i="22" s="1"/>
  <c r="AD237" i="22" s="1"/>
  <c r="AE237" i="22" s="1"/>
  <c r="AF237" i="22" s="1"/>
  <c r="AG237" i="22" s="1"/>
  <c r="O230" i="22"/>
  <c r="P230" i="22" s="1"/>
  <c r="Q230" i="22" s="1"/>
  <c r="R230" i="22" s="1"/>
  <c r="S230" i="22" s="1"/>
  <c r="T230" i="22" s="1"/>
  <c r="U230" i="22" s="1"/>
  <c r="V230" i="22" s="1"/>
  <c r="W230" i="22" s="1"/>
  <c r="X230" i="22" s="1"/>
  <c r="Y230" i="22" s="1"/>
  <c r="Z230" i="22" s="1"/>
  <c r="AA230" i="22" s="1"/>
  <c r="AB230" i="22" s="1"/>
  <c r="AC230" i="22" s="1"/>
  <c r="AD230" i="22" s="1"/>
  <c r="AE230" i="22" s="1"/>
  <c r="AF230" i="22" s="1"/>
  <c r="AG230" i="22" s="1"/>
  <c r="O228" i="22"/>
  <c r="P228" i="22" s="1"/>
  <c r="Q228" i="22" s="1"/>
  <c r="R228" i="22" s="1"/>
  <c r="S228" i="22" s="1"/>
  <c r="T228" i="22" s="1"/>
  <c r="U228" i="22" s="1"/>
  <c r="V228" i="22" s="1"/>
  <c r="W228" i="22" s="1"/>
  <c r="X228" i="22" s="1"/>
  <c r="Y228" i="22" s="1"/>
  <c r="Z228" i="22" s="1"/>
  <c r="AA228" i="22" s="1"/>
  <c r="AB228" i="22" s="1"/>
  <c r="AC228" i="22" s="1"/>
  <c r="AD228" i="22" s="1"/>
  <c r="AE228" i="22" s="1"/>
  <c r="AF228" i="22" s="1"/>
  <c r="AG228" i="22" s="1"/>
  <c r="AI208" i="22"/>
  <c r="AJ208" i="22" s="1"/>
  <c r="AK208" i="22" s="1"/>
  <c r="AL208" i="22" s="1"/>
  <c r="AM208" i="22" s="1"/>
  <c r="AN208" i="22" s="1"/>
  <c r="AO208" i="22" s="1"/>
  <c r="AP208" i="22" s="1"/>
  <c r="AQ208" i="22" s="1"/>
  <c r="AR208" i="22" s="1"/>
  <c r="AS208" i="22" s="1"/>
  <c r="AT208" i="22" s="1"/>
  <c r="AU208" i="22" s="1"/>
  <c r="AV208" i="22" s="1"/>
  <c r="AW208" i="22" s="1"/>
  <c r="AX208" i="22" s="1"/>
  <c r="AY208" i="22" s="1"/>
  <c r="AZ208" i="22" s="1"/>
  <c r="BA208" i="22" s="1"/>
  <c r="BB208" i="22" s="1"/>
  <c r="BC208" i="22" s="1"/>
  <c r="BD208" i="22" s="1"/>
  <c r="BE208" i="22" s="1"/>
  <c r="AI190" i="22"/>
  <c r="AJ190" i="22" s="1"/>
  <c r="AK190" i="22" s="1"/>
  <c r="AL190" i="22" s="1"/>
  <c r="AM190" i="22" s="1"/>
  <c r="AN190" i="22" s="1"/>
  <c r="AO190" i="22" s="1"/>
  <c r="AP190" i="22" s="1"/>
  <c r="AQ190" i="22" s="1"/>
  <c r="AR190" i="22" s="1"/>
  <c r="AS190" i="22" s="1"/>
  <c r="AT190" i="22" s="1"/>
  <c r="AU190" i="22" s="1"/>
  <c r="AV190" i="22" s="1"/>
  <c r="AW190" i="22" s="1"/>
  <c r="AX190" i="22" s="1"/>
  <c r="AY190" i="22" s="1"/>
  <c r="AZ190" i="22" s="1"/>
  <c r="BA190" i="22" s="1"/>
  <c r="BB190" i="22" s="1"/>
  <c r="BC190" i="22" s="1"/>
  <c r="BD190" i="22" s="1"/>
  <c r="BE190" i="22" s="1"/>
  <c r="AI186" i="22"/>
  <c r="AJ186" i="22" s="1"/>
  <c r="AK186" i="22" s="1"/>
  <c r="AL186" i="22" s="1"/>
  <c r="AM186" i="22" s="1"/>
  <c r="AN186" i="22" s="1"/>
  <c r="AO186" i="22" s="1"/>
  <c r="AP186" i="22" s="1"/>
  <c r="AQ186" i="22" s="1"/>
  <c r="AR186" i="22" s="1"/>
  <c r="AS186" i="22" s="1"/>
  <c r="AT186" i="22" s="1"/>
  <c r="AU186" i="22" s="1"/>
  <c r="AV186" i="22" s="1"/>
  <c r="AW186" i="22" s="1"/>
  <c r="AX186" i="22" s="1"/>
  <c r="AY186" i="22" s="1"/>
  <c r="AZ186" i="22" s="1"/>
  <c r="BA186" i="22" s="1"/>
  <c r="BB186" i="22" s="1"/>
  <c r="BC186" i="22" s="1"/>
  <c r="BD186" i="22" s="1"/>
  <c r="BE186" i="22" s="1"/>
  <c r="O182" i="22"/>
  <c r="P182" i="22" s="1"/>
  <c r="Q182" i="22" s="1"/>
  <c r="R182" i="22" s="1"/>
  <c r="S182" i="22" s="1"/>
  <c r="T182" i="22" s="1"/>
  <c r="U182" i="22" s="1"/>
  <c r="V182" i="22" s="1"/>
  <c r="W182" i="22" s="1"/>
  <c r="X182" i="22" s="1"/>
  <c r="Y182" i="22" s="1"/>
  <c r="Z182" i="22" s="1"/>
  <c r="AA182" i="22" s="1"/>
  <c r="AB182" i="22" s="1"/>
  <c r="AC182" i="22" s="1"/>
  <c r="AD182" i="22" s="1"/>
  <c r="AE182" i="22" s="1"/>
  <c r="AF182" i="22" s="1"/>
  <c r="AG182" i="22" s="1"/>
  <c r="AI162" i="22"/>
  <c r="AJ162" i="22" s="1"/>
  <c r="AK162" i="22" s="1"/>
  <c r="AL162" i="22" s="1"/>
  <c r="AM162" i="22" s="1"/>
  <c r="AN162" i="22" s="1"/>
  <c r="AO162" i="22" s="1"/>
  <c r="AP162" i="22" s="1"/>
  <c r="AQ162" i="22" s="1"/>
  <c r="AR162" i="22" s="1"/>
  <c r="AS162" i="22" s="1"/>
  <c r="AT162" i="22" s="1"/>
  <c r="AU162" i="22" s="1"/>
  <c r="AV162" i="22" s="1"/>
  <c r="AW162" i="22" s="1"/>
  <c r="AX162" i="22" s="1"/>
  <c r="AY162" i="22" s="1"/>
  <c r="AZ162" i="22" s="1"/>
  <c r="BA162" i="22" s="1"/>
  <c r="BB162" i="22" s="1"/>
  <c r="BC162" i="22" s="1"/>
  <c r="BD162" i="22" s="1"/>
  <c r="BE162" i="22" s="1"/>
  <c r="O158" i="22"/>
  <c r="P158" i="22" s="1"/>
  <c r="Q158" i="22" s="1"/>
  <c r="R158" i="22" s="1"/>
  <c r="S158" i="22" s="1"/>
  <c r="T158" i="22" s="1"/>
  <c r="U158" i="22" s="1"/>
  <c r="V158" i="22" s="1"/>
  <c r="W158" i="22" s="1"/>
  <c r="X158" i="22" s="1"/>
  <c r="Y158" i="22" s="1"/>
  <c r="Z158" i="22" s="1"/>
  <c r="AA158" i="22" s="1"/>
  <c r="AB158" i="22" s="1"/>
  <c r="AC158" i="22" s="1"/>
  <c r="AD158" i="22" s="1"/>
  <c r="AE158" i="22" s="1"/>
  <c r="AF158" i="22" s="1"/>
  <c r="AG158" i="22" s="1"/>
  <c r="O143" i="22"/>
  <c r="P143" i="22" s="1"/>
  <c r="Q143" i="22" s="1"/>
  <c r="R143" i="22" s="1"/>
  <c r="S143" i="22" s="1"/>
  <c r="T143" i="22" s="1"/>
  <c r="U143" i="22" s="1"/>
  <c r="V143" i="22" s="1"/>
  <c r="W143" i="22" s="1"/>
  <c r="X143" i="22" s="1"/>
  <c r="Y143" i="22" s="1"/>
  <c r="Z143" i="22" s="1"/>
  <c r="AA143" i="22" s="1"/>
  <c r="AB143" i="22" s="1"/>
  <c r="AC143" i="22" s="1"/>
  <c r="AD143" i="22" s="1"/>
  <c r="AE143" i="22" s="1"/>
  <c r="AF143" i="22" s="1"/>
  <c r="AG143" i="22" s="1"/>
  <c r="AI135" i="22"/>
  <c r="AJ135" i="22" s="1"/>
  <c r="AK135" i="22" s="1"/>
  <c r="AL135" i="22" s="1"/>
  <c r="AM135" i="22" s="1"/>
  <c r="AN135" i="22" s="1"/>
  <c r="AO135" i="22" s="1"/>
  <c r="AP135" i="22" s="1"/>
  <c r="AQ135" i="22" s="1"/>
  <c r="AR135" i="22" s="1"/>
  <c r="AS135" i="22" s="1"/>
  <c r="AT135" i="22" s="1"/>
  <c r="AU135" i="22" s="1"/>
  <c r="AV135" i="22" s="1"/>
  <c r="AW135" i="22" s="1"/>
  <c r="AX135" i="22" s="1"/>
  <c r="AY135" i="22" s="1"/>
  <c r="AZ135" i="22" s="1"/>
  <c r="BA135" i="22" s="1"/>
  <c r="BB135" i="22" s="1"/>
  <c r="BC135" i="22" s="1"/>
  <c r="BD135" i="22" s="1"/>
  <c r="BE135" i="22" s="1"/>
  <c r="AI129" i="22"/>
  <c r="AJ129" i="22" s="1"/>
  <c r="AK129" i="22" s="1"/>
  <c r="AL129" i="22" s="1"/>
  <c r="AM129" i="22" s="1"/>
  <c r="AN129" i="22" s="1"/>
  <c r="AO129" i="22" s="1"/>
  <c r="AP129" i="22" s="1"/>
  <c r="AQ129" i="22" s="1"/>
  <c r="AR129" i="22" s="1"/>
  <c r="AS129" i="22" s="1"/>
  <c r="AT129" i="22" s="1"/>
  <c r="AU129" i="22" s="1"/>
  <c r="AV129" i="22" s="1"/>
  <c r="AW129" i="22" s="1"/>
  <c r="AX129" i="22" s="1"/>
  <c r="AY129" i="22" s="1"/>
  <c r="AZ129" i="22" s="1"/>
  <c r="BA129" i="22" s="1"/>
  <c r="BB129" i="22" s="1"/>
  <c r="BC129" i="22" s="1"/>
  <c r="BD129" i="22" s="1"/>
  <c r="BE129" i="22" s="1"/>
  <c r="O112" i="22"/>
  <c r="P112" i="22" s="1"/>
  <c r="Q112" i="22" s="1"/>
  <c r="R112" i="22" s="1"/>
  <c r="S112" i="22" s="1"/>
  <c r="T112" i="22" s="1"/>
  <c r="U112" i="22" s="1"/>
  <c r="V112" i="22" s="1"/>
  <c r="W112" i="22" s="1"/>
  <c r="X112" i="22" s="1"/>
  <c r="Y112" i="22" s="1"/>
  <c r="Z112" i="22" s="1"/>
  <c r="AA112" i="22" s="1"/>
  <c r="AB112" i="22" s="1"/>
  <c r="AC112" i="22" s="1"/>
  <c r="AD112" i="22" s="1"/>
  <c r="AE112" i="22" s="1"/>
  <c r="AF112" i="22" s="1"/>
  <c r="AG112" i="22" s="1"/>
  <c r="AI110" i="22"/>
  <c r="AJ110" i="22" s="1"/>
  <c r="AK110" i="22" s="1"/>
  <c r="AL110" i="22" s="1"/>
  <c r="AM110" i="22" s="1"/>
  <c r="AN110" i="22" s="1"/>
  <c r="AO110" i="22" s="1"/>
  <c r="AP110" i="22" s="1"/>
  <c r="AQ110" i="22" s="1"/>
  <c r="AR110" i="22" s="1"/>
  <c r="AS110" i="22" s="1"/>
  <c r="AT110" i="22" s="1"/>
  <c r="AU110" i="22" s="1"/>
  <c r="AV110" i="22" s="1"/>
  <c r="AW110" i="22" s="1"/>
  <c r="AX110" i="22" s="1"/>
  <c r="AY110" i="22" s="1"/>
  <c r="AZ110" i="22" s="1"/>
  <c r="BA110" i="22" s="1"/>
  <c r="BB110" i="22" s="1"/>
  <c r="BC110" i="22" s="1"/>
  <c r="BD110" i="22" s="1"/>
  <c r="BE110" i="22" s="1"/>
  <c r="AI105" i="22"/>
  <c r="AJ105" i="22" s="1"/>
  <c r="AK105" i="22" s="1"/>
  <c r="AL105" i="22" s="1"/>
  <c r="AM105" i="22" s="1"/>
  <c r="AN105" i="22" s="1"/>
  <c r="AO105" i="22" s="1"/>
  <c r="AP105" i="22" s="1"/>
  <c r="AQ105" i="22" s="1"/>
  <c r="AR105" i="22" s="1"/>
  <c r="AS105" i="22" s="1"/>
  <c r="AT105" i="22" s="1"/>
  <c r="AU105" i="22" s="1"/>
  <c r="AV105" i="22" s="1"/>
  <c r="AW105" i="22" s="1"/>
  <c r="AX105" i="22" s="1"/>
  <c r="AY105" i="22" s="1"/>
  <c r="AZ105" i="22" s="1"/>
  <c r="BA105" i="22" s="1"/>
  <c r="BB105" i="22" s="1"/>
  <c r="BC105" i="22" s="1"/>
  <c r="BD105" i="22" s="1"/>
  <c r="BE105" i="22" s="1"/>
  <c r="AI403" i="22"/>
  <c r="AJ403" i="22" s="1"/>
  <c r="AK403" i="22" s="1"/>
  <c r="AL403" i="22" s="1"/>
  <c r="AM403" i="22" s="1"/>
  <c r="AN403" i="22" s="1"/>
  <c r="AO403" i="22" s="1"/>
  <c r="AP403" i="22" s="1"/>
  <c r="AQ403" i="22" s="1"/>
  <c r="AR403" i="22" s="1"/>
  <c r="AS403" i="22" s="1"/>
  <c r="AT403" i="22" s="1"/>
  <c r="AU403" i="22" s="1"/>
  <c r="AV403" i="22" s="1"/>
  <c r="AW403" i="22" s="1"/>
  <c r="AX403" i="22" s="1"/>
  <c r="AY403" i="22" s="1"/>
  <c r="AZ403" i="22" s="1"/>
  <c r="BA403" i="22" s="1"/>
  <c r="BB403" i="22" s="1"/>
  <c r="BC403" i="22" s="1"/>
  <c r="BD403" i="22" s="1"/>
  <c r="BE403" i="22" s="1"/>
  <c r="O363" i="22"/>
  <c r="P363" i="22" s="1"/>
  <c r="Q363" i="22" s="1"/>
  <c r="R363" i="22" s="1"/>
  <c r="S363" i="22" s="1"/>
  <c r="T363" i="22" s="1"/>
  <c r="U363" i="22" s="1"/>
  <c r="V363" i="22" s="1"/>
  <c r="W363" i="22" s="1"/>
  <c r="X363" i="22" s="1"/>
  <c r="Y363" i="22" s="1"/>
  <c r="Z363" i="22" s="1"/>
  <c r="AA363" i="22" s="1"/>
  <c r="AB363" i="22" s="1"/>
  <c r="AC363" i="22" s="1"/>
  <c r="AD363" i="22" s="1"/>
  <c r="AE363" i="22" s="1"/>
  <c r="AF363" i="22" s="1"/>
  <c r="AG363" i="22" s="1"/>
  <c r="AI358" i="22"/>
  <c r="AJ358" i="22" s="1"/>
  <c r="AK358" i="22" s="1"/>
  <c r="AL358" i="22" s="1"/>
  <c r="AM358" i="22" s="1"/>
  <c r="AN358" i="22" s="1"/>
  <c r="AO358" i="22" s="1"/>
  <c r="AP358" i="22" s="1"/>
  <c r="AQ358" i="22" s="1"/>
  <c r="AR358" i="22" s="1"/>
  <c r="AS358" i="22" s="1"/>
  <c r="AT358" i="22" s="1"/>
  <c r="AU358" i="22" s="1"/>
  <c r="AV358" i="22" s="1"/>
  <c r="AW358" i="22" s="1"/>
  <c r="AX358" i="22" s="1"/>
  <c r="AY358" i="22" s="1"/>
  <c r="AZ358" i="22" s="1"/>
  <c r="BA358" i="22" s="1"/>
  <c r="BB358" i="22" s="1"/>
  <c r="BC358" i="22" s="1"/>
  <c r="BD358" i="22" s="1"/>
  <c r="BE358" i="22" s="1"/>
  <c r="AI347" i="22"/>
  <c r="AJ347" i="22" s="1"/>
  <c r="AK347" i="22" s="1"/>
  <c r="AL347" i="22" s="1"/>
  <c r="AM347" i="22" s="1"/>
  <c r="AN347" i="22" s="1"/>
  <c r="AO347" i="22" s="1"/>
  <c r="AP347" i="22" s="1"/>
  <c r="AQ347" i="22" s="1"/>
  <c r="AR347" i="22" s="1"/>
  <c r="AS347" i="22" s="1"/>
  <c r="AT347" i="22" s="1"/>
  <c r="AU347" i="22" s="1"/>
  <c r="AV347" i="22" s="1"/>
  <c r="AW347" i="22" s="1"/>
  <c r="AX347" i="22" s="1"/>
  <c r="AY347" i="22" s="1"/>
  <c r="AZ347" i="22" s="1"/>
  <c r="BA347" i="22" s="1"/>
  <c r="BB347" i="22" s="1"/>
  <c r="BC347" i="22" s="1"/>
  <c r="BD347" i="22" s="1"/>
  <c r="BE347" i="22" s="1"/>
  <c r="AI309" i="22"/>
  <c r="AJ309" i="22" s="1"/>
  <c r="AK309" i="22" s="1"/>
  <c r="AL309" i="22" s="1"/>
  <c r="AM309" i="22" s="1"/>
  <c r="AN309" i="22" s="1"/>
  <c r="AO309" i="22" s="1"/>
  <c r="AP309" i="22" s="1"/>
  <c r="AQ309" i="22" s="1"/>
  <c r="AR309" i="22" s="1"/>
  <c r="AS309" i="22" s="1"/>
  <c r="AT309" i="22" s="1"/>
  <c r="AU309" i="22" s="1"/>
  <c r="AV309" i="22" s="1"/>
  <c r="AW309" i="22" s="1"/>
  <c r="AX309" i="22" s="1"/>
  <c r="AY309" i="22" s="1"/>
  <c r="AZ309" i="22" s="1"/>
  <c r="BA309" i="22" s="1"/>
  <c r="BB309" i="22" s="1"/>
  <c r="BC309" i="22" s="1"/>
  <c r="BD309" i="22" s="1"/>
  <c r="BE309" i="22" s="1"/>
  <c r="O275" i="22"/>
  <c r="P275" i="22" s="1"/>
  <c r="Q275" i="22" s="1"/>
  <c r="R275" i="22" s="1"/>
  <c r="S275" i="22" s="1"/>
  <c r="T275" i="22" s="1"/>
  <c r="U275" i="22" s="1"/>
  <c r="V275" i="22" s="1"/>
  <c r="W275" i="22" s="1"/>
  <c r="X275" i="22" s="1"/>
  <c r="Y275" i="22" s="1"/>
  <c r="Z275" i="22" s="1"/>
  <c r="AA275" i="22" s="1"/>
  <c r="AB275" i="22" s="1"/>
  <c r="AC275" i="22" s="1"/>
  <c r="AD275" i="22" s="1"/>
  <c r="AE275" i="22" s="1"/>
  <c r="AF275" i="22" s="1"/>
  <c r="AG275" i="22" s="1"/>
  <c r="AI260" i="22"/>
  <c r="AJ260" i="22" s="1"/>
  <c r="AK260" i="22" s="1"/>
  <c r="AL260" i="22" s="1"/>
  <c r="AM260" i="22" s="1"/>
  <c r="AN260" i="22" s="1"/>
  <c r="AO260" i="22" s="1"/>
  <c r="AP260" i="22" s="1"/>
  <c r="AQ260" i="22" s="1"/>
  <c r="AR260" i="22" s="1"/>
  <c r="AS260" i="22" s="1"/>
  <c r="AT260" i="22" s="1"/>
  <c r="AU260" i="22" s="1"/>
  <c r="AV260" i="22" s="1"/>
  <c r="AW260" i="22" s="1"/>
  <c r="AX260" i="22" s="1"/>
  <c r="AY260" i="22" s="1"/>
  <c r="AZ260" i="22" s="1"/>
  <c r="BA260" i="22" s="1"/>
  <c r="BB260" i="22" s="1"/>
  <c r="BC260" i="22" s="1"/>
  <c r="BD260" i="22" s="1"/>
  <c r="BE260" i="22" s="1"/>
  <c r="AI222" i="22"/>
  <c r="AJ222" i="22" s="1"/>
  <c r="AK222" i="22" s="1"/>
  <c r="AL222" i="22" s="1"/>
  <c r="AM222" i="22" s="1"/>
  <c r="AN222" i="22" s="1"/>
  <c r="AO222" i="22" s="1"/>
  <c r="AP222" i="22" s="1"/>
  <c r="AQ222" i="22" s="1"/>
  <c r="AR222" i="22" s="1"/>
  <c r="AS222" i="22" s="1"/>
  <c r="AT222" i="22" s="1"/>
  <c r="AU222" i="22" s="1"/>
  <c r="AV222" i="22" s="1"/>
  <c r="AW222" i="22" s="1"/>
  <c r="AX222" i="22" s="1"/>
  <c r="AY222" i="22" s="1"/>
  <c r="AZ222" i="22" s="1"/>
  <c r="BA222" i="22" s="1"/>
  <c r="BB222" i="22" s="1"/>
  <c r="BC222" i="22" s="1"/>
  <c r="BD222" i="22" s="1"/>
  <c r="BE222" i="22" s="1"/>
  <c r="O222" i="22"/>
  <c r="P222" i="22" s="1"/>
  <c r="Q222" i="22" s="1"/>
  <c r="R222" i="22" s="1"/>
  <c r="S222" i="22" s="1"/>
  <c r="T222" i="22" s="1"/>
  <c r="U222" i="22" s="1"/>
  <c r="V222" i="22" s="1"/>
  <c r="W222" i="22" s="1"/>
  <c r="X222" i="22" s="1"/>
  <c r="Y222" i="22" s="1"/>
  <c r="Z222" i="22" s="1"/>
  <c r="AA222" i="22" s="1"/>
  <c r="AB222" i="22" s="1"/>
  <c r="AC222" i="22" s="1"/>
  <c r="AD222" i="22" s="1"/>
  <c r="AE222" i="22" s="1"/>
  <c r="AF222" i="22" s="1"/>
  <c r="AG222" i="22" s="1"/>
  <c r="O219" i="22"/>
  <c r="P219" i="22" s="1"/>
  <c r="Q219" i="22" s="1"/>
  <c r="R219" i="22" s="1"/>
  <c r="S219" i="22" s="1"/>
  <c r="T219" i="22" s="1"/>
  <c r="U219" i="22" s="1"/>
  <c r="V219" i="22" s="1"/>
  <c r="W219" i="22" s="1"/>
  <c r="X219" i="22" s="1"/>
  <c r="Y219" i="22" s="1"/>
  <c r="Z219" i="22" s="1"/>
  <c r="AA219" i="22" s="1"/>
  <c r="AB219" i="22" s="1"/>
  <c r="AC219" i="22" s="1"/>
  <c r="AD219" i="22" s="1"/>
  <c r="AE219" i="22" s="1"/>
  <c r="AF219" i="22" s="1"/>
  <c r="AG219" i="22" s="1"/>
  <c r="AI210" i="22"/>
  <c r="AJ210" i="22" s="1"/>
  <c r="AK210" i="22" s="1"/>
  <c r="AL210" i="22" s="1"/>
  <c r="AM210" i="22" s="1"/>
  <c r="AN210" i="22" s="1"/>
  <c r="AO210" i="22" s="1"/>
  <c r="AP210" i="22" s="1"/>
  <c r="AQ210" i="22" s="1"/>
  <c r="AR210" i="22" s="1"/>
  <c r="AS210" i="22" s="1"/>
  <c r="AT210" i="22" s="1"/>
  <c r="AU210" i="22" s="1"/>
  <c r="AV210" i="22" s="1"/>
  <c r="AW210" i="22" s="1"/>
  <c r="AX210" i="22" s="1"/>
  <c r="AY210" i="22" s="1"/>
  <c r="AZ210" i="22" s="1"/>
  <c r="BA210" i="22" s="1"/>
  <c r="BB210" i="22" s="1"/>
  <c r="BC210" i="22" s="1"/>
  <c r="BD210" i="22" s="1"/>
  <c r="BE210" i="22" s="1"/>
  <c r="AI209" i="22"/>
  <c r="AJ209" i="22" s="1"/>
  <c r="AK209" i="22" s="1"/>
  <c r="AL209" i="22" s="1"/>
  <c r="AM209" i="22" s="1"/>
  <c r="AN209" i="22" s="1"/>
  <c r="AO209" i="22" s="1"/>
  <c r="AP209" i="22" s="1"/>
  <c r="AQ209" i="22" s="1"/>
  <c r="AR209" i="22" s="1"/>
  <c r="AS209" i="22" s="1"/>
  <c r="AT209" i="22" s="1"/>
  <c r="AU209" i="22" s="1"/>
  <c r="AV209" i="22" s="1"/>
  <c r="AW209" i="22" s="1"/>
  <c r="AX209" i="22" s="1"/>
  <c r="AY209" i="22" s="1"/>
  <c r="AZ209" i="22" s="1"/>
  <c r="BA209" i="22" s="1"/>
  <c r="BB209" i="22" s="1"/>
  <c r="BC209" i="22" s="1"/>
  <c r="BD209" i="22" s="1"/>
  <c r="BE209" i="22" s="1"/>
  <c r="O171" i="22"/>
  <c r="P171" i="22" s="1"/>
  <c r="Q171" i="22" s="1"/>
  <c r="R171" i="22" s="1"/>
  <c r="S171" i="22" s="1"/>
  <c r="T171" i="22" s="1"/>
  <c r="U171" i="22" s="1"/>
  <c r="V171" i="22" s="1"/>
  <c r="W171" i="22" s="1"/>
  <c r="X171" i="22" s="1"/>
  <c r="Y171" i="22" s="1"/>
  <c r="Z171" i="22" s="1"/>
  <c r="AA171" i="22" s="1"/>
  <c r="AB171" i="22" s="1"/>
  <c r="AC171" i="22" s="1"/>
  <c r="AD171" i="22" s="1"/>
  <c r="AE171" i="22" s="1"/>
  <c r="AF171" i="22" s="1"/>
  <c r="AG171" i="22" s="1"/>
  <c r="AI409" i="22"/>
  <c r="AJ409" i="22" s="1"/>
  <c r="AK409" i="22" s="1"/>
  <c r="AL409" i="22" s="1"/>
  <c r="AM409" i="22" s="1"/>
  <c r="AN409" i="22" s="1"/>
  <c r="AO409" i="22" s="1"/>
  <c r="AP409" i="22" s="1"/>
  <c r="AQ409" i="22" s="1"/>
  <c r="AR409" i="22" s="1"/>
  <c r="AS409" i="22" s="1"/>
  <c r="AT409" i="22" s="1"/>
  <c r="AU409" i="22" s="1"/>
  <c r="AV409" i="22" s="1"/>
  <c r="AW409" i="22" s="1"/>
  <c r="AX409" i="22" s="1"/>
  <c r="AY409" i="22" s="1"/>
  <c r="AZ409" i="22" s="1"/>
  <c r="BA409" i="22" s="1"/>
  <c r="BB409" i="22" s="1"/>
  <c r="BC409" i="22" s="1"/>
  <c r="BD409" i="22" s="1"/>
  <c r="BE409" i="22" s="1"/>
  <c r="AI396" i="22"/>
  <c r="AJ396" i="22" s="1"/>
  <c r="AK396" i="22" s="1"/>
  <c r="AL396" i="22" s="1"/>
  <c r="AM396" i="22" s="1"/>
  <c r="AN396" i="22" s="1"/>
  <c r="AO396" i="22" s="1"/>
  <c r="AP396" i="22" s="1"/>
  <c r="AQ396" i="22" s="1"/>
  <c r="AR396" i="22" s="1"/>
  <c r="AS396" i="22" s="1"/>
  <c r="AT396" i="22" s="1"/>
  <c r="AU396" i="22" s="1"/>
  <c r="AV396" i="22" s="1"/>
  <c r="AW396" i="22" s="1"/>
  <c r="AX396" i="22" s="1"/>
  <c r="AY396" i="22" s="1"/>
  <c r="AZ396" i="22" s="1"/>
  <c r="BA396" i="22" s="1"/>
  <c r="BB396" i="22" s="1"/>
  <c r="BC396" i="22" s="1"/>
  <c r="BD396" i="22" s="1"/>
  <c r="BE396" i="22" s="1"/>
  <c r="AI355" i="22"/>
  <c r="AJ355" i="22" s="1"/>
  <c r="AK355" i="22" s="1"/>
  <c r="AL355" i="22" s="1"/>
  <c r="AM355" i="22" s="1"/>
  <c r="AN355" i="22" s="1"/>
  <c r="AO355" i="22" s="1"/>
  <c r="AP355" i="22" s="1"/>
  <c r="AQ355" i="22" s="1"/>
  <c r="AR355" i="22" s="1"/>
  <c r="AS355" i="22" s="1"/>
  <c r="AT355" i="22" s="1"/>
  <c r="AU355" i="22" s="1"/>
  <c r="AV355" i="22" s="1"/>
  <c r="AW355" i="22" s="1"/>
  <c r="AX355" i="22" s="1"/>
  <c r="AY355" i="22" s="1"/>
  <c r="AZ355" i="22" s="1"/>
  <c r="BA355" i="22" s="1"/>
  <c r="BB355" i="22" s="1"/>
  <c r="BC355" i="22" s="1"/>
  <c r="BD355" i="22" s="1"/>
  <c r="BE355" i="22" s="1"/>
  <c r="AI302" i="22"/>
  <c r="AJ302" i="22" s="1"/>
  <c r="AK302" i="22" s="1"/>
  <c r="AL302" i="22" s="1"/>
  <c r="AM302" i="22" s="1"/>
  <c r="AN302" i="22" s="1"/>
  <c r="AO302" i="22" s="1"/>
  <c r="AP302" i="22" s="1"/>
  <c r="AQ302" i="22" s="1"/>
  <c r="AR302" i="22" s="1"/>
  <c r="AS302" i="22" s="1"/>
  <c r="AT302" i="22" s="1"/>
  <c r="AU302" i="22" s="1"/>
  <c r="AV302" i="22" s="1"/>
  <c r="AW302" i="22" s="1"/>
  <c r="AX302" i="22" s="1"/>
  <c r="AY302" i="22" s="1"/>
  <c r="AZ302" i="22" s="1"/>
  <c r="BA302" i="22" s="1"/>
  <c r="BB302" i="22" s="1"/>
  <c r="BC302" i="22" s="1"/>
  <c r="BD302" i="22" s="1"/>
  <c r="BE302" i="22" s="1"/>
  <c r="O300" i="22"/>
  <c r="P300" i="22" s="1"/>
  <c r="Q300" i="22" s="1"/>
  <c r="R300" i="22" s="1"/>
  <c r="S300" i="22" s="1"/>
  <c r="T300" i="22" s="1"/>
  <c r="U300" i="22" s="1"/>
  <c r="V300" i="22" s="1"/>
  <c r="W300" i="22" s="1"/>
  <c r="X300" i="22" s="1"/>
  <c r="Y300" i="22" s="1"/>
  <c r="Z300" i="22" s="1"/>
  <c r="AA300" i="22" s="1"/>
  <c r="AB300" i="22" s="1"/>
  <c r="AC300" i="22" s="1"/>
  <c r="AD300" i="22" s="1"/>
  <c r="AE300" i="22" s="1"/>
  <c r="AF300" i="22" s="1"/>
  <c r="AG300" i="22" s="1"/>
  <c r="AI275" i="22"/>
  <c r="AJ275" i="22" s="1"/>
  <c r="AK275" i="22" s="1"/>
  <c r="AL275" i="22" s="1"/>
  <c r="AM275" i="22" s="1"/>
  <c r="AN275" i="22" s="1"/>
  <c r="AO275" i="22" s="1"/>
  <c r="AP275" i="22" s="1"/>
  <c r="AQ275" i="22" s="1"/>
  <c r="AR275" i="22" s="1"/>
  <c r="AS275" i="22" s="1"/>
  <c r="AT275" i="22" s="1"/>
  <c r="AU275" i="22" s="1"/>
  <c r="AV275" i="22" s="1"/>
  <c r="AW275" i="22" s="1"/>
  <c r="AX275" i="22" s="1"/>
  <c r="AY275" i="22" s="1"/>
  <c r="AZ275" i="22" s="1"/>
  <c r="BA275" i="22" s="1"/>
  <c r="BB275" i="22" s="1"/>
  <c r="BC275" i="22" s="1"/>
  <c r="BD275" i="22" s="1"/>
  <c r="BE275" i="22" s="1"/>
  <c r="O260" i="22"/>
  <c r="P260" i="22" s="1"/>
  <c r="Q260" i="22" s="1"/>
  <c r="R260" i="22" s="1"/>
  <c r="S260" i="22" s="1"/>
  <c r="T260" i="22" s="1"/>
  <c r="U260" i="22" s="1"/>
  <c r="V260" i="22" s="1"/>
  <c r="W260" i="22" s="1"/>
  <c r="X260" i="22" s="1"/>
  <c r="Y260" i="22" s="1"/>
  <c r="Z260" i="22" s="1"/>
  <c r="AA260" i="22" s="1"/>
  <c r="AB260" i="22" s="1"/>
  <c r="AC260" i="22" s="1"/>
  <c r="AD260" i="22" s="1"/>
  <c r="AE260" i="22" s="1"/>
  <c r="AF260" i="22" s="1"/>
  <c r="AG260" i="22" s="1"/>
  <c r="O207" i="22"/>
  <c r="P207" i="22" s="1"/>
  <c r="Q207" i="22" s="1"/>
  <c r="R207" i="22" s="1"/>
  <c r="S207" i="22" s="1"/>
  <c r="T207" i="22" s="1"/>
  <c r="U207" i="22" s="1"/>
  <c r="V207" i="22" s="1"/>
  <c r="W207" i="22" s="1"/>
  <c r="X207" i="22" s="1"/>
  <c r="Y207" i="22" s="1"/>
  <c r="Z207" i="22" s="1"/>
  <c r="AA207" i="22" s="1"/>
  <c r="AB207" i="22" s="1"/>
  <c r="AC207" i="22" s="1"/>
  <c r="AD207" i="22" s="1"/>
  <c r="AE207" i="22" s="1"/>
  <c r="AF207" i="22" s="1"/>
  <c r="AG207" i="22" s="1"/>
  <c r="O206" i="22"/>
  <c r="P206" i="22" s="1"/>
  <c r="Q206" i="22" s="1"/>
  <c r="R206" i="22" s="1"/>
  <c r="S206" i="22" s="1"/>
  <c r="T206" i="22" s="1"/>
  <c r="U206" i="22" s="1"/>
  <c r="V206" i="22" s="1"/>
  <c r="W206" i="22" s="1"/>
  <c r="X206" i="22" s="1"/>
  <c r="Y206" i="22" s="1"/>
  <c r="Z206" i="22" s="1"/>
  <c r="AA206" i="22" s="1"/>
  <c r="AB206" i="22" s="1"/>
  <c r="AC206" i="22" s="1"/>
  <c r="AD206" i="22" s="1"/>
  <c r="AE206" i="22" s="1"/>
  <c r="AF206" i="22" s="1"/>
  <c r="AG206" i="22" s="1"/>
  <c r="AI197" i="22"/>
  <c r="AJ197" i="22" s="1"/>
  <c r="AK197" i="22" s="1"/>
  <c r="AL197" i="22" s="1"/>
  <c r="AM197" i="22" s="1"/>
  <c r="AN197" i="22" s="1"/>
  <c r="AO197" i="22" s="1"/>
  <c r="AP197" i="22" s="1"/>
  <c r="AQ197" i="22" s="1"/>
  <c r="AR197" i="22" s="1"/>
  <c r="AS197" i="22" s="1"/>
  <c r="AT197" i="22" s="1"/>
  <c r="AU197" i="22" s="1"/>
  <c r="AV197" i="22" s="1"/>
  <c r="AW197" i="22" s="1"/>
  <c r="AX197" i="22" s="1"/>
  <c r="AY197" i="22" s="1"/>
  <c r="AZ197" i="22" s="1"/>
  <c r="BA197" i="22" s="1"/>
  <c r="BB197" i="22" s="1"/>
  <c r="BC197" i="22" s="1"/>
  <c r="BD197" i="22" s="1"/>
  <c r="BE197" i="22" s="1"/>
  <c r="O191" i="22"/>
  <c r="P191" i="22" s="1"/>
  <c r="Q191" i="22" s="1"/>
  <c r="R191" i="22" s="1"/>
  <c r="S191" i="22" s="1"/>
  <c r="T191" i="22" s="1"/>
  <c r="U191" i="22" s="1"/>
  <c r="V191" i="22" s="1"/>
  <c r="W191" i="22" s="1"/>
  <c r="X191" i="22" s="1"/>
  <c r="Y191" i="22" s="1"/>
  <c r="Z191" i="22" s="1"/>
  <c r="AA191" i="22" s="1"/>
  <c r="AB191" i="22" s="1"/>
  <c r="AC191" i="22" s="1"/>
  <c r="AD191" i="22" s="1"/>
  <c r="AE191" i="22" s="1"/>
  <c r="AF191" i="22" s="1"/>
  <c r="AG191" i="22" s="1"/>
  <c r="O177" i="22"/>
  <c r="P177" i="22" s="1"/>
  <c r="Q177" i="22" s="1"/>
  <c r="R177" i="22" s="1"/>
  <c r="S177" i="22" s="1"/>
  <c r="T177" i="22" s="1"/>
  <c r="U177" i="22" s="1"/>
  <c r="V177" i="22" s="1"/>
  <c r="W177" i="22" s="1"/>
  <c r="X177" i="22" s="1"/>
  <c r="Y177" i="22" s="1"/>
  <c r="Z177" i="22" s="1"/>
  <c r="AA177" i="22" s="1"/>
  <c r="AB177" i="22" s="1"/>
  <c r="AC177" i="22" s="1"/>
  <c r="AD177" i="22" s="1"/>
  <c r="AE177" i="22" s="1"/>
  <c r="AF177" i="22" s="1"/>
  <c r="AG177" i="22" s="1"/>
  <c r="O165" i="22"/>
  <c r="P165" i="22" s="1"/>
  <c r="Q165" i="22" s="1"/>
  <c r="R165" i="22" s="1"/>
  <c r="S165" i="22" s="1"/>
  <c r="T165" i="22" s="1"/>
  <c r="U165" i="22" s="1"/>
  <c r="V165" i="22" s="1"/>
  <c r="W165" i="22" s="1"/>
  <c r="X165" i="22" s="1"/>
  <c r="Y165" i="22" s="1"/>
  <c r="Z165" i="22" s="1"/>
  <c r="AA165" i="22" s="1"/>
  <c r="AB165" i="22" s="1"/>
  <c r="AC165" i="22" s="1"/>
  <c r="AD165" i="22" s="1"/>
  <c r="AE165" i="22" s="1"/>
  <c r="AF165" i="22" s="1"/>
  <c r="AG165" i="22" s="1"/>
  <c r="O150" i="22"/>
  <c r="P150" i="22" s="1"/>
  <c r="Q150" i="22" s="1"/>
  <c r="R150" i="22" s="1"/>
  <c r="S150" i="22" s="1"/>
  <c r="T150" i="22" s="1"/>
  <c r="U150" i="22" s="1"/>
  <c r="V150" i="22" s="1"/>
  <c r="W150" i="22" s="1"/>
  <c r="X150" i="22" s="1"/>
  <c r="Y150" i="22" s="1"/>
  <c r="Z150" i="22" s="1"/>
  <c r="AA150" i="22" s="1"/>
  <c r="AB150" i="22" s="1"/>
  <c r="AC150" i="22" s="1"/>
  <c r="AD150" i="22" s="1"/>
  <c r="AE150" i="22" s="1"/>
  <c r="AF150" i="22" s="1"/>
  <c r="AG150" i="22" s="1"/>
  <c r="O138" i="22"/>
  <c r="P138" i="22" s="1"/>
  <c r="Q138" i="22" s="1"/>
  <c r="R138" i="22" s="1"/>
  <c r="S138" i="22" s="1"/>
  <c r="T138" i="22" s="1"/>
  <c r="U138" i="22" s="1"/>
  <c r="V138" i="22" s="1"/>
  <c r="W138" i="22" s="1"/>
  <c r="X138" i="22" s="1"/>
  <c r="Y138" i="22" s="1"/>
  <c r="Z138" i="22" s="1"/>
  <c r="AA138" i="22" s="1"/>
  <c r="AB138" i="22" s="1"/>
  <c r="AC138" i="22" s="1"/>
  <c r="AD138" i="22" s="1"/>
  <c r="AE138" i="22" s="1"/>
  <c r="AF138" i="22" s="1"/>
  <c r="AG138" i="22" s="1"/>
  <c r="O119" i="22"/>
  <c r="P119" i="22" s="1"/>
  <c r="Q119" i="22" s="1"/>
  <c r="R119" i="22" s="1"/>
  <c r="S119" i="22" s="1"/>
  <c r="T119" i="22" s="1"/>
  <c r="U119" i="22" s="1"/>
  <c r="V119" i="22" s="1"/>
  <c r="W119" i="22" s="1"/>
  <c r="X119" i="22" s="1"/>
  <c r="Y119" i="22" s="1"/>
  <c r="Z119" i="22" s="1"/>
  <c r="AA119" i="22" s="1"/>
  <c r="AB119" i="22" s="1"/>
  <c r="AC119" i="22" s="1"/>
  <c r="AD119" i="22" s="1"/>
  <c r="AE119" i="22" s="1"/>
  <c r="AF119" i="22" s="1"/>
  <c r="AG119" i="22" s="1"/>
  <c r="O114" i="22"/>
  <c r="P114" i="22" s="1"/>
  <c r="Q114" i="22" s="1"/>
  <c r="R114" i="22" s="1"/>
  <c r="S114" i="22" s="1"/>
  <c r="T114" i="22" s="1"/>
  <c r="U114" i="22" s="1"/>
  <c r="V114" i="22" s="1"/>
  <c r="W114" i="22" s="1"/>
  <c r="X114" i="22" s="1"/>
  <c r="Y114" i="22" s="1"/>
  <c r="Z114" i="22" s="1"/>
  <c r="AA114" i="22" s="1"/>
  <c r="AB114" i="22" s="1"/>
  <c r="AC114" i="22" s="1"/>
  <c r="AD114" i="22" s="1"/>
  <c r="AE114" i="22" s="1"/>
  <c r="AF114" i="22" s="1"/>
  <c r="AG114" i="22" s="1"/>
  <c r="AI112" i="22"/>
  <c r="AJ112" i="22" s="1"/>
  <c r="AK112" i="22" s="1"/>
  <c r="AL112" i="22" s="1"/>
  <c r="AM112" i="22" s="1"/>
  <c r="AN112" i="22" s="1"/>
  <c r="AO112" i="22" s="1"/>
  <c r="AP112" i="22" s="1"/>
  <c r="AQ112" i="22" s="1"/>
  <c r="AR112" i="22" s="1"/>
  <c r="AS112" i="22" s="1"/>
  <c r="AT112" i="22" s="1"/>
  <c r="AU112" i="22" s="1"/>
  <c r="AV112" i="22" s="1"/>
  <c r="AW112" i="22" s="1"/>
  <c r="AX112" i="22" s="1"/>
  <c r="AY112" i="22" s="1"/>
  <c r="AZ112" i="22" s="1"/>
  <c r="BA112" i="22" s="1"/>
  <c r="BB112" i="22" s="1"/>
  <c r="BC112" i="22" s="1"/>
  <c r="BD112" i="22" s="1"/>
  <c r="BE112" i="22" s="1"/>
  <c r="AI107" i="22"/>
  <c r="AJ107" i="22" s="1"/>
  <c r="AK107" i="22" s="1"/>
  <c r="AL107" i="22" s="1"/>
  <c r="AM107" i="22" s="1"/>
  <c r="AN107" i="22" s="1"/>
  <c r="AO107" i="22" s="1"/>
  <c r="AP107" i="22" s="1"/>
  <c r="AQ107" i="22" s="1"/>
  <c r="AR107" i="22" s="1"/>
  <c r="AS107" i="22" s="1"/>
  <c r="AT107" i="22" s="1"/>
  <c r="AU107" i="22" s="1"/>
  <c r="AV107" i="22" s="1"/>
  <c r="AW107" i="22" s="1"/>
  <c r="AX107" i="22" s="1"/>
  <c r="AY107" i="22" s="1"/>
  <c r="AZ107" i="22" s="1"/>
  <c r="BA107" i="22" s="1"/>
  <c r="BB107" i="22" s="1"/>
  <c r="BC107" i="22" s="1"/>
  <c r="BD107" i="22" s="1"/>
  <c r="BE107" i="22" s="1"/>
  <c r="AH75" i="22"/>
  <c r="O170" i="22"/>
  <c r="P170" i="22" s="1"/>
  <c r="Q170" i="22" s="1"/>
  <c r="R170" i="22" s="1"/>
  <c r="S170" i="22" s="1"/>
  <c r="T170" i="22" s="1"/>
  <c r="U170" i="22" s="1"/>
  <c r="V170" i="22" s="1"/>
  <c r="W170" i="22" s="1"/>
  <c r="X170" i="22" s="1"/>
  <c r="Y170" i="22" s="1"/>
  <c r="Z170" i="22" s="1"/>
  <c r="AA170" i="22" s="1"/>
  <c r="AB170" i="22" s="1"/>
  <c r="AC170" i="22" s="1"/>
  <c r="AD170" i="22" s="1"/>
  <c r="AE170" i="22" s="1"/>
  <c r="AF170" i="22" s="1"/>
  <c r="AG170" i="22" s="1"/>
  <c r="O467" i="22"/>
  <c r="P467" i="22" s="1"/>
  <c r="Q467" i="22" s="1"/>
  <c r="R467" i="22" s="1"/>
  <c r="S467" i="22" s="1"/>
  <c r="T467" i="22" s="1"/>
  <c r="U467" i="22" s="1"/>
  <c r="V467" i="22" s="1"/>
  <c r="W467" i="22" s="1"/>
  <c r="X467" i="22" s="1"/>
  <c r="Y467" i="22" s="1"/>
  <c r="Z467" i="22" s="1"/>
  <c r="AA467" i="22" s="1"/>
  <c r="AB467" i="22" s="1"/>
  <c r="AC467" i="22" s="1"/>
  <c r="AD467" i="22" s="1"/>
  <c r="AE467" i="22" s="1"/>
  <c r="AF467" i="22" s="1"/>
  <c r="AG467" i="22" s="1"/>
  <c r="O359" i="22"/>
  <c r="P359" i="22" s="1"/>
  <c r="Q359" i="22" s="1"/>
  <c r="R359" i="22" s="1"/>
  <c r="S359" i="22" s="1"/>
  <c r="T359" i="22" s="1"/>
  <c r="U359" i="22" s="1"/>
  <c r="V359" i="22" s="1"/>
  <c r="W359" i="22" s="1"/>
  <c r="X359" i="22" s="1"/>
  <c r="Y359" i="22" s="1"/>
  <c r="Z359" i="22" s="1"/>
  <c r="AA359" i="22" s="1"/>
  <c r="AB359" i="22" s="1"/>
  <c r="AC359" i="22" s="1"/>
  <c r="AD359" i="22" s="1"/>
  <c r="AE359" i="22" s="1"/>
  <c r="AF359" i="22" s="1"/>
  <c r="AG359" i="22" s="1"/>
  <c r="AI339" i="22"/>
  <c r="AJ339" i="22" s="1"/>
  <c r="AK339" i="22" s="1"/>
  <c r="AL339" i="22" s="1"/>
  <c r="AM339" i="22" s="1"/>
  <c r="AN339" i="22" s="1"/>
  <c r="AO339" i="22" s="1"/>
  <c r="AP339" i="22" s="1"/>
  <c r="AQ339" i="22" s="1"/>
  <c r="AR339" i="22" s="1"/>
  <c r="AS339" i="22" s="1"/>
  <c r="AT339" i="22" s="1"/>
  <c r="AU339" i="22" s="1"/>
  <c r="AV339" i="22" s="1"/>
  <c r="AW339" i="22" s="1"/>
  <c r="AX339" i="22" s="1"/>
  <c r="AY339" i="22" s="1"/>
  <c r="AZ339" i="22" s="1"/>
  <c r="BA339" i="22" s="1"/>
  <c r="BB339" i="22" s="1"/>
  <c r="BC339" i="22" s="1"/>
  <c r="BD339" i="22" s="1"/>
  <c r="BE339" i="22" s="1"/>
  <c r="AI329" i="22"/>
  <c r="AJ329" i="22" s="1"/>
  <c r="AK329" i="22" s="1"/>
  <c r="AL329" i="22" s="1"/>
  <c r="AM329" i="22" s="1"/>
  <c r="AN329" i="22" s="1"/>
  <c r="AO329" i="22" s="1"/>
  <c r="AP329" i="22" s="1"/>
  <c r="AQ329" i="22" s="1"/>
  <c r="AR329" i="22" s="1"/>
  <c r="AS329" i="22" s="1"/>
  <c r="AT329" i="22" s="1"/>
  <c r="AU329" i="22" s="1"/>
  <c r="AV329" i="22" s="1"/>
  <c r="AW329" i="22" s="1"/>
  <c r="AX329" i="22" s="1"/>
  <c r="AY329" i="22" s="1"/>
  <c r="AZ329" i="22" s="1"/>
  <c r="BA329" i="22" s="1"/>
  <c r="BB329" i="22" s="1"/>
  <c r="BC329" i="22" s="1"/>
  <c r="BD329" i="22" s="1"/>
  <c r="BE329" i="22" s="1"/>
  <c r="O268" i="22"/>
  <c r="P268" i="22" s="1"/>
  <c r="Q268" i="22" s="1"/>
  <c r="R268" i="22" s="1"/>
  <c r="S268" i="22" s="1"/>
  <c r="T268" i="22" s="1"/>
  <c r="U268" i="22" s="1"/>
  <c r="V268" i="22" s="1"/>
  <c r="W268" i="22" s="1"/>
  <c r="X268" i="22" s="1"/>
  <c r="Y268" i="22" s="1"/>
  <c r="Z268" i="22" s="1"/>
  <c r="AA268" i="22" s="1"/>
  <c r="AB268" i="22" s="1"/>
  <c r="AC268" i="22" s="1"/>
  <c r="AD268" i="22" s="1"/>
  <c r="AE268" i="22" s="1"/>
  <c r="AF268" i="22" s="1"/>
  <c r="AG268" i="22" s="1"/>
  <c r="O254" i="22"/>
  <c r="P254" i="22" s="1"/>
  <c r="Q254" i="22" s="1"/>
  <c r="R254" i="22" s="1"/>
  <c r="S254" i="22" s="1"/>
  <c r="T254" i="22" s="1"/>
  <c r="U254" i="22" s="1"/>
  <c r="V254" i="22" s="1"/>
  <c r="W254" i="22" s="1"/>
  <c r="X254" i="22" s="1"/>
  <c r="Y254" i="22" s="1"/>
  <c r="Z254" i="22" s="1"/>
  <c r="AA254" i="22" s="1"/>
  <c r="AB254" i="22" s="1"/>
  <c r="AC254" i="22" s="1"/>
  <c r="AD254" i="22" s="1"/>
  <c r="AE254" i="22" s="1"/>
  <c r="AF254" i="22" s="1"/>
  <c r="AG254" i="22" s="1"/>
  <c r="O243" i="22"/>
  <c r="P243" i="22" s="1"/>
  <c r="Q243" i="22" s="1"/>
  <c r="R243" i="22" s="1"/>
  <c r="S243" i="22" s="1"/>
  <c r="T243" i="22" s="1"/>
  <c r="U243" i="22" s="1"/>
  <c r="V243" i="22" s="1"/>
  <c r="W243" i="22" s="1"/>
  <c r="X243" i="22" s="1"/>
  <c r="Y243" i="22" s="1"/>
  <c r="Z243" i="22" s="1"/>
  <c r="AA243" i="22" s="1"/>
  <c r="AB243" i="22" s="1"/>
  <c r="AC243" i="22" s="1"/>
  <c r="AD243" i="22" s="1"/>
  <c r="AE243" i="22" s="1"/>
  <c r="AF243" i="22" s="1"/>
  <c r="AG243" i="22" s="1"/>
  <c r="AI242" i="22"/>
  <c r="AJ242" i="22" s="1"/>
  <c r="AK242" i="22" s="1"/>
  <c r="AL242" i="22" s="1"/>
  <c r="AM242" i="22" s="1"/>
  <c r="AN242" i="22" s="1"/>
  <c r="AO242" i="22" s="1"/>
  <c r="AP242" i="22" s="1"/>
  <c r="AQ242" i="22" s="1"/>
  <c r="AR242" i="22" s="1"/>
  <c r="AS242" i="22" s="1"/>
  <c r="AT242" i="22" s="1"/>
  <c r="AU242" i="22" s="1"/>
  <c r="AV242" i="22" s="1"/>
  <c r="AW242" i="22" s="1"/>
  <c r="AX242" i="22" s="1"/>
  <c r="AY242" i="22" s="1"/>
  <c r="AZ242" i="22" s="1"/>
  <c r="BA242" i="22" s="1"/>
  <c r="BB242" i="22" s="1"/>
  <c r="BC242" i="22" s="1"/>
  <c r="BD242" i="22" s="1"/>
  <c r="BE242" i="22" s="1"/>
  <c r="O229" i="22"/>
  <c r="P229" i="22" s="1"/>
  <c r="Q229" i="22" s="1"/>
  <c r="R229" i="22" s="1"/>
  <c r="S229" i="22" s="1"/>
  <c r="T229" i="22" s="1"/>
  <c r="U229" i="22" s="1"/>
  <c r="V229" i="22" s="1"/>
  <c r="W229" i="22" s="1"/>
  <c r="X229" i="22" s="1"/>
  <c r="Y229" i="22" s="1"/>
  <c r="Z229" i="22" s="1"/>
  <c r="AA229" i="22" s="1"/>
  <c r="AB229" i="22" s="1"/>
  <c r="AC229" i="22" s="1"/>
  <c r="AD229" i="22" s="1"/>
  <c r="AE229" i="22" s="1"/>
  <c r="AF229" i="22" s="1"/>
  <c r="AG229" i="22" s="1"/>
  <c r="O197" i="22"/>
  <c r="P197" i="22" s="1"/>
  <c r="Q197" i="22" s="1"/>
  <c r="R197" i="22" s="1"/>
  <c r="S197" i="22" s="1"/>
  <c r="T197" i="22" s="1"/>
  <c r="U197" i="22" s="1"/>
  <c r="V197" i="22" s="1"/>
  <c r="W197" i="22" s="1"/>
  <c r="X197" i="22" s="1"/>
  <c r="Y197" i="22" s="1"/>
  <c r="Z197" i="22" s="1"/>
  <c r="AA197" i="22" s="1"/>
  <c r="AB197" i="22" s="1"/>
  <c r="AC197" i="22" s="1"/>
  <c r="AD197" i="22" s="1"/>
  <c r="AE197" i="22" s="1"/>
  <c r="AF197" i="22" s="1"/>
  <c r="AG197" i="22" s="1"/>
  <c r="AI182" i="22"/>
  <c r="AJ182" i="22" s="1"/>
  <c r="AK182" i="22" s="1"/>
  <c r="AL182" i="22" s="1"/>
  <c r="AM182" i="22" s="1"/>
  <c r="AN182" i="22" s="1"/>
  <c r="AO182" i="22" s="1"/>
  <c r="AP182" i="22" s="1"/>
  <c r="AQ182" i="22" s="1"/>
  <c r="AR182" i="22" s="1"/>
  <c r="AS182" i="22" s="1"/>
  <c r="AT182" i="22" s="1"/>
  <c r="AU182" i="22" s="1"/>
  <c r="AV182" i="22" s="1"/>
  <c r="AW182" i="22" s="1"/>
  <c r="AX182" i="22" s="1"/>
  <c r="AY182" i="22" s="1"/>
  <c r="AZ182" i="22" s="1"/>
  <c r="BA182" i="22" s="1"/>
  <c r="BB182" i="22" s="1"/>
  <c r="BC182" i="22" s="1"/>
  <c r="BD182" i="22" s="1"/>
  <c r="BE182" i="22" s="1"/>
  <c r="O178" i="22"/>
  <c r="P178" i="22" s="1"/>
  <c r="Q178" i="22" s="1"/>
  <c r="R178" i="22" s="1"/>
  <c r="S178" i="22" s="1"/>
  <c r="T178" i="22" s="1"/>
  <c r="U178" i="22" s="1"/>
  <c r="V178" i="22" s="1"/>
  <c r="W178" i="22" s="1"/>
  <c r="X178" i="22" s="1"/>
  <c r="Y178" i="22" s="1"/>
  <c r="Z178" i="22" s="1"/>
  <c r="AA178" i="22" s="1"/>
  <c r="AB178" i="22" s="1"/>
  <c r="AC178" i="22" s="1"/>
  <c r="AD178" i="22" s="1"/>
  <c r="AE178" i="22" s="1"/>
  <c r="AF178" i="22" s="1"/>
  <c r="AG178" i="22" s="1"/>
  <c r="AI170" i="22"/>
  <c r="AJ170" i="22" s="1"/>
  <c r="AK170" i="22" s="1"/>
  <c r="AL170" i="22" s="1"/>
  <c r="AM170" i="22" s="1"/>
  <c r="AN170" i="22" s="1"/>
  <c r="AO170" i="22" s="1"/>
  <c r="AP170" i="22" s="1"/>
  <c r="AQ170" i="22" s="1"/>
  <c r="AR170" i="22" s="1"/>
  <c r="AS170" i="22" s="1"/>
  <c r="AT170" i="22" s="1"/>
  <c r="AU170" i="22" s="1"/>
  <c r="AV170" i="22" s="1"/>
  <c r="AW170" i="22" s="1"/>
  <c r="AX170" i="22" s="1"/>
  <c r="AY170" i="22" s="1"/>
  <c r="AZ170" i="22" s="1"/>
  <c r="BA170" i="22" s="1"/>
  <c r="BB170" i="22" s="1"/>
  <c r="BC170" i="22" s="1"/>
  <c r="BD170" i="22" s="1"/>
  <c r="BE170" i="22" s="1"/>
  <c r="O166" i="22"/>
  <c r="P166" i="22" s="1"/>
  <c r="Q166" i="22" s="1"/>
  <c r="R166" i="22" s="1"/>
  <c r="S166" i="22" s="1"/>
  <c r="T166" i="22" s="1"/>
  <c r="U166" i="22" s="1"/>
  <c r="V166" i="22" s="1"/>
  <c r="W166" i="22" s="1"/>
  <c r="X166" i="22" s="1"/>
  <c r="Y166" i="22" s="1"/>
  <c r="Z166" i="22" s="1"/>
  <c r="AA166" i="22" s="1"/>
  <c r="AB166" i="22" s="1"/>
  <c r="AC166" i="22" s="1"/>
  <c r="AD166" i="22" s="1"/>
  <c r="AE166" i="22" s="1"/>
  <c r="AF166" i="22" s="1"/>
  <c r="AG166" i="22" s="1"/>
  <c r="AI158" i="22"/>
  <c r="AJ158" i="22" s="1"/>
  <c r="AK158" i="22" s="1"/>
  <c r="AL158" i="22" s="1"/>
  <c r="AM158" i="22" s="1"/>
  <c r="AN158" i="22" s="1"/>
  <c r="AO158" i="22" s="1"/>
  <c r="AP158" i="22" s="1"/>
  <c r="AQ158" i="22" s="1"/>
  <c r="AR158" i="22" s="1"/>
  <c r="AS158" i="22" s="1"/>
  <c r="AT158" i="22" s="1"/>
  <c r="AU158" i="22" s="1"/>
  <c r="AV158" i="22" s="1"/>
  <c r="AW158" i="22" s="1"/>
  <c r="AX158" i="22" s="1"/>
  <c r="AY158" i="22" s="1"/>
  <c r="AZ158" i="22" s="1"/>
  <c r="BA158" i="22" s="1"/>
  <c r="BB158" i="22" s="1"/>
  <c r="BC158" i="22" s="1"/>
  <c r="BD158" i="22" s="1"/>
  <c r="BE158" i="22" s="1"/>
  <c r="O151" i="22"/>
  <c r="P151" i="22" s="1"/>
  <c r="Q151" i="22" s="1"/>
  <c r="R151" i="22" s="1"/>
  <c r="S151" i="22" s="1"/>
  <c r="T151" i="22" s="1"/>
  <c r="U151" i="22" s="1"/>
  <c r="V151" i="22" s="1"/>
  <c r="W151" i="22" s="1"/>
  <c r="X151" i="22" s="1"/>
  <c r="Y151" i="22" s="1"/>
  <c r="Z151" i="22" s="1"/>
  <c r="AA151" i="22" s="1"/>
  <c r="AB151" i="22" s="1"/>
  <c r="AC151" i="22" s="1"/>
  <c r="AD151" i="22" s="1"/>
  <c r="AE151" i="22" s="1"/>
  <c r="AF151" i="22" s="1"/>
  <c r="AG151" i="22" s="1"/>
  <c r="AI143" i="22"/>
  <c r="AJ143" i="22" s="1"/>
  <c r="AK143" i="22" s="1"/>
  <c r="AL143" i="22" s="1"/>
  <c r="AM143" i="22" s="1"/>
  <c r="AN143" i="22" s="1"/>
  <c r="AO143" i="22" s="1"/>
  <c r="AP143" i="22" s="1"/>
  <c r="AQ143" i="22" s="1"/>
  <c r="AR143" i="22" s="1"/>
  <c r="AS143" i="22" s="1"/>
  <c r="AT143" i="22" s="1"/>
  <c r="AU143" i="22" s="1"/>
  <c r="AV143" i="22" s="1"/>
  <c r="AW143" i="22" s="1"/>
  <c r="AX143" i="22" s="1"/>
  <c r="AY143" i="22" s="1"/>
  <c r="AZ143" i="22" s="1"/>
  <c r="BA143" i="22" s="1"/>
  <c r="BB143" i="22" s="1"/>
  <c r="BC143" i="22" s="1"/>
  <c r="BD143" i="22" s="1"/>
  <c r="BE143" i="22" s="1"/>
  <c r="O139" i="22"/>
  <c r="P139" i="22" s="1"/>
  <c r="Q139" i="22" s="1"/>
  <c r="R139" i="22" s="1"/>
  <c r="S139" i="22" s="1"/>
  <c r="T139" i="22" s="1"/>
  <c r="U139" i="22" s="1"/>
  <c r="V139" i="22" s="1"/>
  <c r="W139" i="22" s="1"/>
  <c r="X139" i="22" s="1"/>
  <c r="Y139" i="22" s="1"/>
  <c r="Z139" i="22" s="1"/>
  <c r="AA139" i="22" s="1"/>
  <c r="AB139" i="22" s="1"/>
  <c r="AC139" i="22" s="1"/>
  <c r="AD139" i="22" s="1"/>
  <c r="AE139" i="22" s="1"/>
  <c r="AF139" i="22" s="1"/>
  <c r="AG139" i="22" s="1"/>
  <c r="AI131" i="22"/>
  <c r="AJ131" i="22" s="1"/>
  <c r="AK131" i="22" s="1"/>
  <c r="AL131" i="22" s="1"/>
  <c r="AM131" i="22" s="1"/>
  <c r="AN131" i="22" s="1"/>
  <c r="AO131" i="22" s="1"/>
  <c r="AP131" i="22" s="1"/>
  <c r="AQ131" i="22" s="1"/>
  <c r="AR131" i="22" s="1"/>
  <c r="AS131" i="22" s="1"/>
  <c r="AT131" i="22" s="1"/>
  <c r="AU131" i="22" s="1"/>
  <c r="AV131" i="22" s="1"/>
  <c r="AW131" i="22" s="1"/>
  <c r="AX131" i="22" s="1"/>
  <c r="AY131" i="22" s="1"/>
  <c r="AZ131" i="22" s="1"/>
  <c r="BA131" i="22" s="1"/>
  <c r="BB131" i="22" s="1"/>
  <c r="BC131" i="22" s="1"/>
  <c r="BD131" i="22" s="1"/>
  <c r="BE131" i="22" s="1"/>
  <c r="O128" i="22"/>
  <c r="P128" i="22" s="1"/>
  <c r="Q128" i="22" s="1"/>
  <c r="R128" i="22" s="1"/>
  <c r="S128" i="22" s="1"/>
  <c r="T128" i="22" s="1"/>
  <c r="U128" i="22" s="1"/>
  <c r="V128" i="22" s="1"/>
  <c r="W128" i="22" s="1"/>
  <c r="X128" i="22" s="1"/>
  <c r="Y128" i="22" s="1"/>
  <c r="Z128" i="22" s="1"/>
  <c r="AA128" i="22" s="1"/>
  <c r="AB128" i="22" s="1"/>
  <c r="AC128" i="22" s="1"/>
  <c r="AD128" i="22" s="1"/>
  <c r="AE128" i="22" s="1"/>
  <c r="AF128" i="22" s="1"/>
  <c r="AG128" i="22" s="1"/>
  <c r="AI126" i="22"/>
  <c r="AJ126" i="22" s="1"/>
  <c r="AK126" i="22" s="1"/>
  <c r="AL126" i="22" s="1"/>
  <c r="AM126" i="22" s="1"/>
  <c r="AN126" i="22" s="1"/>
  <c r="AO126" i="22" s="1"/>
  <c r="AP126" i="22" s="1"/>
  <c r="AQ126" i="22" s="1"/>
  <c r="AR126" i="22" s="1"/>
  <c r="AS126" i="22" s="1"/>
  <c r="AT126" i="22" s="1"/>
  <c r="AU126" i="22" s="1"/>
  <c r="AV126" i="22" s="1"/>
  <c r="AW126" i="22" s="1"/>
  <c r="AX126" i="22" s="1"/>
  <c r="AY126" i="22" s="1"/>
  <c r="AZ126" i="22" s="1"/>
  <c r="BA126" i="22" s="1"/>
  <c r="BB126" i="22" s="1"/>
  <c r="BC126" i="22" s="1"/>
  <c r="BD126" i="22" s="1"/>
  <c r="BE126" i="22" s="1"/>
  <c r="AI121" i="22"/>
  <c r="AJ121" i="22" s="1"/>
  <c r="AK121" i="22" s="1"/>
  <c r="AL121" i="22" s="1"/>
  <c r="AM121" i="22" s="1"/>
  <c r="AN121" i="22" s="1"/>
  <c r="AO121" i="22" s="1"/>
  <c r="AP121" i="22" s="1"/>
  <c r="AQ121" i="22" s="1"/>
  <c r="AR121" i="22" s="1"/>
  <c r="AS121" i="22" s="1"/>
  <c r="AT121" i="22" s="1"/>
  <c r="AU121" i="22" s="1"/>
  <c r="AV121" i="22" s="1"/>
  <c r="AW121" i="22" s="1"/>
  <c r="AX121" i="22" s="1"/>
  <c r="AY121" i="22" s="1"/>
  <c r="AZ121" i="22" s="1"/>
  <c r="BA121" i="22" s="1"/>
  <c r="BB121" i="22" s="1"/>
  <c r="BC121" i="22" s="1"/>
  <c r="BD121" i="22" s="1"/>
  <c r="BE121" i="22" s="1"/>
  <c r="O109" i="22"/>
  <c r="P109" i="22" s="1"/>
  <c r="Q109" i="22" s="1"/>
  <c r="R109" i="22" s="1"/>
  <c r="S109" i="22" s="1"/>
  <c r="T109" i="22" s="1"/>
  <c r="U109" i="22" s="1"/>
  <c r="V109" i="22" s="1"/>
  <c r="W109" i="22" s="1"/>
  <c r="X109" i="22" s="1"/>
  <c r="Y109" i="22" s="1"/>
  <c r="Z109" i="22" s="1"/>
  <c r="AA109" i="22" s="1"/>
  <c r="AB109" i="22" s="1"/>
  <c r="AC109" i="22" s="1"/>
  <c r="AD109" i="22" s="1"/>
  <c r="AE109" i="22" s="1"/>
  <c r="AF109" i="22" s="1"/>
  <c r="AG109" i="22" s="1"/>
  <c r="O408" i="22"/>
  <c r="P408" i="22" s="1"/>
  <c r="Q408" i="22" s="1"/>
  <c r="R408" i="22" s="1"/>
  <c r="S408" i="22" s="1"/>
  <c r="T408" i="22" s="1"/>
  <c r="U408" i="22" s="1"/>
  <c r="V408" i="22" s="1"/>
  <c r="W408" i="22" s="1"/>
  <c r="X408" i="22" s="1"/>
  <c r="Y408" i="22" s="1"/>
  <c r="Z408" i="22" s="1"/>
  <c r="AA408" i="22" s="1"/>
  <c r="AB408" i="22" s="1"/>
  <c r="AC408" i="22" s="1"/>
  <c r="AD408" i="22" s="1"/>
  <c r="AE408" i="22" s="1"/>
  <c r="AF408" i="22" s="1"/>
  <c r="AG408" i="22" s="1"/>
  <c r="O377" i="22"/>
  <c r="P377" i="22" s="1"/>
  <c r="Q377" i="22" s="1"/>
  <c r="R377" i="22" s="1"/>
  <c r="S377" i="22" s="1"/>
  <c r="T377" i="22" s="1"/>
  <c r="U377" i="22" s="1"/>
  <c r="V377" i="22" s="1"/>
  <c r="W377" i="22" s="1"/>
  <c r="X377" i="22" s="1"/>
  <c r="Y377" i="22" s="1"/>
  <c r="Z377" i="22" s="1"/>
  <c r="AA377" i="22" s="1"/>
  <c r="AB377" i="22" s="1"/>
  <c r="AC377" i="22" s="1"/>
  <c r="AD377" i="22" s="1"/>
  <c r="AE377" i="22" s="1"/>
  <c r="AF377" i="22" s="1"/>
  <c r="AG377" i="22" s="1"/>
  <c r="AI374" i="22"/>
  <c r="AJ374" i="22" s="1"/>
  <c r="AK374" i="22" s="1"/>
  <c r="AL374" i="22" s="1"/>
  <c r="AM374" i="22" s="1"/>
  <c r="AN374" i="22" s="1"/>
  <c r="AO374" i="22" s="1"/>
  <c r="AP374" i="22" s="1"/>
  <c r="AQ374" i="22" s="1"/>
  <c r="AR374" i="22" s="1"/>
  <c r="AS374" i="22" s="1"/>
  <c r="AT374" i="22" s="1"/>
  <c r="AU374" i="22" s="1"/>
  <c r="AV374" i="22" s="1"/>
  <c r="AW374" i="22" s="1"/>
  <c r="AX374" i="22" s="1"/>
  <c r="AY374" i="22" s="1"/>
  <c r="AZ374" i="22" s="1"/>
  <c r="BA374" i="22" s="1"/>
  <c r="BB374" i="22" s="1"/>
  <c r="BC374" i="22" s="1"/>
  <c r="BD374" i="22" s="1"/>
  <c r="BE374" i="22" s="1"/>
  <c r="AI363" i="22"/>
  <c r="AJ363" i="22" s="1"/>
  <c r="AK363" i="22" s="1"/>
  <c r="AL363" i="22" s="1"/>
  <c r="AM363" i="22" s="1"/>
  <c r="AN363" i="22" s="1"/>
  <c r="AO363" i="22" s="1"/>
  <c r="AP363" i="22" s="1"/>
  <c r="AQ363" i="22" s="1"/>
  <c r="AR363" i="22" s="1"/>
  <c r="AS363" i="22" s="1"/>
  <c r="AT363" i="22" s="1"/>
  <c r="AU363" i="22" s="1"/>
  <c r="AV363" i="22" s="1"/>
  <c r="AW363" i="22" s="1"/>
  <c r="AX363" i="22" s="1"/>
  <c r="AY363" i="22" s="1"/>
  <c r="AZ363" i="22" s="1"/>
  <c r="BA363" i="22" s="1"/>
  <c r="BB363" i="22" s="1"/>
  <c r="BC363" i="22" s="1"/>
  <c r="BD363" i="22" s="1"/>
  <c r="BE363" i="22" s="1"/>
  <c r="O331" i="22"/>
  <c r="P331" i="22" s="1"/>
  <c r="Q331" i="22" s="1"/>
  <c r="R331" i="22" s="1"/>
  <c r="S331" i="22" s="1"/>
  <c r="T331" i="22" s="1"/>
  <c r="U331" i="22" s="1"/>
  <c r="V331" i="22" s="1"/>
  <c r="W331" i="22" s="1"/>
  <c r="X331" i="22" s="1"/>
  <c r="Y331" i="22" s="1"/>
  <c r="Z331" i="22" s="1"/>
  <c r="AA331" i="22" s="1"/>
  <c r="AB331" i="22" s="1"/>
  <c r="AC331" i="22" s="1"/>
  <c r="AD331" i="22" s="1"/>
  <c r="AE331" i="22" s="1"/>
  <c r="AF331" i="22" s="1"/>
  <c r="AG331" i="22" s="1"/>
  <c r="O321" i="22"/>
  <c r="P321" i="22" s="1"/>
  <c r="Q321" i="22" s="1"/>
  <c r="R321" i="22" s="1"/>
  <c r="S321" i="22" s="1"/>
  <c r="T321" i="22" s="1"/>
  <c r="U321" i="22" s="1"/>
  <c r="V321" i="22" s="1"/>
  <c r="W321" i="22" s="1"/>
  <c r="X321" i="22" s="1"/>
  <c r="Y321" i="22" s="1"/>
  <c r="Z321" i="22" s="1"/>
  <c r="AA321" i="22" s="1"/>
  <c r="AB321" i="22" s="1"/>
  <c r="AC321" i="22" s="1"/>
  <c r="AD321" i="22" s="1"/>
  <c r="AE321" i="22" s="1"/>
  <c r="AF321" i="22" s="1"/>
  <c r="AG321" i="22" s="1"/>
  <c r="AI256" i="22"/>
  <c r="AJ256" i="22" s="1"/>
  <c r="AK256" i="22" s="1"/>
  <c r="AL256" i="22" s="1"/>
  <c r="AM256" i="22" s="1"/>
  <c r="AN256" i="22" s="1"/>
  <c r="AO256" i="22" s="1"/>
  <c r="AP256" i="22" s="1"/>
  <c r="AQ256" i="22" s="1"/>
  <c r="AR256" i="22" s="1"/>
  <c r="AS256" i="22" s="1"/>
  <c r="AT256" i="22" s="1"/>
  <c r="AU256" i="22" s="1"/>
  <c r="AV256" i="22" s="1"/>
  <c r="AW256" i="22" s="1"/>
  <c r="AX256" i="22" s="1"/>
  <c r="AY256" i="22" s="1"/>
  <c r="AZ256" i="22" s="1"/>
  <c r="BA256" i="22" s="1"/>
  <c r="BB256" i="22" s="1"/>
  <c r="BC256" i="22" s="1"/>
  <c r="BD256" i="22" s="1"/>
  <c r="BE256" i="22" s="1"/>
  <c r="AI244" i="22"/>
  <c r="AJ244" i="22" s="1"/>
  <c r="AK244" i="22" s="1"/>
  <c r="AL244" i="22" s="1"/>
  <c r="AM244" i="22" s="1"/>
  <c r="AN244" i="22" s="1"/>
  <c r="AO244" i="22" s="1"/>
  <c r="AP244" i="22" s="1"/>
  <c r="AQ244" i="22" s="1"/>
  <c r="AR244" i="22" s="1"/>
  <c r="AS244" i="22" s="1"/>
  <c r="AT244" i="22" s="1"/>
  <c r="AU244" i="22" s="1"/>
  <c r="AV244" i="22" s="1"/>
  <c r="AW244" i="22" s="1"/>
  <c r="AX244" i="22" s="1"/>
  <c r="AY244" i="22" s="1"/>
  <c r="AZ244" i="22" s="1"/>
  <c r="BA244" i="22" s="1"/>
  <c r="BB244" i="22" s="1"/>
  <c r="BC244" i="22" s="1"/>
  <c r="BD244" i="22" s="1"/>
  <c r="BE244" i="22" s="1"/>
  <c r="AI238" i="22"/>
  <c r="AJ238" i="22" s="1"/>
  <c r="AK238" i="22" s="1"/>
  <c r="AL238" i="22" s="1"/>
  <c r="AM238" i="22" s="1"/>
  <c r="AN238" i="22" s="1"/>
  <c r="AO238" i="22" s="1"/>
  <c r="AP238" i="22" s="1"/>
  <c r="AQ238" i="22" s="1"/>
  <c r="AR238" i="22" s="1"/>
  <c r="AS238" i="22" s="1"/>
  <c r="AT238" i="22" s="1"/>
  <c r="AU238" i="22" s="1"/>
  <c r="AV238" i="22" s="1"/>
  <c r="AW238" i="22" s="1"/>
  <c r="AX238" i="22" s="1"/>
  <c r="AY238" i="22" s="1"/>
  <c r="AZ238" i="22" s="1"/>
  <c r="BA238" i="22" s="1"/>
  <c r="BB238" i="22" s="1"/>
  <c r="BC238" i="22" s="1"/>
  <c r="BD238" i="22" s="1"/>
  <c r="BE238" i="22" s="1"/>
  <c r="O221" i="22"/>
  <c r="P221" i="22" s="1"/>
  <c r="Q221" i="22" s="1"/>
  <c r="R221" i="22" s="1"/>
  <c r="S221" i="22" s="1"/>
  <c r="T221" i="22" s="1"/>
  <c r="U221" i="22" s="1"/>
  <c r="V221" i="22" s="1"/>
  <c r="W221" i="22" s="1"/>
  <c r="X221" i="22" s="1"/>
  <c r="Y221" i="22" s="1"/>
  <c r="Z221" i="22" s="1"/>
  <c r="AA221" i="22" s="1"/>
  <c r="AB221" i="22" s="1"/>
  <c r="AC221" i="22" s="1"/>
  <c r="AD221" i="22" s="1"/>
  <c r="AE221" i="22" s="1"/>
  <c r="AF221" i="22" s="1"/>
  <c r="AG221" i="22" s="1"/>
  <c r="AI192" i="22"/>
  <c r="AJ192" i="22" s="1"/>
  <c r="AK192" i="22" s="1"/>
  <c r="AL192" i="22" s="1"/>
  <c r="AM192" i="22" s="1"/>
  <c r="AN192" i="22" s="1"/>
  <c r="AO192" i="22" s="1"/>
  <c r="AP192" i="22" s="1"/>
  <c r="AQ192" i="22" s="1"/>
  <c r="AR192" i="22" s="1"/>
  <c r="AS192" i="22" s="1"/>
  <c r="AT192" i="22" s="1"/>
  <c r="AU192" i="22" s="1"/>
  <c r="AV192" i="22" s="1"/>
  <c r="AW192" i="22" s="1"/>
  <c r="AX192" i="22" s="1"/>
  <c r="AY192" i="22" s="1"/>
  <c r="AZ192" i="22" s="1"/>
  <c r="BA192" i="22" s="1"/>
  <c r="BB192" i="22" s="1"/>
  <c r="BC192" i="22" s="1"/>
  <c r="BD192" i="22" s="1"/>
  <c r="BE192" i="22" s="1"/>
  <c r="O179" i="22"/>
  <c r="P179" i="22" s="1"/>
  <c r="Q179" i="22" s="1"/>
  <c r="R179" i="22" s="1"/>
  <c r="S179" i="22" s="1"/>
  <c r="T179" i="22" s="1"/>
  <c r="U179" i="22" s="1"/>
  <c r="V179" i="22" s="1"/>
  <c r="W179" i="22" s="1"/>
  <c r="X179" i="22" s="1"/>
  <c r="Y179" i="22" s="1"/>
  <c r="Z179" i="22" s="1"/>
  <c r="AA179" i="22" s="1"/>
  <c r="AB179" i="22" s="1"/>
  <c r="AC179" i="22" s="1"/>
  <c r="AD179" i="22" s="1"/>
  <c r="AE179" i="22" s="1"/>
  <c r="AF179" i="22" s="1"/>
  <c r="AG179" i="22" s="1"/>
  <c r="O167" i="22"/>
  <c r="P167" i="22" s="1"/>
  <c r="Q167" i="22" s="1"/>
  <c r="R167" i="22" s="1"/>
  <c r="S167" i="22" s="1"/>
  <c r="T167" i="22" s="1"/>
  <c r="U167" i="22" s="1"/>
  <c r="V167" i="22" s="1"/>
  <c r="W167" i="22" s="1"/>
  <c r="X167" i="22" s="1"/>
  <c r="Y167" i="22" s="1"/>
  <c r="Z167" i="22" s="1"/>
  <c r="AA167" i="22" s="1"/>
  <c r="AB167" i="22" s="1"/>
  <c r="AC167" i="22" s="1"/>
  <c r="AD167" i="22" s="1"/>
  <c r="AE167" i="22" s="1"/>
  <c r="AF167" i="22" s="1"/>
  <c r="AG167" i="22" s="1"/>
  <c r="O152" i="22"/>
  <c r="P152" i="22" s="1"/>
  <c r="Q152" i="22" s="1"/>
  <c r="R152" i="22" s="1"/>
  <c r="S152" i="22" s="1"/>
  <c r="T152" i="22" s="1"/>
  <c r="U152" i="22" s="1"/>
  <c r="V152" i="22" s="1"/>
  <c r="W152" i="22" s="1"/>
  <c r="X152" i="22" s="1"/>
  <c r="Y152" i="22" s="1"/>
  <c r="Z152" i="22" s="1"/>
  <c r="AA152" i="22" s="1"/>
  <c r="AB152" i="22" s="1"/>
  <c r="AC152" i="22" s="1"/>
  <c r="AD152" i="22" s="1"/>
  <c r="AE152" i="22" s="1"/>
  <c r="AF152" i="22" s="1"/>
  <c r="AG152" i="22" s="1"/>
  <c r="O140" i="22"/>
  <c r="P140" i="22" s="1"/>
  <c r="Q140" i="22" s="1"/>
  <c r="R140" i="22" s="1"/>
  <c r="S140" i="22" s="1"/>
  <c r="T140" i="22" s="1"/>
  <c r="U140" i="22" s="1"/>
  <c r="V140" i="22" s="1"/>
  <c r="W140" i="22" s="1"/>
  <c r="X140" i="22" s="1"/>
  <c r="Y140" i="22" s="1"/>
  <c r="Z140" i="22" s="1"/>
  <c r="AA140" i="22" s="1"/>
  <c r="AB140" i="22" s="1"/>
  <c r="AC140" i="22" s="1"/>
  <c r="AD140" i="22" s="1"/>
  <c r="AE140" i="22" s="1"/>
  <c r="AF140" i="22" s="1"/>
  <c r="AG140" i="22" s="1"/>
  <c r="O123" i="22"/>
  <c r="P123" i="22" s="1"/>
  <c r="Q123" i="22" s="1"/>
  <c r="R123" i="22" s="1"/>
  <c r="S123" i="22" s="1"/>
  <c r="T123" i="22" s="1"/>
  <c r="U123" i="22" s="1"/>
  <c r="V123" i="22" s="1"/>
  <c r="W123" i="22" s="1"/>
  <c r="X123" i="22" s="1"/>
  <c r="Y123" i="22" s="1"/>
  <c r="Z123" i="22" s="1"/>
  <c r="AA123" i="22" s="1"/>
  <c r="AB123" i="22" s="1"/>
  <c r="AC123" i="22" s="1"/>
  <c r="AD123" i="22" s="1"/>
  <c r="AE123" i="22" s="1"/>
  <c r="AF123" i="22" s="1"/>
  <c r="AG123" i="22" s="1"/>
  <c r="O118" i="22"/>
  <c r="P118" i="22" s="1"/>
  <c r="Q118" i="22" s="1"/>
  <c r="R118" i="22" s="1"/>
  <c r="S118" i="22" s="1"/>
  <c r="T118" i="22" s="1"/>
  <c r="U118" i="22" s="1"/>
  <c r="V118" i="22" s="1"/>
  <c r="W118" i="22" s="1"/>
  <c r="X118" i="22" s="1"/>
  <c r="Y118" i="22" s="1"/>
  <c r="Z118" i="22" s="1"/>
  <c r="AA118" i="22" s="1"/>
  <c r="AB118" i="22" s="1"/>
  <c r="AC118" i="22" s="1"/>
  <c r="AD118" i="22" s="1"/>
  <c r="AE118" i="22" s="1"/>
  <c r="AF118" i="22" s="1"/>
  <c r="AG118" i="22" s="1"/>
  <c r="AI116" i="22"/>
  <c r="AJ116" i="22" s="1"/>
  <c r="AK116" i="22" s="1"/>
  <c r="AL116" i="22" s="1"/>
  <c r="AM116" i="22" s="1"/>
  <c r="AN116" i="22" s="1"/>
  <c r="AO116" i="22" s="1"/>
  <c r="AP116" i="22" s="1"/>
  <c r="AQ116" i="22" s="1"/>
  <c r="AR116" i="22" s="1"/>
  <c r="AS116" i="22" s="1"/>
  <c r="AT116" i="22" s="1"/>
  <c r="AU116" i="22" s="1"/>
  <c r="AV116" i="22" s="1"/>
  <c r="AW116" i="22" s="1"/>
  <c r="AX116" i="22" s="1"/>
  <c r="AY116" i="22" s="1"/>
  <c r="AZ116" i="22" s="1"/>
  <c r="BA116" i="22" s="1"/>
  <c r="BB116" i="22" s="1"/>
  <c r="BC116" i="22" s="1"/>
  <c r="BD116" i="22" s="1"/>
  <c r="BE116" i="22" s="1"/>
  <c r="AI111" i="22"/>
  <c r="AJ111" i="22" s="1"/>
  <c r="AK111" i="22" s="1"/>
  <c r="AL111" i="22" s="1"/>
  <c r="AM111" i="22" s="1"/>
  <c r="AN111" i="22" s="1"/>
  <c r="AO111" i="22" s="1"/>
  <c r="AP111" i="22" s="1"/>
  <c r="AQ111" i="22" s="1"/>
  <c r="AR111" i="22" s="1"/>
  <c r="AS111" i="22" s="1"/>
  <c r="AT111" i="22" s="1"/>
  <c r="AU111" i="22" s="1"/>
  <c r="AV111" i="22" s="1"/>
  <c r="AW111" i="22" s="1"/>
  <c r="AX111" i="22" s="1"/>
  <c r="AY111" i="22" s="1"/>
  <c r="AZ111" i="22" s="1"/>
  <c r="BA111" i="22" s="1"/>
  <c r="BB111" i="22" s="1"/>
  <c r="BC111" i="22" s="1"/>
  <c r="BD111" i="22" s="1"/>
  <c r="BE111" i="22" s="1"/>
  <c r="AI147" i="22"/>
  <c r="AJ147" i="22" s="1"/>
  <c r="AK147" i="22" s="1"/>
  <c r="AL147" i="22" s="1"/>
  <c r="AM147" i="22" s="1"/>
  <c r="AN147" i="22" s="1"/>
  <c r="AO147" i="22" s="1"/>
  <c r="AP147" i="22" s="1"/>
  <c r="AQ147" i="22" s="1"/>
  <c r="AR147" i="22" s="1"/>
  <c r="AS147" i="22" s="1"/>
  <c r="AT147" i="22" s="1"/>
  <c r="AU147" i="22" s="1"/>
  <c r="AV147" i="22" s="1"/>
  <c r="AW147" i="22" s="1"/>
  <c r="AX147" i="22" s="1"/>
  <c r="AY147" i="22" s="1"/>
  <c r="AZ147" i="22" s="1"/>
  <c r="BA147" i="22" s="1"/>
  <c r="BB147" i="22" s="1"/>
  <c r="BC147" i="22" s="1"/>
  <c r="BD147" i="22" s="1"/>
  <c r="BE147" i="22" s="1"/>
  <c r="O117" i="22"/>
  <c r="P117" i="22" s="1"/>
  <c r="Q117" i="22" s="1"/>
  <c r="R117" i="22" s="1"/>
  <c r="S117" i="22" s="1"/>
  <c r="T117" i="22" s="1"/>
  <c r="U117" i="22" s="1"/>
  <c r="V117" i="22" s="1"/>
  <c r="W117" i="22" s="1"/>
  <c r="X117" i="22" s="1"/>
  <c r="Y117" i="22" s="1"/>
  <c r="Z117" i="22" s="1"/>
  <c r="AA117" i="22" s="1"/>
  <c r="AB117" i="22" s="1"/>
  <c r="AC117" i="22" s="1"/>
  <c r="AD117" i="22" s="1"/>
  <c r="AE117" i="22" s="1"/>
  <c r="AF117" i="22" s="1"/>
  <c r="AG117" i="22" s="1"/>
  <c r="AI6" i="22"/>
  <c r="O366" i="22"/>
  <c r="P366" i="22" s="1"/>
  <c r="Q366" i="22" s="1"/>
  <c r="R366" i="22" s="1"/>
  <c r="S366" i="22" s="1"/>
  <c r="T366" i="22" s="1"/>
  <c r="U366" i="22" s="1"/>
  <c r="V366" i="22" s="1"/>
  <c r="W366" i="22" s="1"/>
  <c r="X366" i="22" s="1"/>
  <c r="Y366" i="22" s="1"/>
  <c r="Z366" i="22" s="1"/>
  <c r="AA366" i="22" s="1"/>
  <c r="AB366" i="22" s="1"/>
  <c r="AC366" i="22" s="1"/>
  <c r="AD366" i="22" s="1"/>
  <c r="AE366" i="22" s="1"/>
  <c r="AF366" i="22" s="1"/>
  <c r="AG366" i="22" s="1"/>
  <c r="O351" i="22"/>
  <c r="P351" i="22" s="1"/>
  <c r="Q351" i="22" s="1"/>
  <c r="R351" i="22" s="1"/>
  <c r="S351" i="22" s="1"/>
  <c r="T351" i="22" s="1"/>
  <c r="U351" i="22" s="1"/>
  <c r="V351" i="22" s="1"/>
  <c r="W351" i="22" s="1"/>
  <c r="X351" i="22" s="1"/>
  <c r="Y351" i="22" s="1"/>
  <c r="Z351" i="22" s="1"/>
  <c r="AA351" i="22" s="1"/>
  <c r="AB351" i="22" s="1"/>
  <c r="AC351" i="22" s="1"/>
  <c r="AD351" i="22" s="1"/>
  <c r="AE351" i="22" s="1"/>
  <c r="AF351" i="22" s="1"/>
  <c r="AG351" i="22" s="1"/>
  <c r="O341" i="22"/>
  <c r="P341" i="22" s="1"/>
  <c r="Q341" i="22" s="1"/>
  <c r="R341" i="22" s="1"/>
  <c r="S341" i="22" s="1"/>
  <c r="T341" i="22" s="1"/>
  <c r="U341" i="22" s="1"/>
  <c r="V341" i="22" s="1"/>
  <c r="W341" i="22" s="1"/>
  <c r="X341" i="22" s="1"/>
  <c r="Y341" i="22" s="1"/>
  <c r="Z341" i="22" s="1"/>
  <c r="AA341" i="22" s="1"/>
  <c r="AB341" i="22" s="1"/>
  <c r="AC341" i="22" s="1"/>
  <c r="AD341" i="22" s="1"/>
  <c r="AE341" i="22" s="1"/>
  <c r="AF341" i="22" s="1"/>
  <c r="AG341" i="22" s="1"/>
  <c r="AI285" i="22"/>
  <c r="AJ285" i="22" s="1"/>
  <c r="AK285" i="22" s="1"/>
  <c r="AL285" i="22" s="1"/>
  <c r="AM285" i="22" s="1"/>
  <c r="AN285" i="22" s="1"/>
  <c r="AO285" i="22" s="1"/>
  <c r="AP285" i="22" s="1"/>
  <c r="AQ285" i="22" s="1"/>
  <c r="AR285" i="22" s="1"/>
  <c r="AS285" i="22" s="1"/>
  <c r="AT285" i="22" s="1"/>
  <c r="AU285" i="22" s="1"/>
  <c r="AV285" i="22" s="1"/>
  <c r="AW285" i="22" s="1"/>
  <c r="AX285" i="22" s="1"/>
  <c r="AY285" i="22" s="1"/>
  <c r="AZ285" i="22" s="1"/>
  <c r="BA285" i="22" s="1"/>
  <c r="BB285" i="22" s="1"/>
  <c r="BC285" i="22" s="1"/>
  <c r="BD285" i="22" s="1"/>
  <c r="BE285" i="22" s="1"/>
  <c r="AI284" i="22"/>
  <c r="AJ284" i="22" s="1"/>
  <c r="AK284" i="22" s="1"/>
  <c r="AL284" i="22" s="1"/>
  <c r="AM284" i="22" s="1"/>
  <c r="AN284" i="22" s="1"/>
  <c r="AO284" i="22" s="1"/>
  <c r="AP284" i="22" s="1"/>
  <c r="AQ284" i="22" s="1"/>
  <c r="AR284" i="22" s="1"/>
  <c r="AS284" i="22" s="1"/>
  <c r="AT284" i="22" s="1"/>
  <c r="AU284" i="22" s="1"/>
  <c r="AV284" i="22" s="1"/>
  <c r="AW284" i="22" s="1"/>
  <c r="AX284" i="22" s="1"/>
  <c r="AY284" i="22" s="1"/>
  <c r="AZ284" i="22" s="1"/>
  <c r="BA284" i="22" s="1"/>
  <c r="BB284" i="22" s="1"/>
  <c r="BC284" i="22" s="1"/>
  <c r="BD284" i="22" s="1"/>
  <c r="BE284" i="22" s="1"/>
  <c r="AI283" i="22"/>
  <c r="AJ283" i="22" s="1"/>
  <c r="AK283" i="22" s="1"/>
  <c r="AL283" i="22" s="1"/>
  <c r="AM283" i="22" s="1"/>
  <c r="AN283" i="22" s="1"/>
  <c r="AO283" i="22" s="1"/>
  <c r="AP283" i="22" s="1"/>
  <c r="AQ283" i="22" s="1"/>
  <c r="AR283" i="22" s="1"/>
  <c r="AS283" i="22" s="1"/>
  <c r="AT283" i="22" s="1"/>
  <c r="AU283" i="22" s="1"/>
  <c r="AV283" i="22" s="1"/>
  <c r="AW283" i="22" s="1"/>
  <c r="AX283" i="22" s="1"/>
  <c r="AY283" i="22" s="1"/>
  <c r="AZ283" i="22" s="1"/>
  <c r="BA283" i="22" s="1"/>
  <c r="BB283" i="22" s="1"/>
  <c r="BC283" i="22" s="1"/>
  <c r="BD283" i="22" s="1"/>
  <c r="BE283" i="22" s="1"/>
  <c r="AI280" i="22"/>
  <c r="AJ280" i="22" s="1"/>
  <c r="AK280" i="22" s="1"/>
  <c r="AL280" i="22" s="1"/>
  <c r="AM280" i="22" s="1"/>
  <c r="AN280" i="22" s="1"/>
  <c r="AO280" i="22" s="1"/>
  <c r="AP280" i="22" s="1"/>
  <c r="AQ280" i="22" s="1"/>
  <c r="AR280" i="22" s="1"/>
  <c r="AS280" i="22" s="1"/>
  <c r="AT280" i="22" s="1"/>
  <c r="AU280" i="22" s="1"/>
  <c r="AV280" i="22" s="1"/>
  <c r="AW280" i="22" s="1"/>
  <c r="AX280" i="22" s="1"/>
  <c r="AY280" i="22" s="1"/>
  <c r="AZ280" i="22" s="1"/>
  <c r="BA280" i="22" s="1"/>
  <c r="BB280" i="22" s="1"/>
  <c r="BC280" i="22" s="1"/>
  <c r="BD280" i="22" s="1"/>
  <c r="BE280" i="22" s="1"/>
  <c r="O276" i="22"/>
  <c r="P276" i="22" s="1"/>
  <c r="Q276" i="22" s="1"/>
  <c r="R276" i="22" s="1"/>
  <c r="S276" i="22" s="1"/>
  <c r="T276" i="22" s="1"/>
  <c r="U276" i="22" s="1"/>
  <c r="V276" i="22" s="1"/>
  <c r="W276" i="22" s="1"/>
  <c r="X276" i="22" s="1"/>
  <c r="Y276" i="22" s="1"/>
  <c r="Z276" i="22" s="1"/>
  <c r="AA276" i="22" s="1"/>
  <c r="AB276" i="22" s="1"/>
  <c r="AC276" i="22" s="1"/>
  <c r="AD276" i="22" s="1"/>
  <c r="AE276" i="22" s="1"/>
  <c r="AF276" i="22" s="1"/>
  <c r="AG276" i="22" s="1"/>
  <c r="O263" i="22"/>
  <c r="P263" i="22" s="1"/>
  <c r="Q263" i="22" s="1"/>
  <c r="R263" i="22" s="1"/>
  <c r="S263" i="22" s="1"/>
  <c r="T263" i="22" s="1"/>
  <c r="U263" i="22" s="1"/>
  <c r="V263" i="22" s="1"/>
  <c r="W263" i="22" s="1"/>
  <c r="X263" i="22" s="1"/>
  <c r="Y263" i="22" s="1"/>
  <c r="Z263" i="22" s="1"/>
  <c r="AA263" i="22" s="1"/>
  <c r="AB263" i="22" s="1"/>
  <c r="AC263" i="22" s="1"/>
  <c r="AD263" i="22" s="1"/>
  <c r="AE263" i="22" s="1"/>
  <c r="AF263" i="22" s="1"/>
  <c r="AG263" i="22" s="1"/>
  <c r="O249" i="22"/>
  <c r="P249" i="22" s="1"/>
  <c r="Q249" i="22" s="1"/>
  <c r="R249" i="22" s="1"/>
  <c r="S249" i="22" s="1"/>
  <c r="T249" i="22" s="1"/>
  <c r="U249" i="22" s="1"/>
  <c r="V249" i="22" s="1"/>
  <c r="W249" i="22" s="1"/>
  <c r="X249" i="22" s="1"/>
  <c r="Y249" i="22" s="1"/>
  <c r="Z249" i="22" s="1"/>
  <c r="AA249" i="22" s="1"/>
  <c r="AB249" i="22" s="1"/>
  <c r="AC249" i="22" s="1"/>
  <c r="AD249" i="22" s="1"/>
  <c r="AE249" i="22" s="1"/>
  <c r="AF249" i="22" s="1"/>
  <c r="AG249" i="22" s="1"/>
  <c r="AI221" i="22"/>
  <c r="AJ221" i="22" s="1"/>
  <c r="AK221" i="22" s="1"/>
  <c r="AL221" i="22" s="1"/>
  <c r="AM221" i="22" s="1"/>
  <c r="AN221" i="22" s="1"/>
  <c r="AO221" i="22" s="1"/>
  <c r="AP221" i="22" s="1"/>
  <c r="AQ221" i="22" s="1"/>
  <c r="AR221" i="22" s="1"/>
  <c r="AS221" i="22" s="1"/>
  <c r="AT221" i="22" s="1"/>
  <c r="AU221" i="22" s="1"/>
  <c r="AV221" i="22" s="1"/>
  <c r="AW221" i="22" s="1"/>
  <c r="AX221" i="22" s="1"/>
  <c r="AY221" i="22" s="1"/>
  <c r="AZ221" i="22" s="1"/>
  <c r="BA221" i="22" s="1"/>
  <c r="BB221" i="22" s="1"/>
  <c r="BC221" i="22" s="1"/>
  <c r="BD221" i="22" s="1"/>
  <c r="BE221" i="22" s="1"/>
  <c r="O218" i="22"/>
  <c r="P218" i="22" s="1"/>
  <c r="Q218" i="22" s="1"/>
  <c r="R218" i="22" s="1"/>
  <c r="S218" i="22" s="1"/>
  <c r="T218" i="22" s="1"/>
  <c r="U218" i="22" s="1"/>
  <c r="V218" i="22" s="1"/>
  <c r="W218" i="22" s="1"/>
  <c r="X218" i="22" s="1"/>
  <c r="Y218" i="22" s="1"/>
  <c r="Z218" i="22" s="1"/>
  <c r="AA218" i="22" s="1"/>
  <c r="AB218" i="22" s="1"/>
  <c r="AC218" i="22" s="1"/>
  <c r="AD218" i="22" s="1"/>
  <c r="AE218" i="22" s="1"/>
  <c r="AF218" i="22" s="1"/>
  <c r="AG218" i="22" s="1"/>
  <c r="AI207" i="22"/>
  <c r="AJ207" i="22" s="1"/>
  <c r="AK207" i="22" s="1"/>
  <c r="AL207" i="22" s="1"/>
  <c r="AM207" i="22" s="1"/>
  <c r="AN207" i="22" s="1"/>
  <c r="AO207" i="22" s="1"/>
  <c r="AP207" i="22" s="1"/>
  <c r="AQ207" i="22" s="1"/>
  <c r="AR207" i="22" s="1"/>
  <c r="AS207" i="22" s="1"/>
  <c r="AT207" i="22" s="1"/>
  <c r="AU207" i="22" s="1"/>
  <c r="AV207" i="22" s="1"/>
  <c r="AW207" i="22" s="1"/>
  <c r="AX207" i="22" s="1"/>
  <c r="AY207" i="22" s="1"/>
  <c r="AZ207" i="22" s="1"/>
  <c r="BA207" i="22" s="1"/>
  <c r="BB207" i="22" s="1"/>
  <c r="BC207" i="22" s="1"/>
  <c r="BD207" i="22" s="1"/>
  <c r="BE207" i="22" s="1"/>
  <c r="AI199" i="22"/>
  <c r="AJ199" i="22" s="1"/>
  <c r="AK199" i="22" s="1"/>
  <c r="AL199" i="22" s="1"/>
  <c r="AM199" i="22" s="1"/>
  <c r="AN199" i="22" s="1"/>
  <c r="AO199" i="22" s="1"/>
  <c r="AP199" i="22" s="1"/>
  <c r="AQ199" i="22" s="1"/>
  <c r="AR199" i="22" s="1"/>
  <c r="AS199" i="22" s="1"/>
  <c r="AT199" i="22" s="1"/>
  <c r="AU199" i="22" s="1"/>
  <c r="AV199" i="22" s="1"/>
  <c r="AW199" i="22" s="1"/>
  <c r="AX199" i="22" s="1"/>
  <c r="AY199" i="22" s="1"/>
  <c r="AZ199" i="22" s="1"/>
  <c r="BA199" i="22" s="1"/>
  <c r="BB199" i="22" s="1"/>
  <c r="BC199" i="22" s="1"/>
  <c r="BD199" i="22" s="1"/>
  <c r="BE199" i="22" s="1"/>
  <c r="O199" i="22"/>
  <c r="P199" i="22" s="1"/>
  <c r="Q199" i="22" s="1"/>
  <c r="R199" i="22" s="1"/>
  <c r="S199" i="22" s="1"/>
  <c r="T199" i="22" s="1"/>
  <c r="U199" i="22" s="1"/>
  <c r="V199" i="22" s="1"/>
  <c r="W199" i="22" s="1"/>
  <c r="X199" i="22" s="1"/>
  <c r="Y199" i="22" s="1"/>
  <c r="Z199" i="22" s="1"/>
  <c r="AA199" i="22" s="1"/>
  <c r="AB199" i="22" s="1"/>
  <c r="AC199" i="22" s="1"/>
  <c r="AD199" i="22" s="1"/>
  <c r="AE199" i="22" s="1"/>
  <c r="AF199" i="22" s="1"/>
  <c r="AG199" i="22" s="1"/>
  <c r="AI194" i="22"/>
  <c r="AJ194" i="22" s="1"/>
  <c r="AK194" i="22" s="1"/>
  <c r="AL194" i="22" s="1"/>
  <c r="AM194" i="22" s="1"/>
  <c r="AN194" i="22" s="1"/>
  <c r="AO194" i="22" s="1"/>
  <c r="AP194" i="22" s="1"/>
  <c r="AQ194" i="22" s="1"/>
  <c r="AR194" i="22" s="1"/>
  <c r="AS194" i="22" s="1"/>
  <c r="AT194" i="22" s="1"/>
  <c r="AU194" i="22" s="1"/>
  <c r="AV194" i="22" s="1"/>
  <c r="AW194" i="22" s="1"/>
  <c r="AX194" i="22" s="1"/>
  <c r="AY194" i="22" s="1"/>
  <c r="AZ194" i="22" s="1"/>
  <c r="BA194" i="22" s="1"/>
  <c r="BB194" i="22" s="1"/>
  <c r="BC194" i="22" s="1"/>
  <c r="BD194" i="22" s="1"/>
  <c r="BE194" i="22" s="1"/>
  <c r="O189" i="22"/>
  <c r="P189" i="22" s="1"/>
  <c r="Q189" i="22" s="1"/>
  <c r="R189" i="22" s="1"/>
  <c r="S189" i="22" s="1"/>
  <c r="T189" i="22" s="1"/>
  <c r="U189" i="22" s="1"/>
  <c r="V189" i="22" s="1"/>
  <c r="W189" i="22" s="1"/>
  <c r="X189" i="22" s="1"/>
  <c r="Y189" i="22" s="1"/>
  <c r="Z189" i="22" s="1"/>
  <c r="AA189" i="22" s="1"/>
  <c r="AB189" i="22" s="1"/>
  <c r="AC189" i="22" s="1"/>
  <c r="AD189" i="22" s="1"/>
  <c r="AE189" i="22" s="1"/>
  <c r="AF189" i="22" s="1"/>
  <c r="AG189" i="22" s="1"/>
  <c r="AI184" i="22"/>
  <c r="AJ184" i="22" s="1"/>
  <c r="AK184" i="22" s="1"/>
  <c r="AL184" i="22" s="1"/>
  <c r="AM184" i="22" s="1"/>
  <c r="AN184" i="22" s="1"/>
  <c r="AO184" i="22" s="1"/>
  <c r="AP184" i="22" s="1"/>
  <c r="AQ184" i="22" s="1"/>
  <c r="AR184" i="22" s="1"/>
  <c r="AS184" i="22" s="1"/>
  <c r="AT184" i="22" s="1"/>
  <c r="AU184" i="22" s="1"/>
  <c r="AV184" i="22" s="1"/>
  <c r="AW184" i="22" s="1"/>
  <c r="AX184" i="22" s="1"/>
  <c r="AY184" i="22" s="1"/>
  <c r="AZ184" i="22" s="1"/>
  <c r="BA184" i="22" s="1"/>
  <c r="BB184" i="22" s="1"/>
  <c r="BC184" i="22" s="1"/>
  <c r="BD184" i="22" s="1"/>
  <c r="BE184" i="22" s="1"/>
  <c r="O180" i="22"/>
  <c r="P180" i="22" s="1"/>
  <c r="Q180" i="22" s="1"/>
  <c r="R180" i="22" s="1"/>
  <c r="S180" i="22" s="1"/>
  <c r="T180" i="22" s="1"/>
  <c r="U180" i="22" s="1"/>
  <c r="V180" i="22" s="1"/>
  <c r="W180" i="22" s="1"/>
  <c r="X180" i="22" s="1"/>
  <c r="Y180" i="22" s="1"/>
  <c r="Z180" i="22" s="1"/>
  <c r="AA180" i="22" s="1"/>
  <c r="AB180" i="22" s="1"/>
  <c r="AC180" i="22" s="1"/>
  <c r="AD180" i="22" s="1"/>
  <c r="AE180" i="22" s="1"/>
  <c r="AF180" i="22" s="1"/>
  <c r="AG180" i="22" s="1"/>
  <c r="AI172" i="22"/>
  <c r="AJ172" i="22" s="1"/>
  <c r="AK172" i="22" s="1"/>
  <c r="AL172" i="22" s="1"/>
  <c r="AM172" i="22" s="1"/>
  <c r="AN172" i="22" s="1"/>
  <c r="AO172" i="22" s="1"/>
  <c r="AP172" i="22" s="1"/>
  <c r="AQ172" i="22" s="1"/>
  <c r="AR172" i="22" s="1"/>
  <c r="AS172" i="22" s="1"/>
  <c r="AT172" i="22" s="1"/>
  <c r="AU172" i="22" s="1"/>
  <c r="AV172" i="22" s="1"/>
  <c r="AW172" i="22" s="1"/>
  <c r="AX172" i="22" s="1"/>
  <c r="AY172" i="22" s="1"/>
  <c r="AZ172" i="22" s="1"/>
  <c r="BA172" i="22" s="1"/>
  <c r="BB172" i="22" s="1"/>
  <c r="BC172" i="22" s="1"/>
  <c r="BD172" i="22" s="1"/>
  <c r="BE172" i="22" s="1"/>
  <c r="O168" i="22"/>
  <c r="P168" i="22" s="1"/>
  <c r="Q168" i="22" s="1"/>
  <c r="R168" i="22" s="1"/>
  <c r="S168" i="22" s="1"/>
  <c r="T168" i="22" s="1"/>
  <c r="U168" i="22" s="1"/>
  <c r="V168" i="22" s="1"/>
  <c r="W168" i="22" s="1"/>
  <c r="X168" i="22" s="1"/>
  <c r="Y168" i="22" s="1"/>
  <c r="Z168" i="22" s="1"/>
  <c r="AA168" i="22" s="1"/>
  <c r="AB168" i="22" s="1"/>
  <c r="AC168" i="22" s="1"/>
  <c r="AD168" i="22" s="1"/>
  <c r="AE168" i="22" s="1"/>
  <c r="AF168" i="22" s="1"/>
  <c r="AG168" i="22" s="1"/>
  <c r="AI160" i="22"/>
  <c r="AJ160" i="22" s="1"/>
  <c r="AK160" i="22" s="1"/>
  <c r="AL160" i="22" s="1"/>
  <c r="AM160" i="22" s="1"/>
  <c r="AN160" i="22" s="1"/>
  <c r="AO160" i="22" s="1"/>
  <c r="AP160" i="22" s="1"/>
  <c r="AQ160" i="22" s="1"/>
  <c r="AR160" i="22" s="1"/>
  <c r="AS160" i="22" s="1"/>
  <c r="AT160" i="22" s="1"/>
  <c r="AU160" i="22" s="1"/>
  <c r="AV160" i="22" s="1"/>
  <c r="AW160" i="22" s="1"/>
  <c r="AX160" i="22" s="1"/>
  <c r="AY160" i="22" s="1"/>
  <c r="AZ160" i="22" s="1"/>
  <c r="BA160" i="22" s="1"/>
  <c r="BB160" i="22" s="1"/>
  <c r="BC160" i="22" s="1"/>
  <c r="BD160" i="22" s="1"/>
  <c r="BE160" i="22" s="1"/>
  <c r="O156" i="22"/>
  <c r="P156" i="22" s="1"/>
  <c r="Q156" i="22" s="1"/>
  <c r="R156" i="22" s="1"/>
  <c r="S156" i="22" s="1"/>
  <c r="T156" i="22" s="1"/>
  <c r="U156" i="22" s="1"/>
  <c r="V156" i="22" s="1"/>
  <c r="W156" i="22" s="1"/>
  <c r="X156" i="22" s="1"/>
  <c r="Y156" i="22" s="1"/>
  <c r="Z156" i="22" s="1"/>
  <c r="AA156" i="22" s="1"/>
  <c r="AB156" i="22" s="1"/>
  <c r="AC156" i="22" s="1"/>
  <c r="AD156" i="22" s="1"/>
  <c r="AE156" i="22" s="1"/>
  <c r="AF156" i="22" s="1"/>
  <c r="AG156" i="22" s="1"/>
  <c r="AI145" i="22"/>
  <c r="AJ145" i="22" s="1"/>
  <c r="AK145" i="22" s="1"/>
  <c r="AL145" i="22" s="1"/>
  <c r="AM145" i="22" s="1"/>
  <c r="AN145" i="22" s="1"/>
  <c r="AO145" i="22" s="1"/>
  <c r="AP145" i="22" s="1"/>
  <c r="AQ145" i="22" s="1"/>
  <c r="AR145" i="22" s="1"/>
  <c r="AS145" i="22" s="1"/>
  <c r="AT145" i="22" s="1"/>
  <c r="AU145" i="22" s="1"/>
  <c r="AV145" i="22" s="1"/>
  <c r="AW145" i="22" s="1"/>
  <c r="AX145" i="22" s="1"/>
  <c r="AY145" i="22" s="1"/>
  <c r="AZ145" i="22" s="1"/>
  <c r="BA145" i="22" s="1"/>
  <c r="BB145" i="22" s="1"/>
  <c r="BC145" i="22" s="1"/>
  <c r="BD145" i="22" s="1"/>
  <c r="BE145" i="22" s="1"/>
  <c r="O141" i="22"/>
  <c r="P141" i="22" s="1"/>
  <c r="Q141" i="22" s="1"/>
  <c r="R141" i="22" s="1"/>
  <c r="S141" i="22" s="1"/>
  <c r="T141" i="22" s="1"/>
  <c r="U141" i="22" s="1"/>
  <c r="V141" i="22" s="1"/>
  <c r="W141" i="22" s="1"/>
  <c r="X141" i="22" s="1"/>
  <c r="Y141" i="22" s="1"/>
  <c r="Z141" i="22" s="1"/>
  <c r="AA141" i="22" s="1"/>
  <c r="AB141" i="22" s="1"/>
  <c r="AC141" i="22" s="1"/>
  <c r="AD141" i="22" s="1"/>
  <c r="AE141" i="22" s="1"/>
  <c r="AF141" i="22" s="1"/>
  <c r="AG141" i="22" s="1"/>
  <c r="AI133" i="22"/>
  <c r="AJ133" i="22" s="1"/>
  <c r="AK133" i="22" s="1"/>
  <c r="AL133" i="22" s="1"/>
  <c r="AM133" i="22" s="1"/>
  <c r="AN133" i="22" s="1"/>
  <c r="AO133" i="22" s="1"/>
  <c r="AP133" i="22" s="1"/>
  <c r="AQ133" i="22" s="1"/>
  <c r="AR133" i="22" s="1"/>
  <c r="AS133" i="22" s="1"/>
  <c r="AT133" i="22" s="1"/>
  <c r="AU133" i="22" s="1"/>
  <c r="AV133" i="22" s="1"/>
  <c r="AW133" i="22" s="1"/>
  <c r="AX133" i="22" s="1"/>
  <c r="AY133" i="22" s="1"/>
  <c r="AZ133" i="22" s="1"/>
  <c r="BA133" i="22" s="1"/>
  <c r="BB133" i="22" s="1"/>
  <c r="BC133" i="22" s="1"/>
  <c r="BD133" i="22" s="1"/>
  <c r="BE133" i="22" s="1"/>
  <c r="AI130" i="22"/>
  <c r="AJ130" i="22" s="1"/>
  <c r="AK130" i="22" s="1"/>
  <c r="AL130" i="22" s="1"/>
  <c r="AM130" i="22" s="1"/>
  <c r="AN130" i="22" s="1"/>
  <c r="AO130" i="22" s="1"/>
  <c r="AP130" i="22" s="1"/>
  <c r="AQ130" i="22" s="1"/>
  <c r="AR130" i="22" s="1"/>
  <c r="AS130" i="22" s="1"/>
  <c r="AT130" i="22" s="1"/>
  <c r="AU130" i="22" s="1"/>
  <c r="AV130" i="22" s="1"/>
  <c r="AW130" i="22" s="1"/>
  <c r="AX130" i="22" s="1"/>
  <c r="AY130" i="22" s="1"/>
  <c r="AZ130" i="22" s="1"/>
  <c r="BA130" i="22" s="1"/>
  <c r="BB130" i="22" s="1"/>
  <c r="BC130" i="22" s="1"/>
  <c r="BD130" i="22" s="1"/>
  <c r="BE130" i="22" s="1"/>
  <c r="AI125" i="22"/>
  <c r="AJ125" i="22" s="1"/>
  <c r="AK125" i="22" s="1"/>
  <c r="AL125" i="22" s="1"/>
  <c r="AM125" i="22" s="1"/>
  <c r="AN125" i="22" s="1"/>
  <c r="AO125" i="22" s="1"/>
  <c r="AP125" i="22" s="1"/>
  <c r="AQ125" i="22" s="1"/>
  <c r="AR125" i="22" s="1"/>
  <c r="AS125" i="22" s="1"/>
  <c r="AT125" i="22" s="1"/>
  <c r="AU125" i="22" s="1"/>
  <c r="AV125" i="22" s="1"/>
  <c r="AW125" i="22" s="1"/>
  <c r="AX125" i="22" s="1"/>
  <c r="AY125" i="22" s="1"/>
  <c r="AZ125" i="22" s="1"/>
  <c r="BA125" i="22" s="1"/>
  <c r="BB125" i="22" s="1"/>
  <c r="BC125" i="22" s="1"/>
  <c r="BD125" i="22" s="1"/>
  <c r="BE125" i="22" s="1"/>
  <c r="O113" i="22"/>
  <c r="P113" i="22" s="1"/>
  <c r="Q113" i="22" s="1"/>
  <c r="R113" i="22" s="1"/>
  <c r="S113" i="22" s="1"/>
  <c r="T113" i="22" s="1"/>
  <c r="U113" i="22" s="1"/>
  <c r="V113" i="22" s="1"/>
  <c r="W113" i="22" s="1"/>
  <c r="X113" i="22" s="1"/>
  <c r="Y113" i="22" s="1"/>
  <c r="Z113" i="22" s="1"/>
  <c r="AA113" i="22" s="1"/>
  <c r="AB113" i="22" s="1"/>
  <c r="AC113" i="22" s="1"/>
  <c r="AD113" i="22" s="1"/>
  <c r="AE113" i="22" s="1"/>
  <c r="AF113" i="22" s="1"/>
  <c r="AG113" i="22" s="1"/>
  <c r="O108" i="22"/>
  <c r="P108" i="22" s="1"/>
  <c r="Q108" i="22" s="1"/>
  <c r="R108" i="22" s="1"/>
  <c r="S108" i="22" s="1"/>
  <c r="T108" i="22" s="1"/>
  <c r="U108" i="22" s="1"/>
  <c r="V108" i="22" s="1"/>
  <c r="W108" i="22" s="1"/>
  <c r="X108" i="22" s="1"/>
  <c r="Y108" i="22" s="1"/>
  <c r="Z108" i="22" s="1"/>
  <c r="AA108" i="22" s="1"/>
  <c r="AB108" i="22" s="1"/>
  <c r="AC108" i="22" s="1"/>
  <c r="AD108" i="22" s="1"/>
  <c r="AE108" i="22" s="1"/>
  <c r="AF108" i="22" s="1"/>
  <c r="AG108" i="22" s="1"/>
  <c r="AI106" i="22"/>
  <c r="AJ106" i="22" s="1"/>
  <c r="AK106" i="22" s="1"/>
  <c r="AL106" i="22" s="1"/>
  <c r="AM106" i="22" s="1"/>
  <c r="AN106" i="22" s="1"/>
  <c r="AO106" i="22" s="1"/>
  <c r="AP106" i="22" s="1"/>
  <c r="AQ106" i="22" s="1"/>
  <c r="AR106" i="22" s="1"/>
  <c r="AS106" i="22" s="1"/>
  <c r="AT106" i="22" s="1"/>
  <c r="AU106" i="22" s="1"/>
  <c r="AV106" i="22" s="1"/>
  <c r="AW106" i="22" s="1"/>
  <c r="AX106" i="22" s="1"/>
  <c r="AY106" i="22" s="1"/>
  <c r="AZ106" i="22" s="1"/>
  <c r="BA106" i="22" s="1"/>
  <c r="BB106" i="22" s="1"/>
  <c r="BC106" i="22" s="1"/>
  <c r="BD106" i="22" s="1"/>
  <c r="BE106" i="22" s="1"/>
  <c r="AI103" i="22"/>
  <c r="AJ103" i="22" s="1"/>
  <c r="AK103" i="22" s="1"/>
  <c r="AL103" i="22" s="1"/>
  <c r="AM103" i="22" s="1"/>
  <c r="AN103" i="22" s="1"/>
  <c r="AO103" i="22" s="1"/>
  <c r="AP103" i="22" s="1"/>
  <c r="AQ103" i="22" s="1"/>
  <c r="AR103" i="22" s="1"/>
  <c r="AS103" i="22" s="1"/>
  <c r="AT103" i="22" s="1"/>
  <c r="AU103" i="22" s="1"/>
  <c r="AV103" i="22" s="1"/>
  <c r="AW103" i="22" s="1"/>
  <c r="AX103" i="22" s="1"/>
  <c r="AY103" i="22" s="1"/>
  <c r="AZ103" i="22" s="1"/>
  <c r="BA103" i="22" s="1"/>
  <c r="BB103" i="22" s="1"/>
  <c r="BC103" i="22" s="1"/>
  <c r="BD103" i="22" s="1"/>
  <c r="BE103" i="22" s="1"/>
  <c r="AI101" i="22"/>
  <c r="AJ101" i="22" s="1"/>
  <c r="AK101" i="22" s="1"/>
  <c r="AL101" i="22" s="1"/>
  <c r="AM101" i="22" s="1"/>
  <c r="AN101" i="22" s="1"/>
  <c r="AO101" i="22" s="1"/>
  <c r="AP101" i="22" s="1"/>
  <c r="AQ101" i="22" s="1"/>
  <c r="AR101" i="22" s="1"/>
  <c r="AS101" i="22" s="1"/>
  <c r="AT101" i="22" s="1"/>
  <c r="AU101" i="22" s="1"/>
  <c r="AV101" i="22" s="1"/>
  <c r="AW101" i="22" s="1"/>
  <c r="AX101" i="22" s="1"/>
  <c r="AY101" i="22" s="1"/>
  <c r="AZ101" i="22" s="1"/>
  <c r="BA101" i="22" s="1"/>
  <c r="BB101" i="22" s="1"/>
  <c r="BC101" i="22" s="1"/>
  <c r="BD101" i="22" s="1"/>
  <c r="BE101" i="22" s="1"/>
  <c r="AI99" i="22"/>
  <c r="AJ99" i="22" s="1"/>
  <c r="AK99" i="22" s="1"/>
  <c r="AL99" i="22" s="1"/>
  <c r="AM99" i="22" s="1"/>
  <c r="AN99" i="22" s="1"/>
  <c r="AO99" i="22" s="1"/>
  <c r="AP99" i="22" s="1"/>
  <c r="AQ99" i="22" s="1"/>
  <c r="AR99" i="22" s="1"/>
  <c r="AS99" i="22" s="1"/>
  <c r="AT99" i="22" s="1"/>
  <c r="AU99" i="22" s="1"/>
  <c r="AV99" i="22" s="1"/>
  <c r="AW99" i="22" s="1"/>
  <c r="AX99" i="22" s="1"/>
  <c r="AY99" i="22" s="1"/>
  <c r="AZ99" i="22" s="1"/>
  <c r="BA99" i="22" s="1"/>
  <c r="BB99" i="22" s="1"/>
  <c r="BC99" i="22" s="1"/>
  <c r="BD99" i="22" s="1"/>
  <c r="BE99" i="22" s="1"/>
  <c r="AI97" i="22"/>
  <c r="AJ97" i="22" s="1"/>
  <c r="AK97" i="22" s="1"/>
  <c r="AL97" i="22" s="1"/>
  <c r="AM97" i="22" s="1"/>
  <c r="AN97" i="22" s="1"/>
  <c r="AO97" i="22" s="1"/>
  <c r="AP97" i="22" s="1"/>
  <c r="AQ97" i="22" s="1"/>
  <c r="AR97" i="22" s="1"/>
  <c r="AS97" i="22" s="1"/>
  <c r="AT97" i="22" s="1"/>
  <c r="AU97" i="22" s="1"/>
  <c r="AV97" i="22" s="1"/>
  <c r="AW97" i="22" s="1"/>
  <c r="AX97" i="22" s="1"/>
  <c r="AY97" i="22" s="1"/>
  <c r="AZ97" i="22" s="1"/>
  <c r="BA97" i="22" s="1"/>
  <c r="BB97" i="22" s="1"/>
  <c r="BC97" i="22" s="1"/>
  <c r="BD97" i="22" s="1"/>
  <c r="BE97" i="22" s="1"/>
  <c r="AI95" i="22"/>
  <c r="AJ95" i="22" s="1"/>
  <c r="AK95" i="22" s="1"/>
  <c r="AL95" i="22" s="1"/>
  <c r="AM95" i="22" s="1"/>
  <c r="AN95" i="22" s="1"/>
  <c r="AO95" i="22" s="1"/>
  <c r="AP95" i="22" s="1"/>
  <c r="AQ95" i="22" s="1"/>
  <c r="AR95" i="22" s="1"/>
  <c r="AS95" i="22" s="1"/>
  <c r="AT95" i="22" s="1"/>
  <c r="AU95" i="22" s="1"/>
  <c r="AV95" i="22" s="1"/>
  <c r="AW95" i="22" s="1"/>
  <c r="AX95" i="22" s="1"/>
  <c r="AY95" i="22" s="1"/>
  <c r="AZ95" i="22" s="1"/>
  <c r="BA95" i="22" s="1"/>
  <c r="BB95" i="22" s="1"/>
  <c r="BC95" i="22" s="1"/>
  <c r="BD95" i="22" s="1"/>
  <c r="BE95" i="22" s="1"/>
  <c r="AI93" i="22"/>
  <c r="AJ93" i="22" s="1"/>
  <c r="AK93" i="22" s="1"/>
  <c r="AL93" i="22" s="1"/>
  <c r="AM93" i="22" s="1"/>
  <c r="AN93" i="22" s="1"/>
  <c r="AO93" i="22" s="1"/>
  <c r="AP93" i="22" s="1"/>
  <c r="AQ93" i="22" s="1"/>
  <c r="AR93" i="22" s="1"/>
  <c r="AS93" i="22" s="1"/>
  <c r="AT93" i="22" s="1"/>
  <c r="AU93" i="22" s="1"/>
  <c r="AV93" i="22" s="1"/>
  <c r="AW93" i="22" s="1"/>
  <c r="AX93" i="22" s="1"/>
  <c r="AY93" i="22" s="1"/>
  <c r="AZ93" i="22" s="1"/>
  <c r="BA93" i="22" s="1"/>
  <c r="BB93" i="22" s="1"/>
  <c r="BC93" i="22" s="1"/>
  <c r="BD93" i="22" s="1"/>
  <c r="BE93" i="22" s="1"/>
  <c r="AI91" i="22"/>
  <c r="AJ91" i="22" s="1"/>
  <c r="AK91" i="22" s="1"/>
  <c r="AL91" i="22" s="1"/>
  <c r="AM91" i="22" s="1"/>
  <c r="AN91" i="22" s="1"/>
  <c r="AO91" i="22" s="1"/>
  <c r="AP91" i="22" s="1"/>
  <c r="AQ91" i="22" s="1"/>
  <c r="AR91" i="22" s="1"/>
  <c r="AS91" i="22" s="1"/>
  <c r="AT91" i="22" s="1"/>
  <c r="AU91" i="22" s="1"/>
  <c r="AV91" i="22" s="1"/>
  <c r="AW91" i="22" s="1"/>
  <c r="AX91" i="22" s="1"/>
  <c r="AY91" i="22" s="1"/>
  <c r="AZ91" i="22" s="1"/>
  <c r="BA91" i="22" s="1"/>
  <c r="BB91" i="22" s="1"/>
  <c r="BC91" i="22" s="1"/>
  <c r="BD91" i="22" s="1"/>
  <c r="BE91" i="22" s="1"/>
  <c r="AI89" i="22"/>
  <c r="AJ89" i="22" s="1"/>
  <c r="AK89" i="22" s="1"/>
  <c r="AL89" i="22" s="1"/>
  <c r="AM89" i="22" s="1"/>
  <c r="AN89" i="22" s="1"/>
  <c r="AO89" i="22" s="1"/>
  <c r="AP89" i="22" s="1"/>
  <c r="AQ89" i="22" s="1"/>
  <c r="AR89" i="22" s="1"/>
  <c r="AS89" i="22" s="1"/>
  <c r="AT89" i="22" s="1"/>
  <c r="AU89" i="22" s="1"/>
  <c r="AV89" i="22" s="1"/>
  <c r="AW89" i="22" s="1"/>
  <c r="AX89" i="22" s="1"/>
  <c r="AY89" i="22" s="1"/>
  <c r="AZ89" i="22" s="1"/>
  <c r="BA89" i="22" s="1"/>
  <c r="BB89" i="22" s="1"/>
  <c r="BC89" i="22" s="1"/>
  <c r="BD89" i="22" s="1"/>
  <c r="BE89" i="22" s="1"/>
  <c r="AI87" i="22"/>
  <c r="AJ87" i="22" s="1"/>
  <c r="AK87" i="22" s="1"/>
  <c r="AL87" i="22" s="1"/>
  <c r="AM87" i="22" s="1"/>
  <c r="AN87" i="22" s="1"/>
  <c r="AO87" i="22" s="1"/>
  <c r="AP87" i="22" s="1"/>
  <c r="AQ87" i="22" s="1"/>
  <c r="AR87" i="22" s="1"/>
  <c r="AS87" i="22" s="1"/>
  <c r="AT87" i="22" s="1"/>
  <c r="AU87" i="22" s="1"/>
  <c r="AV87" i="22" s="1"/>
  <c r="AW87" i="22" s="1"/>
  <c r="AX87" i="22" s="1"/>
  <c r="AY87" i="22" s="1"/>
  <c r="AZ87" i="22" s="1"/>
  <c r="BA87" i="22" s="1"/>
  <c r="BB87" i="22" s="1"/>
  <c r="BC87" i="22" s="1"/>
  <c r="BD87" i="22" s="1"/>
  <c r="BE87" i="22" s="1"/>
  <c r="AH74" i="22"/>
  <c r="AH49" i="22"/>
  <c r="AI281" i="22"/>
  <c r="AJ281" i="22" s="1"/>
  <c r="AK281" i="22" s="1"/>
  <c r="AL281" i="22" s="1"/>
  <c r="AM281" i="22" s="1"/>
  <c r="AN281" i="22" s="1"/>
  <c r="AO281" i="22" s="1"/>
  <c r="AP281" i="22" s="1"/>
  <c r="AQ281" i="22" s="1"/>
  <c r="AR281" i="22" s="1"/>
  <c r="AS281" i="22" s="1"/>
  <c r="AT281" i="22" s="1"/>
  <c r="AU281" i="22" s="1"/>
  <c r="AV281" i="22" s="1"/>
  <c r="AW281" i="22" s="1"/>
  <c r="AX281" i="22" s="1"/>
  <c r="AY281" i="22" s="1"/>
  <c r="AZ281" i="22" s="1"/>
  <c r="BA281" i="22" s="1"/>
  <c r="BB281" i="22" s="1"/>
  <c r="BC281" i="22" s="1"/>
  <c r="BD281" i="22" s="1"/>
  <c r="BE281" i="22" s="1"/>
  <c r="O241" i="22"/>
  <c r="P241" i="22" s="1"/>
  <c r="Q241" i="22" s="1"/>
  <c r="R241" i="22" s="1"/>
  <c r="S241" i="22" s="1"/>
  <c r="T241" i="22" s="1"/>
  <c r="U241" i="22" s="1"/>
  <c r="V241" i="22" s="1"/>
  <c r="W241" i="22" s="1"/>
  <c r="X241" i="22" s="1"/>
  <c r="Y241" i="22" s="1"/>
  <c r="Z241" i="22" s="1"/>
  <c r="AA241" i="22" s="1"/>
  <c r="AB241" i="22" s="1"/>
  <c r="AC241" i="22" s="1"/>
  <c r="AD241" i="22" s="1"/>
  <c r="AE241" i="22" s="1"/>
  <c r="AF241" i="22" s="1"/>
  <c r="AG241" i="22" s="1"/>
  <c r="O232" i="22"/>
  <c r="P232" i="22" s="1"/>
  <c r="Q232" i="22" s="1"/>
  <c r="R232" i="22" s="1"/>
  <c r="S232" i="22" s="1"/>
  <c r="T232" i="22" s="1"/>
  <c r="U232" i="22" s="1"/>
  <c r="V232" i="22" s="1"/>
  <c r="W232" i="22" s="1"/>
  <c r="X232" i="22" s="1"/>
  <c r="Y232" i="22" s="1"/>
  <c r="Z232" i="22" s="1"/>
  <c r="AA232" i="22" s="1"/>
  <c r="AB232" i="22" s="1"/>
  <c r="AC232" i="22" s="1"/>
  <c r="AD232" i="22" s="1"/>
  <c r="AE232" i="22" s="1"/>
  <c r="AF232" i="22" s="1"/>
  <c r="AG232" i="22" s="1"/>
  <c r="O209" i="22"/>
  <c r="P209" i="22" s="1"/>
  <c r="Q209" i="22" s="1"/>
  <c r="R209" i="22" s="1"/>
  <c r="S209" i="22" s="1"/>
  <c r="T209" i="22" s="1"/>
  <c r="U209" i="22" s="1"/>
  <c r="V209" i="22" s="1"/>
  <c r="W209" i="22" s="1"/>
  <c r="X209" i="22" s="1"/>
  <c r="Y209" i="22" s="1"/>
  <c r="Z209" i="22" s="1"/>
  <c r="AA209" i="22" s="1"/>
  <c r="AB209" i="22" s="1"/>
  <c r="AC209" i="22" s="1"/>
  <c r="AD209" i="22" s="1"/>
  <c r="AE209" i="22" s="1"/>
  <c r="AF209" i="22" s="1"/>
  <c r="AG209" i="22" s="1"/>
  <c r="AI196" i="22"/>
  <c r="AJ196" i="22" s="1"/>
  <c r="AK196" i="22" s="1"/>
  <c r="AL196" i="22" s="1"/>
  <c r="AM196" i="22" s="1"/>
  <c r="AN196" i="22" s="1"/>
  <c r="AO196" i="22" s="1"/>
  <c r="AP196" i="22" s="1"/>
  <c r="AQ196" i="22" s="1"/>
  <c r="AR196" i="22" s="1"/>
  <c r="AS196" i="22" s="1"/>
  <c r="AT196" i="22" s="1"/>
  <c r="AU196" i="22" s="1"/>
  <c r="AV196" i="22" s="1"/>
  <c r="AW196" i="22" s="1"/>
  <c r="AX196" i="22" s="1"/>
  <c r="AY196" i="22" s="1"/>
  <c r="AZ196" i="22" s="1"/>
  <c r="BA196" i="22" s="1"/>
  <c r="BB196" i="22" s="1"/>
  <c r="BC196" i="22" s="1"/>
  <c r="BD196" i="22" s="1"/>
  <c r="BE196" i="22" s="1"/>
  <c r="O181" i="22"/>
  <c r="P181" i="22" s="1"/>
  <c r="Q181" i="22" s="1"/>
  <c r="R181" i="22" s="1"/>
  <c r="S181" i="22" s="1"/>
  <c r="T181" i="22" s="1"/>
  <c r="U181" i="22" s="1"/>
  <c r="V181" i="22" s="1"/>
  <c r="W181" i="22" s="1"/>
  <c r="X181" i="22" s="1"/>
  <c r="Y181" i="22" s="1"/>
  <c r="Z181" i="22" s="1"/>
  <c r="AA181" i="22" s="1"/>
  <c r="AB181" i="22" s="1"/>
  <c r="AC181" i="22" s="1"/>
  <c r="AD181" i="22" s="1"/>
  <c r="AE181" i="22" s="1"/>
  <c r="AF181" i="22" s="1"/>
  <c r="AG181" i="22" s="1"/>
  <c r="O169" i="22"/>
  <c r="P169" i="22" s="1"/>
  <c r="Q169" i="22" s="1"/>
  <c r="R169" i="22" s="1"/>
  <c r="S169" i="22" s="1"/>
  <c r="T169" i="22" s="1"/>
  <c r="U169" i="22" s="1"/>
  <c r="V169" i="22" s="1"/>
  <c r="W169" i="22" s="1"/>
  <c r="X169" i="22" s="1"/>
  <c r="Y169" i="22" s="1"/>
  <c r="Z169" i="22" s="1"/>
  <c r="AA169" i="22" s="1"/>
  <c r="AB169" i="22" s="1"/>
  <c r="AC169" i="22" s="1"/>
  <c r="AD169" i="22" s="1"/>
  <c r="AE169" i="22" s="1"/>
  <c r="AF169" i="22" s="1"/>
  <c r="AG169" i="22" s="1"/>
  <c r="O157" i="22"/>
  <c r="P157" i="22" s="1"/>
  <c r="Q157" i="22" s="1"/>
  <c r="R157" i="22" s="1"/>
  <c r="S157" i="22" s="1"/>
  <c r="T157" i="22" s="1"/>
  <c r="U157" i="22" s="1"/>
  <c r="V157" i="22" s="1"/>
  <c r="W157" i="22" s="1"/>
  <c r="X157" i="22" s="1"/>
  <c r="Y157" i="22" s="1"/>
  <c r="Z157" i="22" s="1"/>
  <c r="AA157" i="22" s="1"/>
  <c r="AB157" i="22" s="1"/>
  <c r="AC157" i="22" s="1"/>
  <c r="AD157" i="22" s="1"/>
  <c r="AE157" i="22" s="1"/>
  <c r="AF157" i="22" s="1"/>
  <c r="AG157" i="22" s="1"/>
  <c r="O142" i="22"/>
  <c r="P142" i="22" s="1"/>
  <c r="Q142" i="22" s="1"/>
  <c r="R142" i="22" s="1"/>
  <c r="S142" i="22" s="1"/>
  <c r="T142" i="22" s="1"/>
  <c r="U142" i="22" s="1"/>
  <c r="V142" i="22" s="1"/>
  <c r="W142" i="22" s="1"/>
  <c r="X142" i="22" s="1"/>
  <c r="Y142" i="22" s="1"/>
  <c r="Z142" i="22" s="1"/>
  <c r="AA142" i="22" s="1"/>
  <c r="AB142" i="22" s="1"/>
  <c r="AC142" i="22" s="1"/>
  <c r="AD142" i="22" s="1"/>
  <c r="AE142" i="22" s="1"/>
  <c r="AF142" i="22" s="1"/>
  <c r="AG142" i="22" s="1"/>
  <c r="O127" i="22"/>
  <c r="P127" i="22" s="1"/>
  <c r="Q127" i="22" s="1"/>
  <c r="R127" i="22" s="1"/>
  <c r="S127" i="22" s="1"/>
  <c r="T127" i="22" s="1"/>
  <c r="U127" i="22" s="1"/>
  <c r="V127" i="22" s="1"/>
  <c r="W127" i="22" s="1"/>
  <c r="X127" i="22" s="1"/>
  <c r="Y127" i="22" s="1"/>
  <c r="Z127" i="22" s="1"/>
  <c r="AA127" i="22" s="1"/>
  <c r="AB127" i="22" s="1"/>
  <c r="AC127" i="22" s="1"/>
  <c r="AD127" i="22" s="1"/>
  <c r="AE127" i="22" s="1"/>
  <c r="AF127" i="22" s="1"/>
  <c r="AG127" i="22" s="1"/>
  <c r="O122" i="22"/>
  <c r="P122" i="22" s="1"/>
  <c r="Q122" i="22" s="1"/>
  <c r="R122" i="22" s="1"/>
  <c r="S122" i="22" s="1"/>
  <c r="T122" i="22" s="1"/>
  <c r="U122" i="22" s="1"/>
  <c r="V122" i="22" s="1"/>
  <c r="W122" i="22" s="1"/>
  <c r="X122" i="22" s="1"/>
  <c r="Y122" i="22" s="1"/>
  <c r="Z122" i="22" s="1"/>
  <c r="AA122" i="22" s="1"/>
  <c r="AB122" i="22" s="1"/>
  <c r="AC122" i="22" s="1"/>
  <c r="AD122" i="22" s="1"/>
  <c r="AE122" i="22" s="1"/>
  <c r="AF122" i="22" s="1"/>
  <c r="AG122" i="22" s="1"/>
  <c r="AI120" i="22"/>
  <c r="AJ120" i="22" s="1"/>
  <c r="AK120" i="22" s="1"/>
  <c r="AL120" i="22" s="1"/>
  <c r="AM120" i="22" s="1"/>
  <c r="AN120" i="22" s="1"/>
  <c r="AO120" i="22" s="1"/>
  <c r="AP120" i="22" s="1"/>
  <c r="AQ120" i="22" s="1"/>
  <c r="AR120" i="22" s="1"/>
  <c r="AS120" i="22" s="1"/>
  <c r="AT120" i="22" s="1"/>
  <c r="AU120" i="22" s="1"/>
  <c r="AV120" i="22" s="1"/>
  <c r="AW120" i="22" s="1"/>
  <c r="AX120" i="22" s="1"/>
  <c r="AY120" i="22" s="1"/>
  <c r="AZ120" i="22" s="1"/>
  <c r="BA120" i="22" s="1"/>
  <c r="BB120" i="22" s="1"/>
  <c r="BC120" i="22" s="1"/>
  <c r="BD120" i="22" s="1"/>
  <c r="BE120" i="22" s="1"/>
  <c r="AI115" i="22"/>
  <c r="AJ115" i="22" s="1"/>
  <c r="AK115" i="22" s="1"/>
  <c r="AL115" i="22" s="1"/>
  <c r="AM115" i="22" s="1"/>
  <c r="AN115" i="22" s="1"/>
  <c r="AO115" i="22" s="1"/>
  <c r="AP115" i="22" s="1"/>
  <c r="AQ115" i="22" s="1"/>
  <c r="AR115" i="22" s="1"/>
  <c r="AS115" i="22" s="1"/>
  <c r="AT115" i="22" s="1"/>
  <c r="AU115" i="22" s="1"/>
  <c r="AV115" i="22" s="1"/>
  <c r="AW115" i="22" s="1"/>
  <c r="AX115" i="22" s="1"/>
  <c r="AY115" i="22" s="1"/>
  <c r="AZ115" i="22" s="1"/>
  <c r="BA115" i="22" s="1"/>
  <c r="BB115" i="22" s="1"/>
  <c r="BC115" i="22" s="1"/>
  <c r="BD115" i="22" s="1"/>
  <c r="BE115" i="22" s="1"/>
  <c r="O104" i="22"/>
  <c r="P104" i="22" s="1"/>
  <c r="Q104" i="22" s="1"/>
  <c r="R104" i="22" s="1"/>
  <c r="S104" i="22" s="1"/>
  <c r="T104" i="22" s="1"/>
  <c r="U104" i="22" s="1"/>
  <c r="V104" i="22" s="1"/>
  <c r="W104" i="22" s="1"/>
  <c r="X104" i="22" s="1"/>
  <c r="Y104" i="22" s="1"/>
  <c r="Z104" i="22" s="1"/>
  <c r="AA104" i="22" s="1"/>
  <c r="AB104" i="22" s="1"/>
  <c r="AC104" i="22" s="1"/>
  <c r="AD104" i="22" s="1"/>
  <c r="AE104" i="22" s="1"/>
  <c r="AF104" i="22" s="1"/>
  <c r="AG104" i="22" s="1"/>
  <c r="O102" i="22"/>
  <c r="P102" i="22" s="1"/>
  <c r="Q102" i="22" s="1"/>
  <c r="R102" i="22" s="1"/>
  <c r="S102" i="22" s="1"/>
  <c r="T102" i="22" s="1"/>
  <c r="U102" i="22" s="1"/>
  <c r="V102" i="22" s="1"/>
  <c r="W102" i="22" s="1"/>
  <c r="X102" i="22" s="1"/>
  <c r="Y102" i="22" s="1"/>
  <c r="Z102" i="22" s="1"/>
  <c r="AA102" i="22" s="1"/>
  <c r="AB102" i="22" s="1"/>
  <c r="AC102" i="22" s="1"/>
  <c r="AD102" i="22" s="1"/>
  <c r="AE102" i="22" s="1"/>
  <c r="AF102" i="22" s="1"/>
  <c r="AG102" i="22" s="1"/>
  <c r="O100" i="22"/>
  <c r="P100" i="22" s="1"/>
  <c r="Q100" i="22" s="1"/>
  <c r="R100" i="22" s="1"/>
  <c r="S100" i="22" s="1"/>
  <c r="T100" i="22" s="1"/>
  <c r="U100" i="22" s="1"/>
  <c r="V100" i="22" s="1"/>
  <c r="W100" i="22" s="1"/>
  <c r="X100" i="22" s="1"/>
  <c r="Y100" i="22" s="1"/>
  <c r="Z100" i="22" s="1"/>
  <c r="AA100" i="22" s="1"/>
  <c r="AB100" i="22" s="1"/>
  <c r="AC100" i="22" s="1"/>
  <c r="AD100" i="22" s="1"/>
  <c r="AE100" i="22" s="1"/>
  <c r="AF100" i="22" s="1"/>
  <c r="AG100" i="22" s="1"/>
  <c r="O98" i="22"/>
  <c r="P98" i="22" s="1"/>
  <c r="Q98" i="22" s="1"/>
  <c r="R98" i="22" s="1"/>
  <c r="S98" i="22" s="1"/>
  <c r="T98" i="22" s="1"/>
  <c r="U98" i="22" s="1"/>
  <c r="V98" i="22" s="1"/>
  <c r="W98" i="22" s="1"/>
  <c r="X98" i="22" s="1"/>
  <c r="Y98" i="22" s="1"/>
  <c r="Z98" i="22" s="1"/>
  <c r="AA98" i="22" s="1"/>
  <c r="AB98" i="22" s="1"/>
  <c r="AC98" i="22" s="1"/>
  <c r="AD98" i="22" s="1"/>
  <c r="AE98" i="22" s="1"/>
  <c r="AF98" i="22" s="1"/>
  <c r="AG98" i="22" s="1"/>
  <c r="O96" i="22"/>
  <c r="P96" i="22" s="1"/>
  <c r="Q96" i="22" s="1"/>
  <c r="R96" i="22" s="1"/>
  <c r="S96" i="22" s="1"/>
  <c r="T96" i="22" s="1"/>
  <c r="U96" i="22" s="1"/>
  <c r="V96" i="22" s="1"/>
  <c r="W96" i="22" s="1"/>
  <c r="X96" i="22" s="1"/>
  <c r="Y96" i="22" s="1"/>
  <c r="Z96" i="22" s="1"/>
  <c r="AA96" i="22" s="1"/>
  <c r="AB96" i="22" s="1"/>
  <c r="AC96" i="22" s="1"/>
  <c r="AD96" i="22" s="1"/>
  <c r="AE96" i="22" s="1"/>
  <c r="AF96" i="22" s="1"/>
  <c r="AG96" i="22" s="1"/>
  <c r="O94" i="22"/>
  <c r="P94" i="22" s="1"/>
  <c r="Q94" i="22" s="1"/>
  <c r="R94" i="22" s="1"/>
  <c r="S94" i="22" s="1"/>
  <c r="T94" i="22" s="1"/>
  <c r="U94" i="22" s="1"/>
  <c r="V94" i="22" s="1"/>
  <c r="W94" i="22" s="1"/>
  <c r="X94" i="22" s="1"/>
  <c r="Y94" i="22" s="1"/>
  <c r="Z94" i="22" s="1"/>
  <c r="AA94" i="22" s="1"/>
  <c r="AB94" i="22" s="1"/>
  <c r="AC94" i="22" s="1"/>
  <c r="AD94" i="22" s="1"/>
  <c r="AE94" i="22" s="1"/>
  <c r="AF94" i="22" s="1"/>
  <c r="AG94" i="22" s="1"/>
  <c r="O92" i="22"/>
  <c r="P92" i="22" s="1"/>
  <c r="Q92" i="22" s="1"/>
  <c r="R92" i="22" s="1"/>
  <c r="S92" i="22" s="1"/>
  <c r="T92" i="22" s="1"/>
  <c r="U92" i="22" s="1"/>
  <c r="V92" i="22" s="1"/>
  <c r="W92" i="22" s="1"/>
  <c r="X92" i="22" s="1"/>
  <c r="Y92" i="22" s="1"/>
  <c r="Z92" i="22" s="1"/>
  <c r="AA92" i="22" s="1"/>
  <c r="AB92" i="22" s="1"/>
  <c r="AC92" i="22" s="1"/>
  <c r="AD92" i="22" s="1"/>
  <c r="AE92" i="22" s="1"/>
  <c r="AF92" i="22" s="1"/>
  <c r="AG92" i="22" s="1"/>
  <c r="O90" i="22"/>
  <c r="P90" i="22" s="1"/>
  <c r="Q90" i="22" s="1"/>
  <c r="R90" i="22" s="1"/>
  <c r="S90" i="22" s="1"/>
  <c r="T90" i="22" s="1"/>
  <c r="U90" i="22" s="1"/>
  <c r="V90" i="22" s="1"/>
  <c r="W90" i="22" s="1"/>
  <c r="X90" i="22" s="1"/>
  <c r="Y90" i="22" s="1"/>
  <c r="Z90" i="22" s="1"/>
  <c r="AA90" i="22" s="1"/>
  <c r="AB90" i="22" s="1"/>
  <c r="AC90" i="22" s="1"/>
  <c r="AD90" i="22" s="1"/>
  <c r="AE90" i="22" s="1"/>
  <c r="AF90" i="22" s="1"/>
  <c r="AG90" i="22" s="1"/>
  <c r="O88" i="22"/>
  <c r="P88" i="22" s="1"/>
  <c r="Q88" i="22" s="1"/>
  <c r="R88" i="22" s="1"/>
  <c r="S88" i="22" s="1"/>
  <c r="T88" i="22" s="1"/>
  <c r="U88" i="22" s="1"/>
  <c r="V88" i="22" s="1"/>
  <c r="W88" i="22" s="1"/>
  <c r="X88" i="22" s="1"/>
  <c r="Y88" i="22" s="1"/>
  <c r="Z88" i="22" s="1"/>
  <c r="AA88" i="22" s="1"/>
  <c r="AB88" i="22" s="1"/>
  <c r="AC88" i="22" s="1"/>
  <c r="AD88" i="22" s="1"/>
  <c r="AE88" i="22" s="1"/>
  <c r="AF88" i="22" s="1"/>
  <c r="AG88" i="22" s="1"/>
  <c r="O86" i="22"/>
  <c r="P86" i="22" s="1"/>
  <c r="Q86" i="22" s="1"/>
  <c r="R86" i="22" s="1"/>
  <c r="S86" i="22" s="1"/>
  <c r="T86" i="22" s="1"/>
  <c r="U86" i="22" s="1"/>
  <c r="V86" i="22" s="1"/>
  <c r="W86" i="22" s="1"/>
  <c r="X86" i="22" s="1"/>
  <c r="Y86" i="22" s="1"/>
  <c r="Z86" i="22" s="1"/>
  <c r="AA86" i="22" s="1"/>
  <c r="AB86" i="22" s="1"/>
  <c r="AC86" i="22" s="1"/>
  <c r="AD86" i="22" s="1"/>
  <c r="AE86" i="22" s="1"/>
  <c r="AF86" i="22" s="1"/>
  <c r="AG86" i="22" s="1"/>
  <c r="AH78" i="22"/>
  <c r="AI174" i="22"/>
  <c r="AJ174" i="22" s="1"/>
  <c r="AK174" i="22" s="1"/>
  <c r="AL174" i="22" s="1"/>
  <c r="AM174" i="22" s="1"/>
  <c r="AN174" i="22" s="1"/>
  <c r="AO174" i="22" s="1"/>
  <c r="AP174" i="22" s="1"/>
  <c r="AQ174" i="22" s="1"/>
  <c r="AR174" i="22" s="1"/>
  <c r="AS174" i="22" s="1"/>
  <c r="AT174" i="22" s="1"/>
  <c r="AU174" i="22" s="1"/>
  <c r="AV174" i="22" s="1"/>
  <c r="AW174" i="22" s="1"/>
  <c r="AX174" i="22" s="1"/>
  <c r="AY174" i="22" s="1"/>
  <c r="AZ174" i="22" s="1"/>
  <c r="BA174" i="22" s="1"/>
  <c r="BB174" i="22" s="1"/>
  <c r="BC174" i="22" s="1"/>
  <c r="BD174" i="22" s="1"/>
  <c r="BE174" i="22" s="1"/>
  <c r="O235" i="22"/>
  <c r="P235" i="22" s="1"/>
  <c r="Q235" i="22" s="1"/>
  <c r="R235" i="22" s="1"/>
  <c r="S235" i="22" s="1"/>
  <c r="T235" i="22" s="1"/>
  <c r="U235" i="22" s="1"/>
  <c r="V235" i="22" s="1"/>
  <c r="W235" i="22" s="1"/>
  <c r="X235" i="22" s="1"/>
  <c r="Y235" i="22" s="1"/>
  <c r="Z235" i="22" s="1"/>
  <c r="AA235" i="22" s="1"/>
  <c r="AB235" i="22" s="1"/>
  <c r="AC235" i="22" s="1"/>
  <c r="AD235" i="22" s="1"/>
  <c r="AE235" i="22" s="1"/>
  <c r="AF235" i="22" s="1"/>
  <c r="AG235" i="22" s="1"/>
  <c r="AI215" i="22"/>
  <c r="AJ215" i="22" s="1"/>
  <c r="AK215" i="22" s="1"/>
  <c r="AL215" i="22" s="1"/>
  <c r="AM215" i="22" s="1"/>
  <c r="AN215" i="22" s="1"/>
  <c r="AO215" i="22" s="1"/>
  <c r="AP215" i="22" s="1"/>
  <c r="AQ215" i="22" s="1"/>
  <c r="AR215" i="22" s="1"/>
  <c r="AS215" i="22" s="1"/>
  <c r="AT215" i="22" s="1"/>
  <c r="AU215" i="22" s="1"/>
  <c r="AV215" i="22" s="1"/>
  <c r="AW215" i="22" s="1"/>
  <c r="AX215" i="22" s="1"/>
  <c r="AY215" i="22" s="1"/>
  <c r="AZ215" i="22" s="1"/>
  <c r="BA215" i="22" s="1"/>
  <c r="BB215" i="22" s="1"/>
  <c r="BC215" i="22" s="1"/>
  <c r="BD215" i="22" s="1"/>
  <c r="BE215" i="22" s="1"/>
  <c r="O212" i="22"/>
  <c r="P212" i="22" s="1"/>
  <c r="Q212" i="22" s="1"/>
  <c r="R212" i="22" s="1"/>
  <c r="S212" i="22" s="1"/>
  <c r="T212" i="22" s="1"/>
  <c r="U212" i="22" s="1"/>
  <c r="V212" i="22" s="1"/>
  <c r="W212" i="22" s="1"/>
  <c r="X212" i="22" s="1"/>
  <c r="Y212" i="22" s="1"/>
  <c r="Z212" i="22" s="1"/>
  <c r="AA212" i="22" s="1"/>
  <c r="AB212" i="22" s="1"/>
  <c r="AC212" i="22" s="1"/>
  <c r="AD212" i="22" s="1"/>
  <c r="AE212" i="22" s="1"/>
  <c r="AF212" i="22" s="1"/>
  <c r="AG212" i="22" s="1"/>
  <c r="AI176" i="22"/>
  <c r="AJ176" i="22" s="1"/>
  <c r="AK176" i="22" s="1"/>
  <c r="AL176" i="22" s="1"/>
  <c r="AM176" i="22" s="1"/>
  <c r="AN176" i="22" s="1"/>
  <c r="AO176" i="22" s="1"/>
  <c r="AP176" i="22" s="1"/>
  <c r="AQ176" i="22" s="1"/>
  <c r="AR176" i="22" s="1"/>
  <c r="AS176" i="22" s="1"/>
  <c r="AT176" i="22" s="1"/>
  <c r="AU176" i="22" s="1"/>
  <c r="AV176" i="22" s="1"/>
  <c r="AW176" i="22" s="1"/>
  <c r="AX176" i="22" s="1"/>
  <c r="AY176" i="22" s="1"/>
  <c r="AZ176" i="22" s="1"/>
  <c r="BA176" i="22" s="1"/>
  <c r="BB176" i="22" s="1"/>
  <c r="BC176" i="22" s="1"/>
  <c r="BD176" i="22" s="1"/>
  <c r="BE176" i="22" s="1"/>
  <c r="O134" i="22"/>
  <c r="P134" i="22" s="1"/>
  <c r="Q134" i="22" s="1"/>
  <c r="R134" i="22" s="1"/>
  <c r="S134" i="22" s="1"/>
  <c r="T134" i="22" s="1"/>
  <c r="U134" i="22" s="1"/>
  <c r="V134" i="22" s="1"/>
  <c r="W134" i="22" s="1"/>
  <c r="X134" i="22" s="1"/>
  <c r="Y134" i="22" s="1"/>
  <c r="Z134" i="22" s="1"/>
  <c r="AA134" i="22" s="1"/>
  <c r="AB134" i="22" s="1"/>
  <c r="AC134" i="22" s="1"/>
  <c r="AD134" i="22" s="1"/>
  <c r="AE134" i="22" s="1"/>
  <c r="AF134" i="22" s="1"/>
  <c r="AG134" i="22" s="1"/>
  <c r="O130" i="22"/>
  <c r="P130" i="22" s="1"/>
  <c r="Q130" i="22" s="1"/>
  <c r="R130" i="22" s="1"/>
  <c r="S130" i="22" s="1"/>
  <c r="T130" i="22" s="1"/>
  <c r="U130" i="22" s="1"/>
  <c r="V130" i="22" s="1"/>
  <c r="W130" i="22" s="1"/>
  <c r="X130" i="22" s="1"/>
  <c r="Y130" i="22" s="1"/>
  <c r="Z130" i="22" s="1"/>
  <c r="AA130" i="22" s="1"/>
  <c r="AB130" i="22" s="1"/>
  <c r="AC130" i="22" s="1"/>
  <c r="AD130" i="22" s="1"/>
  <c r="AE130" i="22" s="1"/>
  <c r="AF130" i="22" s="1"/>
  <c r="AG130" i="22" s="1"/>
  <c r="O121" i="22"/>
  <c r="P121" i="22" s="1"/>
  <c r="Q121" i="22" s="1"/>
  <c r="R121" i="22" s="1"/>
  <c r="S121" i="22" s="1"/>
  <c r="T121" i="22" s="1"/>
  <c r="U121" i="22" s="1"/>
  <c r="V121" i="22" s="1"/>
  <c r="W121" i="22" s="1"/>
  <c r="X121" i="22" s="1"/>
  <c r="Y121" i="22" s="1"/>
  <c r="Z121" i="22" s="1"/>
  <c r="AA121" i="22" s="1"/>
  <c r="AB121" i="22" s="1"/>
  <c r="AC121" i="22" s="1"/>
  <c r="AD121" i="22" s="1"/>
  <c r="AE121" i="22" s="1"/>
  <c r="AF121" i="22" s="1"/>
  <c r="AG121" i="22" s="1"/>
  <c r="AI119" i="22"/>
  <c r="AJ119" i="22" s="1"/>
  <c r="AK119" i="22" s="1"/>
  <c r="AL119" i="22" s="1"/>
  <c r="AM119" i="22" s="1"/>
  <c r="AN119" i="22" s="1"/>
  <c r="AO119" i="22" s="1"/>
  <c r="AP119" i="22" s="1"/>
  <c r="AQ119" i="22" s="1"/>
  <c r="AR119" i="22" s="1"/>
  <c r="AS119" i="22" s="1"/>
  <c r="AT119" i="22" s="1"/>
  <c r="AU119" i="22" s="1"/>
  <c r="AV119" i="22" s="1"/>
  <c r="AW119" i="22" s="1"/>
  <c r="AX119" i="22" s="1"/>
  <c r="AY119" i="22" s="1"/>
  <c r="AZ119" i="22" s="1"/>
  <c r="BA119" i="22" s="1"/>
  <c r="BB119" i="22" s="1"/>
  <c r="BC119" i="22" s="1"/>
  <c r="BD119" i="22" s="1"/>
  <c r="BE119" i="22" s="1"/>
  <c r="AI98" i="22"/>
  <c r="AJ98" i="22" s="1"/>
  <c r="AK98" i="22" s="1"/>
  <c r="AL98" i="22" s="1"/>
  <c r="AM98" i="22" s="1"/>
  <c r="AN98" i="22" s="1"/>
  <c r="AO98" i="22" s="1"/>
  <c r="AP98" i="22" s="1"/>
  <c r="AQ98" i="22" s="1"/>
  <c r="AR98" i="22" s="1"/>
  <c r="AS98" i="22" s="1"/>
  <c r="AT98" i="22" s="1"/>
  <c r="AU98" i="22" s="1"/>
  <c r="AV98" i="22" s="1"/>
  <c r="AW98" i="22" s="1"/>
  <c r="AX98" i="22" s="1"/>
  <c r="AY98" i="22" s="1"/>
  <c r="AZ98" i="22" s="1"/>
  <c r="BA98" i="22" s="1"/>
  <c r="BB98" i="22" s="1"/>
  <c r="BC98" i="22" s="1"/>
  <c r="BD98" i="22" s="1"/>
  <c r="BE98" i="22" s="1"/>
  <c r="O93" i="22"/>
  <c r="P93" i="22" s="1"/>
  <c r="Q93" i="22" s="1"/>
  <c r="R93" i="22" s="1"/>
  <c r="S93" i="22" s="1"/>
  <c r="T93" i="22" s="1"/>
  <c r="U93" i="22" s="1"/>
  <c r="V93" i="22" s="1"/>
  <c r="W93" i="22" s="1"/>
  <c r="X93" i="22" s="1"/>
  <c r="Y93" i="22" s="1"/>
  <c r="Z93" i="22" s="1"/>
  <c r="AA93" i="22" s="1"/>
  <c r="AB93" i="22" s="1"/>
  <c r="AC93" i="22" s="1"/>
  <c r="AD93" i="22" s="1"/>
  <c r="AE93" i="22" s="1"/>
  <c r="AF93" i="22" s="1"/>
  <c r="AG93" i="22" s="1"/>
  <c r="AI375" i="22"/>
  <c r="AJ375" i="22" s="1"/>
  <c r="AK375" i="22" s="1"/>
  <c r="AL375" i="22" s="1"/>
  <c r="AM375" i="22" s="1"/>
  <c r="AN375" i="22" s="1"/>
  <c r="AO375" i="22" s="1"/>
  <c r="AP375" i="22" s="1"/>
  <c r="AQ375" i="22" s="1"/>
  <c r="AR375" i="22" s="1"/>
  <c r="AS375" i="22" s="1"/>
  <c r="AT375" i="22" s="1"/>
  <c r="AU375" i="22" s="1"/>
  <c r="AV375" i="22" s="1"/>
  <c r="AW375" i="22" s="1"/>
  <c r="AX375" i="22" s="1"/>
  <c r="AY375" i="22" s="1"/>
  <c r="AZ375" i="22" s="1"/>
  <c r="BA375" i="22" s="1"/>
  <c r="BB375" i="22" s="1"/>
  <c r="BC375" i="22" s="1"/>
  <c r="BD375" i="22" s="1"/>
  <c r="BE375" i="22" s="1"/>
  <c r="O286" i="22"/>
  <c r="P286" i="22" s="1"/>
  <c r="Q286" i="22" s="1"/>
  <c r="R286" i="22" s="1"/>
  <c r="S286" i="22" s="1"/>
  <c r="T286" i="22" s="1"/>
  <c r="U286" i="22" s="1"/>
  <c r="V286" i="22" s="1"/>
  <c r="W286" i="22" s="1"/>
  <c r="X286" i="22" s="1"/>
  <c r="Y286" i="22" s="1"/>
  <c r="Z286" i="22" s="1"/>
  <c r="AA286" i="22" s="1"/>
  <c r="AB286" i="22" s="1"/>
  <c r="AC286" i="22" s="1"/>
  <c r="AD286" i="22" s="1"/>
  <c r="AE286" i="22" s="1"/>
  <c r="AF286" i="22" s="1"/>
  <c r="AG286" i="22" s="1"/>
  <c r="O201" i="22"/>
  <c r="P201" i="22" s="1"/>
  <c r="Q201" i="22" s="1"/>
  <c r="R201" i="22" s="1"/>
  <c r="S201" i="22" s="1"/>
  <c r="T201" i="22" s="1"/>
  <c r="U201" i="22" s="1"/>
  <c r="V201" i="22" s="1"/>
  <c r="W201" i="22" s="1"/>
  <c r="X201" i="22" s="1"/>
  <c r="Y201" i="22" s="1"/>
  <c r="Z201" i="22" s="1"/>
  <c r="AA201" i="22" s="1"/>
  <c r="AB201" i="22" s="1"/>
  <c r="AC201" i="22" s="1"/>
  <c r="AD201" i="22" s="1"/>
  <c r="AE201" i="22" s="1"/>
  <c r="AF201" i="22" s="1"/>
  <c r="AG201" i="22" s="1"/>
  <c r="O160" i="22"/>
  <c r="P160" i="22" s="1"/>
  <c r="Q160" i="22" s="1"/>
  <c r="R160" i="22" s="1"/>
  <c r="S160" i="22" s="1"/>
  <c r="T160" i="22" s="1"/>
  <c r="U160" i="22" s="1"/>
  <c r="V160" i="22" s="1"/>
  <c r="W160" i="22" s="1"/>
  <c r="X160" i="22" s="1"/>
  <c r="Y160" i="22" s="1"/>
  <c r="Z160" i="22" s="1"/>
  <c r="AA160" i="22" s="1"/>
  <c r="AB160" i="22" s="1"/>
  <c r="AC160" i="22" s="1"/>
  <c r="AD160" i="22" s="1"/>
  <c r="AE160" i="22" s="1"/>
  <c r="AF160" i="22" s="1"/>
  <c r="AG160" i="22" s="1"/>
  <c r="O148" i="22"/>
  <c r="P148" i="22" s="1"/>
  <c r="Q148" i="22" s="1"/>
  <c r="R148" i="22" s="1"/>
  <c r="S148" i="22" s="1"/>
  <c r="T148" i="22" s="1"/>
  <c r="U148" i="22" s="1"/>
  <c r="V148" i="22" s="1"/>
  <c r="W148" i="22" s="1"/>
  <c r="X148" i="22" s="1"/>
  <c r="Y148" i="22" s="1"/>
  <c r="Z148" i="22" s="1"/>
  <c r="AA148" i="22" s="1"/>
  <c r="AB148" i="22" s="1"/>
  <c r="AC148" i="22" s="1"/>
  <c r="AD148" i="22" s="1"/>
  <c r="AE148" i="22" s="1"/>
  <c r="AF148" i="22" s="1"/>
  <c r="AG148" i="22" s="1"/>
  <c r="AI128" i="22"/>
  <c r="AJ128" i="22" s="1"/>
  <c r="AK128" i="22" s="1"/>
  <c r="AL128" i="22" s="1"/>
  <c r="AM128" i="22" s="1"/>
  <c r="AN128" i="22" s="1"/>
  <c r="AO128" i="22" s="1"/>
  <c r="AP128" i="22" s="1"/>
  <c r="AQ128" i="22" s="1"/>
  <c r="AR128" i="22" s="1"/>
  <c r="AS128" i="22" s="1"/>
  <c r="AT128" i="22" s="1"/>
  <c r="AU128" i="22" s="1"/>
  <c r="AV128" i="22" s="1"/>
  <c r="AW128" i="22" s="1"/>
  <c r="AX128" i="22" s="1"/>
  <c r="AY128" i="22" s="1"/>
  <c r="AZ128" i="22" s="1"/>
  <c r="BA128" i="22" s="1"/>
  <c r="BB128" i="22" s="1"/>
  <c r="BC128" i="22" s="1"/>
  <c r="BD128" i="22" s="1"/>
  <c r="BE128" i="22" s="1"/>
  <c r="AI310" i="22"/>
  <c r="AJ310" i="22" s="1"/>
  <c r="AK310" i="22" s="1"/>
  <c r="AL310" i="22" s="1"/>
  <c r="AM310" i="22" s="1"/>
  <c r="AN310" i="22" s="1"/>
  <c r="AO310" i="22" s="1"/>
  <c r="AP310" i="22" s="1"/>
  <c r="AQ310" i="22" s="1"/>
  <c r="AR310" i="22" s="1"/>
  <c r="AS310" i="22" s="1"/>
  <c r="AT310" i="22" s="1"/>
  <c r="AU310" i="22" s="1"/>
  <c r="AV310" i="22" s="1"/>
  <c r="AW310" i="22" s="1"/>
  <c r="AX310" i="22" s="1"/>
  <c r="AY310" i="22" s="1"/>
  <c r="AZ310" i="22" s="1"/>
  <c r="BA310" i="22" s="1"/>
  <c r="BB310" i="22" s="1"/>
  <c r="BC310" i="22" s="1"/>
  <c r="BD310" i="22" s="1"/>
  <c r="BE310" i="22" s="1"/>
  <c r="O247" i="22"/>
  <c r="P247" i="22" s="1"/>
  <c r="Q247" i="22" s="1"/>
  <c r="R247" i="22" s="1"/>
  <c r="S247" i="22" s="1"/>
  <c r="T247" i="22" s="1"/>
  <c r="U247" i="22" s="1"/>
  <c r="V247" i="22" s="1"/>
  <c r="W247" i="22" s="1"/>
  <c r="X247" i="22" s="1"/>
  <c r="Y247" i="22" s="1"/>
  <c r="Z247" i="22" s="1"/>
  <c r="AA247" i="22" s="1"/>
  <c r="AB247" i="22" s="1"/>
  <c r="AC247" i="22" s="1"/>
  <c r="AD247" i="22" s="1"/>
  <c r="AE247" i="22" s="1"/>
  <c r="AF247" i="22" s="1"/>
  <c r="AG247" i="22" s="1"/>
  <c r="O231" i="22"/>
  <c r="P231" i="22" s="1"/>
  <c r="Q231" i="22" s="1"/>
  <c r="R231" i="22" s="1"/>
  <c r="S231" i="22" s="1"/>
  <c r="T231" i="22" s="1"/>
  <c r="U231" i="22" s="1"/>
  <c r="V231" i="22" s="1"/>
  <c r="W231" i="22" s="1"/>
  <c r="X231" i="22" s="1"/>
  <c r="Y231" i="22" s="1"/>
  <c r="Z231" i="22" s="1"/>
  <c r="AA231" i="22" s="1"/>
  <c r="AB231" i="22" s="1"/>
  <c r="AC231" i="22" s="1"/>
  <c r="AD231" i="22" s="1"/>
  <c r="AE231" i="22" s="1"/>
  <c r="AF231" i="22" s="1"/>
  <c r="AG231" i="22" s="1"/>
  <c r="AI178" i="22"/>
  <c r="AJ178" i="22" s="1"/>
  <c r="AK178" i="22" s="1"/>
  <c r="AL178" i="22" s="1"/>
  <c r="AM178" i="22" s="1"/>
  <c r="AN178" i="22" s="1"/>
  <c r="AO178" i="22" s="1"/>
  <c r="AP178" i="22" s="1"/>
  <c r="AQ178" i="22" s="1"/>
  <c r="AR178" i="22" s="1"/>
  <c r="AS178" i="22" s="1"/>
  <c r="AT178" i="22" s="1"/>
  <c r="AU178" i="22" s="1"/>
  <c r="AV178" i="22" s="1"/>
  <c r="AW178" i="22" s="1"/>
  <c r="AX178" i="22" s="1"/>
  <c r="AY178" i="22" s="1"/>
  <c r="AZ178" i="22" s="1"/>
  <c r="BA178" i="22" s="1"/>
  <c r="BB178" i="22" s="1"/>
  <c r="BC178" i="22" s="1"/>
  <c r="BD178" i="22" s="1"/>
  <c r="BE178" i="22" s="1"/>
  <c r="O161" i="22"/>
  <c r="P161" i="22" s="1"/>
  <c r="Q161" i="22" s="1"/>
  <c r="R161" i="22" s="1"/>
  <c r="S161" i="22" s="1"/>
  <c r="T161" i="22" s="1"/>
  <c r="U161" i="22" s="1"/>
  <c r="V161" i="22" s="1"/>
  <c r="W161" i="22" s="1"/>
  <c r="X161" i="22" s="1"/>
  <c r="Y161" i="22" s="1"/>
  <c r="Z161" i="22" s="1"/>
  <c r="AA161" i="22" s="1"/>
  <c r="AB161" i="22" s="1"/>
  <c r="AC161" i="22" s="1"/>
  <c r="AD161" i="22" s="1"/>
  <c r="AE161" i="22" s="1"/>
  <c r="AF161" i="22" s="1"/>
  <c r="AG161" i="22" s="1"/>
  <c r="O159" i="22"/>
  <c r="P159" i="22" s="1"/>
  <c r="Q159" i="22" s="1"/>
  <c r="R159" i="22" s="1"/>
  <c r="S159" i="22" s="1"/>
  <c r="T159" i="22" s="1"/>
  <c r="U159" i="22" s="1"/>
  <c r="V159" i="22" s="1"/>
  <c r="W159" i="22" s="1"/>
  <c r="X159" i="22" s="1"/>
  <c r="Y159" i="22" s="1"/>
  <c r="Z159" i="22" s="1"/>
  <c r="AA159" i="22" s="1"/>
  <c r="AB159" i="22" s="1"/>
  <c r="AC159" i="22" s="1"/>
  <c r="AD159" i="22" s="1"/>
  <c r="AE159" i="22" s="1"/>
  <c r="AF159" i="22" s="1"/>
  <c r="AG159" i="22" s="1"/>
  <c r="AI149" i="22"/>
  <c r="AJ149" i="22" s="1"/>
  <c r="AK149" i="22" s="1"/>
  <c r="AL149" i="22" s="1"/>
  <c r="AM149" i="22" s="1"/>
  <c r="AN149" i="22" s="1"/>
  <c r="AO149" i="22" s="1"/>
  <c r="AP149" i="22" s="1"/>
  <c r="AQ149" i="22" s="1"/>
  <c r="AR149" i="22" s="1"/>
  <c r="AS149" i="22" s="1"/>
  <c r="AT149" i="22" s="1"/>
  <c r="AU149" i="22" s="1"/>
  <c r="AV149" i="22" s="1"/>
  <c r="AW149" i="22" s="1"/>
  <c r="AX149" i="22" s="1"/>
  <c r="AY149" i="22" s="1"/>
  <c r="AZ149" i="22" s="1"/>
  <c r="BA149" i="22" s="1"/>
  <c r="BB149" i="22" s="1"/>
  <c r="BC149" i="22" s="1"/>
  <c r="BD149" i="22" s="1"/>
  <c r="BE149" i="22" s="1"/>
  <c r="O133" i="22"/>
  <c r="P133" i="22" s="1"/>
  <c r="Q133" i="22" s="1"/>
  <c r="R133" i="22" s="1"/>
  <c r="S133" i="22" s="1"/>
  <c r="T133" i="22" s="1"/>
  <c r="U133" i="22" s="1"/>
  <c r="V133" i="22" s="1"/>
  <c r="W133" i="22" s="1"/>
  <c r="X133" i="22" s="1"/>
  <c r="Y133" i="22" s="1"/>
  <c r="Z133" i="22" s="1"/>
  <c r="AA133" i="22" s="1"/>
  <c r="AB133" i="22" s="1"/>
  <c r="AC133" i="22" s="1"/>
  <c r="AD133" i="22" s="1"/>
  <c r="AE133" i="22" s="1"/>
  <c r="AF133" i="22" s="1"/>
  <c r="AG133" i="22" s="1"/>
  <c r="O115" i="22"/>
  <c r="P115" i="22" s="1"/>
  <c r="Q115" i="22" s="1"/>
  <c r="R115" i="22" s="1"/>
  <c r="S115" i="22" s="1"/>
  <c r="T115" i="22" s="1"/>
  <c r="U115" i="22" s="1"/>
  <c r="V115" i="22" s="1"/>
  <c r="W115" i="22" s="1"/>
  <c r="X115" i="22" s="1"/>
  <c r="Y115" i="22" s="1"/>
  <c r="Z115" i="22" s="1"/>
  <c r="AA115" i="22" s="1"/>
  <c r="AB115" i="22" s="1"/>
  <c r="AC115" i="22" s="1"/>
  <c r="AD115" i="22" s="1"/>
  <c r="AE115" i="22" s="1"/>
  <c r="AF115" i="22" s="1"/>
  <c r="AG115" i="22" s="1"/>
  <c r="AI113" i="22"/>
  <c r="AJ113" i="22" s="1"/>
  <c r="AK113" i="22" s="1"/>
  <c r="AL113" i="22" s="1"/>
  <c r="AM113" i="22" s="1"/>
  <c r="AN113" i="22" s="1"/>
  <c r="AO113" i="22" s="1"/>
  <c r="AP113" i="22" s="1"/>
  <c r="AQ113" i="22" s="1"/>
  <c r="AR113" i="22" s="1"/>
  <c r="AS113" i="22" s="1"/>
  <c r="AT113" i="22" s="1"/>
  <c r="AU113" i="22" s="1"/>
  <c r="AV113" i="22" s="1"/>
  <c r="AW113" i="22" s="1"/>
  <c r="AX113" i="22" s="1"/>
  <c r="AY113" i="22" s="1"/>
  <c r="AZ113" i="22" s="1"/>
  <c r="BA113" i="22" s="1"/>
  <c r="BB113" i="22" s="1"/>
  <c r="BC113" i="22" s="1"/>
  <c r="BD113" i="22" s="1"/>
  <c r="BE113" i="22" s="1"/>
  <c r="AI102" i="22"/>
  <c r="AJ102" i="22" s="1"/>
  <c r="AK102" i="22" s="1"/>
  <c r="AL102" i="22" s="1"/>
  <c r="AM102" i="22" s="1"/>
  <c r="AN102" i="22" s="1"/>
  <c r="AO102" i="22" s="1"/>
  <c r="AP102" i="22" s="1"/>
  <c r="AQ102" i="22" s="1"/>
  <c r="AR102" i="22" s="1"/>
  <c r="AS102" i="22" s="1"/>
  <c r="AT102" i="22" s="1"/>
  <c r="AU102" i="22" s="1"/>
  <c r="AV102" i="22" s="1"/>
  <c r="AW102" i="22" s="1"/>
  <c r="AX102" i="22" s="1"/>
  <c r="AY102" i="22" s="1"/>
  <c r="AZ102" i="22" s="1"/>
  <c r="BA102" i="22" s="1"/>
  <c r="BB102" i="22" s="1"/>
  <c r="BC102" i="22" s="1"/>
  <c r="BD102" i="22" s="1"/>
  <c r="BE102" i="22" s="1"/>
  <c r="O97" i="22"/>
  <c r="P97" i="22" s="1"/>
  <c r="Q97" i="22" s="1"/>
  <c r="R97" i="22" s="1"/>
  <c r="S97" i="22" s="1"/>
  <c r="T97" i="22" s="1"/>
  <c r="U97" i="22" s="1"/>
  <c r="V97" i="22" s="1"/>
  <c r="W97" i="22" s="1"/>
  <c r="X97" i="22" s="1"/>
  <c r="Y97" i="22" s="1"/>
  <c r="Z97" i="22" s="1"/>
  <c r="AA97" i="22" s="1"/>
  <c r="AB97" i="22" s="1"/>
  <c r="AC97" i="22" s="1"/>
  <c r="AD97" i="22" s="1"/>
  <c r="AE97" i="22" s="1"/>
  <c r="AF97" i="22" s="1"/>
  <c r="AG97" i="22" s="1"/>
  <c r="AH28" i="22"/>
  <c r="O147" i="22"/>
  <c r="P147" i="22" s="1"/>
  <c r="Q147" i="22" s="1"/>
  <c r="R147" i="22" s="1"/>
  <c r="S147" i="22" s="1"/>
  <c r="T147" i="22" s="1"/>
  <c r="U147" i="22" s="1"/>
  <c r="V147" i="22" s="1"/>
  <c r="W147" i="22" s="1"/>
  <c r="X147" i="22" s="1"/>
  <c r="Y147" i="22" s="1"/>
  <c r="Z147" i="22" s="1"/>
  <c r="AA147" i="22" s="1"/>
  <c r="AB147" i="22" s="1"/>
  <c r="AC147" i="22" s="1"/>
  <c r="AD147" i="22" s="1"/>
  <c r="AE147" i="22" s="1"/>
  <c r="AF147" i="22" s="1"/>
  <c r="AG147" i="22" s="1"/>
  <c r="O126" i="22"/>
  <c r="P126" i="22" s="1"/>
  <c r="Q126" i="22" s="1"/>
  <c r="R126" i="22" s="1"/>
  <c r="S126" i="22" s="1"/>
  <c r="T126" i="22" s="1"/>
  <c r="U126" i="22" s="1"/>
  <c r="V126" i="22" s="1"/>
  <c r="W126" i="22" s="1"/>
  <c r="X126" i="22" s="1"/>
  <c r="Y126" i="22" s="1"/>
  <c r="Z126" i="22" s="1"/>
  <c r="AA126" i="22" s="1"/>
  <c r="AB126" i="22" s="1"/>
  <c r="AC126" i="22" s="1"/>
  <c r="AD126" i="22" s="1"/>
  <c r="AE126" i="22" s="1"/>
  <c r="AF126" i="22" s="1"/>
  <c r="AG126" i="22" s="1"/>
  <c r="AH52" i="22"/>
  <c r="O397" i="22"/>
  <c r="P397" i="22" s="1"/>
  <c r="Q397" i="22" s="1"/>
  <c r="R397" i="22" s="1"/>
  <c r="S397" i="22" s="1"/>
  <c r="T397" i="22" s="1"/>
  <c r="U397" i="22" s="1"/>
  <c r="V397" i="22" s="1"/>
  <c r="W397" i="22" s="1"/>
  <c r="X397" i="22" s="1"/>
  <c r="Y397" i="22" s="1"/>
  <c r="Z397" i="22" s="1"/>
  <c r="AA397" i="22" s="1"/>
  <c r="AB397" i="22" s="1"/>
  <c r="AC397" i="22" s="1"/>
  <c r="AD397" i="22" s="1"/>
  <c r="AE397" i="22" s="1"/>
  <c r="AF397" i="22" s="1"/>
  <c r="AG397" i="22" s="1"/>
  <c r="O292" i="22"/>
  <c r="P292" i="22" s="1"/>
  <c r="Q292" i="22" s="1"/>
  <c r="R292" i="22" s="1"/>
  <c r="S292" i="22" s="1"/>
  <c r="T292" i="22" s="1"/>
  <c r="U292" i="22" s="1"/>
  <c r="V292" i="22" s="1"/>
  <c r="W292" i="22" s="1"/>
  <c r="X292" i="22" s="1"/>
  <c r="Y292" i="22" s="1"/>
  <c r="Z292" i="22" s="1"/>
  <c r="AA292" i="22" s="1"/>
  <c r="AB292" i="22" s="1"/>
  <c r="AC292" i="22" s="1"/>
  <c r="AD292" i="22" s="1"/>
  <c r="AE292" i="22" s="1"/>
  <c r="AF292" i="22" s="1"/>
  <c r="AG292" i="22" s="1"/>
  <c r="O285" i="22"/>
  <c r="P285" i="22" s="1"/>
  <c r="Q285" i="22" s="1"/>
  <c r="R285" i="22" s="1"/>
  <c r="S285" i="22" s="1"/>
  <c r="T285" i="22" s="1"/>
  <c r="U285" i="22" s="1"/>
  <c r="V285" i="22" s="1"/>
  <c r="W285" i="22" s="1"/>
  <c r="X285" i="22" s="1"/>
  <c r="Y285" i="22" s="1"/>
  <c r="Z285" i="22" s="1"/>
  <c r="AA285" i="22" s="1"/>
  <c r="AB285" i="22" s="1"/>
  <c r="AC285" i="22" s="1"/>
  <c r="AD285" i="22" s="1"/>
  <c r="AE285" i="22" s="1"/>
  <c r="AF285" i="22" s="1"/>
  <c r="AG285" i="22" s="1"/>
  <c r="O282" i="22"/>
  <c r="P282" i="22" s="1"/>
  <c r="Q282" i="22" s="1"/>
  <c r="R282" i="22" s="1"/>
  <c r="S282" i="22" s="1"/>
  <c r="T282" i="22" s="1"/>
  <c r="U282" i="22" s="1"/>
  <c r="V282" i="22" s="1"/>
  <c r="W282" i="22" s="1"/>
  <c r="X282" i="22" s="1"/>
  <c r="Y282" i="22" s="1"/>
  <c r="Z282" i="22" s="1"/>
  <c r="AA282" i="22" s="1"/>
  <c r="AB282" i="22" s="1"/>
  <c r="AC282" i="22" s="1"/>
  <c r="AD282" i="22" s="1"/>
  <c r="AE282" i="22" s="1"/>
  <c r="AF282" i="22" s="1"/>
  <c r="AG282" i="22" s="1"/>
  <c r="AI268" i="22"/>
  <c r="AJ268" i="22" s="1"/>
  <c r="AK268" i="22" s="1"/>
  <c r="AL268" i="22" s="1"/>
  <c r="AM268" i="22" s="1"/>
  <c r="AN268" i="22" s="1"/>
  <c r="AO268" i="22" s="1"/>
  <c r="AP268" i="22" s="1"/>
  <c r="AQ268" i="22" s="1"/>
  <c r="AR268" i="22" s="1"/>
  <c r="AS268" i="22" s="1"/>
  <c r="AT268" i="22" s="1"/>
  <c r="AU268" i="22" s="1"/>
  <c r="AV268" i="22" s="1"/>
  <c r="AW268" i="22" s="1"/>
  <c r="AX268" i="22" s="1"/>
  <c r="AY268" i="22" s="1"/>
  <c r="AZ268" i="22" s="1"/>
  <c r="BA268" i="22" s="1"/>
  <c r="BB268" i="22" s="1"/>
  <c r="BC268" i="22" s="1"/>
  <c r="BD268" i="22" s="1"/>
  <c r="BE268" i="22" s="1"/>
  <c r="O261" i="22"/>
  <c r="P261" i="22" s="1"/>
  <c r="Q261" i="22" s="1"/>
  <c r="R261" i="22" s="1"/>
  <c r="S261" i="22" s="1"/>
  <c r="T261" i="22" s="1"/>
  <c r="U261" i="22" s="1"/>
  <c r="V261" i="22" s="1"/>
  <c r="W261" i="22" s="1"/>
  <c r="X261" i="22" s="1"/>
  <c r="Y261" i="22" s="1"/>
  <c r="Z261" i="22" s="1"/>
  <c r="AA261" i="22" s="1"/>
  <c r="AB261" i="22" s="1"/>
  <c r="AC261" i="22" s="1"/>
  <c r="AD261" i="22" s="1"/>
  <c r="AE261" i="22" s="1"/>
  <c r="AF261" i="22" s="1"/>
  <c r="AG261" i="22" s="1"/>
  <c r="AI232" i="22"/>
  <c r="AJ232" i="22" s="1"/>
  <c r="AK232" i="22" s="1"/>
  <c r="AL232" i="22" s="1"/>
  <c r="AM232" i="22" s="1"/>
  <c r="AN232" i="22" s="1"/>
  <c r="AO232" i="22" s="1"/>
  <c r="AP232" i="22" s="1"/>
  <c r="AQ232" i="22" s="1"/>
  <c r="AR232" i="22" s="1"/>
  <c r="AS232" i="22" s="1"/>
  <c r="AT232" i="22" s="1"/>
  <c r="AU232" i="22" s="1"/>
  <c r="AV232" i="22" s="1"/>
  <c r="AW232" i="22" s="1"/>
  <c r="AX232" i="22" s="1"/>
  <c r="AY232" i="22" s="1"/>
  <c r="AZ232" i="22" s="1"/>
  <c r="BA232" i="22" s="1"/>
  <c r="BB232" i="22" s="1"/>
  <c r="BC232" i="22" s="1"/>
  <c r="BD232" i="22" s="1"/>
  <c r="BE232" i="22" s="1"/>
  <c r="O202" i="22"/>
  <c r="P202" i="22" s="1"/>
  <c r="Q202" i="22" s="1"/>
  <c r="R202" i="22" s="1"/>
  <c r="S202" i="22" s="1"/>
  <c r="T202" i="22" s="1"/>
  <c r="U202" i="22" s="1"/>
  <c r="V202" i="22" s="1"/>
  <c r="W202" i="22" s="1"/>
  <c r="X202" i="22" s="1"/>
  <c r="Y202" i="22" s="1"/>
  <c r="Z202" i="22" s="1"/>
  <c r="AA202" i="22" s="1"/>
  <c r="AB202" i="22" s="1"/>
  <c r="AC202" i="22" s="1"/>
  <c r="AD202" i="22" s="1"/>
  <c r="AE202" i="22" s="1"/>
  <c r="AF202" i="22" s="1"/>
  <c r="AG202" i="22" s="1"/>
  <c r="O162" i="22"/>
  <c r="P162" i="22" s="1"/>
  <c r="Q162" i="22" s="1"/>
  <c r="R162" i="22" s="1"/>
  <c r="S162" i="22" s="1"/>
  <c r="T162" i="22" s="1"/>
  <c r="U162" i="22" s="1"/>
  <c r="V162" i="22" s="1"/>
  <c r="W162" i="22" s="1"/>
  <c r="X162" i="22" s="1"/>
  <c r="Y162" i="22" s="1"/>
  <c r="Z162" i="22" s="1"/>
  <c r="AA162" i="22" s="1"/>
  <c r="AB162" i="22" s="1"/>
  <c r="AC162" i="22" s="1"/>
  <c r="AD162" i="22" s="1"/>
  <c r="AE162" i="22" s="1"/>
  <c r="AF162" i="22" s="1"/>
  <c r="AG162" i="22" s="1"/>
  <c r="AI104" i="22"/>
  <c r="AJ104" i="22" s="1"/>
  <c r="AK104" i="22" s="1"/>
  <c r="AL104" i="22" s="1"/>
  <c r="AM104" i="22" s="1"/>
  <c r="AN104" i="22" s="1"/>
  <c r="AO104" i="22" s="1"/>
  <c r="AP104" i="22" s="1"/>
  <c r="AQ104" i="22" s="1"/>
  <c r="AR104" i="22" s="1"/>
  <c r="AS104" i="22" s="1"/>
  <c r="AT104" i="22" s="1"/>
  <c r="AU104" i="22" s="1"/>
  <c r="AV104" i="22" s="1"/>
  <c r="AW104" i="22" s="1"/>
  <c r="AX104" i="22" s="1"/>
  <c r="AY104" i="22" s="1"/>
  <c r="AZ104" i="22" s="1"/>
  <c r="BA104" i="22" s="1"/>
  <c r="BB104" i="22" s="1"/>
  <c r="BC104" i="22" s="1"/>
  <c r="BD104" i="22" s="1"/>
  <c r="BE104" i="22" s="1"/>
  <c r="O99" i="22"/>
  <c r="P99" i="22" s="1"/>
  <c r="Q99" i="22" s="1"/>
  <c r="R99" i="22" s="1"/>
  <c r="S99" i="22" s="1"/>
  <c r="T99" i="22" s="1"/>
  <c r="U99" i="22" s="1"/>
  <c r="V99" i="22" s="1"/>
  <c r="W99" i="22" s="1"/>
  <c r="X99" i="22" s="1"/>
  <c r="Y99" i="22" s="1"/>
  <c r="Z99" i="22" s="1"/>
  <c r="AA99" i="22" s="1"/>
  <c r="AB99" i="22" s="1"/>
  <c r="AC99" i="22" s="1"/>
  <c r="AD99" i="22" s="1"/>
  <c r="AE99" i="22" s="1"/>
  <c r="AF99" i="22" s="1"/>
  <c r="AG99" i="22" s="1"/>
  <c r="O198" i="22"/>
  <c r="P198" i="22" s="1"/>
  <c r="Q198" i="22" s="1"/>
  <c r="R198" i="22" s="1"/>
  <c r="S198" i="22" s="1"/>
  <c r="T198" i="22" s="1"/>
  <c r="U198" i="22" s="1"/>
  <c r="V198" i="22" s="1"/>
  <c r="W198" i="22" s="1"/>
  <c r="X198" i="22" s="1"/>
  <c r="Y198" i="22" s="1"/>
  <c r="Z198" i="22" s="1"/>
  <c r="AA198" i="22" s="1"/>
  <c r="AB198" i="22" s="1"/>
  <c r="AC198" i="22" s="1"/>
  <c r="AD198" i="22" s="1"/>
  <c r="AE198" i="22" s="1"/>
  <c r="AF198" i="22" s="1"/>
  <c r="AG198" i="22" s="1"/>
  <c r="AI188" i="22"/>
  <c r="AJ188" i="22" s="1"/>
  <c r="AK188" i="22" s="1"/>
  <c r="AL188" i="22" s="1"/>
  <c r="AM188" i="22" s="1"/>
  <c r="AN188" i="22" s="1"/>
  <c r="AO188" i="22" s="1"/>
  <c r="AP188" i="22" s="1"/>
  <c r="AQ188" i="22" s="1"/>
  <c r="AR188" i="22" s="1"/>
  <c r="AS188" i="22" s="1"/>
  <c r="AT188" i="22" s="1"/>
  <c r="AU188" i="22" s="1"/>
  <c r="AV188" i="22" s="1"/>
  <c r="AW188" i="22" s="1"/>
  <c r="AX188" i="22" s="1"/>
  <c r="AY188" i="22" s="1"/>
  <c r="AZ188" i="22" s="1"/>
  <c r="BA188" i="22" s="1"/>
  <c r="BB188" i="22" s="1"/>
  <c r="BC188" i="22" s="1"/>
  <c r="BD188" i="22" s="1"/>
  <c r="BE188" i="22" s="1"/>
  <c r="O350" i="22"/>
  <c r="P350" i="22" s="1"/>
  <c r="Q350" i="22" s="1"/>
  <c r="R350" i="22" s="1"/>
  <c r="S350" i="22" s="1"/>
  <c r="T350" i="22" s="1"/>
  <c r="U350" i="22" s="1"/>
  <c r="V350" i="22" s="1"/>
  <c r="W350" i="22" s="1"/>
  <c r="X350" i="22" s="1"/>
  <c r="Y350" i="22" s="1"/>
  <c r="Z350" i="22" s="1"/>
  <c r="AA350" i="22" s="1"/>
  <c r="AB350" i="22" s="1"/>
  <c r="AC350" i="22" s="1"/>
  <c r="AD350" i="22" s="1"/>
  <c r="AE350" i="22" s="1"/>
  <c r="AF350" i="22" s="1"/>
  <c r="AG350" i="22" s="1"/>
  <c r="O340" i="22"/>
  <c r="P340" i="22" s="1"/>
  <c r="Q340" i="22" s="1"/>
  <c r="R340" i="22" s="1"/>
  <c r="S340" i="22" s="1"/>
  <c r="T340" i="22" s="1"/>
  <c r="U340" i="22" s="1"/>
  <c r="V340" i="22" s="1"/>
  <c r="W340" i="22" s="1"/>
  <c r="X340" i="22" s="1"/>
  <c r="Y340" i="22" s="1"/>
  <c r="Z340" i="22" s="1"/>
  <c r="AA340" i="22" s="1"/>
  <c r="AB340" i="22" s="1"/>
  <c r="AC340" i="22" s="1"/>
  <c r="AD340" i="22" s="1"/>
  <c r="AE340" i="22" s="1"/>
  <c r="AF340" i="22" s="1"/>
  <c r="AG340" i="22" s="1"/>
  <c r="O315" i="22"/>
  <c r="P315" i="22" s="1"/>
  <c r="Q315" i="22" s="1"/>
  <c r="R315" i="22" s="1"/>
  <c r="S315" i="22" s="1"/>
  <c r="T315" i="22" s="1"/>
  <c r="U315" i="22" s="1"/>
  <c r="V315" i="22" s="1"/>
  <c r="W315" i="22" s="1"/>
  <c r="X315" i="22" s="1"/>
  <c r="Y315" i="22" s="1"/>
  <c r="Z315" i="22" s="1"/>
  <c r="AA315" i="22" s="1"/>
  <c r="AB315" i="22" s="1"/>
  <c r="AC315" i="22" s="1"/>
  <c r="AD315" i="22" s="1"/>
  <c r="AE315" i="22" s="1"/>
  <c r="AF315" i="22" s="1"/>
  <c r="AG315" i="22" s="1"/>
  <c r="O256" i="22"/>
  <c r="P256" i="22" s="1"/>
  <c r="Q256" i="22" s="1"/>
  <c r="R256" i="22" s="1"/>
  <c r="S256" i="22" s="1"/>
  <c r="T256" i="22" s="1"/>
  <c r="U256" i="22" s="1"/>
  <c r="V256" i="22" s="1"/>
  <c r="W256" i="22" s="1"/>
  <c r="X256" i="22" s="1"/>
  <c r="Y256" i="22" s="1"/>
  <c r="Z256" i="22" s="1"/>
  <c r="AA256" i="22" s="1"/>
  <c r="AB256" i="22" s="1"/>
  <c r="AC256" i="22" s="1"/>
  <c r="AD256" i="22" s="1"/>
  <c r="AE256" i="22" s="1"/>
  <c r="AF256" i="22" s="1"/>
  <c r="AG256" i="22" s="1"/>
  <c r="O193" i="22"/>
  <c r="P193" i="22" s="1"/>
  <c r="Q193" i="22" s="1"/>
  <c r="R193" i="22" s="1"/>
  <c r="S193" i="22" s="1"/>
  <c r="T193" i="22" s="1"/>
  <c r="U193" i="22" s="1"/>
  <c r="V193" i="22" s="1"/>
  <c r="W193" i="22" s="1"/>
  <c r="X193" i="22" s="1"/>
  <c r="Y193" i="22" s="1"/>
  <c r="Z193" i="22" s="1"/>
  <c r="AA193" i="22" s="1"/>
  <c r="AB193" i="22" s="1"/>
  <c r="AC193" i="22" s="1"/>
  <c r="AD193" i="22" s="1"/>
  <c r="AE193" i="22" s="1"/>
  <c r="AF193" i="22" s="1"/>
  <c r="AG193" i="22" s="1"/>
  <c r="O172" i="22"/>
  <c r="P172" i="22" s="1"/>
  <c r="Q172" i="22" s="1"/>
  <c r="R172" i="22" s="1"/>
  <c r="S172" i="22" s="1"/>
  <c r="T172" i="22" s="1"/>
  <c r="U172" i="22" s="1"/>
  <c r="V172" i="22" s="1"/>
  <c r="W172" i="22" s="1"/>
  <c r="X172" i="22" s="1"/>
  <c r="Y172" i="22" s="1"/>
  <c r="Z172" i="22" s="1"/>
  <c r="AA172" i="22" s="1"/>
  <c r="AB172" i="22" s="1"/>
  <c r="AC172" i="22" s="1"/>
  <c r="AD172" i="22" s="1"/>
  <c r="AE172" i="22" s="1"/>
  <c r="AF172" i="22" s="1"/>
  <c r="AG172" i="22" s="1"/>
  <c r="O146" i="22"/>
  <c r="P146" i="22" s="1"/>
  <c r="Q146" i="22" s="1"/>
  <c r="R146" i="22" s="1"/>
  <c r="S146" i="22" s="1"/>
  <c r="T146" i="22" s="1"/>
  <c r="U146" i="22" s="1"/>
  <c r="V146" i="22" s="1"/>
  <c r="W146" i="22" s="1"/>
  <c r="X146" i="22" s="1"/>
  <c r="Y146" i="22" s="1"/>
  <c r="Z146" i="22" s="1"/>
  <c r="AA146" i="22" s="1"/>
  <c r="AB146" i="22" s="1"/>
  <c r="AC146" i="22" s="1"/>
  <c r="AD146" i="22" s="1"/>
  <c r="AE146" i="22" s="1"/>
  <c r="AF146" i="22" s="1"/>
  <c r="AG146" i="22" s="1"/>
  <c r="AI139" i="22"/>
  <c r="AJ139" i="22" s="1"/>
  <c r="AK139" i="22" s="1"/>
  <c r="AL139" i="22" s="1"/>
  <c r="AM139" i="22" s="1"/>
  <c r="AN139" i="22" s="1"/>
  <c r="AO139" i="22" s="1"/>
  <c r="AP139" i="22" s="1"/>
  <c r="AQ139" i="22" s="1"/>
  <c r="AR139" i="22" s="1"/>
  <c r="AS139" i="22" s="1"/>
  <c r="AT139" i="22" s="1"/>
  <c r="AU139" i="22" s="1"/>
  <c r="AV139" i="22" s="1"/>
  <c r="AW139" i="22" s="1"/>
  <c r="AX139" i="22" s="1"/>
  <c r="AY139" i="22" s="1"/>
  <c r="AZ139" i="22" s="1"/>
  <c r="BA139" i="22" s="1"/>
  <c r="BB139" i="22" s="1"/>
  <c r="BC139" i="22" s="1"/>
  <c r="BD139" i="22" s="1"/>
  <c r="BE139" i="22" s="1"/>
  <c r="O120" i="22"/>
  <c r="P120" i="22" s="1"/>
  <c r="Q120" i="22" s="1"/>
  <c r="R120" i="22" s="1"/>
  <c r="S120" i="22" s="1"/>
  <c r="T120" i="22" s="1"/>
  <c r="U120" i="22" s="1"/>
  <c r="V120" i="22" s="1"/>
  <c r="W120" i="22" s="1"/>
  <c r="X120" i="22" s="1"/>
  <c r="Y120" i="22" s="1"/>
  <c r="Z120" i="22" s="1"/>
  <c r="AA120" i="22" s="1"/>
  <c r="AB120" i="22" s="1"/>
  <c r="AC120" i="22" s="1"/>
  <c r="AD120" i="22" s="1"/>
  <c r="AE120" i="22" s="1"/>
  <c r="AF120" i="22" s="1"/>
  <c r="AG120" i="22" s="1"/>
  <c r="O111" i="22"/>
  <c r="P111" i="22" s="1"/>
  <c r="Q111" i="22" s="1"/>
  <c r="R111" i="22" s="1"/>
  <c r="S111" i="22" s="1"/>
  <c r="T111" i="22" s="1"/>
  <c r="U111" i="22" s="1"/>
  <c r="V111" i="22" s="1"/>
  <c r="W111" i="22" s="1"/>
  <c r="X111" i="22" s="1"/>
  <c r="Y111" i="22" s="1"/>
  <c r="Z111" i="22" s="1"/>
  <c r="AA111" i="22" s="1"/>
  <c r="AB111" i="22" s="1"/>
  <c r="AC111" i="22" s="1"/>
  <c r="AD111" i="22" s="1"/>
  <c r="AE111" i="22" s="1"/>
  <c r="AF111" i="22" s="1"/>
  <c r="AG111" i="22" s="1"/>
  <c r="AI109" i="22"/>
  <c r="AJ109" i="22" s="1"/>
  <c r="AK109" i="22" s="1"/>
  <c r="AL109" i="22" s="1"/>
  <c r="AM109" i="22" s="1"/>
  <c r="AN109" i="22" s="1"/>
  <c r="AO109" i="22" s="1"/>
  <c r="AP109" i="22" s="1"/>
  <c r="AQ109" i="22" s="1"/>
  <c r="AR109" i="22" s="1"/>
  <c r="AS109" i="22" s="1"/>
  <c r="AT109" i="22" s="1"/>
  <c r="AU109" i="22" s="1"/>
  <c r="AV109" i="22" s="1"/>
  <c r="AW109" i="22" s="1"/>
  <c r="AX109" i="22" s="1"/>
  <c r="AY109" i="22" s="1"/>
  <c r="AZ109" i="22" s="1"/>
  <c r="BA109" i="22" s="1"/>
  <c r="BB109" i="22" s="1"/>
  <c r="BC109" i="22" s="1"/>
  <c r="BD109" i="22" s="1"/>
  <c r="BE109" i="22" s="1"/>
  <c r="O103" i="22"/>
  <c r="P103" i="22" s="1"/>
  <c r="Q103" i="22" s="1"/>
  <c r="R103" i="22" s="1"/>
  <c r="S103" i="22" s="1"/>
  <c r="T103" i="22" s="1"/>
  <c r="U103" i="22" s="1"/>
  <c r="V103" i="22" s="1"/>
  <c r="W103" i="22" s="1"/>
  <c r="X103" i="22" s="1"/>
  <c r="Y103" i="22" s="1"/>
  <c r="Z103" i="22" s="1"/>
  <c r="AA103" i="22" s="1"/>
  <c r="AB103" i="22" s="1"/>
  <c r="AC103" i="22" s="1"/>
  <c r="AD103" i="22" s="1"/>
  <c r="AE103" i="22" s="1"/>
  <c r="AF103" i="22" s="1"/>
  <c r="AG103" i="22" s="1"/>
  <c r="AI258" i="22"/>
  <c r="AJ258" i="22" s="1"/>
  <c r="AK258" i="22" s="1"/>
  <c r="AL258" i="22" s="1"/>
  <c r="AM258" i="22" s="1"/>
  <c r="AN258" i="22" s="1"/>
  <c r="AO258" i="22" s="1"/>
  <c r="AP258" i="22" s="1"/>
  <c r="AQ258" i="22" s="1"/>
  <c r="AR258" i="22" s="1"/>
  <c r="AS258" i="22" s="1"/>
  <c r="AT258" i="22" s="1"/>
  <c r="AU258" i="22" s="1"/>
  <c r="AV258" i="22" s="1"/>
  <c r="AW258" i="22" s="1"/>
  <c r="AX258" i="22" s="1"/>
  <c r="AY258" i="22" s="1"/>
  <c r="AZ258" i="22" s="1"/>
  <c r="BA258" i="22" s="1"/>
  <c r="BB258" i="22" s="1"/>
  <c r="BC258" i="22" s="1"/>
  <c r="BD258" i="22" s="1"/>
  <c r="BE258" i="22" s="1"/>
  <c r="O244" i="22"/>
  <c r="P244" i="22" s="1"/>
  <c r="Q244" i="22" s="1"/>
  <c r="R244" i="22" s="1"/>
  <c r="S244" i="22" s="1"/>
  <c r="T244" i="22" s="1"/>
  <c r="U244" i="22" s="1"/>
  <c r="V244" i="22" s="1"/>
  <c r="W244" i="22" s="1"/>
  <c r="X244" i="22" s="1"/>
  <c r="Y244" i="22" s="1"/>
  <c r="Z244" i="22" s="1"/>
  <c r="AA244" i="22" s="1"/>
  <c r="AB244" i="22" s="1"/>
  <c r="AC244" i="22" s="1"/>
  <c r="AD244" i="22" s="1"/>
  <c r="AE244" i="22" s="1"/>
  <c r="AF244" i="22" s="1"/>
  <c r="AG244" i="22" s="1"/>
  <c r="O220" i="22"/>
  <c r="P220" i="22" s="1"/>
  <c r="Q220" i="22" s="1"/>
  <c r="R220" i="22" s="1"/>
  <c r="S220" i="22" s="1"/>
  <c r="T220" i="22" s="1"/>
  <c r="U220" i="22" s="1"/>
  <c r="V220" i="22" s="1"/>
  <c r="W220" i="22" s="1"/>
  <c r="X220" i="22" s="1"/>
  <c r="Y220" i="22" s="1"/>
  <c r="Z220" i="22" s="1"/>
  <c r="AA220" i="22" s="1"/>
  <c r="AB220" i="22" s="1"/>
  <c r="AC220" i="22" s="1"/>
  <c r="AD220" i="22" s="1"/>
  <c r="AE220" i="22" s="1"/>
  <c r="AF220" i="22" s="1"/>
  <c r="AG220" i="22" s="1"/>
  <c r="AI200" i="22"/>
  <c r="AJ200" i="22" s="1"/>
  <c r="AK200" i="22" s="1"/>
  <c r="AL200" i="22" s="1"/>
  <c r="AM200" i="22" s="1"/>
  <c r="AN200" i="22" s="1"/>
  <c r="AO200" i="22" s="1"/>
  <c r="AP200" i="22" s="1"/>
  <c r="AQ200" i="22" s="1"/>
  <c r="AR200" i="22" s="1"/>
  <c r="AS200" i="22" s="1"/>
  <c r="AT200" i="22" s="1"/>
  <c r="AU200" i="22" s="1"/>
  <c r="AV200" i="22" s="1"/>
  <c r="AW200" i="22" s="1"/>
  <c r="AX200" i="22" s="1"/>
  <c r="AY200" i="22" s="1"/>
  <c r="AZ200" i="22" s="1"/>
  <c r="BA200" i="22" s="1"/>
  <c r="BB200" i="22" s="1"/>
  <c r="BC200" i="22" s="1"/>
  <c r="BD200" i="22" s="1"/>
  <c r="BE200" i="22" s="1"/>
  <c r="AI195" i="22"/>
  <c r="AJ195" i="22" s="1"/>
  <c r="AK195" i="22" s="1"/>
  <c r="AL195" i="22" s="1"/>
  <c r="AM195" i="22" s="1"/>
  <c r="AN195" i="22" s="1"/>
  <c r="AO195" i="22" s="1"/>
  <c r="AP195" i="22" s="1"/>
  <c r="AQ195" i="22" s="1"/>
  <c r="AR195" i="22" s="1"/>
  <c r="AS195" i="22" s="1"/>
  <c r="AT195" i="22" s="1"/>
  <c r="AU195" i="22" s="1"/>
  <c r="AV195" i="22" s="1"/>
  <c r="AW195" i="22" s="1"/>
  <c r="AX195" i="22" s="1"/>
  <c r="AY195" i="22" s="1"/>
  <c r="AZ195" i="22" s="1"/>
  <c r="BA195" i="22" s="1"/>
  <c r="BB195" i="22" s="1"/>
  <c r="BC195" i="22" s="1"/>
  <c r="BD195" i="22" s="1"/>
  <c r="BE195" i="22" s="1"/>
  <c r="O174" i="22"/>
  <c r="P174" i="22" s="1"/>
  <c r="Q174" i="22" s="1"/>
  <c r="R174" i="22" s="1"/>
  <c r="S174" i="22" s="1"/>
  <c r="T174" i="22" s="1"/>
  <c r="U174" i="22" s="1"/>
  <c r="V174" i="22" s="1"/>
  <c r="W174" i="22" s="1"/>
  <c r="X174" i="22" s="1"/>
  <c r="Y174" i="22" s="1"/>
  <c r="Z174" i="22" s="1"/>
  <c r="AA174" i="22" s="1"/>
  <c r="AB174" i="22" s="1"/>
  <c r="AC174" i="22" s="1"/>
  <c r="AD174" i="22" s="1"/>
  <c r="AE174" i="22" s="1"/>
  <c r="AF174" i="22" s="1"/>
  <c r="AG174" i="22" s="1"/>
  <c r="O173" i="22"/>
  <c r="P173" i="22" s="1"/>
  <c r="Q173" i="22" s="1"/>
  <c r="R173" i="22" s="1"/>
  <c r="S173" i="22" s="1"/>
  <c r="T173" i="22" s="1"/>
  <c r="U173" i="22" s="1"/>
  <c r="V173" i="22" s="1"/>
  <c r="W173" i="22" s="1"/>
  <c r="X173" i="22" s="1"/>
  <c r="Y173" i="22" s="1"/>
  <c r="Z173" i="22" s="1"/>
  <c r="AA173" i="22" s="1"/>
  <c r="AB173" i="22" s="1"/>
  <c r="AC173" i="22" s="1"/>
  <c r="AD173" i="22" s="1"/>
  <c r="AE173" i="22" s="1"/>
  <c r="AF173" i="22" s="1"/>
  <c r="AG173" i="22" s="1"/>
  <c r="O283" i="22"/>
  <c r="P283" i="22" s="1"/>
  <c r="Q283" i="22" s="1"/>
  <c r="R283" i="22" s="1"/>
  <c r="S283" i="22" s="1"/>
  <c r="T283" i="22" s="1"/>
  <c r="U283" i="22" s="1"/>
  <c r="V283" i="22" s="1"/>
  <c r="W283" i="22" s="1"/>
  <c r="X283" i="22" s="1"/>
  <c r="Y283" i="22" s="1"/>
  <c r="Z283" i="22" s="1"/>
  <c r="AA283" i="22" s="1"/>
  <c r="AB283" i="22" s="1"/>
  <c r="AC283" i="22" s="1"/>
  <c r="AD283" i="22" s="1"/>
  <c r="AE283" i="22" s="1"/>
  <c r="AF283" i="22" s="1"/>
  <c r="AG283" i="22" s="1"/>
  <c r="O272" i="22"/>
  <c r="P272" i="22" s="1"/>
  <c r="Q272" i="22" s="1"/>
  <c r="R272" i="22" s="1"/>
  <c r="S272" i="22" s="1"/>
  <c r="T272" i="22" s="1"/>
  <c r="U272" i="22" s="1"/>
  <c r="V272" i="22" s="1"/>
  <c r="W272" i="22" s="1"/>
  <c r="X272" i="22" s="1"/>
  <c r="Y272" i="22" s="1"/>
  <c r="Z272" i="22" s="1"/>
  <c r="AA272" i="22" s="1"/>
  <c r="AB272" i="22" s="1"/>
  <c r="AC272" i="22" s="1"/>
  <c r="AD272" i="22" s="1"/>
  <c r="AE272" i="22" s="1"/>
  <c r="AF272" i="22" s="1"/>
  <c r="AG272" i="22" s="1"/>
  <c r="AI202" i="22"/>
  <c r="AJ202" i="22" s="1"/>
  <c r="AK202" i="22" s="1"/>
  <c r="AL202" i="22" s="1"/>
  <c r="AM202" i="22" s="1"/>
  <c r="AN202" i="22" s="1"/>
  <c r="AO202" i="22" s="1"/>
  <c r="AP202" i="22" s="1"/>
  <c r="AQ202" i="22" s="1"/>
  <c r="AR202" i="22" s="1"/>
  <c r="AS202" i="22" s="1"/>
  <c r="AT202" i="22" s="1"/>
  <c r="AU202" i="22" s="1"/>
  <c r="AV202" i="22" s="1"/>
  <c r="AW202" i="22" s="1"/>
  <c r="AX202" i="22" s="1"/>
  <c r="AY202" i="22" s="1"/>
  <c r="AZ202" i="22" s="1"/>
  <c r="BA202" i="22" s="1"/>
  <c r="BB202" i="22" s="1"/>
  <c r="BC202" i="22" s="1"/>
  <c r="BD202" i="22" s="1"/>
  <c r="BE202" i="22" s="1"/>
  <c r="O196" i="22"/>
  <c r="P196" i="22" s="1"/>
  <c r="Q196" i="22" s="1"/>
  <c r="R196" i="22" s="1"/>
  <c r="S196" i="22" s="1"/>
  <c r="T196" i="22" s="1"/>
  <c r="U196" i="22" s="1"/>
  <c r="V196" i="22" s="1"/>
  <c r="W196" i="22" s="1"/>
  <c r="X196" i="22" s="1"/>
  <c r="Y196" i="22" s="1"/>
  <c r="Z196" i="22" s="1"/>
  <c r="AA196" i="22" s="1"/>
  <c r="AB196" i="22" s="1"/>
  <c r="AC196" i="22" s="1"/>
  <c r="AD196" i="22" s="1"/>
  <c r="AE196" i="22" s="1"/>
  <c r="AF196" i="22" s="1"/>
  <c r="AG196" i="22" s="1"/>
  <c r="AI166" i="22"/>
  <c r="AJ166" i="22" s="1"/>
  <c r="AK166" i="22" s="1"/>
  <c r="AL166" i="22" s="1"/>
  <c r="AM166" i="22" s="1"/>
  <c r="AN166" i="22" s="1"/>
  <c r="AO166" i="22" s="1"/>
  <c r="AP166" i="22" s="1"/>
  <c r="AQ166" i="22" s="1"/>
  <c r="AR166" i="22" s="1"/>
  <c r="AS166" i="22" s="1"/>
  <c r="AT166" i="22" s="1"/>
  <c r="AU166" i="22" s="1"/>
  <c r="AV166" i="22" s="1"/>
  <c r="AW166" i="22" s="1"/>
  <c r="AX166" i="22" s="1"/>
  <c r="AY166" i="22" s="1"/>
  <c r="AZ166" i="22" s="1"/>
  <c r="BA166" i="22" s="1"/>
  <c r="BB166" i="22" s="1"/>
  <c r="BC166" i="22" s="1"/>
  <c r="BD166" i="22" s="1"/>
  <c r="BE166" i="22" s="1"/>
  <c r="AI108" i="22"/>
  <c r="AJ108" i="22" s="1"/>
  <c r="AK108" i="22" s="1"/>
  <c r="AL108" i="22" s="1"/>
  <c r="AM108" i="22" s="1"/>
  <c r="AN108" i="22" s="1"/>
  <c r="AO108" i="22" s="1"/>
  <c r="AP108" i="22" s="1"/>
  <c r="AQ108" i="22" s="1"/>
  <c r="AR108" i="22" s="1"/>
  <c r="AS108" i="22" s="1"/>
  <c r="AT108" i="22" s="1"/>
  <c r="AU108" i="22" s="1"/>
  <c r="AV108" i="22" s="1"/>
  <c r="AW108" i="22" s="1"/>
  <c r="AX108" i="22" s="1"/>
  <c r="AY108" i="22" s="1"/>
  <c r="AZ108" i="22" s="1"/>
  <c r="BA108" i="22" s="1"/>
  <c r="BB108" i="22" s="1"/>
  <c r="BC108" i="22" s="1"/>
  <c r="BD108" i="22" s="1"/>
  <c r="BE108" i="22" s="1"/>
  <c r="O216" i="22"/>
  <c r="P216" i="22" s="1"/>
  <c r="Q216" i="22" s="1"/>
  <c r="R216" i="22" s="1"/>
  <c r="S216" i="22" s="1"/>
  <c r="T216" i="22" s="1"/>
  <c r="U216" i="22" s="1"/>
  <c r="V216" i="22" s="1"/>
  <c r="W216" i="22" s="1"/>
  <c r="X216" i="22" s="1"/>
  <c r="Y216" i="22" s="1"/>
  <c r="Z216" i="22" s="1"/>
  <c r="AA216" i="22" s="1"/>
  <c r="AB216" i="22" s="1"/>
  <c r="AC216" i="22" s="1"/>
  <c r="AD216" i="22" s="1"/>
  <c r="AE216" i="22" s="1"/>
  <c r="AF216" i="22" s="1"/>
  <c r="AG216" i="22" s="1"/>
  <c r="O184" i="22"/>
  <c r="P184" i="22" s="1"/>
  <c r="Q184" i="22" s="1"/>
  <c r="R184" i="22" s="1"/>
  <c r="S184" i="22" s="1"/>
  <c r="T184" i="22" s="1"/>
  <c r="U184" i="22" s="1"/>
  <c r="V184" i="22" s="1"/>
  <c r="W184" i="22" s="1"/>
  <c r="X184" i="22" s="1"/>
  <c r="Y184" i="22" s="1"/>
  <c r="Z184" i="22" s="1"/>
  <c r="AA184" i="22" s="1"/>
  <c r="AB184" i="22" s="1"/>
  <c r="AC184" i="22" s="1"/>
  <c r="AD184" i="22" s="1"/>
  <c r="AE184" i="22" s="1"/>
  <c r="AF184" i="22" s="1"/>
  <c r="AG184" i="22" s="1"/>
  <c r="O175" i="22"/>
  <c r="P175" i="22" s="1"/>
  <c r="Q175" i="22" s="1"/>
  <c r="R175" i="22" s="1"/>
  <c r="S175" i="22" s="1"/>
  <c r="T175" i="22" s="1"/>
  <c r="U175" i="22" s="1"/>
  <c r="V175" i="22" s="1"/>
  <c r="W175" i="22" s="1"/>
  <c r="X175" i="22" s="1"/>
  <c r="Y175" i="22" s="1"/>
  <c r="Z175" i="22" s="1"/>
  <c r="AA175" i="22" s="1"/>
  <c r="AB175" i="22" s="1"/>
  <c r="AC175" i="22" s="1"/>
  <c r="AD175" i="22" s="1"/>
  <c r="AE175" i="22" s="1"/>
  <c r="AF175" i="22" s="1"/>
  <c r="AG175" i="22" s="1"/>
  <c r="O110" i="22"/>
  <c r="P110" i="22" s="1"/>
  <c r="Q110" i="22" s="1"/>
  <c r="R110" i="22" s="1"/>
  <c r="S110" i="22" s="1"/>
  <c r="T110" i="22" s="1"/>
  <c r="U110" i="22" s="1"/>
  <c r="V110" i="22" s="1"/>
  <c r="W110" i="22" s="1"/>
  <c r="X110" i="22" s="1"/>
  <c r="Y110" i="22" s="1"/>
  <c r="Z110" i="22" s="1"/>
  <c r="AA110" i="22" s="1"/>
  <c r="AB110" i="22" s="1"/>
  <c r="AC110" i="22" s="1"/>
  <c r="AD110" i="22" s="1"/>
  <c r="AE110" i="22" s="1"/>
  <c r="AF110" i="22" s="1"/>
  <c r="AG110" i="22" s="1"/>
  <c r="O95" i="22"/>
  <c r="P95" i="22" s="1"/>
  <c r="Q95" i="22" s="1"/>
  <c r="R95" i="22" s="1"/>
  <c r="S95" i="22" s="1"/>
  <c r="T95" i="22" s="1"/>
  <c r="U95" i="22" s="1"/>
  <c r="V95" i="22" s="1"/>
  <c r="W95" i="22" s="1"/>
  <c r="X95" i="22" s="1"/>
  <c r="Y95" i="22" s="1"/>
  <c r="Z95" i="22" s="1"/>
  <c r="AA95" i="22" s="1"/>
  <c r="AB95" i="22" s="1"/>
  <c r="AC95" i="22" s="1"/>
  <c r="AD95" i="22" s="1"/>
  <c r="AE95" i="22" s="1"/>
  <c r="AF95" i="22" s="1"/>
  <c r="AG95" i="22" s="1"/>
  <c r="AH72" i="22"/>
  <c r="O132" i="22"/>
  <c r="P132" i="22" s="1"/>
  <c r="Q132" i="22" s="1"/>
  <c r="R132" i="22" s="1"/>
  <c r="S132" i="22" s="1"/>
  <c r="T132" i="22" s="1"/>
  <c r="U132" i="22" s="1"/>
  <c r="V132" i="22" s="1"/>
  <c r="W132" i="22" s="1"/>
  <c r="X132" i="22" s="1"/>
  <c r="Y132" i="22" s="1"/>
  <c r="Z132" i="22" s="1"/>
  <c r="AA132" i="22" s="1"/>
  <c r="AB132" i="22" s="1"/>
  <c r="AC132" i="22" s="1"/>
  <c r="AD132" i="22" s="1"/>
  <c r="AE132" i="22" s="1"/>
  <c r="AF132" i="22" s="1"/>
  <c r="AG132" i="22" s="1"/>
  <c r="AI124" i="22"/>
  <c r="AJ124" i="22" s="1"/>
  <c r="AK124" i="22" s="1"/>
  <c r="AL124" i="22" s="1"/>
  <c r="AM124" i="22" s="1"/>
  <c r="AN124" i="22" s="1"/>
  <c r="AO124" i="22" s="1"/>
  <c r="AP124" i="22" s="1"/>
  <c r="AQ124" i="22" s="1"/>
  <c r="AR124" i="22" s="1"/>
  <c r="AS124" i="22" s="1"/>
  <c r="AT124" i="22" s="1"/>
  <c r="AU124" i="22" s="1"/>
  <c r="AV124" i="22" s="1"/>
  <c r="AW124" i="22" s="1"/>
  <c r="AX124" i="22" s="1"/>
  <c r="AY124" i="22" s="1"/>
  <c r="AZ124" i="22" s="1"/>
  <c r="BA124" i="22" s="1"/>
  <c r="BB124" i="22" s="1"/>
  <c r="BC124" i="22" s="1"/>
  <c r="BD124" i="22" s="1"/>
  <c r="BE124" i="22" s="1"/>
  <c r="O101" i="22"/>
  <c r="P101" i="22" s="1"/>
  <c r="Q101" i="22" s="1"/>
  <c r="R101" i="22" s="1"/>
  <c r="S101" i="22" s="1"/>
  <c r="T101" i="22" s="1"/>
  <c r="U101" i="22" s="1"/>
  <c r="V101" i="22" s="1"/>
  <c r="W101" i="22" s="1"/>
  <c r="X101" i="22" s="1"/>
  <c r="Y101" i="22" s="1"/>
  <c r="Z101" i="22" s="1"/>
  <c r="AA101" i="22" s="1"/>
  <c r="AB101" i="22" s="1"/>
  <c r="AC101" i="22" s="1"/>
  <c r="AD101" i="22" s="1"/>
  <c r="AE101" i="22" s="1"/>
  <c r="AF101" i="22" s="1"/>
  <c r="AG101" i="22" s="1"/>
  <c r="O89" i="22"/>
  <c r="P89" i="22" s="1"/>
  <c r="Q89" i="22" s="1"/>
  <c r="R89" i="22" s="1"/>
  <c r="S89" i="22" s="1"/>
  <c r="T89" i="22" s="1"/>
  <c r="U89" i="22" s="1"/>
  <c r="V89" i="22" s="1"/>
  <c r="W89" i="22" s="1"/>
  <c r="X89" i="22" s="1"/>
  <c r="Y89" i="22" s="1"/>
  <c r="Z89" i="22" s="1"/>
  <c r="AA89" i="22" s="1"/>
  <c r="AB89" i="22" s="1"/>
  <c r="AC89" i="22" s="1"/>
  <c r="AD89" i="22" s="1"/>
  <c r="AE89" i="22" s="1"/>
  <c r="AF89" i="22" s="1"/>
  <c r="AG89" i="22" s="1"/>
  <c r="AH27" i="22"/>
  <c r="O136" i="22"/>
  <c r="P136" i="22" s="1"/>
  <c r="Q136" i="22" s="1"/>
  <c r="R136" i="22" s="1"/>
  <c r="S136" i="22" s="1"/>
  <c r="T136" i="22" s="1"/>
  <c r="U136" i="22" s="1"/>
  <c r="V136" i="22" s="1"/>
  <c r="W136" i="22" s="1"/>
  <c r="X136" i="22" s="1"/>
  <c r="Y136" i="22" s="1"/>
  <c r="Z136" i="22" s="1"/>
  <c r="AA136" i="22" s="1"/>
  <c r="AB136" i="22" s="1"/>
  <c r="AC136" i="22" s="1"/>
  <c r="AD136" i="22" s="1"/>
  <c r="AE136" i="22" s="1"/>
  <c r="AF136" i="22" s="1"/>
  <c r="AG136" i="22" s="1"/>
  <c r="O187" i="22"/>
  <c r="P187" i="22" s="1"/>
  <c r="Q187" i="22" s="1"/>
  <c r="R187" i="22" s="1"/>
  <c r="S187" i="22" s="1"/>
  <c r="T187" i="22" s="1"/>
  <c r="U187" i="22" s="1"/>
  <c r="V187" i="22" s="1"/>
  <c r="W187" i="22" s="1"/>
  <c r="X187" i="22" s="1"/>
  <c r="Y187" i="22" s="1"/>
  <c r="Z187" i="22" s="1"/>
  <c r="AA187" i="22" s="1"/>
  <c r="AB187" i="22" s="1"/>
  <c r="AC187" i="22" s="1"/>
  <c r="AD187" i="22" s="1"/>
  <c r="AE187" i="22" s="1"/>
  <c r="AF187" i="22" s="1"/>
  <c r="AG187" i="22" s="1"/>
  <c r="AI127" i="22"/>
  <c r="AJ127" i="22" s="1"/>
  <c r="AK127" i="22" s="1"/>
  <c r="AL127" i="22" s="1"/>
  <c r="AM127" i="22" s="1"/>
  <c r="AN127" i="22" s="1"/>
  <c r="AO127" i="22" s="1"/>
  <c r="AP127" i="22" s="1"/>
  <c r="AQ127" i="22" s="1"/>
  <c r="AR127" i="22" s="1"/>
  <c r="AS127" i="22" s="1"/>
  <c r="AT127" i="22" s="1"/>
  <c r="AU127" i="22" s="1"/>
  <c r="AV127" i="22" s="1"/>
  <c r="AW127" i="22" s="1"/>
  <c r="AX127" i="22" s="1"/>
  <c r="AY127" i="22" s="1"/>
  <c r="AZ127" i="22" s="1"/>
  <c r="BA127" i="22" s="1"/>
  <c r="BB127" i="22" s="1"/>
  <c r="BC127" i="22" s="1"/>
  <c r="BD127" i="22" s="1"/>
  <c r="BE127" i="22" s="1"/>
  <c r="AI118" i="22"/>
  <c r="AJ118" i="22" s="1"/>
  <c r="AK118" i="22" s="1"/>
  <c r="AL118" i="22" s="1"/>
  <c r="AM118" i="22" s="1"/>
  <c r="AN118" i="22" s="1"/>
  <c r="AO118" i="22" s="1"/>
  <c r="AP118" i="22" s="1"/>
  <c r="AQ118" i="22" s="1"/>
  <c r="AR118" i="22" s="1"/>
  <c r="AS118" i="22" s="1"/>
  <c r="AT118" i="22" s="1"/>
  <c r="AU118" i="22" s="1"/>
  <c r="AV118" i="22" s="1"/>
  <c r="AW118" i="22" s="1"/>
  <c r="AX118" i="22" s="1"/>
  <c r="AY118" i="22" s="1"/>
  <c r="AZ118" i="22" s="1"/>
  <c r="BA118" i="22" s="1"/>
  <c r="BB118" i="22" s="1"/>
  <c r="BC118" i="22" s="1"/>
  <c r="BD118" i="22" s="1"/>
  <c r="BE118" i="22" s="1"/>
  <c r="AH77" i="22"/>
  <c r="O145" i="22"/>
  <c r="P145" i="22" s="1"/>
  <c r="Q145" i="22" s="1"/>
  <c r="R145" i="22" s="1"/>
  <c r="S145" i="22" s="1"/>
  <c r="T145" i="22" s="1"/>
  <c r="U145" i="22" s="1"/>
  <c r="V145" i="22" s="1"/>
  <c r="W145" i="22" s="1"/>
  <c r="X145" i="22" s="1"/>
  <c r="Y145" i="22" s="1"/>
  <c r="Z145" i="22" s="1"/>
  <c r="AA145" i="22" s="1"/>
  <c r="AB145" i="22" s="1"/>
  <c r="AC145" i="22" s="1"/>
  <c r="AD145" i="22" s="1"/>
  <c r="AE145" i="22" s="1"/>
  <c r="AF145" i="22" s="1"/>
  <c r="AG145" i="22" s="1"/>
  <c r="O87" i="22"/>
  <c r="P87" i="22" s="1"/>
  <c r="Q87" i="22" s="1"/>
  <c r="R87" i="22" s="1"/>
  <c r="S87" i="22" s="1"/>
  <c r="T87" i="22" s="1"/>
  <c r="U87" i="22" s="1"/>
  <c r="V87" i="22" s="1"/>
  <c r="W87" i="22" s="1"/>
  <c r="X87" i="22" s="1"/>
  <c r="Y87" i="22" s="1"/>
  <c r="Z87" i="22" s="1"/>
  <c r="AA87" i="22" s="1"/>
  <c r="AB87" i="22" s="1"/>
  <c r="AC87" i="22" s="1"/>
  <c r="AD87" i="22" s="1"/>
  <c r="AE87" i="22" s="1"/>
  <c r="AF87" i="22" s="1"/>
  <c r="AG87" i="22" s="1"/>
  <c r="AH29" i="22"/>
  <c r="AI151" i="22"/>
  <c r="AJ151" i="22" s="1"/>
  <c r="AK151" i="22" s="1"/>
  <c r="AL151" i="22" s="1"/>
  <c r="AM151" i="22" s="1"/>
  <c r="AN151" i="22" s="1"/>
  <c r="AO151" i="22" s="1"/>
  <c r="AP151" i="22" s="1"/>
  <c r="AQ151" i="22" s="1"/>
  <c r="AR151" i="22" s="1"/>
  <c r="AS151" i="22" s="1"/>
  <c r="AT151" i="22" s="1"/>
  <c r="AU151" i="22" s="1"/>
  <c r="AV151" i="22" s="1"/>
  <c r="AW151" i="22" s="1"/>
  <c r="AX151" i="22" s="1"/>
  <c r="AY151" i="22" s="1"/>
  <c r="AZ151" i="22" s="1"/>
  <c r="BA151" i="22" s="1"/>
  <c r="BB151" i="22" s="1"/>
  <c r="BC151" i="22" s="1"/>
  <c r="BD151" i="22" s="1"/>
  <c r="BE151" i="22" s="1"/>
  <c r="O135" i="22"/>
  <c r="P135" i="22" s="1"/>
  <c r="Q135" i="22" s="1"/>
  <c r="R135" i="22" s="1"/>
  <c r="S135" i="22" s="1"/>
  <c r="T135" i="22" s="1"/>
  <c r="U135" i="22" s="1"/>
  <c r="V135" i="22" s="1"/>
  <c r="W135" i="22" s="1"/>
  <c r="X135" i="22" s="1"/>
  <c r="Y135" i="22" s="1"/>
  <c r="Z135" i="22" s="1"/>
  <c r="AA135" i="22" s="1"/>
  <c r="AB135" i="22" s="1"/>
  <c r="AC135" i="22" s="1"/>
  <c r="AD135" i="22" s="1"/>
  <c r="AE135" i="22" s="1"/>
  <c r="AF135" i="22" s="1"/>
  <c r="AG135" i="22" s="1"/>
  <c r="AI94" i="22"/>
  <c r="AJ94" i="22" s="1"/>
  <c r="AK94" i="22" s="1"/>
  <c r="AL94" i="22" s="1"/>
  <c r="AM94" i="22" s="1"/>
  <c r="AN94" i="22" s="1"/>
  <c r="AO94" i="22" s="1"/>
  <c r="AP94" i="22" s="1"/>
  <c r="AQ94" i="22" s="1"/>
  <c r="AR94" i="22" s="1"/>
  <c r="AS94" i="22" s="1"/>
  <c r="AT94" i="22" s="1"/>
  <c r="AU94" i="22" s="1"/>
  <c r="AV94" i="22" s="1"/>
  <c r="AW94" i="22" s="1"/>
  <c r="AX94" i="22" s="1"/>
  <c r="AY94" i="22" s="1"/>
  <c r="AZ94" i="22" s="1"/>
  <c r="BA94" i="22" s="1"/>
  <c r="BB94" i="22" s="1"/>
  <c r="BC94" i="22" s="1"/>
  <c r="BD94" i="22" s="1"/>
  <c r="BE94" i="22" s="1"/>
  <c r="AI338" i="22"/>
  <c r="AJ338" i="22" s="1"/>
  <c r="AK338" i="22" s="1"/>
  <c r="AL338" i="22" s="1"/>
  <c r="AM338" i="22" s="1"/>
  <c r="AN338" i="22" s="1"/>
  <c r="AO338" i="22" s="1"/>
  <c r="AP338" i="22" s="1"/>
  <c r="AQ338" i="22" s="1"/>
  <c r="AR338" i="22" s="1"/>
  <c r="AS338" i="22" s="1"/>
  <c r="AT338" i="22" s="1"/>
  <c r="AU338" i="22" s="1"/>
  <c r="AV338" i="22" s="1"/>
  <c r="AW338" i="22" s="1"/>
  <c r="AX338" i="22" s="1"/>
  <c r="AY338" i="22" s="1"/>
  <c r="AZ338" i="22" s="1"/>
  <c r="BA338" i="22" s="1"/>
  <c r="BB338" i="22" s="1"/>
  <c r="BC338" i="22" s="1"/>
  <c r="BD338" i="22" s="1"/>
  <c r="BE338" i="22" s="1"/>
  <c r="O163" i="22"/>
  <c r="P163" i="22" s="1"/>
  <c r="Q163" i="22" s="1"/>
  <c r="R163" i="22" s="1"/>
  <c r="S163" i="22" s="1"/>
  <c r="T163" i="22" s="1"/>
  <c r="U163" i="22" s="1"/>
  <c r="V163" i="22" s="1"/>
  <c r="W163" i="22" s="1"/>
  <c r="X163" i="22" s="1"/>
  <c r="Y163" i="22" s="1"/>
  <c r="Z163" i="22" s="1"/>
  <c r="AA163" i="22" s="1"/>
  <c r="AB163" i="22" s="1"/>
  <c r="AC163" i="22" s="1"/>
  <c r="AD163" i="22" s="1"/>
  <c r="AE163" i="22" s="1"/>
  <c r="AF163" i="22" s="1"/>
  <c r="AG163" i="22" s="1"/>
  <c r="AI96" i="22"/>
  <c r="AJ96" i="22" s="1"/>
  <c r="AK96" i="22" s="1"/>
  <c r="AL96" i="22" s="1"/>
  <c r="AM96" i="22" s="1"/>
  <c r="AN96" i="22" s="1"/>
  <c r="AO96" i="22" s="1"/>
  <c r="AP96" i="22" s="1"/>
  <c r="AQ96" i="22" s="1"/>
  <c r="AR96" i="22" s="1"/>
  <c r="AS96" i="22" s="1"/>
  <c r="AT96" i="22" s="1"/>
  <c r="AU96" i="22" s="1"/>
  <c r="AV96" i="22" s="1"/>
  <c r="AW96" i="22" s="1"/>
  <c r="AX96" i="22" s="1"/>
  <c r="AY96" i="22" s="1"/>
  <c r="AZ96" i="22" s="1"/>
  <c r="BA96" i="22" s="1"/>
  <c r="BB96" i="22" s="1"/>
  <c r="BC96" i="22" s="1"/>
  <c r="BD96" i="22" s="1"/>
  <c r="BE96" i="22" s="1"/>
  <c r="AI88" i="22"/>
  <c r="AJ88" i="22" s="1"/>
  <c r="AK88" i="22" s="1"/>
  <c r="AL88" i="22" s="1"/>
  <c r="AM88" i="22" s="1"/>
  <c r="AN88" i="22" s="1"/>
  <c r="AO88" i="22" s="1"/>
  <c r="AP88" i="22" s="1"/>
  <c r="AQ88" i="22" s="1"/>
  <c r="AR88" i="22" s="1"/>
  <c r="AS88" i="22" s="1"/>
  <c r="AT88" i="22" s="1"/>
  <c r="AU88" i="22" s="1"/>
  <c r="AV88" i="22" s="1"/>
  <c r="AW88" i="22" s="1"/>
  <c r="AX88" i="22" s="1"/>
  <c r="AY88" i="22" s="1"/>
  <c r="AZ88" i="22" s="1"/>
  <c r="BA88" i="22" s="1"/>
  <c r="BB88" i="22" s="1"/>
  <c r="BC88" i="22" s="1"/>
  <c r="BD88" i="22" s="1"/>
  <c r="BE88" i="22" s="1"/>
  <c r="AH73" i="22"/>
  <c r="O226" i="22"/>
  <c r="P226" i="22" s="1"/>
  <c r="Q226" i="22" s="1"/>
  <c r="R226" i="22" s="1"/>
  <c r="S226" i="22" s="1"/>
  <c r="T226" i="22" s="1"/>
  <c r="U226" i="22" s="1"/>
  <c r="V226" i="22" s="1"/>
  <c r="W226" i="22" s="1"/>
  <c r="X226" i="22" s="1"/>
  <c r="Y226" i="22" s="1"/>
  <c r="Z226" i="22" s="1"/>
  <c r="AA226" i="22" s="1"/>
  <c r="AB226" i="22" s="1"/>
  <c r="AC226" i="22" s="1"/>
  <c r="AD226" i="22" s="1"/>
  <c r="AE226" i="22" s="1"/>
  <c r="AF226" i="22" s="1"/>
  <c r="AG226" i="22" s="1"/>
  <c r="O106" i="22"/>
  <c r="P106" i="22" s="1"/>
  <c r="Q106" i="22" s="1"/>
  <c r="R106" i="22" s="1"/>
  <c r="S106" i="22" s="1"/>
  <c r="T106" i="22" s="1"/>
  <c r="U106" i="22" s="1"/>
  <c r="V106" i="22" s="1"/>
  <c r="W106" i="22" s="1"/>
  <c r="X106" i="22" s="1"/>
  <c r="Y106" i="22" s="1"/>
  <c r="Z106" i="22" s="1"/>
  <c r="AA106" i="22" s="1"/>
  <c r="AB106" i="22" s="1"/>
  <c r="AC106" i="22" s="1"/>
  <c r="AD106" i="22" s="1"/>
  <c r="AE106" i="22" s="1"/>
  <c r="AF106" i="22" s="1"/>
  <c r="AG106" i="22" s="1"/>
  <c r="AI100" i="22"/>
  <c r="AJ100" i="22" s="1"/>
  <c r="AK100" i="22" s="1"/>
  <c r="AL100" i="22" s="1"/>
  <c r="AM100" i="22" s="1"/>
  <c r="AN100" i="22" s="1"/>
  <c r="AO100" i="22" s="1"/>
  <c r="AP100" i="22" s="1"/>
  <c r="AQ100" i="22" s="1"/>
  <c r="AR100" i="22" s="1"/>
  <c r="AS100" i="22" s="1"/>
  <c r="AT100" i="22" s="1"/>
  <c r="AU100" i="22" s="1"/>
  <c r="AV100" i="22" s="1"/>
  <c r="AW100" i="22" s="1"/>
  <c r="AX100" i="22" s="1"/>
  <c r="AY100" i="22" s="1"/>
  <c r="AZ100" i="22" s="1"/>
  <c r="BA100" i="22" s="1"/>
  <c r="BB100" i="22" s="1"/>
  <c r="BC100" i="22" s="1"/>
  <c r="BD100" i="22" s="1"/>
  <c r="BE100" i="22" s="1"/>
  <c r="AH26" i="22"/>
  <c r="AI449" i="22"/>
  <c r="AJ449" i="22" s="1"/>
  <c r="AK449" i="22" s="1"/>
  <c r="AL449" i="22" s="1"/>
  <c r="AM449" i="22" s="1"/>
  <c r="AN449" i="22" s="1"/>
  <c r="AO449" i="22" s="1"/>
  <c r="AP449" i="22" s="1"/>
  <c r="AQ449" i="22" s="1"/>
  <c r="AR449" i="22" s="1"/>
  <c r="AS449" i="22" s="1"/>
  <c r="AT449" i="22" s="1"/>
  <c r="AU449" i="22" s="1"/>
  <c r="AV449" i="22" s="1"/>
  <c r="AW449" i="22" s="1"/>
  <c r="AX449" i="22" s="1"/>
  <c r="AY449" i="22" s="1"/>
  <c r="AZ449" i="22" s="1"/>
  <c r="BA449" i="22" s="1"/>
  <c r="BB449" i="22" s="1"/>
  <c r="BC449" i="22" s="1"/>
  <c r="BD449" i="22" s="1"/>
  <c r="BE449" i="22" s="1"/>
  <c r="O185" i="22"/>
  <c r="P185" i="22" s="1"/>
  <c r="Q185" i="22" s="1"/>
  <c r="R185" i="22" s="1"/>
  <c r="S185" i="22" s="1"/>
  <c r="T185" i="22" s="1"/>
  <c r="U185" i="22" s="1"/>
  <c r="V185" i="22" s="1"/>
  <c r="W185" i="22" s="1"/>
  <c r="X185" i="22" s="1"/>
  <c r="Y185" i="22" s="1"/>
  <c r="Z185" i="22" s="1"/>
  <c r="AA185" i="22" s="1"/>
  <c r="AB185" i="22" s="1"/>
  <c r="AC185" i="22" s="1"/>
  <c r="AD185" i="22" s="1"/>
  <c r="AE185" i="22" s="1"/>
  <c r="AF185" i="22" s="1"/>
  <c r="AG185" i="22" s="1"/>
  <c r="O131" i="22"/>
  <c r="P131" i="22" s="1"/>
  <c r="Q131" i="22" s="1"/>
  <c r="R131" i="22" s="1"/>
  <c r="S131" i="22" s="1"/>
  <c r="T131" i="22" s="1"/>
  <c r="U131" i="22" s="1"/>
  <c r="V131" i="22" s="1"/>
  <c r="W131" i="22" s="1"/>
  <c r="X131" i="22" s="1"/>
  <c r="Y131" i="22" s="1"/>
  <c r="Z131" i="22" s="1"/>
  <c r="AA131" i="22" s="1"/>
  <c r="AB131" i="22" s="1"/>
  <c r="AC131" i="22" s="1"/>
  <c r="AD131" i="22" s="1"/>
  <c r="AE131" i="22" s="1"/>
  <c r="AF131" i="22" s="1"/>
  <c r="AG131" i="22" s="1"/>
  <c r="AI86" i="22"/>
  <c r="AJ86" i="22" s="1"/>
  <c r="AK86" i="22" s="1"/>
  <c r="AL86" i="22" s="1"/>
  <c r="AM86" i="22" s="1"/>
  <c r="AN86" i="22" s="1"/>
  <c r="AO86" i="22" s="1"/>
  <c r="AP86" i="22" s="1"/>
  <c r="AQ86" i="22" s="1"/>
  <c r="AR86" i="22" s="1"/>
  <c r="AS86" i="22" s="1"/>
  <c r="AT86" i="22" s="1"/>
  <c r="AU86" i="22" s="1"/>
  <c r="AV86" i="22" s="1"/>
  <c r="AW86" i="22" s="1"/>
  <c r="AX86" i="22" s="1"/>
  <c r="AY86" i="22" s="1"/>
  <c r="AZ86" i="22" s="1"/>
  <c r="BA86" i="22" s="1"/>
  <c r="BB86" i="22" s="1"/>
  <c r="BC86" i="22" s="1"/>
  <c r="BD86" i="22" s="1"/>
  <c r="BE86" i="22" s="1"/>
  <c r="O116" i="22"/>
  <c r="P116" i="22" s="1"/>
  <c r="Q116" i="22" s="1"/>
  <c r="R116" i="22" s="1"/>
  <c r="S116" i="22" s="1"/>
  <c r="T116" i="22" s="1"/>
  <c r="U116" i="22" s="1"/>
  <c r="V116" i="22" s="1"/>
  <c r="W116" i="22" s="1"/>
  <c r="X116" i="22" s="1"/>
  <c r="Y116" i="22" s="1"/>
  <c r="Z116" i="22" s="1"/>
  <c r="AA116" i="22" s="1"/>
  <c r="AB116" i="22" s="1"/>
  <c r="AC116" i="22" s="1"/>
  <c r="AD116" i="22" s="1"/>
  <c r="AE116" i="22" s="1"/>
  <c r="AF116" i="22" s="1"/>
  <c r="AG116" i="22" s="1"/>
  <c r="O107" i="22"/>
  <c r="P107" i="22" s="1"/>
  <c r="Q107" i="22" s="1"/>
  <c r="R107" i="22" s="1"/>
  <c r="S107" i="22" s="1"/>
  <c r="T107" i="22" s="1"/>
  <c r="U107" i="22" s="1"/>
  <c r="V107" i="22" s="1"/>
  <c r="W107" i="22" s="1"/>
  <c r="X107" i="22" s="1"/>
  <c r="Y107" i="22" s="1"/>
  <c r="Z107" i="22" s="1"/>
  <c r="AA107" i="22" s="1"/>
  <c r="AB107" i="22" s="1"/>
  <c r="AC107" i="22" s="1"/>
  <c r="AD107" i="22" s="1"/>
  <c r="AE107" i="22" s="1"/>
  <c r="AF107" i="22" s="1"/>
  <c r="AG107" i="22" s="1"/>
  <c r="O211" i="22"/>
  <c r="P211" i="22" s="1"/>
  <c r="Q211" i="22" s="1"/>
  <c r="R211" i="22" s="1"/>
  <c r="S211" i="22" s="1"/>
  <c r="T211" i="22" s="1"/>
  <c r="U211" i="22" s="1"/>
  <c r="V211" i="22" s="1"/>
  <c r="W211" i="22" s="1"/>
  <c r="X211" i="22" s="1"/>
  <c r="Y211" i="22" s="1"/>
  <c r="Z211" i="22" s="1"/>
  <c r="AA211" i="22" s="1"/>
  <c r="AB211" i="22" s="1"/>
  <c r="AC211" i="22" s="1"/>
  <c r="AD211" i="22" s="1"/>
  <c r="AE211" i="22" s="1"/>
  <c r="AF211" i="22" s="1"/>
  <c r="AG211" i="22" s="1"/>
  <c r="AI164" i="22"/>
  <c r="AJ164" i="22" s="1"/>
  <c r="AK164" i="22" s="1"/>
  <c r="AL164" i="22" s="1"/>
  <c r="AM164" i="22" s="1"/>
  <c r="AN164" i="22" s="1"/>
  <c r="AO164" i="22" s="1"/>
  <c r="AP164" i="22" s="1"/>
  <c r="AQ164" i="22" s="1"/>
  <c r="AR164" i="22" s="1"/>
  <c r="AS164" i="22" s="1"/>
  <c r="AT164" i="22" s="1"/>
  <c r="AU164" i="22" s="1"/>
  <c r="AV164" i="22" s="1"/>
  <c r="AW164" i="22" s="1"/>
  <c r="AX164" i="22" s="1"/>
  <c r="AY164" i="22" s="1"/>
  <c r="AZ164" i="22" s="1"/>
  <c r="BA164" i="22" s="1"/>
  <c r="BB164" i="22" s="1"/>
  <c r="BC164" i="22" s="1"/>
  <c r="BD164" i="22" s="1"/>
  <c r="BE164" i="22" s="1"/>
  <c r="O144" i="22"/>
  <c r="P144" i="22" s="1"/>
  <c r="Q144" i="22" s="1"/>
  <c r="R144" i="22" s="1"/>
  <c r="S144" i="22" s="1"/>
  <c r="T144" i="22" s="1"/>
  <c r="U144" i="22" s="1"/>
  <c r="V144" i="22" s="1"/>
  <c r="W144" i="22" s="1"/>
  <c r="X144" i="22" s="1"/>
  <c r="Y144" i="22" s="1"/>
  <c r="Z144" i="22" s="1"/>
  <c r="AA144" i="22" s="1"/>
  <c r="AB144" i="22" s="1"/>
  <c r="AC144" i="22" s="1"/>
  <c r="AD144" i="22" s="1"/>
  <c r="AE144" i="22" s="1"/>
  <c r="AF144" i="22" s="1"/>
  <c r="AG144" i="22" s="1"/>
  <c r="AI137" i="22"/>
  <c r="AJ137" i="22" s="1"/>
  <c r="AK137" i="22" s="1"/>
  <c r="AL137" i="22" s="1"/>
  <c r="AM137" i="22" s="1"/>
  <c r="AN137" i="22" s="1"/>
  <c r="AO137" i="22" s="1"/>
  <c r="AP137" i="22" s="1"/>
  <c r="AQ137" i="22" s="1"/>
  <c r="AR137" i="22" s="1"/>
  <c r="AS137" i="22" s="1"/>
  <c r="AT137" i="22" s="1"/>
  <c r="AU137" i="22" s="1"/>
  <c r="AV137" i="22" s="1"/>
  <c r="AW137" i="22" s="1"/>
  <c r="AX137" i="22" s="1"/>
  <c r="AY137" i="22" s="1"/>
  <c r="AZ137" i="22" s="1"/>
  <c r="BA137" i="22" s="1"/>
  <c r="BB137" i="22" s="1"/>
  <c r="BC137" i="22" s="1"/>
  <c r="BD137" i="22" s="1"/>
  <c r="BE137" i="22" s="1"/>
  <c r="AI328" i="22"/>
  <c r="AJ328" i="22" s="1"/>
  <c r="AK328" i="22" s="1"/>
  <c r="AL328" i="22" s="1"/>
  <c r="AM328" i="22" s="1"/>
  <c r="AN328" i="22" s="1"/>
  <c r="AO328" i="22" s="1"/>
  <c r="AP328" i="22" s="1"/>
  <c r="AQ328" i="22" s="1"/>
  <c r="AR328" i="22" s="1"/>
  <c r="AS328" i="22" s="1"/>
  <c r="AT328" i="22" s="1"/>
  <c r="AU328" i="22" s="1"/>
  <c r="AV328" i="22" s="1"/>
  <c r="AW328" i="22" s="1"/>
  <c r="AX328" i="22" s="1"/>
  <c r="AY328" i="22" s="1"/>
  <c r="AZ328" i="22" s="1"/>
  <c r="BA328" i="22" s="1"/>
  <c r="BB328" i="22" s="1"/>
  <c r="BC328" i="22" s="1"/>
  <c r="BD328" i="22" s="1"/>
  <c r="BE328" i="22" s="1"/>
  <c r="O281" i="22"/>
  <c r="P281" i="22" s="1"/>
  <c r="Q281" i="22" s="1"/>
  <c r="R281" i="22" s="1"/>
  <c r="S281" i="22" s="1"/>
  <c r="T281" i="22" s="1"/>
  <c r="U281" i="22" s="1"/>
  <c r="V281" i="22" s="1"/>
  <c r="W281" i="22" s="1"/>
  <c r="X281" i="22" s="1"/>
  <c r="Y281" i="22" s="1"/>
  <c r="Z281" i="22" s="1"/>
  <c r="AA281" i="22" s="1"/>
  <c r="AB281" i="22" s="1"/>
  <c r="AC281" i="22" s="1"/>
  <c r="AD281" i="22" s="1"/>
  <c r="AE281" i="22" s="1"/>
  <c r="AF281" i="22" s="1"/>
  <c r="AG281" i="22" s="1"/>
  <c r="O183" i="22"/>
  <c r="P183" i="22" s="1"/>
  <c r="Q183" i="22" s="1"/>
  <c r="R183" i="22" s="1"/>
  <c r="S183" i="22" s="1"/>
  <c r="T183" i="22" s="1"/>
  <c r="U183" i="22" s="1"/>
  <c r="V183" i="22" s="1"/>
  <c r="W183" i="22" s="1"/>
  <c r="X183" i="22" s="1"/>
  <c r="Y183" i="22" s="1"/>
  <c r="Z183" i="22" s="1"/>
  <c r="AA183" i="22" s="1"/>
  <c r="AB183" i="22" s="1"/>
  <c r="AC183" i="22" s="1"/>
  <c r="AD183" i="22" s="1"/>
  <c r="AE183" i="22" s="1"/>
  <c r="AF183" i="22" s="1"/>
  <c r="AG183" i="22" s="1"/>
  <c r="AH76" i="22"/>
  <c r="O342" i="22"/>
  <c r="P342" i="22" s="1"/>
  <c r="Q342" i="22" s="1"/>
  <c r="R342" i="22" s="1"/>
  <c r="S342" i="22" s="1"/>
  <c r="T342" i="22" s="1"/>
  <c r="U342" i="22" s="1"/>
  <c r="V342" i="22" s="1"/>
  <c r="W342" i="22" s="1"/>
  <c r="X342" i="22" s="1"/>
  <c r="Y342" i="22" s="1"/>
  <c r="Z342" i="22" s="1"/>
  <c r="AA342" i="22" s="1"/>
  <c r="AB342" i="22" s="1"/>
  <c r="AC342" i="22" s="1"/>
  <c r="AD342" i="22" s="1"/>
  <c r="AE342" i="22" s="1"/>
  <c r="AF342" i="22" s="1"/>
  <c r="AG342" i="22" s="1"/>
  <c r="AI92" i="22"/>
  <c r="AJ92" i="22" s="1"/>
  <c r="AK92" i="22" s="1"/>
  <c r="AL92" i="22" s="1"/>
  <c r="AM92" i="22" s="1"/>
  <c r="AN92" i="22" s="1"/>
  <c r="AO92" i="22" s="1"/>
  <c r="AP92" i="22" s="1"/>
  <c r="AQ92" i="22" s="1"/>
  <c r="AR92" i="22" s="1"/>
  <c r="AS92" i="22" s="1"/>
  <c r="AT92" i="22" s="1"/>
  <c r="AU92" i="22" s="1"/>
  <c r="AV92" i="22" s="1"/>
  <c r="AW92" i="22" s="1"/>
  <c r="AX92" i="22" s="1"/>
  <c r="AY92" i="22" s="1"/>
  <c r="AZ92" i="22" s="1"/>
  <c r="BA92" i="22" s="1"/>
  <c r="BB92" i="22" s="1"/>
  <c r="BC92" i="22" s="1"/>
  <c r="BD92" i="22" s="1"/>
  <c r="BE92" i="22" s="1"/>
  <c r="AI90" i="22"/>
  <c r="AJ90" i="22" s="1"/>
  <c r="AK90" i="22" s="1"/>
  <c r="AL90" i="22" s="1"/>
  <c r="AM90" i="22" s="1"/>
  <c r="AN90" i="22" s="1"/>
  <c r="AO90" i="22" s="1"/>
  <c r="AP90" i="22" s="1"/>
  <c r="AQ90" i="22" s="1"/>
  <c r="AR90" i="22" s="1"/>
  <c r="AS90" i="22" s="1"/>
  <c r="AT90" i="22" s="1"/>
  <c r="AU90" i="22" s="1"/>
  <c r="AV90" i="22" s="1"/>
  <c r="AW90" i="22" s="1"/>
  <c r="AX90" i="22" s="1"/>
  <c r="AY90" i="22" s="1"/>
  <c r="AZ90" i="22" s="1"/>
  <c r="BA90" i="22" s="1"/>
  <c r="BB90" i="22" s="1"/>
  <c r="BC90" i="22" s="1"/>
  <c r="BD90" i="22" s="1"/>
  <c r="BE90" i="22" s="1"/>
  <c r="AI204" i="22"/>
  <c r="AJ204" i="22" s="1"/>
  <c r="AK204" i="22" s="1"/>
  <c r="AL204" i="22" s="1"/>
  <c r="AM204" i="22" s="1"/>
  <c r="AN204" i="22" s="1"/>
  <c r="AO204" i="22" s="1"/>
  <c r="AP204" i="22" s="1"/>
  <c r="AQ204" i="22" s="1"/>
  <c r="AR204" i="22" s="1"/>
  <c r="AS204" i="22" s="1"/>
  <c r="AT204" i="22" s="1"/>
  <c r="AU204" i="22" s="1"/>
  <c r="AV204" i="22" s="1"/>
  <c r="AW204" i="22" s="1"/>
  <c r="AX204" i="22" s="1"/>
  <c r="AY204" i="22" s="1"/>
  <c r="AZ204" i="22" s="1"/>
  <c r="BA204" i="22" s="1"/>
  <c r="BB204" i="22" s="1"/>
  <c r="BC204" i="22" s="1"/>
  <c r="BD204" i="22" s="1"/>
  <c r="BE204" i="22" s="1"/>
  <c r="O186" i="22"/>
  <c r="P186" i="22" s="1"/>
  <c r="Q186" i="22" s="1"/>
  <c r="R186" i="22" s="1"/>
  <c r="S186" i="22" s="1"/>
  <c r="T186" i="22" s="1"/>
  <c r="U186" i="22" s="1"/>
  <c r="V186" i="22" s="1"/>
  <c r="W186" i="22" s="1"/>
  <c r="X186" i="22" s="1"/>
  <c r="Y186" i="22" s="1"/>
  <c r="Z186" i="22" s="1"/>
  <c r="AA186" i="22" s="1"/>
  <c r="AB186" i="22" s="1"/>
  <c r="AC186" i="22" s="1"/>
  <c r="AD186" i="22" s="1"/>
  <c r="AE186" i="22" s="1"/>
  <c r="AF186" i="22" s="1"/>
  <c r="AG186" i="22" s="1"/>
  <c r="O125" i="22"/>
  <c r="P125" i="22" s="1"/>
  <c r="Q125" i="22" s="1"/>
  <c r="R125" i="22" s="1"/>
  <c r="S125" i="22" s="1"/>
  <c r="T125" i="22" s="1"/>
  <c r="U125" i="22" s="1"/>
  <c r="V125" i="22" s="1"/>
  <c r="W125" i="22" s="1"/>
  <c r="X125" i="22" s="1"/>
  <c r="Y125" i="22" s="1"/>
  <c r="Z125" i="22" s="1"/>
  <c r="AA125" i="22" s="1"/>
  <c r="AB125" i="22" s="1"/>
  <c r="AC125" i="22" s="1"/>
  <c r="AD125" i="22" s="1"/>
  <c r="AE125" i="22" s="1"/>
  <c r="AF125" i="22" s="1"/>
  <c r="AG125" i="22" s="1"/>
  <c r="AI114" i="22"/>
  <c r="AJ114" i="22" s="1"/>
  <c r="AK114" i="22" s="1"/>
  <c r="AL114" i="22" s="1"/>
  <c r="AM114" i="22" s="1"/>
  <c r="AN114" i="22" s="1"/>
  <c r="AO114" i="22" s="1"/>
  <c r="AP114" i="22" s="1"/>
  <c r="AQ114" i="22" s="1"/>
  <c r="AR114" i="22" s="1"/>
  <c r="AS114" i="22" s="1"/>
  <c r="AT114" i="22" s="1"/>
  <c r="AU114" i="22" s="1"/>
  <c r="AV114" i="22" s="1"/>
  <c r="AW114" i="22" s="1"/>
  <c r="AX114" i="22" s="1"/>
  <c r="AY114" i="22" s="1"/>
  <c r="AZ114" i="22" s="1"/>
  <c r="BA114" i="22" s="1"/>
  <c r="BB114" i="22" s="1"/>
  <c r="BC114" i="22" s="1"/>
  <c r="BD114" i="22" s="1"/>
  <c r="BE114" i="22" s="1"/>
  <c r="AI123" i="22"/>
  <c r="AJ123" i="22" s="1"/>
  <c r="AK123" i="22" s="1"/>
  <c r="AL123" i="22" s="1"/>
  <c r="AM123" i="22" s="1"/>
  <c r="AN123" i="22" s="1"/>
  <c r="AO123" i="22" s="1"/>
  <c r="AP123" i="22" s="1"/>
  <c r="AQ123" i="22" s="1"/>
  <c r="AR123" i="22" s="1"/>
  <c r="AS123" i="22" s="1"/>
  <c r="AT123" i="22" s="1"/>
  <c r="AU123" i="22" s="1"/>
  <c r="AV123" i="22" s="1"/>
  <c r="AW123" i="22" s="1"/>
  <c r="AX123" i="22" s="1"/>
  <c r="AY123" i="22" s="1"/>
  <c r="AZ123" i="22" s="1"/>
  <c r="BA123" i="22" s="1"/>
  <c r="BB123" i="22" s="1"/>
  <c r="BC123" i="22" s="1"/>
  <c r="BD123" i="22" s="1"/>
  <c r="BE123" i="22" s="1"/>
  <c r="O91" i="22"/>
  <c r="P91" i="22" s="1"/>
  <c r="Q91" i="22" s="1"/>
  <c r="R91" i="22" s="1"/>
  <c r="S91" i="22" s="1"/>
  <c r="T91" i="22" s="1"/>
  <c r="U91" i="22" s="1"/>
  <c r="V91" i="22" s="1"/>
  <c r="W91" i="22" s="1"/>
  <c r="X91" i="22" s="1"/>
  <c r="Y91" i="22" s="1"/>
  <c r="Z91" i="22" s="1"/>
  <c r="AA91" i="22" s="1"/>
  <c r="AB91" i="22" s="1"/>
  <c r="AC91" i="22" s="1"/>
  <c r="AD91" i="22" s="1"/>
  <c r="AE91" i="22" s="1"/>
  <c r="AF91" i="22" s="1"/>
  <c r="AG91" i="22" s="1"/>
  <c r="BD752" i="22"/>
  <c r="BE745" i="22"/>
  <c r="BE752" i="22" s="1"/>
  <c r="BE751" i="22"/>
  <c r="BC739" i="22"/>
  <c r="BD732" i="22"/>
  <c r="BD740" i="22"/>
  <c r="BE733" i="22"/>
  <c r="BE740" i="22" s="1"/>
  <c r="BD773" i="22"/>
  <c r="BE766" i="22"/>
  <c r="BE773" i="22" s="1"/>
  <c r="BC738" i="22"/>
  <c r="BD731" i="22"/>
  <c r="BC741" i="22"/>
  <c r="BC772" i="22"/>
  <c r="BD765" i="22"/>
  <c r="BC775" i="22"/>
  <c r="BD779" i="22"/>
  <c r="BC786" i="22"/>
  <c r="BC788" i="22"/>
  <c r="A43" i="116" l="1"/>
  <c r="BD739" i="22"/>
  <c r="BE732" i="22"/>
  <c r="BE739" i="22" s="1"/>
  <c r="BD772" i="22"/>
  <c r="BE765" i="22"/>
  <c r="BD775" i="22"/>
  <c r="AI75" i="22"/>
  <c r="AI74" i="22"/>
  <c r="AI49" i="22"/>
  <c r="AI73" i="22"/>
  <c r="AI50" i="22"/>
  <c r="AI29" i="22"/>
  <c r="AI78" i="22"/>
  <c r="AJ6" i="22"/>
  <c r="AI52" i="22"/>
  <c r="AI77" i="22"/>
  <c r="AI76" i="22"/>
  <c r="AI26" i="22"/>
  <c r="AI27" i="22"/>
  <c r="AI28" i="22"/>
  <c r="AI51" i="22"/>
  <c r="AI72" i="22"/>
  <c r="BD753" i="22"/>
  <c r="BE746" i="22"/>
  <c r="BD754" i="22"/>
  <c r="BD741" i="22"/>
  <c r="BD738" i="22"/>
  <c r="BE731" i="22"/>
  <c r="BE779" i="22"/>
  <c r="BD786" i="22"/>
  <c r="BD788" i="22"/>
  <c r="A44" i="116" l="1"/>
  <c r="BE753" i="22"/>
  <c r="BE754" i="22"/>
  <c r="BE786" i="22"/>
  <c r="BE788" i="22"/>
  <c r="BE772" i="22"/>
  <c r="BE775" i="22"/>
  <c r="BE738" i="22"/>
  <c r="BE741" i="22"/>
  <c r="AJ50" i="22"/>
  <c r="AJ49" i="22"/>
  <c r="AJ78" i="22"/>
  <c r="AJ28" i="22"/>
  <c r="AJ74" i="22"/>
  <c r="AJ77" i="22"/>
  <c r="AK6" i="22"/>
  <c r="AJ73" i="22"/>
  <c r="AJ29" i="22"/>
  <c r="AJ75" i="22"/>
  <c r="AJ76" i="22"/>
  <c r="AJ27" i="22"/>
  <c r="AJ52" i="22"/>
  <c r="AJ72" i="22"/>
  <c r="AJ51" i="22"/>
  <c r="AJ26" i="22"/>
  <c r="A45" i="116" l="1"/>
  <c r="AK78" i="22"/>
  <c r="AK27" i="22"/>
  <c r="AK74" i="22"/>
  <c r="AK49" i="22"/>
  <c r="AL6" i="22"/>
  <c r="AK73" i="22"/>
  <c r="AK29" i="22"/>
  <c r="AK77" i="22"/>
  <c r="AK28" i="22"/>
  <c r="AK75" i="22"/>
  <c r="AK72" i="22"/>
  <c r="AK52" i="22"/>
  <c r="AK76" i="22"/>
  <c r="AK26" i="22"/>
  <c r="AK51" i="22"/>
  <c r="AK50" i="22"/>
  <c r="A46" i="116" l="1"/>
  <c r="AL74" i="22"/>
  <c r="AL49" i="22"/>
  <c r="AM6" i="22"/>
  <c r="AL73" i="22"/>
  <c r="AL29" i="22"/>
  <c r="AL26" i="22"/>
  <c r="AL78" i="22"/>
  <c r="AL52" i="22"/>
  <c r="AL77" i="22"/>
  <c r="AL28" i="22"/>
  <c r="AL72" i="22"/>
  <c r="AL27" i="22"/>
  <c r="AL76" i="22"/>
  <c r="AL50" i="22"/>
  <c r="AL51" i="22"/>
  <c r="AL75" i="22"/>
  <c r="A47" i="116" l="1"/>
  <c r="AM78" i="22"/>
  <c r="AM29" i="22"/>
  <c r="AM77" i="22"/>
  <c r="AM28" i="22"/>
  <c r="AN6" i="22"/>
  <c r="AM73" i="22"/>
  <c r="AM76" i="22"/>
  <c r="AM27" i="22"/>
  <c r="AM72" i="22"/>
  <c r="AM52" i="22"/>
  <c r="AM26" i="22"/>
  <c r="AM50" i="22"/>
  <c r="AM51" i="22"/>
  <c r="AM75" i="22"/>
  <c r="AM49" i="22"/>
  <c r="AM74" i="22"/>
  <c r="A48" i="116" l="1"/>
  <c r="AO6" i="22"/>
  <c r="AN28" i="22"/>
  <c r="AN27" i="22"/>
  <c r="AN73" i="22"/>
  <c r="AN29" i="22"/>
  <c r="AN77" i="22"/>
  <c r="AN51" i="22"/>
  <c r="AN72" i="22"/>
  <c r="AN52" i="22"/>
  <c r="AN26" i="22"/>
  <c r="AN76" i="22"/>
  <c r="AN50" i="22"/>
  <c r="AN74" i="22"/>
  <c r="AN75" i="22"/>
  <c r="AN49" i="22"/>
  <c r="AN78" i="22"/>
  <c r="A49" i="116" l="1"/>
  <c r="AO73" i="22"/>
  <c r="AO29" i="22"/>
  <c r="AO27" i="22"/>
  <c r="AO52" i="22"/>
  <c r="AO26" i="22"/>
  <c r="AO77" i="22"/>
  <c r="AO28" i="22"/>
  <c r="AO75" i="22"/>
  <c r="AO72" i="22"/>
  <c r="AO76" i="22"/>
  <c r="AO51" i="22"/>
  <c r="AO50" i="22"/>
  <c r="AO74" i="22"/>
  <c r="AO78" i="22"/>
  <c r="AP6" i="22"/>
  <c r="AO49" i="22"/>
  <c r="A50" i="116" l="1"/>
  <c r="AP77" i="22"/>
  <c r="AP28" i="22"/>
  <c r="AP52" i="22"/>
  <c r="AP26" i="22"/>
  <c r="AP76" i="22"/>
  <c r="AP27" i="22"/>
  <c r="AP50" i="22"/>
  <c r="AP72" i="22"/>
  <c r="AP51" i="22"/>
  <c r="AP75" i="22"/>
  <c r="AP74" i="22"/>
  <c r="AP29" i="22"/>
  <c r="AP73" i="22"/>
  <c r="AP49" i="22"/>
  <c r="AP78" i="22"/>
  <c r="AQ6" i="22"/>
  <c r="A51" i="116" l="1"/>
  <c r="AQ27" i="22"/>
  <c r="AQ51" i="22"/>
  <c r="AQ72" i="22"/>
  <c r="AQ52" i="22"/>
  <c r="AQ26" i="22"/>
  <c r="AQ76" i="22"/>
  <c r="AQ75" i="22"/>
  <c r="AQ50" i="22"/>
  <c r="AQ49" i="22"/>
  <c r="AQ29" i="22"/>
  <c r="AQ77" i="22"/>
  <c r="AQ74" i="22"/>
  <c r="AQ78" i="22"/>
  <c r="AQ28" i="22"/>
  <c r="AR6" i="22"/>
  <c r="AQ73" i="22"/>
  <c r="A52" i="116" l="1"/>
  <c r="AR72" i="22"/>
  <c r="AR52" i="22"/>
  <c r="AR26" i="22"/>
  <c r="AR51" i="22"/>
  <c r="AR75" i="22"/>
  <c r="AR74" i="22"/>
  <c r="AR76" i="22"/>
  <c r="AR49" i="22"/>
  <c r="AR50" i="22"/>
  <c r="AR29" i="22"/>
  <c r="AR77" i="22"/>
  <c r="AR27" i="22"/>
  <c r="AR28" i="22"/>
  <c r="AS6" i="22"/>
  <c r="AR78" i="22"/>
  <c r="AR73" i="22"/>
  <c r="A53" i="116" l="1"/>
  <c r="AS76" i="22"/>
  <c r="AS50" i="22"/>
  <c r="AS51" i="22"/>
  <c r="AS75" i="22"/>
  <c r="AS78" i="22"/>
  <c r="AS74" i="22"/>
  <c r="AS49" i="22"/>
  <c r="AS73" i="22"/>
  <c r="AS52" i="22"/>
  <c r="AS29" i="22"/>
  <c r="AS28" i="22"/>
  <c r="AT6" i="22"/>
  <c r="AS72" i="22"/>
  <c r="AS26" i="22"/>
  <c r="AS77" i="22"/>
  <c r="AS27" i="22"/>
  <c r="A54" i="116" l="1"/>
  <c r="AT51" i="22"/>
  <c r="AT75" i="22"/>
  <c r="AT50" i="22"/>
  <c r="AT74" i="22"/>
  <c r="AT49" i="22"/>
  <c r="AU6" i="22"/>
  <c r="AT78" i="22"/>
  <c r="AT76" i="22"/>
  <c r="AT72" i="22"/>
  <c r="AT26" i="22"/>
  <c r="AT77" i="22"/>
  <c r="AT29" i="22"/>
  <c r="AT73" i="22"/>
  <c r="AT28" i="22"/>
  <c r="AT27" i="22"/>
  <c r="AT52" i="22"/>
  <c r="A55" i="116" l="1"/>
  <c r="AU75" i="22"/>
  <c r="AU49" i="22"/>
  <c r="AU29" i="22"/>
  <c r="AU50" i="22"/>
  <c r="AU74" i="22"/>
  <c r="AU78" i="22"/>
  <c r="AU73" i="22"/>
  <c r="AV6" i="22"/>
  <c r="AU77" i="22"/>
  <c r="AU72" i="22"/>
  <c r="AU26" i="22"/>
  <c r="AU51" i="22"/>
  <c r="AU27" i="22"/>
  <c r="AU52" i="22"/>
  <c r="AU76" i="22"/>
  <c r="AU28" i="22"/>
  <c r="A56" i="116" l="1"/>
  <c r="AV50" i="22"/>
  <c r="AV49" i="22"/>
  <c r="AV77" i="22"/>
  <c r="AV28" i="22"/>
  <c r="AV74" i="22"/>
  <c r="AV78" i="22"/>
  <c r="AW6" i="22"/>
  <c r="AV73" i="22"/>
  <c r="AV29" i="22"/>
  <c r="AV51" i="22"/>
  <c r="AV76" i="22"/>
  <c r="AV26" i="22"/>
  <c r="AV72" i="22"/>
  <c r="AV27" i="22"/>
  <c r="AV52" i="22"/>
  <c r="AV75" i="22"/>
  <c r="A57" i="116" l="1"/>
  <c r="AW27" i="22"/>
  <c r="AW74" i="22"/>
  <c r="AW49" i="22"/>
  <c r="AW78" i="22"/>
  <c r="AX6" i="22"/>
  <c r="AW73" i="22"/>
  <c r="AW29" i="22"/>
  <c r="AW77" i="22"/>
  <c r="AW28" i="22"/>
  <c r="AW76" i="22"/>
  <c r="AW26" i="22"/>
  <c r="AW75" i="22"/>
  <c r="AW72" i="22"/>
  <c r="AW52" i="22"/>
  <c r="AW51" i="22"/>
  <c r="AW50" i="22"/>
  <c r="A58" i="116" l="1"/>
  <c r="AX74" i="22"/>
  <c r="AX49" i="22"/>
  <c r="AX73" i="22"/>
  <c r="AX72" i="22"/>
  <c r="AX26" i="22"/>
  <c r="AX78" i="22"/>
  <c r="AY6" i="22"/>
  <c r="AX52" i="22"/>
  <c r="AX29" i="22"/>
  <c r="AX77" i="22"/>
  <c r="AX28" i="22"/>
  <c r="AX27" i="22"/>
  <c r="AX76" i="22"/>
  <c r="AX51" i="22"/>
  <c r="AX50" i="22"/>
  <c r="AX75" i="22"/>
  <c r="AY78" i="22" l="1"/>
  <c r="AZ6" i="22"/>
  <c r="AY76" i="22"/>
  <c r="AY73" i="22"/>
  <c r="AY29" i="22"/>
  <c r="AY77" i="22"/>
  <c r="AY28" i="22"/>
  <c r="AY27" i="22"/>
  <c r="AY72" i="22"/>
  <c r="AY52" i="22"/>
  <c r="AY26" i="22"/>
  <c r="AY49" i="22"/>
  <c r="AY50" i="22"/>
  <c r="AY51" i="22"/>
  <c r="AY75" i="22"/>
  <c r="AY74" i="22"/>
  <c r="B61" i="116" l="1"/>
  <c r="C61" i="116"/>
  <c r="BA6" i="22"/>
  <c r="AZ28" i="22"/>
  <c r="AZ27" i="22"/>
  <c r="AZ73" i="22"/>
  <c r="AZ29" i="22"/>
  <c r="AZ51" i="22"/>
  <c r="AZ77" i="22"/>
  <c r="AZ72" i="22"/>
  <c r="AZ52" i="22"/>
  <c r="AZ26" i="22"/>
  <c r="AZ76" i="22"/>
  <c r="AZ50" i="22"/>
  <c r="AZ78" i="22"/>
  <c r="AZ75" i="22"/>
  <c r="AZ49" i="22"/>
  <c r="AZ74" i="22"/>
  <c r="BA73" i="22" l="1"/>
  <c r="BA29" i="22"/>
  <c r="BA27" i="22"/>
  <c r="BA72" i="22"/>
  <c r="BA52" i="22"/>
  <c r="BA26" i="22"/>
  <c r="BA77" i="22"/>
  <c r="BA28" i="22"/>
  <c r="BA76" i="22"/>
  <c r="BA75" i="22"/>
  <c r="BA51" i="22"/>
  <c r="BA74" i="22"/>
  <c r="BA50" i="22"/>
  <c r="BA49" i="22"/>
  <c r="BA78" i="22"/>
  <c r="BB6" i="22"/>
  <c r="BB77" i="22" l="1"/>
  <c r="BB28" i="22"/>
  <c r="BB72" i="22"/>
  <c r="BB52" i="22"/>
  <c r="BB26" i="22"/>
  <c r="BB27" i="22"/>
  <c r="BB50" i="22"/>
  <c r="BB76" i="22"/>
  <c r="BB51" i="22"/>
  <c r="BB75" i="22"/>
  <c r="BB78" i="22"/>
  <c r="BB73" i="22"/>
  <c r="BB49" i="22"/>
  <c r="BB74" i="22"/>
  <c r="BC6" i="22"/>
  <c r="BB29" i="22"/>
  <c r="BC27" i="22" l="1"/>
  <c r="BC51" i="22"/>
  <c r="BC72" i="22"/>
  <c r="BC52" i="22"/>
  <c r="BC26" i="22"/>
  <c r="BC76" i="22"/>
  <c r="BC75" i="22"/>
  <c r="BC50" i="22"/>
  <c r="BC78" i="22"/>
  <c r="BC73" i="22"/>
  <c r="BC74" i="22"/>
  <c r="BC49" i="22"/>
  <c r="BC28" i="22"/>
  <c r="BC77" i="22"/>
  <c r="BC29" i="22"/>
  <c r="BD6" i="22"/>
  <c r="BD72" i="22" l="1"/>
  <c r="BD52" i="22"/>
  <c r="BD26" i="22"/>
  <c r="BD51" i="22"/>
  <c r="BD76" i="22"/>
  <c r="BD49" i="22"/>
  <c r="BD75" i="22"/>
  <c r="BD50" i="22"/>
  <c r="BD74" i="22"/>
  <c r="BD27" i="22"/>
  <c r="BD29" i="22"/>
  <c r="BD73" i="22"/>
  <c r="BD28" i="22"/>
  <c r="BE6" i="22"/>
  <c r="BD77" i="22"/>
  <c r="BD78" i="22"/>
  <c r="BE76" i="22" l="1"/>
  <c r="BE50" i="22"/>
  <c r="BE51" i="22"/>
  <c r="BE78" i="22"/>
  <c r="BE75" i="22"/>
  <c r="BE74" i="22"/>
  <c r="BE49" i="22"/>
  <c r="BE27" i="22"/>
  <c r="BE73" i="22"/>
  <c r="BE28" i="22"/>
  <c r="BE26" i="22"/>
  <c r="BE72" i="22"/>
  <c r="BE52" i="22"/>
  <c r="BE77" i="22"/>
  <c r="BE29" i="22"/>
  <c r="G11" i="34" l="1"/>
  <c r="H41" i="78"/>
  <c r="H45" i="78" s="1"/>
  <c r="H51" i="78" l="1"/>
  <c r="H56" i="67" l="1"/>
  <c r="AP116" i="67" l="1"/>
  <c r="AD116" i="67"/>
  <c r="R116" i="67"/>
  <c r="AZ115" i="67"/>
  <c r="AN115" i="67"/>
  <c r="AB115" i="67"/>
  <c r="P115" i="67"/>
  <c r="AX114" i="67"/>
  <c r="AL114" i="67"/>
  <c r="Z114" i="67"/>
  <c r="N114" i="67"/>
  <c r="AV113" i="67"/>
  <c r="AJ113" i="67"/>
  <c r="X113" i="67"/>
  <c r="L113" i="67"/>
  <c r="T116" i="67"/>
  <c r="AB114" i="67"/>
  <c r="BA116" i="67"/>
  <c r="AO116" i="67"/>
  <c r="AC116" i="67"/>
  <c r="Q116" i="67"/>
  <c r="AY115" i="67"/>
  <c r="AM115" i="67"/>
  <c r="AA115" i="67"/>
  <c r="O115" i="67"/>
  <c r="AW114" i="67"/>
  <c r="AK114" i="67"/>
  <c r="Y114" i="67"/>
  <c r="M114" i="67"/>
  <c r="AU113" i="67"/>
  <c r="AI113" i="67"/>
  <c r="W113" i="67"/>
  <c r="K113" i="67"/>
  <c r="S113" i="67"/>
  <c r="AH116" i="67"/>
  <c r="AZ116" i="67"/>
  <c r="AN116" i="67"/>
  <c r="AB116" i="67"/>
  <c r="P116" i="67"/>
  <c r="AX115" i="67"/>
  <c r="AL115" i="67"/>
  <c r="Z115" i="67"/>
  <c r="N115" i="67"/>
  <c r="AV114" i="67"/>
  <c r="AJ114" i="67"/>
  <c r="X114" i="67"/>
  <c r="L114" i="67"/>
  <c r="AT113" i="67"/>
  <c r="AH113" i="67"/>
  <c r="V113" i="67"/>
  <c r="J113" i="67"/>
  <c r="AN113" i="67"/>
  <c r="AE115" i="67"/>
  <c r="AM113" i="67"/>
  <c r="R115" i="67"/>
  <c r="AL113" i="67"/>
  <c r="AA114" i="67"/>
  <c r="AY116" i="67"/>
  <c r="AM116" i="67"/>
  <c r="AA116" i="67"/>
  <c r="O116" i="67"/>
  <c r="AW115" i="67"/>
  <c r="AK115" i="67"/>
  <c r="Y115" i="67"/>
  <c r="M115" i="67"/>
  <c r="AU114" i="67"/>
  <c r="AI114" i="67"/>
  <c r="W114" i="67"/>
  <c r="K114" i="67"/>
  <c r="AS113" i="67"/>
  <c r="AG113" i="67"/>
  <c r="U113" i="67"/>
  <c r="I113" i="67"/>
  <c r="T115" i="67"/>
  <c r="P113" i="67"/>
  <c r="BA114" i="67"/>
  <c r="AY113" i="67"/>
  <c r="AP115" i="67"/>
  <c r="AN114" i="67"/>
  <c r="N113" i="67"/>
  <c r="O114" i="67"/>
  <c r="AX116" i="67"/>
  <c r="AL116" i="67"/>
  <c r="Z116" i="67"/>
  <c r="N116" i="67"/>
  <c r="AV115" i="67"/>
  <c r="AJ115" i="67"/>
  <c r="X115" i="67"/>
  <c r="L115" i="67"/>
  <c r="AT114" i="67"/>
  <c r="AH114" i="67"/>
  <c r="V114" i="67"/>
  <c r="J114" i="67"/>
  <c r="AR113" i="67"/>
  <c r="AF113" i="67"/>
  <c r="T113" i="67"/>
  <c r="AD114" i="67"/>
  <c r="AW116" i="67"/>
  <c r="AK116" i="67"/>
  <c r="Y116" i="67"/>
  <c r="M116" i="67"/>
  <c r="AU115" i="67"/>
  <c r="AI115" i="67"/>
  <c r="W115" i="67"/>
  <c r="K115" i="67"/>
  <c r="AS114" i="67"/>
  <c r="AG114" i="67"/>
  <c r="U114" i="67"/>
  <c r="I114" i="67"/>
  <c r="AQ113" i="67"/>
  <c r="AE113" i="67"/>
  <c r="AR115" i="67"/>
  <c r="AZ113" i="67"/>
  <c r="S115" i="67"/>
  <c r="Q114" i="67"/>
  <c r="AA113" i="67"/>
  <c r="AZ114" i="67"/>
  <c r="Z113" i="67"/>
  <c r="AW113" i="67"/>
  <c r="AV116" i="67"/>
  <c r="AJ116" i="67"/>
  <c r="X116" i="67"/>
  <c r="L116" i="67"/>
  <c r="AT115" i="67"/>
  <c r="AH115" i="67"/>
  <c r="V115" i="67"/>
  <c r="J115" i="67"/>
  <c r="AR114" i="67"/>
  <c r="AF114" i="67"/>
  <c r="T114" i="67"/>
  <c r="AP113" i="67"/>
  <c r="AD113" i="67"/>
  <c r="R113" i="67"/>
  <c r="AF116" i="67"/>
  <c r="P114" i="67"/>
  <c r="AY114" i="67"/>
  <c r="M113" i="67"/>
  <c r="AU116" i="67"/>
  <c r="AI116" i="67"/>
  <c r="W116" i="67"/>
  <c r="K116" i="67"/>
  <c r="AS115" i="67"/>
  <c r="AG115" i="67"/>
  <c r="U115" i="67"/>
  <c r="I115" i="67"/>
  <c r="AQ114" i="67"/>
  <c r="AE114" i="67"/>
  <c r="S114" i="67"/>
  <c r="BA113" i="67"/>
  <c r="AO113" i="67"/>
  <c r="AC113" i="67"/>
  <c r="Q113" i="67"/>
  <c r="AT116" i="67"/>
  <c r="V116" i="67"/>
  <c r="J116" i="67"/>
  <c r="AF115" i="67"/>
  <c r="AP114" i="67"/>
  <c r="R114" i="67"/>
  <c r="AB113" i="67"/>
  <c r="AC114" i="67"/>
  <c r="O113" i="67"/>
  <c r="AD115" i="67"/>
  <c r="AX113" i="67"/>
  <c r="AK113" i="67"/>
  <c r="AS116" i="67"/>
  <c r="AG116" i="67"/>
  <c r="U116" i="67"/>
  <c r="I116" i="67"/>
  <c r="AQ115" i="67"/>
  <c r="AO114" i="67"/>
  <c r="AR116" i="67"/>
  <c r="AQ116" i="67"/>
  <c r="AE116" i="67"/>
  <c r="S116" i="67"/>
  <c r="BA115" i="67"/>
  <c r="AO115" i="67"/>
  <c r="AC115" i="67"/>
  <c r="Q115" i="67"/>
  <c r="AM114" i="67"/>
  <c r="Y113" i="67"/>
  <c r="E12" i="1"/>
  <c r="E11" i="1"/>
  <c r="E10" i="1"/>
  <c r="E22" i="71"/>
  <c r="E21" i="71"/>
  <c r="E20" i="71"/>
  <c r="E19" i="71"/>
  <c r="E22" i="33"/>
  <c r="E21" i="33"/>
  <c r="E20" i="33"/>
  <c r="E19" i="33"/>
  <c r="I46" i="67" l="1"/>
  <c r="I81" i="90" l="1"/>
  <c r="AW139" i="67"/>
  <c r="V48" i="67"/>
  <c r="U48" i="67"/>
  <c r="T48" i="67"/>
  <c r="S48" i="67"/>
  <c r="R48" i="67"/>
  <c r="Q48" i="67"/>
  <c r="P48" i="67"/>
  <c r="O48" i="67"/>
  <c r="N48" i="67"/>
  <c r="M48" i="67"/>
  <c r="L48" i="67"/>
  <c r="K48" i="67"/>
  <c r="J48" i="67"/>
  <c r="V47" i="67"/>
  <c r="U47" i="67"/>
  <c r="T47" i="67"/>
  <c r="S47" i="67"/>
  <c r="R47" i="67"/>
  <c r="Q47" i="67"/>
  <c r="P47" i="67"/>
  <c r="O47" i="67"/>
  <c r="N47" i="67"/>
  <c r="M47" i="67"/>
  <c r="L47" i="67"/>
  <c r="K47" i="67"/>
  <c r="J47" i="67"/>
  <c r="V46" i="67"/>
  <c r="U46" i="67"/>
  <c r="T46" i="67"/>
  <c r="S46" i="67"/>
  <c r="R46" i="67"/>
  <c r="Q46" i="67"/>
  <c r="P46" i="67"/>
  <c r="O46" i="67"/>
  <c r="N46" i="67"/>
  <c r="M46" i="67"/>
  <c r="L46" i="67"/>
  <c r="K46" i="67"/>
  <c r="J46" i="67"/>
  <c r="I48" i="67"/>
  <c r="I47" i="67"/>
  <c r="H153" i="67"/>
  <c r="H152" i="67"/>
  <c r="I5" i="10"/>
  <c r="I5" i="38"/>
  <c r="I5" i="53"/>
  <c r="I5" i="1"/>
  <c r="I5" i="24"/>
  <c r="I5" i="28"/>
  <c r="I5" i="31"/>
  <c r="I5" i="71"/>
  <c r="I5" i="33"/>
  <c r="I5" i="55"/>
  <c r="I5" i="90"/>
  <c r="I5" i="67"/>
  <c r="F6" i="31"/>
  <c r="AS137" i="67" l="1"/>
  <c r="AV138" i="67"/>
  <c r="P138" i="67"/>
  <c r="T139" i="67"/>
  <c r="J136" i="67"/>
  <c r="AJ139" i="67"/>
  <c r="Z136" i="67"/>
  <c r="AP136" i="67"/>
  <c r="AC137" i="67"/>
  <c r="AH136" i="67"/>
  <c r="BA137" i="67"/>
  <c r="AB139" i="67"/>
  <c r="AX136" i="67"/>
  <c r="X138" i="67"/>
  <c r="AR139" i="67"/>
  <c r="M137" i="67"/>
  <c r="AF138" i="67"/>
  <c r="AZ139" i="67"/>
  <c r="U137" i="67"/>
  <c r="AN138" i="67"/>
  <c r="R136" i="67"/>
  <c r="AK137" i="67"/>
  <c r="L139" i="67"/>
  <c r="P136" i="67"/>
  <c r="X136" i="67"/>
  <c r="AF136" i="67"/>
  <c r="AN136" i="67"/>
  <c r="AV136" i="67"/>
  <c r="K137" i="67"/>
  <c r="S137" i="67"/>
  <c r="AA137" i="67"/>
  <c r="AI137" i="67"/>
  <c r="AQ137" i="67"/>
  <c r="AY137" i="67"/>
  <c r="N138" i="67"/>
  <c r="V138" i="67"/>
  <c r="AD138" i="67"/>
  <c r="AL138" i="67"/>
  <c r="AT138" i="67"/>
  <c r="J139" i="67"/>
  <c r="R139" i="67"/>
  <c r="Z139" i="67"/>
  <c r="AH139" i="67"/>
  <c r="AP139" i="67"/>
  <c r="AX139" i="67"/>
  <c r="I136" i="67"/>
  <c r="Q136" i="67"/>
  <c r="Y136" i="67"/>
  <c r="AG136" i="67"/>
  <c r="AO136" i="67"/>
  <c r="AW136" i="67"/>
  <c r="L137" i="67"/>
  <c r="T137" i="67"/>
  <c r="AB137" i="67"/>
  <c r="AJ137" i="67"/>
  <c r="AR137" i="67"/>
  <c r="AZ137" i="67"/>
  <c r="O138" i="67"/>
  <c r="W138" i="67"/>
  <c r="AE138" i="67"/>
  <c r="AM138" i="67"/>
  <c r="AU138" i="67"/>
  <c r="K139" i="67"/>
  <c r="S139" i="67"/>
  <c r="AA139" i="67"/>
  <c r="AI139" i="67"/>
  <c r="AQ139" i="67"/>
  <c r="AY139" i="67"/>
  <c r="K136" i="67"/>
  <c r="S136" i="67"/>
  <c r="AA136" i="67"/>
  <c r="AI136" i="67"/>
  <c r="AQ136" i="67"/>
  <c r="AY136" i="67"/>
  <c r="N137" i="67"/>
  <c r="V137" i="67"/>
  <c r="AD137" i="67"/>
  <c r="AL137" i="67"/>
  <c r="AT137" i="67"/>
  <c r="I138" i="67"/>
  <c r="Q138" i="67"/>
  <c r="Y138" i="67"/>
  <c r="AG138" i="67"/>
  <c r="AO138" i="67"/>
  <c r="AW138" i="67"/>
  <c r="M139" i="67"/>
  <c r="U139" i="67"/>
  <c r="AC139" i="67"/>
  <c r="AK139" i="67"/>
  <c r="AS139" i="67"/>
  <c r="BA139" i="67"/>
  <c r="L136" i="67"/>
  <c r="T136" i="67"/>
  <c r="AB136" i="67"/>
  <c r="AJ136" i="67"/>
  <c r="AR136" i="67"/>
  <c r="AZ136" i="67"/>
  <c r="O137" i="67"/>
  <c r="W137" i="67"/>
  <c r="AE137" i="67"/>
  <c r="AM137" i="67"/>
  <c r="AU137" i="67"/>
  <c r="J138" i="67"/>
  <c r="R138" i="67"/>
  <c r="Z138" i="67"/>
  <c r="AH138" i="67"/>
  <c r="AP138" i="67"/>
  <c r="AX138" i="67"/>
  <c r="N139" i="67"/>
  <c r="V139" i="67"/>
  <c r="AD139" i="67"/>
  <c r="AL139" i="67"/>
  <c r="AT139" i="67"/>
  <c r="I139" i="67"/>
  <c r="M136" i="67"/>
  <c r="U136" i="67"/>
  <c r="AC136" i="67"/>
  <c r="AK136" i="67"/>
  <c r="AS136" i="67"/>
  <c r="BA136" i="67"/>
  <c r="P137" i="67"/>
  <c r="X137" i="67"/>
  <c r="AF137" i="67"/>
  <c r="AN137" i="67"/>
  <c r="AV137" i="67"/>
  <c r="K138" i="67"/>
  <c r="S138" i="67"/>
  <c r="AA138" i="67"/>
  <c r="AI138" i="67"/>
  <c r="AQ138" i="67"/>
  <c r="AY138" i="67"/>
  <c r="O139" i="67"/>
  <c r="W139" i="67"/>
  <c r="AE139" i="67"/>
  <c r="AM139" i="67"/>
  <c r="AU139" i="67"/>
  <c r="N136" i="67"/>
  <c r="V136" i="67"/>
  <c r="AD136" i="67"/>
  <c r="AL136" i="67"/>
  <c r="AT136" i="67"/>
  <c r="I137" i="67"/>
  <c r="Q137" i="67"/>
  <c r="Y137" i="67"/>
  <c r="AG137" i="67"/>
  <c r="AO137" i="67"/>
  <c r="AW137" i="67"/>
  <c r="L138" i="67"/>
  <c r="T138" i="67"/>
  <c r="AB138" i="67"/>
  <c r="AJ138" i="67"/>
  <c r="AR138" i="67"/>
  <c r="AZ138" i="67"/>
  <c r="P139" i="67"/>
  <c r="X139" i="67"/>
  <c r="AF139" i="67"/>
  <c r="AN139" i="67"/>
  <c r="AV139" i="67"/>
  <c r="O136" i="67"/>
  <c r="W136" i="67"/>
  <c r="AE136" i="67"/>
  <c r="AM136" i="67"/>
  <c r="AU136" i="67"/>
  <c r="J137" i="67"/>
  <c r="R137" i="67"/>
  <c r="Z137" i="67"/>
  <c r="AH137" i="67"/>
  <c r="AP137" i="67"/>
  <c r="AX137" i="67"/>
  <c r="M138" i="67"/>
  <c r="U138" i="67"/>
  <c r="AC138" i="67"/>
  <c r="AK138" i="67"/>
  <c r="AS138" i="67"/>
  <c r="BA138" i="67"/>
  <c r="Q139" i="67"/>
  <c r="Y139" i="67"/>
  <c r="AG139" i="67"/>
  <c r="AO139" i="67"/>
  <c r="E217" i="92"/>
  <c r="D217" i="92"/>
  <c r="C217" i="92"/>
  <c r="E216" i="92"/>
  <c r="D216" i="92"/>
  <c r="C216" i="92"/>
  <c r="E215" i="92"/>
  <c r="D215" i="92"/>
  <c r="C215" i="92"/>
  <c r="E214" i="92"/>
  <c r="D214" i="92"/>
  <c r="C214" i="92"/>
  <c r="E213" i="92"/>
  <c r="D213" i="92"/>
  <c r="C213" i="92"/>
  <c r="E212" i="92"/>
  <c r="D212" i="92"/>
  <c r="C212" i="92"/>
  <c r="E206" i="92"/>
  <c r="D206" i="92"/>
  <c r="C206" i="92"/>
  <c r="E205" i="92"/>
  <c r="D205" i="92"/>
  <c r="C205" i="92"/>
  <c r="E204" i="92"/>
  <c r="D204" i="92"/>
  <c r="C204" i="92"/>
  <c r="E203" i="92"/>
  <c r="D203" i="92"/>
  <c r="C203" i="92"/>
  <c r="E202" i="92"/>
  <c r="D202" i="92"/>
  <c r="C202" i="92"/>
  <c r="E201" i="92"/>
  <c r="D201" i="92"/>
  <c r="C201" i="92"/>
  <c r="J5" i="53"/>
  <c r="K5" i="53" s="1"/>
  <c r="L5" i="53" s="1"/>
  <c r="M5" i="53" s="1"/>
  <c r="N5" i="53" s="1"/>
  <c r="O5" i="53" s="1"/>
  <c r="P5" i="53" s="1"/>
  <c r="Q5" i="53" s="1"/>
  <c r="R5" i="53" s="1"/>
  <c r="S5" i="53" s="1"/>
  <c r="T5" i="53" s="1"/>
  <c r="U5" i="53" s="1"/>
  <c r="V5" i="53" s="1"/>
  <c r="W5" i="53" s="1"/>
  <c r="X5" i="53" s="1"/>
  <c r="Y5" i="53" s="1"/>
  <c r="Z5" i="53" s="1"/>
  <c r="AA5" i="53" s="1"/>
  <c r="AB5" i="53" s="1"/>
  <c r="AC5" i="53" s="1"/>
  <c r="AD5" i="53" s="1"/>
  <c r="AE5" i="53" s="1"/>
  <c r="AF5" i="53" s="1"/>
  <c r="AG5" i="53" s="1"/>
  <c r="AH5" i="53" s="1"/>
  <c r="AI5" i="53" s="1"/>
  <c r="AJ5" i="53" s="1"/>
  <c r="AK5" i="53" s="1"/>
  <c r="AL5" i="53" s="1"/>
  <c r="AM5" i="53" s="1"/>
  <c r="AN5" i="53" s="1"/>
  <c r="AO5" i="53" s="1"/>
  <c r="AP5" i="53" s="1"/>
  <c r="AQ5" i="53" s="1"/>
  <c r="AR5" i="53" s="1"/>
  <c r="AS5" i="53" s="1"/>
  <c r="AT5" i="53" s="1"/>
  <c r="AU5" i="53" s="1"/>
  <c r="AV5" i="53" s="1"/>
  <c r="AW5" i="53" s="1"/>
  <c r="AX5" i="53" s="1"/>
  <c r="AY5" i="53" s="1"/>
  <c r="AZ5" i="53" s="1"/>
  <c r="BA5" i="53" s="1"/>
  <c r="J5" i="38"/>
  <c r="K5" i="38" s="1"/>
  <c r="L5" i="38" s="1"/>
  <c r="M5" i="38" s="1"/>
  <c r="N5" i="38" s="1"/>
  <c r="O5" i="38" s="1"/>
  <c r="P5" i="38" s="1"/>
  <c r="Q5" i="38" s="1"/>
  <c r="R5" i="38" s="1"/>
  <c r="S5" i="38" s="1"/>
  <c r="T5" i="38" s="1"/>
  <c r="U5" i="38" s="1"/>
  <c r="V5" i="38" s="1"/>
  <c r="W5" i="38" s="1"/>
  <c r="X5" i="38" s="1"/>
  <c r="Y5" i="38" s="1"/>
  <c r="Z5" i="38" s="1"/>
  <c r="AA5" i="38" s="1"/>
  <c r="AB5" i="38" s="1"/>
  <c r="AC5" i="38" s="1"/>
  <c r="AD5" i="38" s="1"/>
  <c r="AE5" i="38" s="1"/>
  <c r="AF5" i="38" s="1"/>
  <c r="AG5" i="38" s="1"/>
  <c r="AH5" i="38" s="1"/>
  <c r="AI5" i="38" s="1"/>
  <c r="AJ5" i="38" s="1"/>
  <c r="AK5" i="38" s="1"/>
  <c r="AL5" i="38" s="1"/>
  <c r="AM5" i="38" s="1"/>
  <c r="AN5" i="38" s="1"/>
  <c r="AO5" i="38" s="1"/>
  <c r="AP5" i="38" s="1"/>
  <c r="AQ5" i="38" s="1"/>
  <c r="AR5" i="38" s="1"/>
  <c r="AS5" i="38" s="1"/>
  <c r="AT5" i="38" s="1"/>
  <c r="AU5" i="38" s="1"/>
  <c r="AV5" i="38" s="1"/>
  <c r="AW5" i="38" s="1"/>
  <c r="AX5" i="38" s="1"/>
  <c r="AY5" i="38" s="1"/>
  <c r="AZ5" i="38" s="1"/>
  <c r="BA5" i="38" s="1"/>
  <c r="J5" i="10"/>
  <c r="K5" i="10" s="1"/>
  <c r="L5" i="10" s="1"/>
  <c r="M5" i="10" s="1"/>
  <c r="N5" i="10" s="1"/>
  <c r="O5" i="10" s="1"/>
  <c r="P5" i="10" s="1"/>
  <c r="Q5" i="10" s="1"/>
  <c r="R5" i="10" s="1"/>
  <c r="S5" i="10" s="1"/>
  <c r="T5" i="10" s="1"/>
  <c r="U5" i="10" s="1"/>
  <c r="V5" i="10" s="1"/>
  <c r="W5" i="10" s="1"/>
  <c r="X5" i="10" s="1"/>
  <c r="Y5" i="10" s="1"/>
  <c r="Z5" i="10" s="1"/>
  <c r="AA5" i="10" s="1"/>
  <c r="AB5" i="10" s="1"/>
  <c r="AC5" i="10" s="1"/>
  <c r="AD5" i="10" s="1"/>
  <c r="AE5" i="10" s="1"/>
  <c r="AF5" i="10" s="1"/>
  <c r="AG5" i="10" s="1"/>
  <c r="AH5" i="10" s="1"/>
  <c r="AI5" i="10" s="1"/>
  <c r="AJ5" i="10" s="1"/>
  <c r="AK5" i="10" s="1"/>
  <c r="AL5" i="10" s="1"/>
  <c r="AM5" i="10" s="1"/>
  <c r="AN5" i="10" s="1"/>
  <c r="AO5" i="10" s="1"/>
  <c r="AP5" i="10" s="1"/>
  <c r="AQ5" i="10" s="1"/>
  <c r="AR5" i="10" s="1"/>
  <c r="AS5" i="10" s="1"/>
  <c r="AT5" i="10" s="1"/>
  <c r="AU5" i="10" s="1"/>
  <c r="AV5" i="10" s="1"/>
  <c r="AW5" i="10" s="1"/>
  <c r="AX5" i="10" s="1"/>
  <c r="AY5" i="10" s="1"/>
  <c r="AZ5" i="10" s="1"/>
  <c r="BA5" i="10" s="1"/>
  <c r="J5" i="33"/>
  <c r="K5" i="33" s="1"/>
  <c r="L5" i="33" s="1"/>
  <c r="M5" i="33" s="1"/>
  <c r="N5" i="33" s="1"/>
  <c r="O5" i="33" s="1"/>
  <c r="P5" i="33" s="1"/>
  <c r="Q5" i="33" s="1"/>
  <c r="R5" i="33" s="1"/>
  <c r="S5" i="33" s="1"/>
  <c r="T5" i="33" s="1"/>
  <c r="U5" i="33" s="1"/>
  <c r="V5" i="33" s="1"/>
  <c r="W5" i="33" s="1"/>
  <c r="X5" i="33" s="1"/>
  <c r="Y5" i="33" s="1"/>
  <c r="Z5" i="33" s="1"/>
  <c r="AA5" i="33" s="1"/>
  <c r="AB5" i="33" s="1"/>
  <c r="AC5" i="33" s="1"/>
  <c r="AD5" i="33" s="1"/>
  <c r="AE5" i="33" s="1"/>
  <c r="AF5" i="33" s="1"/>
  <c r="AG5" i="33" s="1"/>
  <c r="AH5" i="33" s="1"/>
  <c r="AI5" i="33" s="1"/>
  <c r="AJ5" i="33" s="1"/>
  <c r="AK5" i="33" s="1"/>
  <c r="AL5" i="33" s="1"/>
  <c r="AM5" i="33" s="1"/>
  <c r="AN5" i="33" s="1"/>
  <c r="AO5" i="33" s="1"/>
  <c r="AP5" i="33" s="1"/>
  <c r="AQ5" i="33" s="1"/>
  <c r="AR5" i="33" s="1"/>
  <c r="AS5" i="33" s="1"/>
  <c r="AT5" i="33" s="1"/>
  <c r="AU5" i="33" s="1"/>
  <c r="AV5" i="33" s="1"/>
  <c r="AW5" i="33" s="1"/>
  <c r="AX5" i="33" s="1"/>
  <c r="AY5" i="33" s="1"/>
  <c r="AZ5" i="33" s="1"/>
  <c r="BA5" i="33" s="1"/>
  <c r="J5" i="71"/>
  <c r="K5" i="71" s="1"/>
  <c r="L5" i="71" s="1"/>
  <c r="M5" i="71" s="1"/>
  <c r="N5" i="71" s="1"/>
  <c r="O5" i="71" s="1"/>
  <c r="P5" i="71" s="1"/>
  <c r="Q5" i="71" s="1"/>
  <c r="R5" i="71" s="1"/>
  <c r="S5" i="71" s="1"/>
  <c r="T5" i="71" s="1"/>
  <c r="U5" i="71" s="1"/>
  <c r="V5" i="71" s="1"/>
  <c r="W5" i="71" s="1"/>
  <c r="X5" i="71" s="1"/>
  <c r="Y5" i="71" s="1"/>
  <c r="Z5" i="71" s="1"/>
  <c r="AA5" i="71" s="1"/>
  <c r="AB5" i="71" s="1"/>
  <c r="AC5" i="71" s="1"/>
  <c r="AD5" i="71" s="1"/>
  <c r="AE5" i="71" s="1"/>
  <c r="AF5" i="71" s="1"/>
  <c r="AG5" i="71" s="1"/>
  <c r="AH5" i="71" s="1"/>
  <c r="AI5" i="71" s="1"/>
  <c r="AJ5" i="71" s="1"/>
  <c r="AK5" i="71" s="1"/>
  <c r="AL5" i="71" s="1"/>
  <c r="AM5" i="71" s="1"/>
  <c r="AN5" i="71" s="1"/>
  <c r="AO5" i="71" s="1"/>
  <c r="AP5" i="71" s="1"/>
  <c r="AQ5" i="71" s="1"/>
  <c r="AR5" i="71" s="1"/>
  <c r="AS5" i="71" s="1"/>
  <c r="AT5" i="71" s="1"/>
  <c r="AU5" i="71" s="1"/>
  <c r="AV5" i="71" s="1"/>
  <c r="AW5" i="71" s="1"/>
  <c r="AX5" i="71" s="1"/>
  <c r="AY5" i="71" s="1"/>
  <c r="AZ5" i="71" s="1"/>
  <c r="BA5" i="71" s="1"/>
  <c r="J5" i="31"/>
  <c r="K5" i="31" s="1"/>
  <c r="L5" i="31" s="1"/>
  <c r="M5" i="31" s="1"/>
  <c r="N5" i="31" s="1"/>
  <c r="O5" i="31" s="1"/>
  <c r="P5" i="31" s="1"/>
  <c r="Q5" i="31" s="1"/>
  <c r="R5" i="31" s="1"/>
  <c r="S5" i="31" s="1"/>
  <c r="T5" i="31" s="1"/>
  <c r="U5" i="31" s="1"/>
  <c r="V5" i="31" s="1"/>
  <c r="W5" i="31" s="1"/>
  <c r="X5" i="31" s="1"/>
  <c r="Y5" i="31" s="1"/>
  <c r="Z5" i="31" s="1"/>
  <c r="AA5" i="31" s="1"/>
  <c r="AB5" i="31" s="1"/>
  <c r="AC5" i="31" s="1"/>
  <c r="AD5" i="31" s="1"/>
  <c r="AE5" i="31" s="1"/>
  <c r="AF5" i="31" s="1"/>
  <c r="AG5" i="31" s="1"/>
  <c r="AH5" i="31" s="1"/>
  <c r="AI5" i="31" s="1"/>
  <c r="AJ5" i="31" s="1"/>
  <c r="AK5" i="31" s="1"/>
  <c r="AL5" i="31" s="1"/>
  <c r="AM5" i="31" s="1"/>
  <c r="AN5" i="31" s="1"/>
  <c r="AO5" i="31" s="1"/>
  <c r="AP5" i="31" s="1"/>
  <c r="AQ5" i="31" s="1"/>
  <c r="AR5" i="31" s="1"/>
  <c r="AS5" i="31" s="1"/>
  <c r="AT5" i="31" s="1"/>
  <c r="AU5" i="31" s="1"/>
  <c r="AV5" i="31" s="1"/>
  <c r="AW5" i="31" s="1"/>
  <c r="AX5" i="31" s="1"/>
  <c r="AY5" i="31" s="1"/>
  <c r="AZ5" i="31" s="1"/>
  <c r="BA5" i="31" s="1"/>
  <c r="J5" i="28"/>
  <c r="K5" i="28" s="1"/>
  <c r="L5" i="28" s="1"/>
  <c r="M5" i="28" s="1"/>
  <c r="N5" i="28" s="1"/>
  <c r="O5" i="28" s="1"/>
  <c r="P5" i="28" s="1"/>
  <c r="Q5" i="28" s="1"/>
  <c r="R5" i="28" s="1"/>
  <c r="S5" i="28" s="1"/>
  <c r="T5" i="28" s="1"/>
  <c r="U5" i="28" s="1"/>
  <c r="V5" i="28" s="1"/>
  <c r="W5" i="28" s="1"/>
  <c r="X5" i="28" s="1"/>
  <c r="Y5" i="28" s="1"/>
  <c r="Z5" i="28" s="1"/>
  <c r="AA5" i="28" s="1"/>
  <c r="AB5" i="28" s="1"/>
  <c r="AC5" i="28" s="1"/>
  <c r="AD5" i="28" s="1"/>
  <c r="AE5" i="28" s="1"/>
  <c r="AF5" i="28" s="1"/>
  <c r="AG5" i="28" s="1"/>
  <c r="AH5" i="28" s="1"/>
  <c r="AI5" i="28" s="1"/>
  <c r="AJ5" i="28" s="1"/>
  <c r="AK5" i="28" s="1"/>
  <c r="AL5" i="28" s="1"/>
  <c r="AM5" i="28" s="1"/>
  <c r="AN5" i="28" s="1"/>
  <c r="AO5" i="28" s="1"/>
  <c r="AP5" i="28" s="1"/>
  <c r="AQ5" i="28" s="1"/>
  <c r="AR5" i="28" s="1"/>
  <c r="AS5" i="28" s="1"/>
  <c r="AT5" i="28" s="1"/>
  <c r="AU5" i="28" s="1"/>
  <c r="AV5" i="28" s="1"/>
  <c r="AW5" i="28" s="1"/>
  <c r="AX5" i="28" s="1"/>
  <c r="AY5" i="28" s="1"/>
  <c r="AZ5" i="28" s="1"/>
  <c r="BA5" i="28" s="1"/>
  <c r="J5" i="24"/>
  <c r="K5" i="24" s="1"/>
  <c r="L5" i="24" s="1"/>
  <c r="M5" i="24" s="1"/>
  <c r="N5" i="24" s="1"/>
  <c r="O5" i="24" s="1"/>
  <c r="P5" i="24" s="1"/>
  <c r="Q5" i="24" s="1"/>
  <c r="R5" i="24" s="1"/>
  <c r="S5" i="24" s="1"/>
  <c r="T5" i="24" s="1"/>
  <c r="U5" i="24" s="1"/>
  <c r="V5" i="24" s="1"/>
  <c r="W5" i="24" s="1"/>
  <c r="X5" i="24" s="1"/>
  <c r="Y5" i="24" s="1"/>
  <c r="Z5" i="24" s="1"/>
  <c r="AA5" i="24" s="1"/>
  <c r="AB5" i="24" s="1"/>
  <c r="AC5" i="24" s="1"/>
  <c r="AD5" i="24" s="1"/>
  <c r="AE5" i="24" s="1"/>
  <c r="AF5" i="24" s="1"/>
  <c r="AG5" i="24" s="1"/>
  <c r="AH5" i="24" s="1"/>
  <c r="AI5" i="24" s="1"/>
  <c r="AJ5" i="24" s="1"/>
  <c r="AK5" i="24" s="1"/>
  <c r="AL5" i="24" s="1"/>
  <c r="AM5" i="24" s="1"/>
  <c r="AN5" i="24" s="1"/>
  <c r="AO5" i="24" s="1"/>
  <c r="AP5" i="24" s="1"/>
  <c r="AQ5" i="24" s="1"/>
  <c r="AR5" i="24" s="1"/>
  <c r="AS5" i="24" s="1"/>
  <c r="AT5" i="24" s="1"/>
  <c r="AU5" i="24" s="1"/>
  <c r="AV5" i="24" s="1"/>
  <c r="AW5" i="24" s="1"/>
  <c r="AX5" i="24" s="1"/>
  <c r="AY5" i="24" s="1"/>
  <c r="AZ5" i="24" s="1"/>
  <c r="BA5" i="24" s="1"/>
  <c r="J5" i="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AJ5" i="1" s="1"/>
  <c r="AK5" i="1" s="1"/>
  <c r="AL5" i="1" s="1"/>
  <c r="AM5" i="1" s="1"/>
  <c r="AN5" i="1" s="1"/>
  <c r="AO5" i="1" s="1"/>
  <c r="AP5" i="1" s="1"/>
  <c r="AQ5" i="1" s="1"/>
  <c r="AR5" i="1" s="1"/>
  <c r="AS5" i="1" s="1"/>
  <c r="AT5" i="1" s="1"/>
  <c r="AU5" i="1" s="1"/>
  <c r="AV5" i="1" s="1"/>
  <c r="AW5" i="1" s="1"/>
  <c r="AX5" i="1" s="1"/>
  <c r="AY5" i="1" s="1"/>
  <c r="AZ5" i="1" s="1"/>
  <c r="BA5" i="1" s="1"/>
  <c r="J5" i="55"/>
  <c r="K5" i="55" s="1"/>
  <c r="L5" i="55" s="1"/>
  <c r="M5" i="55" s="1"/>
  <c r="N5" i="55" s="1"/>
  <c r="O5" i="55" s="1"/>
  <c r="P5" i="55" s="1"/>
  <c r="Q5" i="55" s="1"/>
  <c r="R5" i="55" s="1"/>
  <c r="S5" i="55" s="1"/>
  <c r="T5" i="55" s="1"/>
  <c r="U5" i="55" s="1"/>
  <c r="V5" i="55" s="1"/>
  <c r="W5" i="55" s="1"/>
  <c r="X5" i="55" s="1"/>
  <c r="Y5" i="55" s="1"/>
  <c r="Z5" i="55" s="1"/>
  <c r="AA5" i="55" s="1"/>
  <c r="AB5" i="55" s="1"/>
  <c r="AC5" i="55" s="1"/>
  <c r="AD5" i="55" s="1"/>
  <c r="AE5" i="55" s="1"/>
  <c r="AF5" i="55" s="1"/>
  <c r="AG5" i="55" s="1"/>
  <c r="AH5" i="55" s="1"/>
  <c r="AI5" i="55" s="1"/>
  <c r="AJ5" i="55" s="1"/>
  <c r="AK5" i="55" s="1"/>
  <c r="AL5" i="55" s="1"/>
  <c r="AM5" i="55" s="1"/>
  <c r="AN5" i="55" s="1"/>
  <c r="AO5" i="55" s="1"/>
  <c r="AP5" i="55" s="1"/>
  <c r="AQ5" i="55" s="1"/>
  <c r="AR5" i="55" s="1"/>
  <c r="AS5" i="55" s="1"/>
  <c r="AT5" i="55" s="1"/>
  <c r="AU5" i="55" s="1"/>
  <c r="AV5" i="55" s="1"/>
  <c r="AW5" i="55" s="1"/>
  <c r="AX5" i="55" s="1"/>
  <c r="AY5" i="55" s="1"/>
  <c r="J5" i="90"/>
  <c r="J5" i="67"/>
  <c r="AM145" i="67" l="1"/>
  <c r="N145" i="67"/>
  <c r="BA144" i="67"/>
  <c r="AM144" i="67"/>
  <c r="AE144" i="67"/>
  <c r="AT145" i="67"/>
  <c r="N144" i="67"/>
  <c r="O145" i="67"/>
  <c r="AD145" i="67"/>
  <c r="AU145" i="67"/>
  <c r="V145" i="67"/>
  <c r="AL144" i="67"/>
  <c r="AC145" i="67"/>
  <c r="L145" i="67"/>
  <c r="AY145" i="67"/>
  <c r="AJ144" i="67"/>
  <c r="AW144" i="67"/>
  <c r="R145" i="67"/>
  <c r="U145" i="67"/>
  <c r="I144" i="67"/>
  <c r="AQ145" i="67"/>
  <c r="AB144" i="67"/>
  <c r="AO144" i="67"/>
  <c r="W144" i="67"/>
  <c r="Y145" i="67"/>
  <c r="Q145" i="67"/>
  <c r="S144" i="67"/>
  <c r="J145" i="67"/>
  <c r="AV144" i="67"/>
  <c r="AL145" i="67"/>
  <c r="M145" i="67"/>
  <c r="AS144" i="67"/>
  <c r="AI145" i="67"/>
  <c r="T144" i="67"/>
  <c r="I145" i="67"/>
  <c r="AV145" i="67"/>
  <c r="AG144" i="67"/>
  <c r="K144" i="67"/>
  <c r="AN144" i="67"/>
  <c r="O144" i="67"/>
  <c r="AZ145" i="67"/>
  <c r="AK144" i="67"/>
  <c r="AA145" i="67"/>
  <c r="L144" i="67"/>
  <c r="AX144" i="67"/>
  <c r="AN145" i="67"/>
  <c r="Y144" i="67"/>
  <c r="AI144" i="67"/>
  <c r="J144" i="67"/>
  <c r="AX145" i="67"/>
  <c r="AF144" i="67"/>
  <c r="AT144" i="67"/>
  <c r="AR145" i="67"/>
  <c r="AC144" i="67"/>
  <c r="S145" i="67"/>
  <c r="AP144" i="67"/>
  <c r="AF145" i="67"/>
  <c r="Q144" i="67"/>
  <c r="AP145" i="67"/>
  <c r="X144" i="67"/>
  <c r="BA145" i="67"/>
  <c r="AJ145" i="67"/>
  <c r="U144" i="67"/>
  <c r="K145" i="67"/>
  <c r="AW145" i="67"/>
  <c r="AH144" i="67"/>
  <c r="X145" i="67"/>
  <c r="AQ144" i="67"/>
  <c r="AE145" i="67"/>
  <c r="P144" i="67"/>
  <c r="AS145" i="67"/>
  <c r="AD144" i="67"/>
  <c r="AB145" i="67"/>
  <c r="M144" i="67"/>
  <c r="AZ144" i="67"/>
  <c r="AO145" i="67"/>
  <c r="Z144" i="67"/>
  <c r="P145" i="67"/>
  <c r="AH145" i="67"/>
  <c r="Z145" i="67"/>
  <c r="W145" i="67"/>
  <c r="AU144" i="67"/>
  <c r="AK145" i="67"/>
  <c r="V144" i="67"/>
  <c r="T145" i="67"/>
  <c r="AR144" i="67"/>
  <c r="AG145" i="67"/>
  <c r="R144" i="67"/>
  <c r="AY144" i="67"/>
  <c r="AA144" i="67"/>
  <c r="K5" i="90"/>
  <c r="K5" i="67"/>
  <c r="B208" i="92"/>
  <c r="C419" i="92"/>
  <c r="B197" i="92"/>
  <c r="L5" i="90" l="1"/>
  <c r="L5" i="67"/>
  <c r="M5" i="90" l="1"/>
  <c r="M5" i="67"/>
  <c r="B1" i="93"/>
  <c r="N5" i="90" l="1"/>
  <c r="N5" i="67"/>
  <c r="O5" i="90" l="1"/>
  <c r="O5" i="67"/>
  <c r="D24" i="92"/>
  <c r="E55" i="90"/>
  <c r="E54" i="90"/>
  <c r="E52" i="90"/>
  <c r="E51" i="90"/>
  <c r="P5" i="90" l="1"/>
  <c r="P5" i="67"/>
  <c r="Q5" i="90" l="1"/>
  <c r="Q5" i="67"/>
  <c r="R5" i="90" l="1"/>
  <c r="R5" i="67"/>
  <c r="S5" i="90" l="1"/>
  <c r="S5" i="67"/>
  <c r="T5" i="90" l="1"/>
  <c r="T5" i="67"/>
  <c r="U5" i="90" l="1"/>
  <c r="U5" i="67"/>
  <c r="V5" i="90" l="1"/>
  <c r="V5" i="67"/>
  <c r="W5" i="90" l="1"/>
  <c r="W5" i="67"/>
  <c r="X5" i="90" l="1"/>
  <c r="X5" i="67"/>
  <c r="Y5" i="90" l="1"/>
  <c r="Y5" i="67"/>
  <c r="Z5" i="90" l="1"/>
  <c r="Z5" i="67"/>
  <c r="AA5" i="90" l="1"/>
  <c r="AA5" i="67"/>
  <c r="AB5" i="90" l="1"/>
  <c r="AB5" i="67"/>
  <c r="AC5" i="90" l="1"/>
  <c r="AC5" i="67"/>
  <c r="AD5" i="90" l="1"/>
  <c r="AD5" i="67"/>
  <c r="F22" i="92"/>
  <c r="F19" i="92"/>
  <c r="AE5" i="90" l="1"/>
  <c r="AE5" i="67"/>
  <c r="E39" i="90"/>
  <c r="E37" i="90"/>
  <c r="AY82" i="90"/>
  <c r="AX82" i="90"/>
  <c r="AW82" i="90"/>
  <c r="AV82" i="90"/>
  <c r="AU82" i="90"/>
  <c r="AT82" i="90"/>
  <c r="AS82" i="90"/>
  <c r="AR82" i="90"/>
  <c r="AQ82" i="90"/>
  <c r="AP82" i="90"/>
  <c r="AO82" i="90"/>
  <c r="AN82" i="90"/>
  <c r="AM82" i="90"/>
  <c r="AL82" i="90"/>
  <c r="AK82" i="90"/>
  <c r="AJ82" i="90"/>
  <c r="AI82" i="90"/>
  <c r="AH82" i="90"/>
  <c r="AG82" i="90"/>
  <c r="AF82" i="90"/>
  <c r="AE82" i="90"/>
  <c r="AD82" i="90"/>
  <c r="AC82" i="90"/>
  <c r="AB82" i="90"/>
  <c r="AA82" i="90"/>
  <c r="Z82" i="90"/>
  <c r="Y82" i="90"/>
  <c r="X82" i="90"/>
  <c r="W82" i="90"/>
  <c r="V82" i="90"/>
  <c r="U82" i="90"/>
  <c r="T82" i="90"/>
  <c r="S82" i="90"/>
  <c r="R82" i="90"/>
  <c r="Q82" i="90"/>
  <c r="P82" i="90"/>
  <c r="O82" i="90"/>
  <c r="N82" i="90"/>
  <c r="M82" i="90"/>
  <c r="L82" i="90"/>
  <c r="K82" i="90"/>
  <c r="J82" i="90"/>
  <c r="AY81" i="90"/>
  <c r="AX81" i="90"/>
  <c r="AW81" i="90"/>
  <c r="AV81" i="90"/>
  <c r="AU81" i="90"/>
  <c r="AT81" i="90"/>
  <c r="AS81" i="90"/>
  <c r="AR81" i="90"/>
  <c r="AQ81" i="90"/>
  <c r="AP81" i="90"/>
  <c r="AO81" i="90"/>
  <c r="AN81" i="90"/>
  <c r="AM81" i="90"/>
  <c r="AL81" i="90"/>
  <c r="AK81" i="90"/>
  <c r="AJ81" i="90"/>
  <c r="AI81" i="90"/>
  <c r="AH81" i="90"/>
  <c r="AG81" i="90"/>
  <c r="AF81" i="90"/>
  <c r="AE81" i="90"/>
  <c r="AD81" i="90"/>
  <c r="AC81" i="90"/>
  <c r="AB81" i="90"/>
  <c r="AA81" i="90"/>
  <c r="Z81" i="90"/>
  <c r="Y81" i="90"/>
  <c r="X81" i="90"/>
  <c r="W81" i="90"/>
  <c r="V81" i="90"/>
  <c r="U81" i="90"/>
  <c r="T81" i="90"/>
  <c r="S81" i="90"/>
  <c r="R81" i="90"/>
  <c r="Q81" i="90"/>
  <c r="P81" i="90"/>
  <c r="O81" i="90"/>
  <c r="N81" i="90"/>
  <c r="M81" i="90"/>
  <c r="L81" i="90"/>
  <c r="K81" i="90"/>
  <c r="J81" i="90"/>
  <c r="I82" i="90"/>
  <c r="AF5" i="90" l="1"/>
  <c r="AF5" i="67"/>
  <c r="E4" i="90"/>
  <c r="E5" i="90"/>
  <c r="AG5" i="90" l="1"/>
  <c r="AG5" i="67"/>
  <c r="D219" i="92"/>
  <c r="F140" i="92"/>
  <c r="D146" i="92"/>
  <c r="K24" i="92"/>
  <c r="F143" i="92"/>
  <c r="E75" i="92"/>
  <c r="F15" i="92"/>
  <c r="F14" i="92"/>
  <c r="F13" i="92"/>
  <c r="F12" i="92"/>
  <c r="F11" i="92"/>
  <c r="F8" i="92"/>
  <c r="F7" i="92"/>
  <c r="F6" i="92"/>
  <c r="G25" i="90"/>
  <c r="G135" i="90" s="1"/>
  <c r="F25" i="90"/>
  <c r="F135" i="90" s="1"/>
  <c r="E25" i="90"/>
  <c r="E135" i="90" s="1"/>
  <c r="G24" i="90"/>
  <c r="G136" i="90" s="1"/>
  <c r="F24" i="90"/>
  <c r="F136" i="90" s="1"/>
  <c r="E24" i="90"/>
  <c r="E136" i="90" s="1"/>
  <c r="E43" i="90"/>
  <c r="F10" i="92"/>
  <c r="F33" i="53"/>
  <c r="E33" i="53"/>
  <c r="C32" i="53"/>
  <c r="F30" i="53"/>
  <c r="E30" i="53"/>
  <c r="C29" i="53"/>
  <c r="BA27" i="53"/>
  <c r="AZ27" i="53"/>
  <c r="AY27" i="53"/>
  <c r="AX27" i="53"/>
  <c r="AW27" i="53"/>
  <c r="AV27" i="53"/>
  <c r="AU27" i="53"/>
  <c r="AT27" i="53"/>
  <c r="AS27" i="53"/>
  <c r="AR27" i="53"/>
  <c r="AQ27" i="53"/>
  <c r="AP27" i="53"/>
  <c r="AO27" i="53"/>
  <c r="AN27" i="53"/>
  <c r="AM27" i="53"/>
  <c r="AL27" i="53"/>
  <c r="AK27" i="53"/>
  <c r="AJ27" i="53"/>
  <c r="AI27" i="53"/>
  <c r="AH27" i="53"/>
  <c r="AG27" i="53"/>
  <c r="AF27" i="53"/>
  <c r="AE27" i="53"/>
  <c r="AD27" i="53"/>
  <c r="AC27" i="53"/>
  <c r="AB27" i="53"/>
  <c r="AA27" i="53"/>
  <c r="Z27" i="53"/>
  <c r="Y27" i="53"/>
  <c r="X27" i="53"/>
  <c r="W27" i="53"/>
  <c r="V27" i="53"/>
  <c r="U27" i="53"/>
  <c r="T27" i="53"/>
  <c r="S27" i="53"/>
  <c r="R27" i="53"/>
  <c r="Q27" i="53"/>
  <c r="P27" i="53"/>
  <c r="O27" i="53"/>
  <c r="N27" i="53"/>
  <c r="M27" i="53"/>
  <c r="L27" i="53"/>
  <c r="K27" i="53"/>
  <c r="J27" i="53"/>
  <c r="I27" i="53"/>
  <c r="F27" i="53"/>
  <c r="E27" i="53"/>
  <c r="BA26" i="53"/>
  <c r="AZ26" i="53"/>
  <c r="AY26" i="53"/>
  <c r="AX26" i="53"/>
  <c r="AW26" i="53"/>
  <c r="AV26" i="53"/>
  <c r="AU26" i="53"/>
  <c r="AT26" i="53"/>
  <c r="AS26" i="53"/>
  <c r="AR26" i="53"/>
  <c r="AQ26" i="53"/>
  <c r="AP26" i="53"/>
  <c r="AO26" i="53"/>
  <c r="AN26" i="53"/>
  <c r="AM26" i="53"/>
  <c r="AL26" i="53"/>
  <c r="AK26" i="53"/>
  <c r="AJ26" i="53"/>
  <c r="AI26" i="53"/>
  <c r="AH26" i="53"/>
  <c r="AG26" i="53"/>
  <c r="AF26" i="53"/>
  <c r="AE26" i="53"/>
  <c r="AD26" i="53"/>
  <c r="AC26" i="53"/>
  <c r="AB26" i="53"/>
  <c r="AA26" i="53"/>
  <c r="Z26" i="53"/>
  <c r="Y26" i="53"/>
  <c r="X26" i="53"/>
  <c r="W26" i="53"/>
  <c r="V26" i="53"/>
  <c r="U26" i="53"/>
  <c r="T26" i="53"/>
  <c r="S26" i="53"/>
  <c r="R26" i="53"/>
  <c r="Q26" i="53"/>
  <c r="P26" i="53"/>
  <c r="O26" i="53"/>
  <c r="N26" i="53"/>
  <c r="M26" i="53"/>
  <c r="L26" i="53"/>
  <c r="K26" i="53"/>
  <c r="J26" i="53"/>
  <c r="I26" i="53"/>
  <c r="F26" i="53"/>
  <c r="E26" i="53"/>
  <c r="BA25" i="53"/>
  <c r="AZ25" i="53"/>
  <c r="AY25" i="53"/>
  <c r="AX25" i="53"/>
  <c r="AW25" i="53"/>
  <c r="AV25" i="53"/>
  <c r="AU25" i="53"/>
  <c r="AT25" i="53"/>
  <c r="AS25" i="53"/>
  <c r="AR25" i="53"/>
  <c r="AQ25" i="53"/>
  <c r="AP25" i="53"/>
  <c r="AO25" i="53"/>
  <c r="AN25" i="53"/>
  <c r="AM25" i="53"/>
  <c r="AL25" i="53"/>
  <c r="AK25" i="53"/>
  <c r="AJ25" i="53"/>
  <c r="AI25" i="53"/>
  <c r="AH25" i="53"/>
  <c r="AG25" i="53"/>
  <c r="AF25" i="53"/>
  <c r="AE25" i="53"/>
  <c r="AD25" i="53"/>
  <c r="AC25" i="53"/>
  <c r="AB25" i="53"/>
  <c r="AA25" i="53"/>
  <c r="Z25" i="53"/>
  <c r="Y25" i="53"/>
  <c r="X25" i="53"/>
  <c r="W25" i="53"/>
  <c r="V25" i="53"/>
  <c r="U25" i="53"/>
  <c r="T25" i="53"/>
  <c r="S25" i="53"/>
  <c r="R25" i="53"/>
  <c r="Q25" i="53"/>
  <c r="P25" i="53"/>
  <c r="O25" i="53"/>
  <c r="N25" i="53"/>
  <c r="M25" i="53"/>
  <c r="L25" i="53"/>
  <c r="K25" i="53"/>
  <c r="J25" i="53"/>
  <c r="I25" i="53"/>
  <c r="F25" i="53"/>
  <c r="E25" i="53"/>
  <c r="BA24" i="53"/>
  <c r="AZ24" i="53"/>
  <c r="AY24" i="53"/>
  <c r="AX24" i="53"/>
  <c r="AW24" i="53"/>
  <c r="AV24" i="53"/>
  <c r="AU24" i="53"/>
  <c r="AT24" i="53"/>
  <c r="AS24" i="53"/>
  <c r="AR24" i="53"/>
  <c r="AQ24" i="53"/>
  <c r="AP24" i="53"/>
  <c r="AO24" i="53"/>
  <c r="AN24" i="53"/>
  <c r="AM24" i="53"/>
  <c r="AL24" i="53"/>
  <c r="AK24" i="53"/>
  <c r="AJ24" i="53"/>
  <c r="AI24" i="53"/>
  <c r="AH24" i="53"/>
  <c r="AG24" i="53"/>
  <c r="AF24" i="53"/>
  <c r="AE24" i="53"/>
  <c r="AD24" i="53"/>
  <c r="AC24" i="53"/>
  <c r="AB24" i="53"/>
  <c r="AA24" i="53"/>
  <c r="Z24" i="53"/>
  <c r="Y24" i="53"/>
  <c r="X24" i="53"/>
  <c r="W24" i="53"/>
  <c r="V24" i="53"/>
  <c r="U24" i="53"/>
  <c r="T24" i="53"/>
  <c r="S24" i="53"/>
  <c r="R24" i="53"/>
  <c r="Q24" i="53"/>
  <c r="P24" i="53"/>
  <c r="O24" i="53"/>
  <c r="N24" i="53"/>
  <c r="M24" i="53"/>
  <c r="L24" i="53"/>
  <c r="K24" i="53"/>
  <c r="J24" i="53"/>
  <c r="I24" i="53"/>
  <c r="F24" i="53"/>
  <c r="E24" i="53"/>
  <c r="C23" i="53"/>
  <c r="B22" i="53"/>
  <c r="F19" i="53"/>
  <c r="E19" i="53"/>
  <c r="C18" i="53"/>
  <c r="F16" i="53"/>
  <c r="E16" i="53"/>
  <c r="C15" i="53"/>
  <c r="BA13" i="53"/>
  <c r="AZ13" i="53"/>
  <c r="AY13" i="53"/>
  <c r="AX13" i="53"/>
  <c r="AW13" i="53"/>
  <c r="AV13" i="53"/>
  <c r="AU13" i="53"/>
  <c r="AT13" i="53"/>
  <c r="AS13" i="53"/>
  <c r="AR13" i="53"/>
  <c r="AQ13" i="53"/>
  <c r="AP13" i="53"/>
  <c r="AO13" i="53"/>
  <c r="AN13" i="53"/>
  <c r="AM13" i="53"/>
  <c r="AL13" i="53"/>
  <c r="AK13" i="53"/>
  <c r="AJ13" i="53"/>
  <c r="AI13" i="53"/>
  <c r="AH13" i="53"/>
  <c r="AG13" i="53"/>
  <c r="AF13" i="53"/>
  <c r="AE13" i="53"/>
  <c r="AD13" i="53"/>
  <c r="AC13" i="53"/>
  <c r="AB13" i="53"/>
  <c r="AA13" i="53"/>
  <c r="Z13" i="53"/>
  <c r="Y13" i="53"/>
  <c r="X13" i="53"/>
  <c r="W13" i="53"/>
  <c r="V13" i="53"/>
  <c r="U13" i="53"/>
  <c r="T13" i="53"/>
  <c r="S13" i="53"/>
  <c r="R13" i="53"/>
  <c r="Q13" i="53"/>
  <c r="P13" i="53"/>
  <c r="O13" i="53"/>
  <c r="N13" i="53"/>
  <c r="M13" i="53"/>
  <c r="L13" i="53"/>
  <c r="K13" i="53"/>
  <c r="J13" i="53"/>
  <c r="I13" i="53"/>
  <c r="F13" i="53"/>
  <c r="E13" i="53"/>
  <c r="F12" i="53"/>
  <c r="E12" i="53"/>
  <c r="F11" i="53"/>
  <c r="E11" i="53"/>
  <c r="F10" i="53"/>
  <c r="E10" i="53"/>
  <c r="C9" i="53"/>
  <c r="B8" i="53"/>
  <c r="BB29" i="38"/>
  <c r="E18" i="38"/>
  <c r="G17" i="38"/>
  <c r="E17" i="38"/>
  <c r="G16" i="38"/>
  <c r="E16" i="38"/>
  <c r="G15" i="38"/>
  <c r="E15" i="38"/>
  <c r="G11" i="38"/>
  <c r="F11" i="38"/>
  <c r="E11" i="38"/>
  <c r="G10" i="38"/>
  <c r="F10" i="38"/>
  <c r="E10" i="38"/>
  <c r="G20" i="10"/>
  <c r="F20" i="10"/>
  <c r="E20" i="10"/>
  <c r="H19" i="10"/>
  <c r="G19" i="10"/>
  <c r="F19" i="10"/>
  <c r="E19" i="10"/>
  <c r="H18" i="10"/>
  <c r="G18" i="10"/>
  <c r="F18" i="10"/>
  <c r="E18" i="10"/>
  <c r="H17" i="10"/>
  <c r="AN23" i="10" s="1"/>
  <c r="G17" i="10"/>
  <c r="F17" i="10"/>
  <c r="E17" i="10"/>
  <c r="F11" i="10"/>
  <c r="E11" i="10"/>
  <c r="F10" i="10"/>
  <c r="E10" i="10"/>
  <c r="E18" i="33"/>
  <c r="F6" i="33"/>
  <c r="E6" i="33"/>
  <c r="E18" i="71"/>
  <c r="F6" i="71"/>
  <c r="E6" i="71"/>
  <c r="E22" i="31"/>
  <c r="E21" i="31"/>
  <c r="E20" i="31"/>
  <c r="E19" i="31"/>
  <c r="E18" i="31"/>
  <c r="E17" i="31"/>
  <c r="E6" i="31"/>
  <c r="G22" i="28"/>
  <c r="G21" i="28"/>
  <c r="G21" i="31" s="1"/>
  <c r="G20" i="28"/>
  <c r="G20" i="31" s="1"/>
  <c r="G19" i="28"/>
  <c r="G19" i="31" s="1"/>
  <c r="G18" i="28"/>
  <c r="G18" i="31" s="1"/>
  <c r="G17" i="28"/>
  <c r="G17" i="31" s="1"/>
  <c r="G16" i="28"/>
  <c r="G16" i="31" s="1"/>
  <c r="G15" i="28"/>
  <c r="G15" i="31" s="1"/>
  <c r="G14" i="28"/>
  <c r="G14" i="31" s="1"/>
  <c r="G13" i="28"/>
  <c r="G13" i="31" s="1"/>
  <c r="G12" i="28"/>
  <c r="G12" i="31" s="1"/>
  <c r="G11" i="28"/>
  <c r="G11" i="31" s="1"/>
  <c r="G10" i="28"/>
  <c r="G10" i="31" s="1"/>
  <c r="G9" i="28"/>
  <c r="G9" i="31" s="1"/>
  <c r="G8" i="28"/>
  <c r="G8" i="31" s="1"/>
  <c r="F6" i="28"/>
  <c r="E6" i="28"/>
  <c r="BA16" i="24"/>
  <c r="AZ16" i="24"/>
  <c r="AY16" i="24"/>
  <c r="AX16" i="24"/>
  <c r="AW16" i="24"/>
  <c r="AV16" i="24"/>
  <c r="AU16" i="24"/>
  <c r="AT16" i="24"/>
  <c r="AS16" i="24"/>
  <c r="AR16" i="24"/>
  <c r="AQ16" i="24"/>
  <c r="AP16" i="24"/>
  <c r="AO16" i="24"/>
  <c r="AN16" i="24"/>
  <c r="AM16" i="24"/>
  <c r="AL16" i="24"/>
  <c r="AK16"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BA15" i="24"/>
  <c r="AZ15" i="24"/>
  <c r="AY15" i="24"/>
  <c r="AX15" i="24"/>
  <c r="AW15" i="24"/>
  <c r="AV15" i="24"/>
  <c r="AU15" i="24"/>
  <c r="AT15" i="24"/>
  <c r="AS15" i="24"/>
  <c r="AR15" i="24"/>
  <c r="AQ15" i="24"/>
  <c r="AP15" i="24"/>
  <c r="AO15" i="24"/>
  <c r="AN15" i="24"/>
  <c r="AM15" i="24"/>
  <c r="AL15" i="24"/>
  <c r="AK15"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BA14" i="24"/>
  <c r="AZ14" i="24"/>
  <c r="AY14" i="24"/>
  <c r="AX14" i="24"/>
  <c r="AW14" i="24"/>
  <c r="AV14" i="24"/>
  <c r="AU14" i="24"/>
  <c r="AT14" i="24"/>
  <c r="AS14" i="24"/>
  <c r="AR14" i="24"/>
  <c r="AQ14" i="24"/>
  <c r="AP14" i="24"/>
  <c r="AO14" i="24"/>
  <c r="AN14" i="24"/>
  <c r="AM14" i="24"/>
  <c r="AL14" i="24"/>
  <c r="AK14"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BA13" i="24"/>
  <c r="AZ13" i="24"/>
  <c r="AY13" i="24"/>
  <c r="AX13" i="24"/>
  <c r="AW13" i="24"/>
  <c r="AV13" i="24"/>
  <c r="AU13" i="24"/>
  <c r="AT13" i="24"/>
  <c r="AS13" i="24"/>
  <c r="AR13" i="24"/>
  <c r="AQ13" i="24"/>
  <c r="AP13" i="24"/>
  <c r="AO13" i="24"/>
  <c r="AN13" i="24"/>
  <c r="AM13" i="24"/>
  <c r="AL13" i="24"/>
  <c r="AK13"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E13" i="24"/>
  <c r="E13" i="28" s="1"/>
  <c r="E13" i="31" s="1"/>
  <c r="F6" i="24"/>
  <c r="E6" i="24"/>
  <c r="F16" i="1"/>
  <c r="E16" i="1"/>
  <c r="E16" i="24" s="1"/>
  <c r="E16" i="28" s="1"/>
  <c r="E16" i="31" s="1"/>
  <c r="F15" i="1"/>
  <c r="E15" i="1"/>
  <c r="E15" i="24" s="1"/>
  <c r="E15" i="28" s="1"/>
  <c r="E15" i="31" s="1"/>
  <c r="F14" i="1"/>
  <c r="E14" i="1"/>
  <c r="E14" i="24" s="1"/>
  <c r="E14" i="28" s="1"/>
  <c r="E14" i="31" s="1"/>
  <c r="G12" i="1"/>
  <c r="E12" i="24"/>
  <c r="E12" i="28" s="1"/>
  <c r="E12" i="31" s="1"/>
  <c r="G11" i="1"/>
  <c r="E11" i="24"/>
  <c r="E11" i="28" s="1"/>
  <c r="E11" i="31" s="1"/>
  <c r="G10" i="1"/>
  <c r="E10" i="24"/>
  <c r="E10" i="28" s="1"/>
  <c r="E10" i="31" s="1"/>
  <c r="G9" i="1"/>
  <c r="F9" i="1"/>
  <c r="E9" i="1"/>
  <c r="E9" i="24" s="1"/>
  <c r="E9" i="28" s="1"/>
  <c r="E9" i="31" s="1"/>
  <c r="G8" i="1"/>
  <c r="F8" i="1"/>
  <c r="E8" i="1"/>
  <c r="E8" i="24" s="1"/>
  <c r="E8" i="28" s="1"/>
  <c r="E8" i="31" s="1"/>
  <c r="G51" i="55"/>
  <c r="G33" i="53" s="1"/>
  <c r="G46" i="53" s="1"/>
  <c r="G53" i="53" s="1"/>
  <c r="G15" i="1" s="1"/>
  <c r="G48" i="55"/>
  <c r="G30" i="53" s="1"/>
  <c r="G43" i="53" s="1"/>
  <c r="G52" i="53" s="1"/>
  <c r="G14" i="1" s="1"/>
  <c r="G45" i="55"/>
  <c r="G27" i="53" s="1"/>
  <c r="G44" i="55"/>
  <c r="G26" i="53" s="1"/>
  <c r="G43" i="55"/>
  <c r="G25" i="53" s="1"/>
  <c r="G42" i="55"/>
  <c r="G24" i="53" s="1"/>
  <c r="G37" i="55"/>
  <c r="G19" i="53" s="1"/>
  <c r="G34" i="55"/>
  <c r="G16" i="53" s="1"/>
  <c r="G31" i="55"/>
  <c r="G13" i="53" s="1"/>
  <c r="G40" i="53" s="1"/>
  <c r="BA12" i="53"/>
  <c r="AZ12" i="53"/>
  <c r="AY30" i="55"/>
  <c r="AY12" i="53" s="1"/>
  <c r="AX30" i="55"/>
  <c r="AX12" i="53" s="1"/>
  <c r="AW30" i="55"/>
  <c r="AW12" i="53" s="1"/>
  <c r="AW39" i="53" s="1"/>
  <c r="AV30" i="55"/>
  <c r="AV12" i="53" s="1"/>
  <c r="AU30" i="55"/>
  <c r="AU12" i="53" s="1"/>
  <c r="AT30" i="55"/>
  <c r="AT12" i="53" s="1"/>
  <c r="AS30" i="55"/>
  <c r="AS12" i="53" s="1"/>
  <c r="AR30" i="55"/>
  <c r="AR12" i="53" s="1"/>
  <c r="AQ30" i="55"/>
  <c r="AQ12" i="53" s="1"/>
  <c r="AP30" i="55"/>
  <c r="AP12" i="53" s="1"/>
  <c r="AO30" i="55"/>
  <c r="AO12" i="53" s="1"/>
  <c r="AO39" i="53" s="1"/>
  <c r="AN30" i="55"/>
  <c r="AN12" i="53" s="1"/>
  <c r="AM30" i="55"/>
  <c r="AM12" i="53" s="1"/>
  <c r="AL30" i="55"/>
  <c r="AL12" i="53" s="1"/>
  <c r="AK30" i="55"/>
  <c r="AK12" i="53" s="1"/>
  <c r="AJ30" i="55"/>
  <c r="AJ12" i="53" s="1"/>
  <c r="AI30" i="55"/>
  <c r="AI12" i="53" s="1"/>
  <c r="AH30" i="55"/>
  <c r="AH12" i="53" s="1"/>
  <c r="AG30" i="55"/>
  <c r="AG12" i="53" s="1"/>
  <c r="AG39" i="53" s="1"/>
  <c r="AF30" i="55"/>
  <c r="AF12" i="53" s="1"/>
  <c r="AE30" i="55"/>
  <c r="AE12" i="53" s="1"/>
  <c r="AD30" i="55"/>
  <c r="AD12" i="53" s="1"/>
  <c r="AC30" i="55"/>
  <c r="AC12" i="53" s="1"/>
  <c r="AB30" i="55"/>
  <c r="AB12" i="53" s="1"/>
  <c r="AA30" i="55"/>
  <c r="AA12" i="53" s="1"/>
  <c r="Z30" i="55"/>
  <c r="Z12" i="53" s="1"/>
  <c r="Y30" i="55"/>
  <c r="Y12" i="53" s="1"/>
  <c r="Y39" i="53" s="1"/>
  <c r="X30" i="55"/>
  <c r="X12" i="53" s="1"/>
  <c r="W30" i="55"/>
  <c r="W12" i="53" s="1"/>
  <c r="G30" i="55"/>
  <c r="G12" i="53" s="1"/>
  <c r="G39" i="53" s="1"/>
  <c r="BA11" i="53"/>
  <c r="AZ11" i="53"/>
  <c r="AY29" i="55"/>
  <c r="AX29" i="55"/>
  <c r="AW29" i="55"/>
  <c r="AV29" i="55"/>
  <c r="AU29" i="55"/>
  <c r="AT29" i="55"/>
  <c r="AS29" i="55"/>
  <c r="AR29" i="55"/>
  <c r="AQ29" i="55"/>
  <c r="AP29" i="55"/>
  <c r="AO29" i="55"/>
  <c r="AN29" i="55"/>
  <c r="AM29" i="55"/>
  <c r="AL29" i="55"/>
  <c r="AK29" i="55"/>
  <c r="AJ29" i="55"/>
  <c r="AI29" i="55"/>
  <c r="AH29" i="55"/>
  <c r="AG29" i="55"/>
  <c r="AF29" i="55"/>
  <c r="AE29" i="55"/>
  <c r="AD29" i="55"/>
  <c r="AC29" i="55"/>
  <c r="AB29" i="55"/>
  <c r="AA29" i="55"/>
  <c r="Z29" i="55"/>
  <c r="Y29" i="55"/>
  <c r="X29" i="55"/>
  <c r="W29" i="55"/>
  <c r="G29" i="55"/>
  <c r="BA10" i="53"/>
  <c r="AZ10" i="53"/>
  <c r="AY28" i="55"/>
  <c r="AY10" i="53" s="1"/>
  <c r="AX28" i="55"/>
  <c r="AX10" i="53" s="1"/>
  <c r="AW28" i="55"/>
  <c r="AW10" i="53" s="1"/>
  <c r="AV28" i="55"/>
  <c r="AV10" i="53" s="1"/>
  <c r="AU28" i="55"/>
  <c r="AU10" i="53" s="1"/>
  <c r="AT28" i="55"/>
  <c r="AT10" i="53" s="1"/>
  <c r="AS28" i="55"/>
  <c r="AS10" i="53" s="1"/>
  <c r="AR28" i="55"/>
  <c r="AR10" i="53" s="1"/>
  <c r="AQ28" i="55"/>
  <c r="AQ10" i="53" s="1"/>
  <c r="AP28" i="55"/>
  <c r="AP10" i="53" s="1"/>
  <c r="AO28" i="55"/>
  <c r="AO10" i="53" s="1"/>
  <c r="AN28" i="55"/>
  <c r="AN10" i="53" s="1"/>
  <c r="AM28" i="55"/>
  <c r="AM10" i="53" s="1"/>
  <c r="AL28" i="55"/>
  <c r="AL10" i="53" s="1"/>
  <c r="AK28" i="55"/>
  <c r="AK10" i="53" s="1"/>
  <c r="AJ28" i="55"/>
  <c r="AJ10" i="53" s="1"/>
  <c r="AI28" i="55"/>
  <c r="AI10" i="53" s="1"/>
  <c r="AH28" i="55"/>
  <c r="AH10" i="53" s="1"/>
  <c r="AG28" i="55"/>
  <c r="AG10" i="53" s="1"/>
  <c r="AF28" i="55"/>
  <c r="AF10" i="53" s="1"/>
  <c r="AE28" i="55"/>
  <c r="AE10" i="53" s="1"/>
  <c r="AD28" i="55"/>
  <c r="AD10" i="53" s="1"/>
  <c r="AC28" i="55"/>
  <c r="AC10" i="53" s="1"/>
  <c r="AB28" i="55"/>
  <c r="AB10" i="53" s="1"/>
  <c r="AA28" i="55"/>
  <c r="AA10" i="53" s="1"/>
  <c r="Z28" i="55"/>
  <c r="Z10" i="53" s="1"/>
  <c r="Y28" i="55"/>
  <c r="Y10" i="53" s="1"/>
  <c r="X28" i="55"/>
  <c r="X10" i="53" s="1"/>
  <c r="W28" i="55"/>
  <c r="W10" i="53" s="1"/>
  <c r="G28" i="55"/>
  <c r="G10" i="53" s="1"/>
  <c r="G37" i="53" s="1"/>
  <c r="G50" i="53" s="1"/>
  <c r="G16" i="1" s="1"/>
  <c r="G6" i="55"/>
  <c r="F6" i="55"/>
  <c r="E6" i="55"/>
  <c r="E107" i="90"/>
  <c r="E106" i="90"/>
  <c r="E104" i="90"/>
  <c r="E102" i="90"/>
  <c r="E101" i="90"/>
  <c r="E99" i="90"/>
  <c r="E97" i="90"/>
  <c r="E96" i="90"/>
  <c r="E92" i="90"/>
  <c r="E91" i="90"/>
  <c r="E89" i="90"/>
  <c r="E87" i="90"/>
  <c r="E86" i="90"/>
  <c r="E84" i="90"/>
  <c r="E82" i="90"/>
  <c r="E81" i="90"/>
  <c r="E77" i="90"/>
  <c r="E76" i="90"/>
  <c r="AY73" i="90"/>
  <c r="AX73" i="90"/>
  <c r="AW73" i="90"/>
  <c r="AV73" i="90"/>
  <c r="AU73" i="90"/>
  <c r="AT73" i="90"/>
  <c r="AS73" i="90"/>
  <c r="AR73" i="90"/>
  <c r="AQ73" i="90"/>
  <c r="AP73" i="90"/>
  <c r="AO73" i="90"/>
  <c r="AN73" i="90"/>
  <c r="AM73" i="90"/>
  <c r="AL73" i="90"/>
  <c r="AK73" i="90"/>
  <c r="AJ73" i="90"/>
  <c r="AI73" i="90"/>
  <c r="AH73" i="90"/>
  <c r="AG73" i="90"/>
  <c r="AF73" i="90"/>
  <c r="AE73" i="90"/>
  <c r="AD73" i="90"/>
  <c r="AC73" i="90"/>
  <c r="AB73" i="90"/>
  <c r="AA73" i="90"/>
  <c r="Z73" i="90"/>
  <c r="Y73" i="90"/>
  <c r="X73" i="90"/>
  <c r="W73" i="90"/>
  <c r="V73" i="90"/>
  <c r="U73" i="90"/>
  <c r="T73" i="90"/>
  <c r="S73" i="90"/>
  <c r="R73" i="90"/>
  <c r="Q73" i="90"/>
  <c r="P73" i="90"/>
  <c r="O73" i="90"/>
  <c r="N73" i="90"/>
  <c r="M73" i="90"/>
  <c r="L73" i="90"/>
  <c r="K73" i="90"/>
  <c r="J73" i="90"/>
  <c r="I73" i="90"/>
  <c r="E71" i="90"/>
  <c r="E69" i="90"/>
  <c r="E68" i="90"/>
  <c r="AY65" i="90"/>
  <c r="AX65" i="90"/>
  <c r="AW65" i="90"/>
  <c r="AV65" i="90"/>
  <c r="AU65" i="90"/>
  <c r="AT65" i="90"/>
  <c r="AS65" i="90"/>
  <c r="AR65" i="90"/>
  <c r="AQ65" i="90"/>
  <c r="AP65" i="90"/>
  <c r="AO65" i="90"/>
  <c r="AN65" i="90"/>
  <c r="AM65" i="90"/>
  <c r="AL65" i="90"/>
  <c r="AK65" i="90"/>
  <c r="AJ65" i="90"/>
  <c r="AI65" i="90"/>
  <c r="AH65" i="90"/>
  <c r="AG65" i="90"/>
  <c r="AF65" i="90"/>
  <c r="AE65" i="90"/>
  <c r="AD65" i="90"/>
  <c r="AC65" i="90"/>
  <c r="AB65" i="90"/>
  <c r="AA65" i="90"/>
  <c r="Z65" i="90"/>
  <c r="Y65" i="90"/>
  <c r="X65" i="90"/>
  <c r="W65" i="90"/>
  <c r="V65" i="90"/>
  <c r="U65" i="90"/>
  <c r="T65" i="90"/>
  <c r="S65" i="90"/>
  <c r="R65" i="90"/>
  <c r="Q65" i="90"/>
  <c r="P65" i="90"/>
  <c r="O65" i="90"/>
  <c r="N65" i="90"/>
  <c r="M65" i="90"/>
  <c r="L65" i="90"/>
  <c r="K65" i="90"/>
  <c r="J65" i="90"/>
  <c r="I65" i="90"/>
  <c r="E63" i="90"/>
  <c r="C59" i="90"/>
  <c r="H39" i="90"/>
  <c r="H22" i="90"/>
  <c r="H20" i="90"/>
  <c r="H43" i="78"/>
  <c r="H47" i="78" s="1"/>
  <c r="H42" i="78"/>
  <c r="H46" i="78" s="1"/>
  <c r="G154" i="67"/>
  <c r="G33" i="57" s="1"/>
  <c r="G18" i="38" s="1"/>
  <c r="H32" i="57"/>
  <c r="F17" i="38" s="1"/>
  <c r="H31" i="57"/>
  <c r="F16" i="38" s="1"/>
  <c r="BA33" i="53"/>
  <c r="AZ33" i="53"/>
  <c r="AY51" i="55"/>
  <c r="AY33" i="53" s="1"/>
  <c r="AX51" i="55"/>
  <c r="AX33" i="53" s="1"/>
  <c r="AW51" i="55"/>
  <c r="AW33" i="53" s="1"/>
  <c r="AV51" i="55"/>
  <c r="AV33" i="53" s="1"/>
  <c r="AU51" i="55"/>
  <c r="AU33" i="53" s="1"/>
  <c r="AT51" i="55"/>
  <c r="AT33" i="53" s="1"/>
  <c r="AS51" i="55"/>
  <c r="AS33" i="53" s="1"/>
  <c r="AR51" i="55"/>
  <c r="AR33" i="53" s="1"/>
  <c r="AQ51" i="55"/>
  <c r="AQ33" i="53" s="1"/>
  <c r="AP51" i="55"/>
  <c r="AP33" i="53" s="1"/>
  <c r="AO51" i="55"/>
  <c r="AO33" i="53" s="1"/>
  <c r="AN51" i="55"/>
  <c r="AN33" i="53" s="1"/>
  <c r="AM51" i="55"/>
  <c r="AM33" i="53" s="1"/>
  <c r="AL51" i="55"/>
  <c r="AL33" i="53" s="1"/>
  <c r="AK51" i="55"/>
  <c r="AK33" i="53" s="1"/>
  <c r="AJ51" i="55"/>
  <c r="AJ33" i="53" s="1"/>
  <c r="AI51" i="55"/>
  <c r="AI33" i="53" s="1"/>
  <c r="AH51" i="55"/>
  <c r="AH33" i="53" s="1"/>
  <c r="AG51" i="55"/>
  <c r="AG33" i="53" s="1"/>
  <c r="AF51" i="55"/>
  <c r="AF33" i="53" s="1"/>
  <c r="AE51" i="55"/>
  <c r="AE33" i="53" s="1"/>
  <c r="AD51" i="55"/>
  <c r="AD33" i="53" s="1"/>
  <c r="AC51" i="55"/>
  <c r="AC33" i="53" s="1"/>
  <c r="AB51" i="55"/>
  <c r="AB33" i="53" s="1"/>
  <c r="AA51" i="55"/>
  <c r="AA33" i="53" s="1"/>
  <c r="Z51" i="55"/>
  <c r="Z33" i="53" s="1"/>
  <c r="Y51" i="55"/>
  <c r="Y33" i="53" s="1"/>
  <c r="X51" i="55"/>
  <c r="X33" i="53" s="1"/>
  <c r="W51" i="55"/>
  <c r="W33" i="53" s="1"/>
  <c r="V51" i="55"/>
  <c r="V33" i="53" s="1"/>
  <c r="U51" i="55"/>
  <c r="U33" i="53" s="1"/>
  <c r="T51" i="55"/>
  <c r="T33" i="53" s="1"/>
  <c r="S51" i="55"/>
  <c r="S33" i="53" s="1"/>
  <c r="R51" i="55"/>
  <c r="R33" i="53" s="1"/>
  <c r="Q51" i="55"/>
  <c r="Q33" i="53" s="1"/>
  <c r="P51" i="55"/>
  <c r="P33" i="53" s="1"/>
  <c r="O51" i="55"/>
  <c r="O33" i="53" s="1"/>
  <c r="N51" i="55"/>
  <c r="N33" i="53" s="1"/>
  <c r="M51" i="55"/>
  <c r="M33" i="53" s="1"/>
  <c r="L51" i="55"/>
  <c r="L33" i="53" s="1"/>
  <c r="K51" i="55"/>
  <c r="K33" i="53" s="1"/>
  <c r="J51" i="55"/>
  <c r="J33" i="53" s="1"/>
  <c r="I51" i="55"/>
  <c r="I33" i="53" s="1"/>
  <c r="H133" i="67"/>
  <c r="G137" i="67" s="1"/>
  <c r="G133" i="67"/>
  <c r="F133" i="67"/>
  <c r="E133" i="67"/>
  <c r="G131" i="67"/>
  <c r="G130" i="67"/>
  <c r="G129" i="67"/>
  <c r="BA19" i="53"/>
  <c r="AZ19" i="53"/>
  <c r="AY37" i="55"/>
  <c r="AY19" i="53" s="1"/>
  <c r="AX37" i="55"/>
  <c r="AX19" i="53" s="1"/>
  <c r="AW37" i="55"/>
  <c r="AW19" i="53" s="1"/>
  <c r="AV37" i="55"/>
  <c r="AV19" i="53" s="1"/>
  <c r="AU37" i="55"/>
  <c r="AU19" i="53" s="1"/>
  <c r="AT37" i="55"/>
  <c r="AT19" i="53" s="1"/>
  <c r="AS37" i="55"/>
  <c r="AS19" i="53" s="1"/>
  <c r="AR37" i="55"/>
  <c r="AR19" i="53" s="1"/>
  <c r="AQ37" i="55"/>
  <c r="AQ19" i="53" s="1"/>
  <c r="AP37" i="55"/>
  <c r="AP19" i="53" s="1"/>
  <c r="AO37" i="55"/>
  <c r="AO19" i="53" s="1"/>
  <c r="AN37" i="55"/>
  <c r="AN19" i="53" s="1"/>
  <c r="AM37" i="55"/>
  <c r="AM19" i="53" s="1"/>
  <c r="AL37" i="55"/>
  <c r="AL19" i="53" s="1"/>
  <c r="AK37" i="55"/>
  <c r="AK19" i="53" s="1"/>
  <c r="AJ37" i="55"/>
  <c r="AJ19" i="53" s="1"/>
  <c r="AI37" i="55"/>
  <c r="AI19" i="53" s="1"/>
  <c r="AH37" i="55"/>
  <c r="AH19" i="53" s="1"/>
  <c r="AG37" i="55"/>
  <c r="AG19" i="53" s="1"/>
  <c r="AF37" i="55"/>
  <c r="AF19" i="53" s="1"/>
  <c r="AE37" i="55"/>
  <c r="AE19" i="53" s="1"/>
  <c r="AD37" i="55"/>
  <c r="AD19" i="53" s="1"/>
  <c r="AC37" i="55"/>
  <c r="AC19" i="53" s="1"/>
  <c r="AB37" i="55"/>
  <c r="AB19" i="53" s="1"/>
  <c r="AA37" i="55"/>
  <c r="AA19" i="53" s="1"/>
  <c r="Z37" i="55"/>
  <c r="Z19" i="53" s="1"/>
  <c r="Y37" i="55"/>
  <c r="Y19" i="53" s="1"/>
  <c r="X37" i="55"/>
  <c r="X19" i="53" s="1"/>
  <c r="W37" i="55"/>
  <c r="W19" i="53" s="1"/>
  <c r="V37" i="55"/>
  <c r="V19" i="53" s="1"/>
  <c r="U37" i="55"/>
  <c r="U19" i="53" s="1"/>
  <c r="T37" i="55"/>
  <c r="T19" i="53" s="1"/>
  <c r="S37" i="55"/>
  <c r="S19" i="53" s="1"/>
  <c r="R37" i="55"/>
  <c r="R19" i="53" s="1"/>
  <c r="Q37" i="55"/>
  <c r="Q19" i="53" s="1"/>
  <c r="P37" i="55"/>
  <c r="P19" i="53" s="1"/>
  <c r="O37" i="55"/>
  <c r="O19" i="53" s="1"/>
  <c r="N37" i="55"/>
  <c r="N19" i="53" s="1"/>
  <c r="M37" i="55"/>
  <c r="M19" i="53" s="1"/>
  <c r="L37" i="55"/>
  <c r="L19" i="53" s="1"/>
  <c r="K37" i="55"/>
  <c r="K19" i="53" s="1"/>
  <c r="J37" i="55"/>
  <c r="J19" i="53" s="1"/>
  <c r="I37" i="55"/>
  <c r="I19" i="53" s="1"/>
  <c r="G87" i="67"/>
  <c r="H85" i="67"/>
  <c r="G85" i="67"/>
  <c r="F85" i="67"/>
  <c r="E85" i="67"/>
  <c r="G83" i="67"/>
  <c r="H81" i="67"/>
  <c r="G79" i="67"/>
  <c r="H77" i="67"/>
  <c r="G77" i="67"/>
  <c r="F77" i="67"/>
  <c r="E77" i="67"/>
  <c r="G75" i="67"/>
  <c r="H73" i="67"/>
  <c r="G60" i="67"/>
  <c r="G66" i="67" s="1"/>
  <c r="G59" i="67"/>
  <c r="G65" i="67" s="1"/>
  <c r="G58" i="67"/>
  <c r="G64" i="67" s="1"/>
  <c r="E56" i="67"/>
  <c r="G54" i="67"/>
  <c r="G53" i="67"/>
  <c r="G52" i="67"/>
  <c r="H48" i="67"/>
  <c r="H47" i="67"/>
  <c r="H46" i="67"/>
  <c r="E30" i="67"/>
  <c r="H13" i="67"/>
  <c r="H12" i="67"/>
  <c r="H10" i="67"/>
  <c r="H9" i="67"/>
  <c r="G6" i="67"/>
  <c r="E6" i="67"/>
  <c r="H29" i="57"/>
  <c r="E13" i="38" s="1"/>
  <c r="H20" i="10"/>
  <c r="H24" i="90"/>
  <c r="H40" i="34"/>
  <c r="E40" i="34"/>
  <c r="E36" i="34"/>
  <c r="E30" i="34"/>
  <c r="E28" i="34"/>
  <c r="E26" i="34"/>
  <c r="E20" i="34"/>
  <c r="E18" i="34"/>
  <c r="E17" i="34"/>
  <c r="E16" i="34"/>
  <c r="E11" i="34"/>
  <c r="I34" i="85"/>
  <c r="H33" i="85"/>
  <c r="AX10" i="85"/>
  <c r="AW10" i="85"/>
  <c r="AV10" i="85"/>
  <c r="AU10" i="85"/>
  <c r="AT10" i="85"/>
  <c r="AS10" i="85"/>
  <c r="AR10" i="85"/>
  <c r="AQ10" i="85"/>
  <c r="AP10" i="85"/>
  <c r="AO10" i="85"/>
  <c r="AN10" i="85"/>
  <c r="AM10" i="85"/>
  <c r="AL10" i="85"/>
  <c r="AK10" i="85"/>
  <c r="AJ10" i="85"/>
  <c r="AI10" i="85"/>
  <c r="AH10" i="85"/>
  <c r="AG10" i="85"/>
  <c r="AF10" i="85"/>
  <c r="AE10" i="85"/>
  <c r="AD10" i="85"/>
  <c r="AC10" i="85"/>
  <c r="AB10" i="85"/>
  <c r="AA10" i="85"/>
  <c r="Z10" i="85"/>
  <c r="Y10" i="85"/>
  <c r="X10" i="85"/>
  <c r="W10" i="85"/>
  <c r="V10" i="85"/>
  <c r="U10" i="85"/>
  <c r="T10" i="85"/>
  <c r="S10" i="85"/>
  <c r="R10" i="85"/>
  <c r="Q10" i="85"/>
  <c r="P10" i="85"/>
  <c r="O10" i="85"/>
  <c r="N10" i="85"/>
  <c r="M10" i="85"/>
  <c r="L10" i="85"/>
  <c r="K10" i="85"/>
  <c r="J10" i="85"/>
  <c r="I10" i="85"/>
  <c r="AX4" i="85"/>
  <c r="AW4" i="85"/>
  <c r="AV4" i="85"/>
  <c r="AU4" i="85"/>
  <c r="AT4" i="85"/>
  <c r="AS4" i="85"/>
  <c r="AR4" i="85"/>
  <c r="AQ4" i="85"/>
  <c r="AP4" i="85"/>
  <c r="AO4" i="85"/>
  <c r="AN4" i="85"/>
  <c r="AM4" i="85"/>
  <c r="AL4" i="85"/>
  <c r="AK4" i="85"/>
  <c r="AJ4" i="85"/>
  <c r="AI4" i="85"/>
  <c r="AH4" i="85"/>
  <c r="AG4" i="85"/>
  <c r="AF4" i="85"/>
  <c r="AE4" i="85"/>
  <c r="AD4" i="85"/>
  <c r="AC4" i="85"/>
  <c r="AB4" i="85"/>
  <c r="AA4" i="85"/>
  <c r="Z4" i="85"/>
  <c r="Y4" i="85"/>
  <c r="X4" i="85"/>
  <c r="W4" i="85"/>
  <c r="V4" i="85"/>
  <c r="U4" i="85"/>
  <c r="T4" i="85"/>
  <c r="S4" i="85"/>
  <c r="R4" i="85"/>
  <c r="Q4" i="85"/>
  <c r="P4" i="85"/>
  <c r="O4" i="85"/>
  <c r="N4" i="85"/>
  <c r="M4" i="85"/>
  <c r="L4" i="85"/>
  <c r="K4" i="85"/>
  <c r="J4" i="85"/>
  <c r="I4" i="85"/>
  <c r="P7" i="84"/>
  <c r="B7" i="84"/>
  <c r="B5" i="84"/>
  <c r="B4" i="84"/>
  <c r="B4" i="65"/>
  <c r="B3" i="65"/>
  <c r="U105" i="92" l="1"/>
  <c r="V105" i="92"/>
  <c r="T105" i="92"/>
  <c r="X105" i="92"/>
  <c r="W105" i="92"/>
  <c r="J105" i="92"/>
  <c r="E105" i="92"/>
  <c r="O105" i="92"/>
  <c r="R105" i="92"/>
  <c r="I105" i="92"/>
  <c r="H105" i="92"/>
  <c r="S105" i="92"/>
  <c r="N105" i="92"/>
  <c r="M105" i="92"/>
  <c r="G105" i="92"/>
  <c r="F105" i="92"/>
  <c r="Q105" i="92"/>
  <c r="P105" i="92"/>
  <c r="L105" i="92"/>
  <c r="K105" i="92"/>
  <c r="H52" i="78"/>
  <c r="H53" i="78"/>
  <c r="AS13" i="10"/>
  <c r="H15" i="67"/>
  <c r="AB37" i="53"/>
  <c r="AJ37" i="53"/>
  <c r="AR37" i="53"/>
  <c r="AZ37" i="53"/>
  <c r="BA38" i="53"/>
  <c r="W37" i="53"/>
  <c r="AE37" i="53"/>
  <c r="AM37" i="53"/>
  <c r="AU37" i="53"/>
  <c r="Y11" i="53"/>
  <c r="Y38" i="53" s="1"/>
  <c r="AG11" i="53"/>
  <c r="AG38" i="53" s="1"/>
  <c r="AO11" i="53"/>
  <c r="AO38" i="53" s="1"/>
  <c r="AW11" i="53"/>
  <c r="AW38" i="53" s="1"/>
  <c r="Z11" i="53"/>
  <c r="Z38" i="53" s="1"/>
  <c r="AH11" i="53"/>
  <c r="AP11" i="53"/>
  <c r="AP38" i="53" s="1"/>
  <c r="AX11" i="53"/>
  <c r="AX38" i="53" s="1"/>
  <c r="AA11" i="53"/>
  <c r="AI11" i="53"/>
  <c r="AQ11" i="53"/>
  <c r="AQ38" i="53" s="1"/>
  <c r="AY11" i="53"/>
  <c r="AY38" i="53" s="1"/>
  <c r="W11" i="53"/>
  <c r="W38" i="53" s="1"/>
  <c r="AM11" i="53"/>
  <c r="AM38" i="53" s="1"/>
  <c r="AU11" i="53"/>
  <c r="AU38" i="53" s="1"/>
  <c r="AB11" i="53"/>
  <c r="AJ11" i="53"/>
  <c r="AJ38" i="53" s="1"/>
  <c r="AR11" i="53"/>
  <c r="X11" i="53"/>
  <c r="X38" i="53" s="1"/>
  <c r="AF11" i="53"/>
  <c r="AF38" i="53" s="1"/>
  <c r="AN11" i="53"/>
  <c r="AN38" i="53" s="1"/>
  <c r="AV11" i="53"/>
  <c r="AV38" i="53" s="1"/>
  <c r="AC37" i="53"/>
  <c r="AK37" i="53"/>
  <c r="AS37" i="53"/>
  <c r="BA37" i="53"/>
  <c r="AC11" i="53"/>
  <c r="AC38" i="53" s="1"/>
  <c r="AK11" i="53"/>
  <c r="AK38" i="53" s="1"/>
  <c r="AS11" i="53"/>
  <c r="AS38" i="53" s="1"/>
  <c r="AE11" i="53"/>
  <c r="AE38" i="53" s="1"/>
  <c r="AD37" i="53"/>
  <c r="AL37" i="53"/>
  <c r="AT37" i="53"/>
  <c r="G11" i="53"/>
  <c r="G38" i="53" s="1"/>
  <c r="AD11" i="53"/>
  <c r="AD38" i="53" s="1"/>
  <c r="AL11" i="53"/>
  <c r="AL38" i="53" s="1"/>
  <c r="AT11" i="53"/>
  <c r="AT38" i="53" s="1"/>
  <c r="AA37" i="53"/>
  <c r="AI37" i="53"/>
  <c r="AQ37" i="53"/>
  <c r="AY37" i="53"/>
  <c r="AB39" i="53"/>
  <c r="AJ39" i="53"/>
  <c r="AR39" i="53"/>
  <c r="AZ39" i="53"/>
  <c r="P40" i="53"/>
  <c r="X40" i="53"/>
  <c r="AF40" i="53"/>
  <c r="AN40" i="53"/>
  <c r="AV40" i="53"/>
  <c r="B3" i="105"/>
  <c r="B4" i="105"/>
  <c r="AS26" i="10"/>
  <c r="AP26" i="10"/>
  <c r="U26" i="10"/>
  <c r="H21" i="10"/>
  <c r="AX24" i="10" s="1"/>
  <c r="AW26" i="10"/>
  <c r="Z26" i="10"/>
  <c r="Z27" i="10" s="1"/>
  <c r="AV26" i="10"/>
  <c r="I26" i="10"/>
  <c r="AC26" i="10"/>
  <c r="AX26" i="10"/>
  <c r="J26" i="10"/>
  <c r="AG26" i="10"/>
  <c r="BA26" i="10"/>
  <c r="M26" i="10"/>
  <c r="AH26" i="10"/>
  <c r="Q26" i="10"/>
  <c r="AK26" i="10"/>
  <c r="R26" i="10"/>
  <c r="R27" i="10" s="1"/>
  <c r="AO26" i="10"/>
  <c r="AO27" i="10" s="1"/>
  <c r="AF23" i="10"/>
  <c r="Y26" i="10"/>
  <c r="Y27" i="10" s="1"/>
  <c r="L13" i="10"/>
  <c r="M13" i="10"/>
  <c r="BA13" i="10"/>
  <c r="AH5" i="90"/>
  <c r="AJ13" i="10"/>
  <c r="G22" i="38"/>
  <c r="G23" i="38"/>
  <c r="G28" i="71"/>
  <c r="G13" i="71"/>
  <c r="G12" i="71"/>
  <c r="G25" i="71"/>
  <c r="G16" i="71"/>
  <c r="G15" i="71"/>
  <c r="G14" i="71"/>
  <c r="G37" i="71"/>
  <c r="G31" i="71"/>
  <c r="G15" i="33"/>
  <c r="H18" i="34" s="1"/>
  <c r="G31" i="33"/>
  <c r="G14" i="33"/>
  <c r="H17" i="34" s="1"/>
  <c r="G37" i="33"/>
  <c r="H36" i="34" s="1"/>
  <c r="G28" i="33"/>
  <c r="H30" i="34" s="1"/>
  <c r="H32" i="34" s="1"/>
  <c r="G13" i="33"/>
  <c r="H16" i="34" s="1"/>
  <c r="G12" i="33"/>
  <c r="H15" i="34" s="1"/>
  <c r="G25" i="33"/>
  <c r="G16" i="33"/>
  <c r="AI13" i="10"/>
  <c r="AR13" i="10"/>
  <c r="G27" i="38"/>
  <c r="G36" i="38" s="1"/>
  <c r="H25" i="90"/>
  <c r="H135" i="90" s="1"/>
  <c r="AO23" i="10"/>
  <c r="AZ23" i="10"/>
  <c r="G26" i="34"/>
  <c r="J23" i="10"/>
  <c r="Q23" i="10"/>
  <c r="T23" i="10"/>
  <c r="AY26" i="38"/>
  <c r="V26" i="38"/>
  <c r="AX26" i="38"/>
  <c r="R26" i="38"/>
  <c r="AT26" i="38"/>
  <c r="N26" i="38"/>
  <c r="AP26" i="38"/>
  <c r="J26" i="38"/>
  <c r="AL26" i="38"/>
  <c r="AH26" i="38"/>
  <c r="AD26" i="38"/>
  <c r="Z26" i="38"/>
  <c r="E27" i="38"/>
  <c r="E36" i="38" s="1"/>
  <c r="E32" i="38"/>
  <c r="F15" i="38"/>
  <c r="AO46" i="53"/>
  <c r="AO53" i="53" s="1"/>
  <c r="AO15" i="1" s="1"/>
  <c r="AO15" i="28" s="1"/>
  <c r="AW46" i="53"/>
  <c r="AW53" i="53" s="1"/>
  <c r="AW15" i="1" s="1"/>
  <c r="AW15" i="28" s="1"/>
  <c r="G136" i="67"/>
  <c r="G139" i="67"/>
  <c r="G138" i="67"/>
  <c r="AH5" i="67"/>
  <c r="L23" i="10"/>
  <c r="AG23" i="10"/>
  <c r="P23" i="10"/>
  <c r="AJ23" i="10"/>
  <c r="X23" i="10"/>
  <c r="AR23" i="10"/>
  <c r="Y23" i="10"/>
  <c r="AV23" i="10"/>
  <c r="I23" i="10"/>
  <c r="AB23" i="10"/>
  <c r="AW23" i="10"/>
  <c r="F20" i="38"/>
  <c r="L26" i="38"/>
  <c r="T26" i="38"/>
  <c r="AB26" i="38"/>
  <c r="AJ26" i="38"/>
  <c r="AR26" i="38"/>
  <c r="AZ26" i="38"/>
  <c r="M26" i="38"/>
  <c r="U26" i="38"/>
  <c r="AC26" i="38"/>
  <c r="AK26" i="38"/>
  <c r="AS26" i="38"/>
  <c r="BA26" i="38"/>
  <c r="O26" i="38"/>
  <c r="W26" i="38"/>
  <c r="AE26" i="38"/>
  <c r="AM26" i="38"/>
  <c r="AU26" i="38"/>
  <c r="P26" i="38"/>
  <c r="X26" i="38"/>
  <c r="AF26" i="38"/>
  <c r="AN26" i="38"/>
  <c r="AV26" i="38"/>
  <c r="I26" i="38"/>
  <c r="Q26" i="38"/>
  <c r="Y26" i="38"/>
  <c r="AG26" i="38"/>
  <c r="AO26" i="38"/>
  <c r="AW26" i="38"/>
  <c r="G30" i="38"/>
  <c r="K26" i="38"/>
  <c r="S26" i="38"/>
  <c r="AA26" i="38"/>
  <c r="AI26" i="38"/>
  <c r="AQ26" i="38"/>
  <c r="G32" i="38"/>
  <c r="AY24" i="10"/>
  <c r="AU25" i="10"/>
  <c r="S13" i="10"/>
  <c r="AK13" i="10"/>
  <c r="R23" i="10"/>
  <c r="Z23" i="10"/>
  <c r="AH23" i="10"/>
  <c r="AP23" i="10"/>
  <c r="AX23" i="10"/>
  <c r="X25" i="10"/>
  <c r="K26" i="10"/>
  <c r="S26" i="10"/>
  <c r="AA26" i="10"/>
  <c r="AI26" i="10"/>
  <c r="AQ26" i="10"/>
  <c r="AQ27" i="10" s="1"/>
  <c r="AY26" i="10"/>
  <c r="T13" i="10"/>
  <c r="AQ13" i="10"/>
  <c r="K23" i="10"/>
  <c r="S23" i="10"/>
  <c r="AA23" i="10"/>
  <c r="AI23" i="10"/>
  <c r="AQ23" i="10"/>
  <c r="AY23" i="10"/>
  <c r="I25" i="10"/>
  <c r="L26" i="10"/>
  <c r="T26" i="10"/>
  <c r="AB26" i="10"/>
  <c r="AB27" i="10" s="1"/>
  <c r="AJ26" i="10"/>
  <c r="AR26" i="10"/>
  <c r="AZ26" i="10"/>
  <c r="U13" i="10"/>
  <c r="M27" i="10"/>
  <c r="AA13" i="10"/>
  <c r="M23" i="10"/>
  <c r="U23" i="10"/>
  <c r="AC23" i="10"/>
  <c r="AK23" i="10"/>
  <c r="AS23" i="10"/>
  <c r="BA23" i="10"/>
  <c r="AF24" i="10"/>
  <c r="AY25" i="10"/>
  <c r="N26" i="10"/>
  <c r="V26" i="10"/>
  <c r="AD26" i="10"/>
  <c r="AL26" i="10"/>
  <c r="AT26" i="10"/>
  <c r="AX13" i="10"/>
  <c r="I13" i="10"/>
  <c r="AB13" i="10"/>
  <c r="AY13" i="10"/>
  <c r="N23" i="10"/>
  <c r="V23" i="10"/>
  <c r="AD23" i="10"/>
  <c r="AL23" i="10"/>
  <c r="AT23" i="10"/>
  <c r="I24" i="10"/>
  <c r="AB25" i="10"/>
  <c r="O26" i="10"/>
  <c r="W26" i="10"/>
  <c r="AE26" i="10"/>
  <c r="AM26" i="10"/>
  <c r="AM27" i="10" s="1"/>
  <c r="AU26" i="10"/>
  <c r="AU27" i="10" s="1"/>
  <c r="K13" i="10"/>
  <c r="AC13" i="10"/>
  <c r="AZ13" i="10"/>
  <c r="O23" i="10"/>
  <c r="W23" i="10"/>
  <c r="AE23" i="10"/>
  <c r="AM23" i="10"/>
  <c r="AU23" i="10"/>
  <c r="AC25" i="10"/>
  <c r="P26" i="10"/>
  <c r="X26" i="10"/>
  <c r="AF26" i="10"/>
  <c r="AN26" i="10"/>
  <c r="X37" i="53"/>
  <c r="AF37" i="53"/>
  <c r="AN37" i="53"/>
  <c r="AV37" i="53"/>
  <c r="Z39" i="53"/>
  <c r="AH39" i="53"/>
  <c r="AP39" i="53"/>
  <c r="AX39" i="53"/>
  <c r="R46" i="53"/>
  <c r="R53" i="53" s="1"/>
  <c r="R15" i="1" s="1"/>
  <c r="R15" i="28" s="1"/>
  <c r="Z46" i="53"/>
  <c r="Z53" i="53" s="1"/>
  <c r="Z15" i="1" s="1"/>
  <c r="Z15" i="28" s="1"/>
  <c r="AH46" i="53"/>
  <c r="AH53" i="53" s="1"/>
  <c r="AH15" i="1" s="1"/>
  <c r="AH15" i="28" s="1"/>
  <c r="AX46" i="53"/>
  <c r="AX53" i="53" s="1"/>
  <c r="AX15" i="1" s="1"/>
  <c r="AX15" i="28" s="1"/>
  <c r="N46" i="53"/>
  <c r="N53" i="53" s="1"/>
  <c r="N15" i="1" s="1"/>
  <c r="N15" i="28" s="1"/>
  <c r="V46" i="53"/>
  <c r="V53" i="53" s="1"/>
  <c r="V15" i="1" s="1"/>
  <c r="V15" i="28" s="1"/>
  <c r="AD46" i="53"/>
  <c r="AD53" i="53" s="1"/>
  <c r="AD15" i="1" s="1"/>
  <c r="AD15" i="28" s="1"/>
  <c r="AL46" i="53"/>
  <c r="AL53" i="53" s="1"/>
  <c r="AL15" i="1" s="1"/>
  <c r="AL15" i="28" s="1"/>
  <c r="AT46" i="53"/>
  <c r="AT53" i="53" s="1"/>
  <c r="AT15" i="1" s="1"/>
  <c r="AT15" i="28" s="1"/>
  <c r="O46" i="53"/>
  <c r="O53" i="53" s="1"/>
  <c r="O15" i="1" s="1"/>
  <c r="O15" i="28" s="1"/>
  <c r="W46" i="53"/>
  <c r="W53" i="53" s="1"/>
  <c r="W15" i="1" s="1"/>
  <c r="W15" i="28" s="1"/>
  <c r="AE46" i="53"/>
  <c r="AE53" i="53" s="1"/>
  <c r="AE15" i="1" s="1"/>
  <c r="AE15" i="28" s="1"/>
  <c r="AM46" i="53"/>
  <c r="AM53" i="53" s="1"/>
  <c r="AM15" i="1" s="1"/>
  <c r="AM15" i="28" s="1"/>
  <c r="AU46" i="53"/>
  <c r="AU53" i="53" s="1"/>
  <c r="AU15" i="1" s="1"/>
  <c r="AU15" i="28" s="1"/>
  <c r="E4" i="34"/>
  <c r="E4" i="67"/>
  <c r="E4" i="78" s="1"/>
  <c r="E4" i="10"/>
  <c r="E4" i="53"/>
  <c r="E5" i="34"/>
  <c r="E4" i="57"/>
  <c r="E5" i="67"/>
  <c r="E5" i="78" s="1"/>
  <c r="E4" i="31"/>
  <c r="E4" i="33"/>
  <c r="E5" i="10"/>
  <c r="E5" i="53"/>
  <c r="E5" i="57"/>
  <c r="E4" i="24"/>
  <c r="E5" i="31"/>
  <c r="E5" i="33"/>
  <c r="E5" i="24"/>
  <c r="E4" i="71"/>
  <c r="E4" i="55"/>
  <c r="E5" i="71"/>
  <c r="E5" i="55"/>
  <c r="E4" i="1"/>
  <c r="E4" i="28"/>
  <c r="E4" i="38"/>
  <c r="E5" i="1"/>
  <c r="E5" i="28"/>
  <c r="E5" i="38"/>
  <c r="C11" i="92"/>
  <c r="C148" i="92"/>
  <c r="C149" i="92" s="1"/>
  <c r="C150" i="92" s="1"/>
  <c r="C151" i="92" s="1"/>
  <c r="C152" i="92" s="1"/>
  <c r="C153" i="92" s="1"/>
  <c r="C154" i="92" s="1"/>
  <c r="C155" i="92" s="1"/>
  <c r="C156" i="92" s="1"/>
  <c r="C157" i="92" s="1"/>
  <c r="C158" i="92" s="1"/>
  <c r="C159" i="92" s="1"/>
  <c r="C160" i="92" s="1"/>
  <c r="C161" i="92" s="1"/>
  <c r="C162" i="92" s="1"/>
  <c r="C163" i="92" s="1"/>
  <c r="C164" i="92" s="1"/>
  <c r="C165" i="92" s="1"/>
  <c r="C166" i="92" s="1"/>
  <c r="C167" i="92" s="1"/>
  <c r="C168" i="92" s="1"/>
  <c r="C169" i="92" s="1"/>
  <c r="C170" i="92" s="1"/>
  <c r="C171" i="92" s="1"/>
  <c r="C172" i="92" s="1"/>
  <c r="C173" i="92" s="1"/>
  <c r="C174" i="92" s="1"/>
  <c r="C175" i="92" s="1"/>
  <c r="C176" i="92" s="1"/>
  <c r="C177" i="92" s="1"/>
  <c r="C178" i="92" s="1"/>
  <c r="C179" i="92" s="1"/>
  <c r="C180" i="92" s="1"/>
  <c r="C181" i="92" s="1"/>
  <c r="C182" i="92" s="1"/>
  <c r="C183" i="92" s="1"/>
  <c r="C184" i="92" s="1"/>
  <c r="C185" i="92" s="1"/>
  <c r="C186" i="92" s="1"/>
  <c r="C187" i="92" s="1"/>
  <c r="C188" i="92" s="1"/>
  <c r="C189" i="92" s="1"/>
  <c r="C190" i="92" s="1"/>
  <c r="C191" i="92" s="1"/>
  <c r="C192" i="92" s="1"/>
  <c r="C193" i="92" s="1"/>
  <c r="C26" i="92"/>
  <c r="C221" i="92"/>
  <c r="C115" i="92"/>
  <c r="F121" i="92"/>
  <c r="C210" i="92"/>
  <c r="C199" i="92"/>
  <c r="F21" i="92"/>
  <c r="C14" i="92"/>
  <c r="C12" i="92"/>
  <c r="C143" i="92"/>
  <c r="C15" i="92"/>
  <c r="C13" i="92"/>
  <c r="F20" i="92"/>
  <c r="AA46" i="53"/>
  <c r="AA53" i="53" s="1"/>
  <c r="AA15" i="1" s="1"/>
  <c r="AA15" i="28" s="1"/>
  <c r="AI46" i="53"/>
  <c r="AI53" i="53" s="1"/>
  <c r="AI15" i="1" s="1"/>
  <c r="AI15" i="28" s="1"/>
  <c r="AQ46" i="53"/>
  <c r="AQ53" i="53" s="1"/>
  <c r="AQ15" i="1" s="1"/>
  <c r="AQ15" i="28" s="1"/>
  <c r="BA46" i="53"/>
  <c r="BA53" i="53" s="1"/>
  <c r="BA15" i="1" s="1"/>
  <c r="BA15" i="28" s="1"/>
  <c r="P46" i="53"/>
  <c r="P53" i="53" s="1"/>
  <c r="P15" i="1" s="1"/>
  <c r="P15" i="28" s="1"/>
  <c r="X46" i="53"/>
  <c r="X53" i="53" s="1"/>
  <c r="X15" i="1" s="1"/>
  <c r="X15" i="28" s="1"/>
  <c r="AF46" i="53"/>
  <c r="AF53" i="53" s="1"/>
  <c r="AF15" i="1" s="1"/>
  <c r="AF15" i="28" s="1"/>
  <c r="AN46" i="53"/>
  <c r="AN53" i="53" s="1"/>
  <c r="AN15" i="1" s="1"/>
  <c r="AN15" i="28" s="1"/>
  <c r="AV46" i="53"/>
  <c r="AV53" i="53" s="1"/>
  <c r="AV15" i="1" s="1"/>
  <c r="AV15" i="28" s="1"/>
  <c r="U46" i="53"/>
  <c r="U53" i="53" s="1"/>
  <c r="U15" i="1" s="1"/>
  <c r="U15" i="28" s="1"/>
  <c r="AC46" i="53"/>
  <c r="AC53" i="53" s="1"/>
  <c r="AC15" i="1" s="1"/>
  <c r="AC15" i="28" s="1"/>
  <c r="AK46" i="53"/>
  <c r="AK53" i="53" s="1"/>
  <c r="AK15" i="1" s="1"/>
  <c r="AK15" i="28" s="1"/>
  <c r="AS46" i="53"/>
  <c r="AS53" i="53" s="1"/>
  <c r="AS15" i="1" s="1"/>
  <c r="AS15" i="28" s="1"/>
  <c r="I46" i="53"/>
  <c r="I53" i="53" s="1"/>
  <c r="I15" i="1" s="1"/>
  <c r="Q46" i="53"/>
  <c r="Q53" i="53" s="1"/>
  <c r="Q15" i="1" s="1"/>
  <c r="Q15" i="28" s="1"/>
  <c r="Y46" i="53"/>
  <c r="Y53" i="53" s="1"/>
  <c r="Y15" i="1" s="1"/>
  <c r="Y15" i="28" s="1"/>
  <c r="AG46" i="53"/>
  <c r="AG53" i="53" s="1"/>
  <c r="AG15" i="1" s="1"/>
  <c r="AG15" i="28" s="1"/>
  <c r="L46" i="53"/>
  <c r="L53" i="53" s="1"/>
  <c r="L15" i="1" s="1"/>
  <c r="L15" i="28" s="1"/>
  <c r="T46" i="53"/>
  <c r="T53" i="53" s="1"/>
  <c r="T15" i="1" s="1"/>
  <c r="T15" i="28" s="1"/>
  <c r="AB46" i="53"/>
  <c r="AB53" i="53" s="1"/>
  <c r="AB15" i="1" s="1"/>
  <c r="AB15" i="28" s="1"/>
  <c r="AJ46" i="53"/>
  <c r="AJ53" i="53" s="1"/>
  <c r="AJ15" i="1" s="1"/>
  <c r="AJ15" i="28" s="1"/>
  <c r="AR46" i="53"/>
  <c r="AR53" i="53" s="1"/>
  <c r="AR15" i="1" s="1"/>
  <c r="AR15" i="28" s="1"/>
  <c r="AZ46" i="53"/>
  <c r="AZ53" i="53" s="1"/>
  <c r="AZ15" i="1" s="1"/>
  <c r="AZ15" i="28" s="1"/>
  <c r="S46" i="53"/>
  <c r="S53" i="53" s="1"/>
  <c r="S15" i="1" s="1"/>
  <c r="S15" i="28" s="1"/>
  <c r="K46" i="53"/>
  <c r="K53" i="53" s="1"/>
  <c r="K15" i="1" s="1"/>
  <c r="K15" i="28" s="1"/>
  <c r="G10" i="24"/>
  <c r="G8" i="24"/>
  <c r="G9" i="24"/>
  <c r="J46" i="53"/>
  <c r="J53" i="53" s="1"/>
  <c r="J15" i="1" s="1"/>
  <c r="J15" i="28" s="1"/>
  <c r="AC39" i="53"/>
  <c r="AK39" i="53"/>
  <c r="AS39" i="53"/>
  <c r="BA39" i="53"/>
  <c r="AB38" i="53"/>
  <c r="AR38" i="53"/>
  <c r="AZ38" i="53"/>
  <c r="AD39" i="53"/>
  <c r="AL39" i="53"/>
  <c r="AT39" i="53"/>
  <c r="O40" i="53"/>
  <c r="W40" i="53"/>
  <c r="AE40" i="53"/>
  <c r="AM40" i="53"/>
  <c r="AU40" i="53"/>
  <c r="M46" i="53"/>
  <c r="M53" i="53" s="1"/>
  <c r="M15" i="1" s="1"/>
  <c r="M15" i="28" s="1"/>
  <c r="K40" i="53"/>
  <c r="S40" i="53"/>
  <c r="AA40" i="53"/>
  <c r="AI40" i="53"/>
  <c r="AQ40" i="53"/>
  <c r="AY40" i="53"/>
  <c r="AY46" i="53"/>
  <c r="AY53" i="53" s="1"/>
  <c r="AY15" i="1" s="1"/>
  <c r="AY15" i="28" s="1"/>
  <c r="AA39" i="53"/>
  <c r="AY39" i="53"/>
  <c r="Y37" i="53"/>
  <c r="AG37" i="53"/>
  <c r="AO37" i="53"/>
  <c r="AW37" i="53"/>
  <c r="AA38" i="53"/>
  <c r="AI38" i="53"/>
  <c r="M40" i="53"/>
  <c r="U40" i="53"/>
  <c r="AC40" i="53"/>
  <c r="AK40" i="53"/>
  <c r="AS40" i="53"/>
  <c r="BA40" i="53"/>
  <c r="AG40" i="53"/>
  <c r="AQ39" i="53"/>
  <c r="AH38" i="53"/>
  <c r="Z37" i="53"/>
  <c r="AH37" i="53"/>
  <c r="AP37" i="53"/>
  <c r="AX37" i="53"/>
  <c r="N40" i="53"/>
  <c r="V40" i="53"/>
  <c r="AD40" i="53"/>
  <c r="AL40" i="53"/>
  <c r="AT40" i="53"/>
  <c r="AI39" i="53"/>
  <c r="W39" i="53"/>
  <c r="AE39" i="53"/>
  <c r="AM39" i="53"/>
  <c r="AU39" i="53"/>
  <c r="I40" i="53"/>
  <c r="Q40" i="53"/>
  <c r="Y40" i="53"/>
  <c r="AO40" i="53"/>
  <c r="AW40" i="53"/>
  <c r="X39" i="53"/>
  <c r="AF39" i="53"/>
  <c r="AN39" i="53"/>
  <c r="AV39" i="53"/>
  <c r="L40" i="53"/>
  <c r="T40" i="53"/>
  <c r="AB40" i="53"/>
  <c r="AJ40" i="53"/>
  <c r="AR40" i="53"/>
  <c r="AZ40" i="53"/>
  <c r="J40" i="53"/>
  <c r="R40" i="53"/>
  <c r="Z40" i="53"/>
  <c r="AH40" i="53"/>
  <c r="AP40" i="53"/>
  <c r="AX40" i="53"/>
  <c r="AP46" i="53"/>
  <c r="AP53" i="53" s="1"/>
  <c r="AP15" i="1" s="1"/>
  <c r="AP15" i="28" s="1"/>
  <c r="AL66" i="90"/>
  <c r="AM66" i="90"/>
  <c r="AR74" i="90"/>
  <c r="W66" i="90"/>
  <c r="AC66" i="90"/>
  <c r="M66" i="90"/>
  <c r="AS66" i="90"/>
  <c r="L74" i="90"/>
  <c r="O66" i="90"/>
  <c r="T74" i="90"/>
  <c r="V66" i="90"/>
  <c r="AM74" i="90"/>
  <c r="AE66" i="90"/>
  <c r="C136" i="92"/>
  <c r="C127" i="92"/>
  <c r="C128" i="92"/>
  <c r="C129" i="92"/>
  <c r="C130" i="92"/>
  <c r="C134" i="92"/>
  <c r="C135" i="92"/>
  <c r="C133" i="92"/>
  <c r="C19" i="92"/>
  <c r="C22" i="92"/>
  <c r="I76" i="92"/>
  <c r="C138" i="92"/>
  <c r="F18" i="92"/>
  <c r="E76" i="92"/>
  <c r="C21" i="92"/>
  <c r="C20" i="92"/>
  <c r="F76" i="92"/>
  <c r="C139" i="92"/>
  <c r="G76" i="92"/>
  <c r="C140" i="92"/>
  <c r="C18" i="92"/>
  <c r="H76" i="92"/>
  <c r="C141" i="92"/>
  <c r="C142" i="92"/>
  <c r="H136" i="90"/>
  <c r="N66" i="90"/>
  <c r="AD66" i="90"/>
  <c r="AT66" i="90"/>
  <c r="W74" i="90"/>
  <c r="AU66" i="90"/>
  <c r="AB74" i="90"/>
  <c r="T66" i="90"/>
  <c r="AJ66" i="90"/>
  <c r="AE74" i="90"/>
  <c r="U66" i="90"/>
  <c r="AK66" i="90"/>
  <c r="AJ74" i="90"/>
  <c r="L66" i="90"/>
  <c r="AB66" i="90"/>
  <c r="AR66" i="90"/>
  <c r="O74" i="90"/>
  <c r="AU74" i="90"/>
  <c r="F17" i="92"/>
  <c r="C17" i="92"/>
  <c r="AU8" i="24"/>
  <c r="AM8" i="24"/>
  <c r="AE8" i="24"/>
  <c r="W8" i="24"/>
  <c r="O8" i="24"/>
  <c r="AT8" i="24"/>
  <c r="AL8" i="24"/>
  <c r="AD8" i="24"/>
  <c r="V8" i="24"/>
  <c r="N8" i="24"/>
  <c r="BA8" i="24"/>
  <c r="AS8" i="24"/>
  <c r="AK8" i="24"/>
  <c r="AC8" i="24"/>
  <c r="U8" i="24"/>
  <c r="M8" i="24"/>
  <c r="AZ8" i="24"/>
  <c r="AR8" i="24"/>
  <c r="AJ8" i="24"/>
  <c r="AB8" i="24"/>
  <c r="T8" i="24"/>
  <c r="L8" i="24"/>
  <c r="AY8" i="24"/>
  <c r="AQ8" i="24"/>
  <c r="AI8" i="24"/>
  <c r="AA8" i="24"/>
  <c r="S8" i="24"/>
  <c r="K8" i="24"/>
  <c r="AW8" i="24"/>
  <c r="AO8" i="24"/>
  <c r="AG8" i="24"/>
  <c r="Y8" i="24"/>
  <c r="Q8" i="24"/>
  <c r="I8" i="24"/>
  <c r="AV8" i="24"/>
  <c r="P8" i="24"/>
  <c r="AP8" i="24"/>
  <c r="J8" i="24"/>
  <c r="AN8" i="24"/>
  <c r="AH8" i="24"/>
  <c r="AF8" i="24"/>
  <c r="X8" i="24"/>
  <c r="AX8" i="24"/>
  <c r="R8" i="24"/>
  <c r="Z8" i="24"/>
  <c r="AV9" i="24"/>
  <c r="AN9" i="24"/>
  <c r="AF9" i="24"/>
  <c r="X9" i="24"/>
  <c r="P9" i="24"/>
  <c r="AU9" i="24"/>
  <c r="AM9" i="24"/>
  <c r="AE9" i="24"/>
  <c r="W9" i="24"/>
  <c r="O9" i="24"/>
  <c r="AT9" i="24"/>
  <c r="AL9" i="24"/>
  <c r="AD9" i="24"/>
  <c r="V9" i="24"/>
  <c r="N9" i="24"/>
  <c r="BA9" i="24"/>
  <c r="AS9" i="24"/>
  <c r="AK9" i="24"/>
  <c r="AC9" i="24"/>
  <c r="U9" i="24"/>
  <c r="M9" i="24"/>
  <c r="AZ9" i="24"/>
  <c r="AR9" i="24"/>
  <c r="AJ9" i="24"/>
  <c r="AB9" i="24"/>
  <c r="T9" i="24"/>
  <c r="L9" i="24"/>
  <c r="AX9" i="24"/>
  <c r="AP9" i="24"/>
  <c r="AH9" i="24"/>
  <c r="Z9" i="24"/>
  <c r="R9" i="24"/>
  <c r="J9" i="24"/>
  <c r="Y9" i="24"/>
  <c r="AY9" i="24"/>
  <c r="S9" i="24"/>
  <c r="AW9" i="24"/>
  <c r="Q9" i="24"/>
  <c r="AQ9" i="24"/>
  <c r="K9" i="24"/>
  <c r="AO9" i="24"/>
  <c r="I9" i="24"/>
  <c r="AG9" i="24"/>
  <c r="AA9" i="24"/>
  <c r="AI9" i="24"/>
  <c r="G12" i="24"/>
  <c r="G11" i="24"/>
  <c r="G22" i="31"/>
  <c r="G23" i="31" s="1"/>
  <c r="G24" i="31" s="1"/>
  <c r="G25" i="31" s="1"/>
  <c r="G26" i="31" s="1"/>
  <c r="G27" i="31" s="1"/>
  <c r="N13" i="10"/>
  <c r="V13" i="10"/>
  <c r="AD13" i="10"/>
  <c r="AL13" i="10"/>
  <c r="AT13" i="10"/>
  <c r="O13" i="10"/>
  <c r="W13" i="10"/>
  <c r="AE13" i="10"/>
  <c r="AM13" i="10"/>
  <c r="AU13" i="10"/>
  <c r="G37" i="38"/>
  <c r="G13" i="1" s="1"/>
  <c r="P13" i="10"/>
  <c r="X13" i="10"/>
  <c r="AF13" i="10"/>
  <c r="AN13" i="10"/>
  <c r="AV13" i="10"/>
  <c r="Q13" i="10"/>
  <c r="Y13" i="10"/>
  <c r="AG13" i="10"/>
  <c r="AO13" i="10"/>
  <c r="AW13" i="10"/>
  <c r="G25" i="38"/>
  <c r="J13" i="10"/>
  <c r="R13" i="10"/>
  <c r="Z13" i="10"/>
  <c r="AH13" i="10"/>
  <c r="AP13" i="10"/>
  <c r="P66" i="90"/>
  <c r="X66" i="90"/>
  <c r="AF66" i="90"/>
  <c r="AN66" i="90"/>
  <c r="AV66" i="90"/>
  <c r="P74" i="90"/>
  <c r="X74" i="90"/>
  <c r="AF74" i="90"/>
  <c r="AN74" i="90"/>
  <c r="AV74" i="90"/>
  <c r="I66" i="90"/>
  <c r="Q66" i="90"/>
  <c r="Y66" i="90"/>
  <c r="AG66" i="90"/>
  <c r="AO66" i="90"/>
  <c r="AW66" i="90"/>
  <c r="I74" i="90"/>
  <c r="Q74" i="90"/>
  <c r="Y74" i="90"/>
  <c r="AG74" i="90"/>
  <c r="AO74" i="90"/>
  <c r="AW74" i="90"/>
  <c r="J66" i="90"/>
  <c r="R66" i="90"/>
  <c r="Z66" i="90"/>
  <c r="AH66" i="90"/>
  <c r="AP66" i="90"/>
  <c r="AX66" i="90"/>
  <c r="J74" i="90"/>
  <c r="R74" i="90"/>
  <c r="Z74" i="90"/>
  <c r="AH74" i="90"/>
  <c r="AP74" i="90"/>
  <c r="AX74" i="90"/>
  <c r="K66" i="90"/>
  <c r="S66" i="90"/>
  <c r="AA66" i="90"/>
  <c r="AI66" i="90"/>
  <c r="AQ66" i="90"/>
  <c r="AY66" i="90"/>
  <c r="K74" i="90"/>
  <c r="S74" i="90"/>
  <c r="AA74" i="90"/>
  <c r="AI74" i="90"/>
  <c r="AQ74" i="90"/>
  <c r="AY74" i="90"/>
  <c r="M74" i="90"/>
  <c r="U74" i="90"/>
  <c r="AC74" i="90"/>
  <c r="AK74" i="90"/>
  <c r="AS74" i="90"/>
  <c r="N74" i="90"/>
  <c r="V74" i="90"/>
  <c r="AD74" i="90"/>
  <c r="AL74" i="90"/>
  <c r="AT74" i="90"/>
  <c r="AM24" i="10" l="1"/>
  <c r="BA27" i="10"/>
  <c r="J27" i="10"/>
  <c r="U27" i="10"/>
  <c r="U6" i="67" s="1"/>
  <c r="U70" i="67" s="1"/>
  <c r="BA15" i="31"/>
  <c r="AS15" i="31"/>
  <c r="D26" i="92"/>
  <c r="K26" i="92" s="1"/>
  <c r="L26" i="92" s="1"/>
  <c r="E107" i="92"/>
  <c r="O107" i="92" s="1"/>
  <c r="T107" i="92" s="1"/>
  <c r="M29" i="38"/>
  <c r="AJ15" i="31"/>
  <c r="AR15" i="31"/>
  <c r="AS29" i="38"/>
  <c r="BA29" i="38"/>
  <c r="M15" i="31"/>
  <c r="Z6" i="55"/>
  <c r="AO6" i="55"/>
  <c r="R6" i="55"/>
  <c r="AS25" i="10"/>
  <c r="AS6" i="31" s="1"/>
  <c r="R24" i="10"/>
  <c r="AR25" i="10"/>
  <c r="AR6" i="31" s="1"/>
  <c r="Y24" i="10"/>
  <c r="V27" i="10"/>
  <c r="AV24" i="10"/>
  <c r="AC27" i="10"/>
  <c r="AC6" i="55" s="1"/>
  <c r="J25" i="10"/>
  <c r="AR27" i="10"/>
  <c r="AR6" i="67" s="1"/>
  <c r="AR70" i="67" s="1"/>
  <c r="Y25" i="10"/>
  <c r="AP27" i="10"/>
  <c r="AP6" i="55" s="1"/>
  <c r="T24" i="10"/>
  <c r="AN25" i="10"/>
  <c r="U24" i="10"/>
  <c r="V25" i="10"/>
  <c r="V6" i="31" s="1"/>
  <c r="AK25" i="10"/>
  <c r="J24" i="10"/>
  <c r="AJ25" i="10"/>
  <c r="AJ6" i="31" s="1"/>
  <c r="Q24" i="10"/>
  <c r="N27" i="10"/>
  <c r="AN24" i="10"/>
  <c r="AU24" i="10"/>
  <c r="AJ27" i="10"/>
  <c r="AJ6" i="55" s="1"/>
  <c r="Q25" i="10"/>
  <c r="AY27" i="10"/>
  <c r="AY6" i="67" s="1"/>
  <c r="AY70" i="67" s="1"/>
  <c r="AF25" i="10"/>
  <c r="AF6" i="31" s="1"/>
  <c r="M24" i="10"/>
  <c r="AG27" i="10"/>
  <c r="N25" i="10"/>
  <c r="AQ6" i="55"/>
  <c r="T25" i="10"/>
  <c r="T6" i="31" s="1"/>
  <c r="AQ25" i="10"/>
  <c r="AT24" i="10"/>
  <c r="AB6" i="55"/>
  <c r="Y6" i="67"/>
  <c r="Y70" i="67" s="1"/>
  <c r="U25" i="10"/>
  <c r="U6" i="31" s="1"/>
  <c r="X24" i="10"/>
  <c r="AX25" i="10"/>
  <c r="AX6" i="31" s="1"/>
  <c r="AI27" i="10"/>
  <c r="AI6" i="55" s="1"/>
  <c r="AQ24" i="10"/>
  <c r="AN27" i="10"/>
  <c r="M25" i="10"/>
  <c r="M6" i="31" s="1"/>
  <c r="AE27" i="10"/>
  <c r="AE6" i="55" s="1"/>
  <c r="L25" i="10"/>
  <c r="AI25" i="10"/>
  <c r="AI6" i="31" s="1"/>
  <c r="P24" i="10"/>
  <c r="AP25" i="10"/>
  <c r="AP6" i="31" s="1"/>
  <c r="W24" i="10"/>
  <c r="L27" i="10"/>
  <c r="AL24" i="10"/>
  <c r="AE25" i="10"/>
  <c r="AA27" i="10"/>
  <c r="AA6" i="67" s="1"/>
  <c r="AA70" i="67" s="1"/>
  <c r="BA24" i="10"/>
  <c r="AZ24" i="10"/>
  <c r="I27" i="10"/>
  <c r="I6" i="55" s="1"/>
  <c r="AI24" i="10"/>
  <c r="AM6" i="67"/>
  <c r="AM70" i="67" s="1"/>
  <c r="T27" i="10"/>
  <c r="T6" i="67" s="1"/>
  <c r="T70" i="67" s="1"/>
  <c r="AM25" i="10"/>
  <c r="Q27" i="10"/>
  <c r="Q6" i="55" s="1"/>
  <c r="AX27" i="10"/>
  <c r="S15" i="31"/>
  <c r="AF27" i="10"/>
  <c r="AF6" i="55" s="1"/>
  <c r="AP24" i="10"/>
  <c r="W27" i="10"/>
  <c r="W6" i="55" s="1"/>
  <c r="AW24" i="10"/>
  <c r="AT27" i="10"/>
  <c r="AA25" i="10"/>
  <c r="AA6" i="31" s="1"/>
  <c r="AH25" i="10"/>
  <c r="AH6" i="31" s="1"/>
  <c r="O24" i="10"/>
  <c r="AW25" i="10"/>
  <c r="AW6" i="31" s="1"/>
  <c r="AD24" i="10"/>
  <c r="O25" i="10"/>
  <c r="S27" i="10"/>
  <c r="S6" i="55" s="1"/>
  <c r="AS24" i="10"/>
  <c r="AB24" i="10"/>
  <c r="AT25" i="10"/>
  <c r="AA24" i="10"/>
  <c r="AU6" i="55"/>
  <c r="M6" i="67"/>
  <c r="M70" i="67" s="1"/>
  <c r="J6" i="67"/>
  <c r="J70" i="67" s="1"/>
  <c r="AE24" i="10"/>
  <c r="P25" i="10"/>
  <c r="X27" i="10"/>
  <c r="X6" i="55" s="1"/>
  <c r="AH24" i="10"/>
  <c r="O27" i="10"/>
  <c r="O6" i="67" s="1"/>
  <c r="O70" i="67" s="1"/>
  <c r="AO24" i="10"/>
  <c r="AL27" i="10"/>
  <c r="S25" i="10"/>
  <c r="S6" i="31" s="1"/>
  <c r="AS27" i="10"/>
  <c r="Z25" i="10"/>
  <c r="AO25" i="10"/>
  <c r="AO6" i="31" s="1"/>
  <c r="V24" i="10"/>
  <c r="AR24" i="10"/>
  <c r="K27" i="10"/>
  <c r="K6" i="67" s="1"/>
  <c r="K70" i="67" s="1"/>
  <c r="AK24" i="10"/>
  <c r="L24" i="10"/>
  <c r="AL25" i="10"/>
  <c r="S24" i="10"/>
  <c r="AH27" i="10"/>
  <c r="AH6" i="55" s="1"/>
  <c r="AV27" i="10"/>
  <c r="AV6" i="55" s="1"/>
  <c r="W25" i="10"/>
  <c r="W6" i="31" s="1"/>
  <c r="P27" i="10"/>
  <c r="P6" i="55" s="1"/>
  <c r="Z24" i="10"/>
  <c r="AZ25" i="10"/>
  <c r="AG24" i="10"/>
  <c r="AD27" i="10"/>
  <c r="K25" i="10"/>
  <c r="AK27" i="10"/>
  <c r="AK6" i="55" s="1"/>
  <c r="R25" i="10"/>
  <c r="AZ27" i="10"/>
  <c r="AZ6" i="67" s="1"/>
  <c r="AZ70" i="67" s="1"/>
  <c r="AG25" i="10"/>
  <c r="AG6" i="31" s="1"/>
  <c r="N24" i="10"/>
  <c r="AJ24" i="10"/>
  <c r="AV25" i="10"/>
  <c r="AC24" i="10"/>
  <c r="AW27" i="10"/>
  <c r="AW6" i="67" s="1"/>
  <c r="AW70" i="67" s="1"/>
  <c r="AD25" i="10"/>
  <c r="K24" i="10"/>
  <c r="BA25" i="10"/>
  <c r="AF50" i="53"/>
  <c r="AF16" i="1" s="1"/>
  <c r="AF16" i="28" s="1"/>
  <c r="AF31" i="71" s="1"/>
  <c r="AR50" i="53"/>
  <c r="AR16" i="1" s="1"/>
  <c r="AR16" i="28" s="1"/>
  <c r="AR19" i="28" s="1"/>
  <c r="AR28" i="71" s="1"/>
  <c r="C222" i="92"/>
  <c r="C223" i="92" s="1"/>
  <c r="C224" i="92" s="1"/>
  <c r="C225" i="92" s="1"/>
  <c r="C226" i="92" s="1"/>
  <c r="C227" i="92" s="1"/>
  <c r="C228" i="92" s="1"/>
  <c r="C229" i="92" s="1"/>
  <c r="C230" i="92" s="1"/>
  <c r="C231" i="92" s="1"/>
  <c r="C232" i="92" s="1"/>
  <c r="C233" i="92" s="1"/>
  <c r="C234" i="92" s="1"/>
  <c r="C235" i="92" s="1"/>
  <c r="C236" i="92" s="1"/>
  <c r="C237" i="92" s="1"/>
  <c r="C238" i="92" s="1"/>
  <c r="C239" i="92" s="1"/>
  <c r="C240" i="92" s="1"/>
  <c r="C241" i="92" s="1"/>
  <c r="C242" i="92" s="1"/>
  <c r="C243" i="92" s="1"/>
  <c r="C244" i="92" s="1"/>
  <c r="C245" i="92" s="1"/>
  <c r="C246" i="92" s="1"/>
  <c r="C247" i="92" s="1"/>
  <c r="C248" i="92" s="1"/>
  <c r="C249" i="92" s="1"/>
  <c r="C250" i="92" s="1"/>
  <c r="C251" i="92" s="1"/>
  <c r="C252" i="92" s="1"/>
  <c r="C253" i="92" s="1"/>
  <c r="C254" i="92" s="1"/>
  <c r="C255" i="92" s="1"/>
  <c r="C256" i="92" s="1"/>
  <c r="C257" i="92" s="1"/>
  <c r="C258" i="92" s="1"/>
  <c r="C259" i="92" s="1"/>
  <c r="C260" i="92" s="1"/>
  <c r="C261" i="92" s="1"/>
  <c r="C262" i="92" s="1"/>
  <c r="C263" i="92" s="1"/>
  <c r="C264" i="92" s="1"/>
  <c r="C265" i="92" s="1"/>
  <c r="C266" i="92" s="1"/>
  <c r="C27" i="92"/>
  <c r="I15" i="28"/>
  <c r="H15" i="28" s="1"/>
  <c r="H15" i="1"/>
  <c r="AK15" i="31"/>
  <c r="AQ15" i="31"/>
  <c r="U15" i="31"/>
  <c r="L15" i="31"/>
  <c r="L29" i="38"/>
  <c r="K15" i="31"/>
  <c r="AY15" i="31"/>
  <c r="AZ15" i="31"/>
  <c r="T15" i="31"/>
  <c r="AX15" i="31"/>
  <c r="AI29" i="38"/>
  <c r="AI5" i="90"/>
  <c r="AB6" i="67"/>
  <c r="AB70" i="67" s="1"/>
  <c r="AR29" i="38"/>
  <c r="AJ29" i="38"/>
  <c r="AI15" i="31"/>
  <c r="AA15" i="31"/>
  <c r="S29" i="38"/>
  <c r="Y6" i="55"/>
  <c r="BA6" i="67"/>
  <c r="BA70" i="67" s="1"/>
  <c r="AG50" i="53"/>
  <c r="AG16" i="1" s="1"/>
  <c r="AG16" i="28" s="1"/>
  <c r="AG16" i="31" s="1"/>
  <c r="E26" i="92"/>
  <c r="J6" i="55"/>
  <c r="AX29" i="38"/>
  <c r="AC15" i="31"/>
  <c r="AQ6" i="67"/>
  <c r="AQ70" i="67" s="1"/>
  <c r="AA29" i="38"/>
  <c r="R6" i="67"/>
  <c r="R70" i="67" s="1"/>
  <c r="AC29" i="38"/>
  <c r="X50" i="53"/>
  <c r="X16" i="1" s="1"/>
  <c r="X16" i="28" s="1"/>
  <c r="X31" i="71" s="1"/>
  <c r="AZ29" i="38"/>
  <c r="AY29" i="38"/>
  <c r="AB29" i="38"/>
  <c r="AV50" i="53"/>
  <c r="AV16" i="1" s="1"/>
  <c r="AV16" i="28" s="1"/>
  <c r="AV19" i="28" s="1"/>
  <c r="AV28" i="71" s="1"/>
  <c r="Z50" i="53"/>
  <c r="Z16" i="1" s="1"/>
  <c r="Z16" i="28" s="1"/>
  <c r="Z31" i="71" s="1"/>
  <c r="K29" i="38"/>
  <c r="AI5" i="67"/>
  <c r="U29" i="38"/>
  <c r="AM6" i="55"/>
  <c r="AQ29" i="38"/>
  <c r="AU6" i="67"/>
  <c r="AU70" i="67" s="1"/>
  <c r="H23" i="10"/>
  <c r="AB15" i="31"/>
  <c r="M6" i="55"/>
  <c r="Z6" i="67"/>
  <c r="Z70" i="67" s="1"/>
  <c r="AO6" i="67"/>
  <c r="AO70" i="67" s="1"/>
  <c r="AK29" i="38"/>
  <c r="T29" i="38"/>
  <c r="I6" i="31"/>
  <c r="AN50" i="53"/>
  <c r="AN16" i="1" s="1"/>
  <c r="AN16" i="28" s="1"/>
  <c r="AN31" i="71" s="1"/>
  <c r="AS50" i="53"/>
  <c r="AS16" i="1" s="1"/>
  <c r="AS16" i="28" s="1"/>
  <c r="AS16" i="31" s="1"/>
  <c r="AL50" i="53"/>
  <c r="AL16" i="1" s="1"/>
  <c r="AL16" i="28" s="1"/>
  <c r="AL19" i="28" s="1"/>
  <c r="AL28" i="71" s="1"/>
  <c r="AB50" i="53"/>
  <c r="AB16" i="1" s="1"/>
  <c r="AB16" i="28" s="1"/>
  <c r="AB19" i="28" s="1"/>
  <c r="AB28" i="71" s="1"/>
  <c r="F26" i="38"/>
  <c r="AC6" i="31"/>
  <c r="AB6" i="31"/>
  <c r="AY6" i="31"/>
  <c r="AZ10" i="1"/>
  <c r="X6" i="31"/>
  <c r="AU6" i="31"/>
  <c r="AJ50" i="53"/>
  <c r="AJ16" i="1" s="1"/>
  <c r="AJ16" i="28" s="1"/>
  <c r="AJ16" i="31" s="1"/>
  <c r="AC50" i="53"/>
  <c r="AC16" i="1" s="1"/>
  <c r="AC16" i="28" s="1"/>
  <c r="AC19" i="28" s="1"/>
  <c r="AC28" i="71" s="1"/>
  <c r="AU50" i="53"/>
  <c r="AU16" i="1" s="1"/>
  <c r="AU16" i="28" s="1"/>
  <c r="AU19" i="28" s="1"/>
  <c r="AU28" i="71" s="1"/>
  <c r="BA50" i="53"/>
  <c r="BA16" i="1" s="1"/>
  <c r="BA16" i="28" s="1"/>
  <c r="BA31" i="71" s="1"/>
  <c r="AH50" i="53"/>
  <c r="AH16" i="1" s="1"/>
  <c r="AH16" i="28" s="1"/>
  <c r="AH19" i="28" s="1"/>
  <c r="AH28" i="71" s="1"/>
  <c r="AT50" i="53"/>
  <c r="AT16" i="1" s="1"/>
  <c r="AT16" i="28" s="1"/>
  <c r="AT19" i="28" s="1"/>
  <c r="AT28" i="71" s="1"/>
  <c r="AD50" i="53"/>
  <c r="AD16" i="1" s="1"/>
  <c r="AD16" i="28" s="1"/>
  <c r="AD31" i="71" s="1"/>
  <c r="AK50" i="53"/>
  <c r="AK16" i="1" s="1"/>
  <c r="AK16" i="28" s="1"/>
  <c r="AK19" i="28" s="1"/>
  <c r="AK28" i="71" s="1"/>
  <c r="AZ50" i="53"/>
  <c r="AZ16" i="1" s="1"/>
  <c r="AZ16" i="28" s="1"/>
  <c r="AZ19" i="28" s="1"/>
  <c r="AZ28" i="71" s="1"/>
  <c r="AE50" i="53"/>
  <c r="AE16" i="1" s="1"/>
  <c r="AE16" i="28" s="1"/>
  <c r="AE31" i="71" s="1"/>
  <c r="AM50" i="53"/>
  <c r="AM16" i="1" s="1"/>
  <c r="AM16" i="28" s="1"/>
  <c r="AM31" i="71" s="1"/>
  <c r="AI50" i="53"/>
  <c r="AI16" i="1" s="1"/>
  <c r="AI16" i="28" s="1"/>
  <c r="AI19" i="28" s="1"/>
  <c r="AI28" i="71" s="1"/>
  <c r="W50" i="53"/>
  <c r="W16" i="1" s="1"/>
  <c r="W16" i="28" s="1"/>
  <c r="W31" i="71" s="1"/>
  <c r="AX50" i="53"/>
  <c r="AX16" i="1" s="1"/>
  <c r="AX16" i="28" s="1"/>
  <c r="AX31" i="71" s="1"/>
  <c r="AW50" i="53"/>
  <c r="AW16" i="1" s="1"/>
  <c r="AW16" i="28" s="1"/>
  <c r="AW19" i="28" s="1"/>
  <c r="AW28" i="71" s="1"/>
  <c r="AY50" i="53"/>
  <c r="AY16" i="1" s="1"/>
  <c r="AY16" i="28" s="1"/>
  <c r="AY16" i="31" s="1"/>
  <c r="AY31" i="33" s="1"/>
  <c r="Y50" i="53"/>
  <c r="Y16" i="1" s="1"/>
  <c r="Y16" i="28" s="1"/>
  <c r="Y19" i="28" s="1"/>
  <c r="AP50" i="53"/>
  <c r="AP16" i="1" s="1"/>
  <c r="AP16" i="28" s="1"/>
  <c r="AP31" i="71" s="1"/>
  <c r="AQ50" i="53"/>
  <c r="AQ16" i="1" s="1"/>
  <c r="AQ16" i="28" s="1"/>
  <c r="AQ31" i="71" s="1"/>
  <c r="AO50" i="53"/>
  <c r="AO16" i="1" s="1"/>
  <c r="AO16" i="28" s="1"/>
  <c r="AO31" i="71" s="1"/>
  <c r="AA50" i="53"/>
  <c r="AA16" i="1" s="1"/>
  <c r="AA16" i="28" s="1"/>
  <c r="AA31" i="71" s="1"/>
  <c r="AR31" i="71"/>
  <c r="AZ12" i="1"/>
  <c r="BA11" i="1"/>
  <c r="BA12" i="1"/>
  <c r="AZ11" i="1"/>
  <c r="BA10" i="1"/>
  <c r="AF29" i="38"/>
  <c r="AF15" i="31"/>
  <c r="AE29" i="38"/>
  <c r="AE15" i="31"/>
  <c r="AL29" i="38"/>
  <c r="AL15" i="31"/>
  <c r="AT29" i="38"/>
  <c r="AT15" i="31"/>
  <c r="X29" i="38"/>
  <c r="X15" i="31"/>
  <c r="W29" i="38"/>
  <c r="W15" i="31"/>
  <c r="AD29" i="38"/>
  <c r="AD15" i="31"/>
  <c r="AW29" i="38"/>
  <c r="AW15" i="31"/>
  <c r="P29" i="38"/>
  <c r="P15" i="31"/>
  <c r="O29" i="38"/>
  <c r="O15" i="31"/>
  <c r="AP29" i="38"/>
  <c r="AP15" i="31"/>
  <c r="V29" i="38"/>
  <c r="V15" i="31"/>
  <c r="AH29" i="38"/>
  <c r="AH15" i="31"/>
  <c r="AO29" i="38"/>
  <c r="AO15" i="31"/>
  <c r="N29" i="38"/>
  <c r="N15" i="31"/>
  <c r="I29" i="38"/>
  <c r="AN29" i="38"/>
  <c r="AN15" i="31"/>
  <c r="AM29" i="38"/>
  <c r="AM15" i="31"/>
  <c r="Z29" i="38"/>
  <c r="Z15" i="31"/>
  <c r="AG29" i="38"/>
  <c r="AG15" i="31"/>
  <c r="G12" i="85"/>
  <c r="H20" i="34"/>
  <c r="H22" i="34" s="1"/>
  <c r="G6" i="85"/>
  <c r="R29" i="38"/>
  <c r="R15" i="31"/>
  <c r="Y29" i="38"/>
  <c r="Y15" i="31"/>
  <c r="J29" i="38"/>
  <c r="J15" i="31"/>
  <c r="Q29" i="38"/>
  <c r="Q15" i="31"/>
  <c r="AV29" i="38"/>
  <c r="AV15" i="31"/>
  <c r="AU29" i="38"/>
  <c r="AU15" i="31"/>
  <c r="G5" i="85"/>
  <c r="G11" i="85"/>
  <c r="H28" i="34"/>
  <c r="U6" i="55" l="1"/>
  <c r="E108" i="92"/>
  <c r="O108" i="92" s="1"/>
  <c r="T108" i="92" s="1"/>
  <c r="E106" i="92"/>
  <c r="O106" i="92" s="1"/>
  <c r="E109" i="92"/>
  <c r="O109" i="92" s="1"/>
  <c r="T109" i="92" s="1"/>
  <c r="E77" i="92"/>
  <c r="BA10" i="28"/>
  <c r="BA10" i="31" s="1"/>
  <c r="AZ11" i="28"/>
  <c r="AZ11" i="31" s="1"/>
  <c r="BA12" i="28"/>
  <c r="BA12" i="31" s="1"/>
  <c r="AZ10" i="28"/>
  <c r="BA11" i="28"/>
  <c r="BA11" i="31" s="1"/>
  <c r="AZ12" i="28"/>
  <c r="AZ12" i="31" s="1"/>
  <c r="AV31" i="71"/>
  <c r="AF19" i="28"/>
  <c r="AF28" i="71" s="1"/>
  <c r="AR16" i="31"/>
  <c r="AR19" i="31" s="1"/>
  <c r="AR28" i="33" s="1"/>
  <c r="AF16" i="31"/>
  <c r="AF31" i="33" s="1"/>
  <c r="U20" i="55"/>
  <c r="U10" i="1" s="1"/>
  <c r="AJ20" i="55"/>
  <c r="AJ10" i="1" s="1"/>
  <c r="AB21" i="55"/>
  <c r="AB11" i="1" s="1"/>
  <c r="X20" i="55"/>
  <c r="X10" i="1" s="1"/>
  <c r="P22" i="55"/>
  <c r="P12" i="1" s="1"/>
  <c r="AO22" i="55"/>
  <c r="AO12" i="1" s="1"/>
  <c r="AO20" i="55"/>
  <c r="AO10" i="1" s="1"/>
  <c r="Z21" i="55"/>
  <c r="Z11" i="1" s="1"/>
  <c r="AO21" i="55"/>
  <c r="AO11" i="1" s="1"/>
  <c r="AO11" i="28" s="1"/>
  <c r="AQ20" i="55"/>
  <c r="AQ10" i="1" s="1"/>
  <c r="J111" i="92"/>
  <c r="C28" i="92"/>
  <c r="C29" i="92" s="1"/>
  <c r="C30" i="92" s="1"/>
  <c r="AB22" i="55"/>
  <c r="AB12" i="1" s="1"/>
  <c r="O6" i="31"/>
  <c r="N6" i="67"/>
  <c r="N70" i="67" s="1"/>
  <c r="R20" i="55"/>
  <c r="R10" i="1" s="1"/>
  <c r="AL6" i="31"/>
  <c r="AD6" i="67"/>
  <c r="AD70" i="67" s="1"/>
  <c r="R22" i="55"/>
  <c r="R12" i="1" s="1"/>
  <c r="U21" i="55"/>
  <c r="U11" i="1" s="1"/>
  <c r="AL6" i="67"/>
  <c r="AL70" i="67" s="1"/>
  <c r="Q6" i="31"/>
  <c r="AD6" i="31"/>
  <c r="AU20" i="55"/>
  <c r="AU10" i="1" s="1"/>
  <c r="W21" i="55"/>
  <c r="W11" i="1" s="1"/>
  <c r="Y6" i="31"/>
  <c r="AB20" i="55"/>
  <c r="AB10" i="1" s="1"/>
  <c r="R6" i="31"/>
  <c r="AL6" i="55"/>
  <c r="AT6" i="31"/>
  <c r="AT6" i="67"/>
  <c r="AT70" i="67" s="1"/>
  <c r="R21" i="55"/>
  <c r="R11" i="1" s="1"/>
  <c r="K6" i="31"/>
  <c r="AT6" i="55"/>
  <c r="AQ6" i="31"/>
  <c r="L6" i="31"/>
  <c r="J6" i="31"/>
  <c r="AD6" i="55"/>
  <c r="Q20" i="55"/>
  <c r="Q10" i="1" s="1"/>
  <c r="AV20" i="55"/>
  <c r="AV10" i="1" s="1"/>
  <c r="H24" i="10"/>
  <c r="Y22" i="55"/>
  <c r="Y12" i="1" s="1"/>
  <c r="N6" i="31"/>
  <c r="AK6" i="31"/>
  <c r="Z22" i="55"/>
  <c r="Z12" i="1" s="1"/>
  <c r="Y20" i="55"/>
  <c r="Y10" i="1" s="1"/>
  <c r="AQ22" i="55"/>
  <c r="AQ12" i="1" s="1"/>
  <c r="AE6" i="31"/>
  <c r="AM6" i="31"/>
  <c r="Z20" i="55"/>
  <c r="Z10" i="1" s="1"/>
  <c r="H25" i="10"/>
  <c r="AQ21" i="55"/>
  <c r="AQ11" i="1" s="1"/>
  <c r="AV6" i="31"/>
  <c r="Y21" i="55"/>
  <c r="Y11" i="1" s="1"/>
  <c r="AU22" i="55"/>
  <c r="AU12" i="1" s="1"/>
  <c r="AU21" i="55"/>
  <c r="AU11" i="1" s="1"/>
  <c r="L6" i="55"/>
  <c r="AN6" i="67"/>
  <c r="AN70" i="67" s="1"/>
  <c r="AG6" i="55"/>
  <c r="AN6" i="31"/>
  <c r="N6" i="55"/>
  <c r="BA6" i="31"/>
  <c r="AS6" i="55"/>
  <c r="AX6" i="67"/>
  <c r="AX70" i="67" s="1"/>
  <c r="AX6" i="55"/>
  <c r="Q6" i="67"/>
  <c r="Q70" i="67" s="1"/>
  <c r="I6" i="67"/>
  <c r="I70" i="67" s="1"/>
  <c r="AI6" i="67"/>
  <c r="AI70" i="67" s="1"/>
  <c r="AP6" i="67"/>
  <c r="AP70" i="67" s="1"/>
  <c r="AY6" i="55"/>
  <c r="AG6" i="67"/>
  <c r="AG70" i="67" s="1"/>
  <c r="AW6" i="55"/>
  <c r="AK6" i="67"/>
  <c r="AK70" i="67" s="1"/>
  <c r="P6" i="67"/>
  <c r="P70" i="67" s="1"/>
  <c r="K6" i="55"/>
  <c r="S6" i="67"/>
  <c r="S70" i="67" s="1"/>
  <c r="T6" i="55"/>
  <c r="AR6" i="55"/>
  <c r="AV22" i="55"/>
  <c r="AV12" i="1" s="1"/>
  <c r="Z6" i="31"/>
  <c r="P6" i="31"/>
  <c r="V6" i="67"/>
  <c r="V70" i="67" s="1"/>
  <c r="AS6" i="67"/>
  <c r="AS70" i="67" s="1"/>
  <c r="AN6" i="55"/>
  <c r="O6" i="55"/>
  <c r="W6" i="67"/>
  <c r="W70" i="67" s="1"/>
  <c r="AA6" i="55"/>
  <c r="AJ6" i="67"/>
  <c r="AJ70" i="67" s="1"/>
  <c r="U22" i="55"/>
  <c r="U12" i="1" s="1"/>
  <c r="AZ6" i="31"/>
  <c r="V6" i="55"/>
  <c r="H27" i="10"/>
  <c r="H6" i="55" s="1"/>
  <c r="AV6" i="67"/>
  <c r="AV70" i="67" s="1"/>
  <c r="AE6" i="67"/>
  <c r="AE70" i="67" s="1"/>
  <c r="AC6" i="67"/>
  <c r="AC70" i="67" s="1"/>
  <c r="L6" i="67"/>
  <c r="L70" i="67" s="1"/>
  <c r="AH6" i="67"/>
  <c r="AH70" i="67" s="1"/>
  <c r="X6" i="67"/>
  <c r="X70" i="67" s="1"/>
  <c r="AF6" i="67"/>
  <c r="AF70" i="67" s="1"/>
  <c r="D27" i="92"/>
  <c r="K27" i="92" s="1"/>
  <c r="E27" i="92"/>
  <c r="AV21" i="55"/>
  <c r="AV11" i="1" s="1"/>
  <c r="AS31" i="71"/>
  <c r="I15" i="31"/>
  <c r="H15" i="31" s="1"/>
  <c r="AJ22" i="55"/>
  <c r="AJ12" i="1" s="1"/>
  <c r="Z16" i="31"/>
  <c r="Z31" i="33" s="1"/>
  <c r="AS19" i="28"/>
  <c r="AS28" i="71" s="1"/>
  <c r="I22" i="55"/>
  <c r="I12" i="1" s="1"/>
  <c r="I12" i="28" s="1"/>
  <c r="I12" i="31" s="1"/>
  <c r="AB16" i="31"/>
  <c r="M22" i="55"/>
  <c r="M12" i="1" s="1"/>
  <c r="AF21" i="55"/>
  <c r="AF11" i="1" s="1"/>
  <c r="AB31" i="71"/>
  <c r="AF20" i="55"/>
  <c r="AF10" i="1" s="1"/>
  <c r="J22" i="55"/>
  <c r="J12" i="1" s="1"/>
  <c r="J21" i="55"/>
  <c r="J11" i="1" s="1"/>
  <c r="AC31" i="71"/>
  <c r="AF22" i="55"/>
  <c r="AF12" i="1" s="1"/>
  <c r="J20" i="55"/>
  <c r="J10" i="1" s="1"/>
  <c r="Q22" i="55"/>
  <c r="Q12" i="1" s="1"/>
  <c r="M20" i="55"/>
  <c r="M10" i="1" s="1"/>
  <c r="AC22" i="55"/>
  <c r="AC12" i="1" s="1"/>
  <c r="I20" i="55"/>
  <c r="I10" i="1" s="1"/>
  <c r="I10" i="28" s="1"/>
  <c r="I10" i="31" s="1"/>
  <c r="AK22" i="55"/>
  <c r="AK12" i="1" s="1"/>
  <c r="AE22" i="55"/>
  <c r="AE12" i="1" s="1"/>
  <c r="AN19" i="28"/>
  <c r="AN28" i="71" s="1"/>
  <c r="AN16" i="31"/>
  <c r="AN19" i="31" s="1"/>
  <c r="AN28" i="33" s="1"/>
  <c r="Z19" i="28"/>
  <c r="Z28" i="71" s="1"/>
  <c r="AK20" i="55"/>
  <c r="AK10" i="1" s="1"/>
  <c r="Q21" i="55"/>
  <c r="Q11" i="1" s="1"/>
  <c r="X16" i="31"/>
  <c r="X31" i="33" s="1"/>
  <c r="AG19" i="28"/>
  <c r="AG28" i="71" s="1"/>
  <c r="AG31" i="71"/>
  <c r="AV16" i="31"/>
  <c r="AV19" i="31" s="1"/>
  <c r="AV28" i="33" s="1"/>
  <c r="AJ19" i="28"/>
  <c r="AJ28" i="71" s="1"/>
  <c r="X19" i="28"/>
  <c r="X28" i="71" s="1"/>
  <c r="M21" i="55"/>
  <c r="M11" i="1" s="1"/>
  <c r="AM20" i="55"/>
  <c r="AM10" i="1" s="1"/>
  <c r="AM21" i="55"/>
  <c r="AM11" i="1" s="1"/>
  <c r="AP21" i="55"/>
  <c r="AP11" i="1" s="1"/>
  <c r="AK21" i="55"/>
  <c r="AK11" i="1" s="1"/>
  <c r="S21" i="55"/>
  <c r="S11" i="1" s="1"/>
  <c r="AE20" i="55"/>
  <c r="AE10" i="1" s="1"/>
  <c r="AJ21" i="55"/>
  <c r="AJ11" i="1" s="1"/>
  <c r="AH20" i="55"/>
  <c r="AH10" i="1" s="1"/>
  <c r="AH21" i="55"/>
  <c r="AH11" i="1" s="1"/>
  <c r="AE21" i="55"/>
  <c r="AE11" i="1" s="1"/>
  <c r="W20" i="55"/>
  <c r="W10" i="1" s="1"/>
  <c r="AH22" i="55"/>
  <c r="AH12" i="1" s="1"/>
  <c r="P21" i="55"/>
  <c r="P11" i="1" s="1"/>
  <c r="P20" i="55"/>
  <c r="P10" i="1" s="1"/>
  <c r="AI22" i="55"/>
  <c r="AI12" i="1" s="1"/>
  <c r="AI20" i="55"/>
  <c r="AI10" i="1" s="1"/>
  <c r="AI21" i="55"/>
  <c r="AI11" i="1" s="1"/>
  <c r="AP20" i="55"/>
  <c r="AP10" i="1" s="1"/>
  <c r="AP22" i="55"/>
  <c r="AP12" i="1" s="1"/>
  <c r="AJ5" i="90"/>
  <c r="X21" i="55"/>
  <c r="X11" i="1" s="1"/>
  <c r="X22" i="55"/>
  <c r="X12" i="1" s="1"/>
  <c r="AC20" i="55"/>
  <c r="AC10" i="1" s="1"/>
  <c r="S20" i="55"/>
  <c r="S10" i="1" s="1"/>
  <c r="S22" i="55"/>
  <c r="S12" i="1" s="1"/>
  <c r="W22" i="55"/>
  <c r="W12" i="1" s="1"/>
  <c r="AC21" i="55"/>
  <c r="AC11" i="1" s="1"/>
  <c r="AM22" i="55"/>
  <c r="AM12" i="1" s="1"/>
  <c r="M26" i="92"/>
  <c r="AL16" i="31"/>
  <c r="AL31" i="33" s="1"/>
  <c r="AL31" i="71"/>
  <c r="AW16" i="31"/>
  <c r="AW31" i="33" s="1"/>
  <c r="AD16" i="31"/>
  <c r="AD19" i="31" s="1"/>
  <c r="AD28" i="33" s="1"/>
  <c r="AP16" i="31"/>
  <c r="AP31" i="33" s="1"/>
  <c r="Y16" i="31"/>
  <c r="Y31" i="33" s="1"/>
  <c r="AU16" i="31"/>
  <c r="AU31" i="33" s="1"/>
  <c r="AM16" i="31"/>
  <c r="AM31" i="33" s="1"/>
  <c r="AJ31" i="71"/>
  <c r="AY19" i="28"/>
  <c r="AY28" i="71" s="1"/>
  <c r="BA19" i="28"/>
  <c r="BA28" i="71" s="1"/>
  <c r="AC16" i="31"/>
  <c r="AC31" i="33" s="1"/>
  <c r="AE16" i="31"/>
  <c r="AE31" i="33" s="1"/>
  <c r="AD19" i="28"/>
  <c r="AD28" i="71" s="1"/>
  <c r="AJ5" i="67"/>
  <c r="I21" i="55"/>
  <c r="I11" i="1" s="1"/>
  <c r="I11" i="28" s="1"/>
  <c r="AT16" i="31"/>
  <c r="AT31" i="33" s="1"/>
  <c r="AU31" i="71"/>
  <c r="AW31" i="71"/>
  <c r="W19" i="28"/>
  <c r="W28" i="71" s="1"/>
  <c r="W16" i="31"/>
  <c r="W19" i="31" s="1"/>
  <c r="W28" i="33" s="1"/>
  <c r="AM19" i="28"/>
  <c r="AM28" i="71" s="1"/>
  <c r="AO16" i="31"/>
  <c r="AO31" i="33" s="1"/>
  <c r="AH16" i="31"/>
  <c r="AH31" i="33" s="1"/>
  <c r="Y31" i="71"/>
  <c r="AH31" i="71"/>
  <c r="AK31" i="71"/>
  <c r="BA16" i="31"/>
  <c r="BA31" i="33" s="1"/>
  <c r="AX19" i="28"/>
  <c r="AX28" i="71" s="1"/>
  <c r="AK16" i="31"/>
  <c r="AK31" i="33" s="1"/>
  <c r="AZ31" i="71"/>
  <c r="AI31" i="71"/>
  <c r="AX16" i="31"/>
  <c r="AX19" i="31" s="1"/>
  <c r="AX28" i="33" s="1"/>
  <c r="AY31" i="71"/>
  <c r="AY19" i="31"/>
  <c r="AY28" i="33" s="1"/>
  <c r="AZ16" i="31"/>
  <c r="AZ31" i="33" s="1"/>
  <c r="AE19" i="28"/>
  <c r="AE28" i="71" s="1"/>
  <c r="AT31" i="71"/>
  <c r="AI16" i="31"/>
  <c r="AI31" i="33" s="1"/>
  <c r="Y28" i="71"/>
  <c r="AP19" i="28"/>
  <c r="AA19" i="28"/>
  <c r="AA28" i="71" s="1"/>
  <c r="AO19" i="28"/>
  <c r="AO28" i="71" s="1"/>
  <c r="AA16" i="31"/>
  <c r="AA31" i="33" s="1"/>
  <c r="AQ16" i="31"/>
  <c r="AQ31" i="33" s="1"/>
  <c r="AQ19" i="28"/>
  <c r="AQ28" i="71" s="1"/>
  <c r="AR31" i="33"/>
  <c r="AJ19" i="31"/>
  <c r="AJ28" i="33" s="1"/>
  <c r="AJ31" i="33"/>
  <c r="AS31" i="33"/>
  <c r="AS19" i="31"/>
  <c r="AS28" i="33" s="1"/>
  <c r="BA13" i="71"/>
  <c r="AG31" i="33"/>
  <c r="AG19" i="31"/>
  <c r="AG28" i="33" s="1"/>
  <c r="F29" i="38"/>
  <c r="E111" i="92" l="1"/>
  <c r="T106" i="92"/>
  <c r="T111" i="92" s="1"/>
  <c r="O111" i="92"/>
  <c r="AZ13" i="71"/>
  <c r="BA13" i="33"/>
  <c r="AF19" i="31"/>
  <c r="AF28" i="33" s="1"/>
  <c r="AZ10" i="31"/>
  <c r="AZ13" i="33" s="1"/>
  <c r="Q10" i="28"/>
  <c r="Q10" i="31" s="1"/>
  <c r="AB10" i="28"/>
  <c r="AB10" i="31" s="1"/>
  <c r="AO10" i="28"/>
  <c r="AO10" i="31" s="1"/>
  <c r="W10" i="28"/>
  <c r="W10" i="31" s="1"/>
  <c r="J10" i="28"/>
  <c r="J10" i="31" s="1"/>
  <c r="AU10" i="28"/>
  <c r="AU10" i="31" s="1"/>
  <c r="Z10" i="28"/>
  <c r="Z10" i="31" s="1"/>
  <c r="AI11" i="28"/>
  <c r="AI11" i="31" s="1"/>
  <c r="S11" i="28"/>
  <c r="S11" i="31" s="1"/>
  <c r="Q11" i="28"/>
  <c r="Q11" i="31" s="1"/>
  <c r="AB11" i="28"/>
  <c r="AB11" i="31" s="1"/>
  <c r="AE11" i="28"/>
  <c r="AE11" i="31" s="1"/>
  <c r="AH10" i="28"/>
  <c r="AH10" i="31" s="1"/>
  <c r="M10" i="28"/>
  <c r="M10" i="31" s="1"/>
  <c r="AJ11" i="28"/>
  <c r="AJ11" i="31" s="1"/>
  <c r="AE10" i="28"/>
  <c r="AE10" i="31" s="1"/>
  <c r="S10" i="28"/>
  <c r="S10" i="31" s="1"/>
  <c r="AC10" i="28"/>
  <c r="AC10" i="31" s="1"/>
  <c r="AI10" i="28"/>
  <c r="AI10" i="31" s="1"/>
  <c r="AK11" i="28"/>
  <c r="AK11" i="31" s="1"/>
  <c r="AK10" i="28"/>
  <c r="AK10" i="31" s="1"/>
  <c r="AU11" i="28"/>
  <c r="AU11" i="31" s="1"/>
  <c r="Y10" i="28"/>
  <c r="Y10" i="31" s="1"/>
  <c r="AP10" i="28"/>
  <c r="AP10" i="31" s="1"/>
  <c r="AP11" i="28"/>
  <c r="AP11" i="31" s="1"/>
  <c r="J11" i="28"/>
  <c r="J11" i="31" s="1"/>
  <c r="U10" i="28"/>
  <c r="U10" i="31" s="1"/>
  <c r="AH11" i="28"/>
  <c r="AH11" i="31" s="1"/>
  <c r="W11" i="28"/>
  <c r="W11" i="31" s="1"/>
  <c r="P10" i="28"/>
  <c r="P10" i="31" s="1"/>
  <c r="AM11" i="28"/>
  <c r="AM11" i="31" s="1"/>
  <c r="AV11" i="28"/>
  <c r="AV11" i="31" s="1"/>
  <c r="Y11" i="28"/>
  <c r="Y11" i="31" s="1"/>
  <c r="R11" i="28"/>
  <c r="R11" i="31" s="1"/>
  <c r="U11" i="28"/>
  <c r="U11" i="31" s="1"/>
  <c r="AM10" i="28"/>
  <c r="AM10" i="31" s="1"/>
  <c r="AF10" i="28"/>
  <c r="AF10" i="31" s="1"/>
  <c r="X11" i="28"/>
  <c r="X11" i="31" s="1"/>
  <c r="P11" i="28"/>
  <c r="P11" i="31" s="1"/>
  <c r="AC11" i="28"/>
  <c r="AC11" i="31" s="1"/>
  <c r="M11" i="28"/>
  <c r="M11" i="31" s="1"/>
  <c r="AQ11" i="28"/>
  <c r="AQ11" i="31" s="1"/>
  <c r="AQ10" i="28"/>
  <c r="AQ10" i="31" s="1"/>
  <c r="X10" i="28"/>
  <c r="X10" i="31" s="1"/>
  <c r="AJ10" i="28"/>
  <c r="AF11" i="28"/>
  <c r="AF11" i="31" s="1"/>
  <c r="AV10" i="28"/>
  <c r="AV10" i="31" s="1"/>
  <c r="R10" i="28"/>
  <c r="R10" i="31" s="1"/>
  <c r="Z11" i="28"/>
  <c r="Z11" i="31" s="1"/>
  <c r="W12" i="28"/>
  <c r="W12" i="31" s="1"/>
  <c r="S12" i="28"/>
  <c r="S12" i="31" s="1"/>
  <c r="AF12" i="28"/>
  <c r="AF12" i="31" s="1"/>
  <c r="AQ12" i="28"/>
  <c r="AQ12" i="31" s="1"/>
  <c r="Z12" i="28"/>
  <c r="AC12" i="28"/>
  <c r="AC12" i="31" s="1"/>
  <c r="AB12" i="28"/>
  <c r="AB12" i="31" s="1"/>
  <c r="AJ12" i="28"/>
  <c r="AJ12" i="31" s="1"/>
  <c r="J12" i="28"/>
  <c r="J12" i="31" s="1"/>
  <c r="AO12" i="28"/>
  <c r="AI12" i="28"/>
  <c r="X12" i="28"/>
  <c r="U12" i="28"/>
  <c r="U12" i="31" s="1"/>
  <c r="R12" i="28"/>
  <c r="R12" i="31" s="1"/>
  <c r="Q12" i="28"/>
  <c r="Q12" i="31" s="1"/>
  <c r="AU12" i="28"/>
  <c r="AU12" i="31" s="1"/>
  <c r="AH12" i="28"/>
  <c r="AE12" i="28"/>
  <c r="Y12" i="28"/>
  <c r="Y12" i="31" s="1"/>
  <c r="AP12" i="28"/>
  <c r="AP12" i="31" s="1"/>
  <c r="AV12" i="28"/>
  <c r="AM12" i="28"/>
  <c r="AM12" i="31" s="1"/>
  <c r="AK12" i="28"/>
  <c r="P12" i="28"/>
  <c r="M12" i="28"/>
  <c r="M12" i="31" s="1"/>
  <c r="N20" i="55"/>
  <c r="N10" i="1" s="1"/>
  <c r="AN22" i="55"/>
  <c r="AN12" i="1" s="1"/>
  <c r="AO11" i="31"/>
  <c r="AL20" i="55"/>
  <c r="AL10" i="1" s="1"/>
  <c r="AL22" i="55"/>
  <c r="AL12" i="1" s="1"/>
  <c r="AD20" i="55"/>
  <c r="AD10" i="1" s="1"/>
  <c r="V21" i="55"/>
  <c r="V11" i="1" s="1"/>
  <c r="V20" i="55"/>
  <c r="V10" i="1" s="1"/>
  <c r="E28" i="92"/>
  <c r="E29" i="92" s="1"/>
  <c r="D28" i="92"/>
  <c r="K28" i="92" s="1"/>
  <c r="L28" i="92" s="1"/>
  <c r="AT21" i="55"/>
  <c r="AT11" i="1" s="1"/>
  <c r="AT20" i="55"/>
  <c r="AT10" i="1" s="1"/>
  <c r="AT22" i="55"/>
  <c r="AT12" i="1" s="1"/>
  <c r="AD22" i="55"/>
  <c r="AD12" i="1" s="1"/>
  <c r="H6" i="67"/>
  <c r="AD21" i="55"/>
  <c r="AD11" i="1" s="1"/>
  <c r="AL21" i="55"/>
  <c r="AL11" i="1" s="1"/>
  <c r="Z19" i="31"/>
  <c r="Z28" i="33" s="1"/>
  <c r="AN21" i="55"/>
  <c r="AN11" i="1" s="1"/>
  <c r="AN20" i="55"/>
  <c r="AN10" i="1" s="1"/>
  <c r="AB31" i="33"/>
  <c r="AB19" i="31"/>
  <c r="AB28" i="33" s="1"/>
  <c r="AV31" i="33"/>
  <c r="T20" i="55"/>
  <c r="T10" i="1" s="1"/>
  <c r="T10" i="28" s="1"/>
  <c r="T22" i="55"/>
  <c r="T12" i="1" s="1"/>
  <c r="T21" i="55"/>
  <c r="T11" i="1" s="1"/>
  <c r="AX21" i="55"/>
  <c r="AX11" i="1" s="1"/>
  <c r="AX20" i="55"/>
  <c r="AX10" i="1" s="1"/>
  <c r="AX10" i="28" s="1"/>
  <c r="AX22" i="55"/>
  <c r="AX12" i="1" s="1"/>
  <c r="AA22" i="55"/>
  <c r="AA12" i="1" s="1"/>
  <c r="AA20" i="55"/>
  <c r="AA10" i="1" s="1"/>
  <c r="AA10" i="28" s="1"/>
  <c r="AA21" i="55"/>
  <c r="AA11" i="1" s="1"/>
  <c r="AW20" i="55"/>
  <c r="AW10" i="1" s="1"/>
  <c r="AW10" i="28" s="1"/>
  <c r="AW21" i="55"/>
  <c r="AW11" i="1" s="1"/>
  <c r="AW22" i="55"/>
  <c r="AW12" i="1" s="1"/>
  <c r="V22" i="55"/>
  <c r="V12" i="1" s="1"/>
  <c r="AG22" i="55"/>
  <c r="AG12" i="1" s="1"/>
  <c r="AG21" i="55"/>
  <c r="AG11" i="1" s="1"/>
  <c r="AG20" i="55"/>
  <c r="AG10" i="1" s="1"/>
  <c r="AG10" i="28" s="1"/>
  <c r="K20" i="55"/>
  <c r="K10" i="1" s="1"/>
  <c r="K10" i="28" s="1"/>
  <c r="K21" i="55"/>
  <c r="K11" i="1" s="1"/>
  <c r="K22" i="55"/>
  <c r="K12" i="1" s="1"/>
  <c r="AS20" i="55"/>
  <c r="AS10" i="1" s="1"/>
  <c r="AS10" i="28" s="1"/>
  <c r="AS22" i="55"/>
  <c r="AS12" i="1" s="1"/>
  <c r="AS21" i="55"/>
  <c r="AS11" i="1" s="1"/>
  <c r="N21" i="55"/>
  <c r="N11" i="1" s="1"/>
  <c r="N22" i="55"/>
  <c r="N12" i="1" s="1"/>
  <c r="O20" i="55"/>
  <c r="O10" i="1" s="1"/>
  <c r="O10" i="28" s="1"/>
  <c r="O22" i="55"/>
  <c r="O12" i="1" s="1"/>
  <c r="O21" i="55"/>
  <c r="O11" i="1" s="1"/>
  <c r="AR22" i="55"/>
  <c r="AR12" i="1" s="1"/>
  <c r="AR21" i="55"/>
  <c r="AR11" i="1" s="1"/>
  <c r="AR20" i="55"/>
  <c r="AR10" i="1" s="1"/>
  <c r="AR10" i="28" s="1"/>
  <c r="AY22" i="55"/>
  <c r="AY12" i="1" s="1"/>
  <c r="AY21" i="55"/>
  <c r="AY11" i="1" s="1"/>
  <c r="AY20" i="55"/>
  <c r="AY10" i="1" s="1"/>
  <c r="AY10" i="28" s="1"/>
  <c r="L21" i="55"/>
  <c r="L11" i="1" s="1"/>
  <c r="L20" i="55"/>
  <c r="L10" i="1" s="1"/>
  <c r="L10" i="28" s="1"/>
  <c r="L22" i="55"/>
  <c r="L12" i="1" s="1"/>
  <c r="AN31" i="33"/>
  <c r="AT19" i="31"/>
  <c r="AT28" i="33" s="1"/>
  <c r="X19" i="31"/>
  <c r="X28" i="33" s="1"/>
  <c r="Y19" i="31"/>
  <c r="Y28" i="33" s="1"/>
  <c r="I11" i="31"/>
  <c r="I13" i="33" s="1"/>
  <c r="AC19" i="31"/>
  <c r="AC28" i="33" s="1"/>
  <c r="AU19" i="31"/>
  <c r="AU28" i="33" s="1"/>
  <c r="AM19" i="31"/>
  <c r="AM28" i="33" s="1"/>
  <c r="AO19" i="31"/>
  <c r="AO28" i="33" s="1"/>
  <c r="AE19" i="31"/>
  <c r="AE28" i="33" s="1"/>
  <c r="AL19" i="31"/>
  <c r="AL28" i="33" s="1"/>
  <c r="AP19" i="31"/>
  <c r="AP28" i="33" s="1"/>
  <c r="AD31" i="33"/>
  <c r="AK5" i="90"/>
  <c r="AW19" i="31"/>
  <c r="AW28" i="33" s="1"/>
  <c r="W31" i="33"/>
  <c r="BA19" i="31"/>
  <c r="BA28" i="33" s="1"/>
  <c r="AK5" i="67"/>
  <c r="AH19" i="31"/>
  <c r="AH28" i="33" s="1"/>
  <c r="AK19" i="31"/>
  <c r="AK28" i="33" s="1"/>
  <c r="AX31" i="33"/>
  <c r="AZ19" i="31"/>
  <c r="AZ28" i="33" s="1"/>
  <c r="AI19" i="31"/>
  <c r="AA19" i="31"/>
  <c r="AQ19" i="31"/>
  <c r="AP28" i="71"/>
  <c r="L27" i="92"/>
  <c r="C31" i="92"/>
  <c r="W13" i="71" l="1"/>
  <c r="AC13" i="71"/>
  <c r="AJ13" i="71"/>
  <c r="AK13" i="71"/>
  <c r="X13" i="71"/>
  <c r="AM13" i="71"/>
  <c r="AJ10" i="31"/>
  <c r="AJ13" i="33" s="1"/>
  <c r="P13" i="71"/>
  <c r="AO13" i="71"/>
  <c r="M13" i="71"/>
  <c r="S13" i="71"/>
  <c r="U13" i="71"/>
  <c r="AI13" i="71"/>
  <c r="AV13" i="71"/>
  <c r="Y13" i="71"/>
  <c r="AE13" i="71"/>
  <c r="R13" i="71"/>
  <c r="AU13" i="71"/>
  <c r="AF13" i="71"/>
  <c r="R13" i="33"/>
  <c r="S13" i="33"/>
  <c r="AM13" i="33"/>
  <c r="Q13" i="71"/>
  <c r="AP13" i="33"/>
  <c r="Z13" i="71"/>
  <c r="AQ13" i="33"/>
  <c r="AP13" i="71"/>
  <c r="U13" i="33"/>
  <c r="AB13" i="71"/>
  <c r="M13" i="33"/>
  <c r="AB13" i="33"/>
  <c r="Y13" i="33"/>
  <c r="AC13" i="33"/>
  <c r="L11" i="28"/>
  <c r="L11" i="31" s="1"/>
  <c r="AA11" i="28"/>
  <c r="AA11" i="31" s="1"/>
  <c r="AY11" i="28"/>
  <c r="AY11" i="31" s="1"/>
  <c r="J13" i="71"/>
  <c r="AN10" i="28"/>
  <c r="AU13" i="33"/>
  <c r="AN11" i="28"/>
  <c r="AN11" i="31" s="1"/>
  <c r="AT10" i="28"/>
  <c r="AT10" i="31" s="1"/>
  <c r="N10" i="28"/>
  <c r="N10" i="31" s="1"/>
  <c r="Q13" i="33"/>
  <c r="AR11" i="28"/>
  <c r="AR11" i="31" s="1"/>
  <c r="AX11" i="28"/>
  <c r="AX11" i="31" s="1"/>
  <c r="AT11" i="28"/>
  <c r="AT11" i="31" s="1"/>
  <c r="K11" i="28"/>
  <c r="K11" i="31" s="1"/>
  <c r="O11" i="28"/>
  <c r="O11" i="31" s="1"/>
  <c r="AG11" i="28"/>
  <c r="AG11" i="31" s="1"/>
  <c r="T11" i="28"/>
  <c r="T11" i="31" s="1"/>
  <c r="V10" i="28"/>
  <c r="V10" i="31" s="1"/>
  <c r="AF13" i="33"/>
  <c r="AL11" i="28"/>
  <c r="AL11" i="31" s="1"/>
  <c r="V11" i="28"/>
  <c r="V11" i="31" s="1"/>
  <c r="N11" i="28"/>
  <c r="N11" i="31" s="1"/>
  <c r="AW11" i="28"/>
  <c r="AW11" i="31" s="1"/>
  <c r="AD11" i="28"/>
  <c r="AD11" i="31" s="1"/>
  <c r="AD10" i="28"/>
  <c r="AD10" i="31" s="1"/>
  <c r="AS11" i="28"/>
  <c r="AS11" i="31" s="1"/>
  <c r="J13" i="33"/>
  <c r="W13" i="33"/>
  <c r="AL10" i="28"/>
  <c r="AL10" i="31" s="1"/>
  <c r="AH13" i="71"/>
  <c r="K12" i="28"/>
  <c r="AE12" i="31"/>
  <c r="AE13" i="33" s="1"/>
  <c r="AK12" i="31"/>
  <c r="AK13" i="33" s="1"/>
  <c r="AH12" i="31"/>
  <c r="AH13" i="33" s="1"/>
  <c r="AI12" i="31"/>
  <c r="AI13" i="33" s="1"/>
  <c r="Z12" i="31"/>
  <c r="Z13" i="33" s="1"/>
  <c r="AQ13" i="71"/>
  <c r="AO12" i="31"/>
  <c r="AO13" i="33" s="1"/>
  <c r="AA12" i="28"/>
  <c r="AN12" i="28"/>
  <c r="AN12" i="31" s="1"/>
  <c r="X12" i="31"/>
  <c r="X13" i="33" s="1"/>
  <c r="AX12" i="28"/>
  <c r="AX12" i="31" s="1"/>
  <c r="O12" i="28"/>
  <c r="O12" i="31" s="1"/>
  <c r="AD12" i="28"/>
  <c r="AD12" i="31" s="1"/>
  <c r="AV12" i="31"/>
  <c r="AV13" i="33" s="1"/>
  <c r="L12" i="28"/>
  <c r="N12" i="28"/>
  <c r="AW12" i="28"/>
  <c r="AW12" i="31" s="1"/>
  <c r="AT12" i="28"/>
  <c r="AT12" i="31" s="1"/>
  <c r="T12" i="28"/>
  <c r="T12" i="31" s="1"/>
  <c r="AY12" i="28"/>
  <c r="AY12" i="31" s="1"/>
  <c r="P12" i="31"/>
  <c r="P13" i="33" s="1"/>
  <c r="AR12" i="28"/>
  <c r="AG12" i="28"/>
  <c r="AG12" i="31" s="1"/>
  <c r="AL12" i="28"/>
  <c r="AL12" i="31" s="1"/>
  <c r="V12" i="28"/>
  <c r="V12" i="31" s="1"/>
  <c r="AS12" i="28"/>
  <c r="AS12" i="31" s="1"/>
  <c r="E30" i="92"/>
  <c r="E31" i="92" s="1"/>
  <c r="K111" i="92"/>
  <c r="L111" i="92"/>
  <c r="D29" i="92"/>
  <c r="AR10" i="31"/>
  <c r="AW10" i="31"/>
  <c r="H10" i="1"/>
  <c r="H11" i="1"/>
  <c r="O10" i="31"/>
  <c r="K10" i="31"/>
  <c r="AY10" i="31"/>
  <c r="H12" i="1"/>
  <c r="L10" i="31"/>
  <c r="AS10" i="31"/>
  <c r="AG10" i="31"/>
  <c r="AA10" i="31"/>
  <c r="AX10" i="31"/>
  <c r="T10" i="31"/>
  <c r="I13" i="71"/>
  <c r="AL5" i="90"/>
  <c r="AL5" i="67"/>
  <c r="AI28" i="33"/>
  <c r="AA28" i="33"/>
  <c r="AQ28" i="33"/>
  <c r="M27" i="92"/>
  <c r="M28" i="92"/>
  <c r="C32" i="92"/>
  <c r="AA13" i="71" l="1"/>
  <c r="L13" i="71"/>
  <c r="K13" i="71"/>
  <c r="AR13" i="71"/>
  <c r="AN13" i="71"/>
  <c r="AN10" i="31"/>
  <c r="AN13" i="33" s="1"/>
  <c r="AG13" i="71"/>
  <c r="H10" i="28"/>
  <c r="N13" i="71"/>
  <c r="H11" i="28"/>
  <c r="V13" i="33"/>
  <c r="AS13" i="71"/>
  <c r="N12" i="31"/>
  <c r="N13" i="33" s="1"/>
  <c r="AT13" i="71"/>
  <c r="H11" i="31"/>
  <c r="AL13" i="33"/>
  <c r="AD13" i="71"/>
  <c r="AD13" i="33"/>
  <c r="V13" i="71"/>
  <c r="K12" i="31"/>
  <c r="K13" i="33" s="1"/>
  <c r="AX13" i="71"/>
  <c r="O13" i="71"/>
  <c r="AL13" i="71"/>
  <c r="AT13" i="33"/>
  <c r="AG13" i="33"/>
  <c r="AW13" i="71"/>
  <c r="L12" i="31"/>
  <c r="L13" i="33" s="1"/>
  <c r="H12" i="28"/>
  <c r="AR12" i="31"/>
  <c r="AR13" i="33" s="1"/>
  <c r="AA12" i="31"/>
  <c r="AA13" i="33" s="1"/>
  <c r="AS13" i="33"/>
  <c r="AW13" i="33"/>
  <c r="O13" i="33"/>
  <c r="T13" i="71"/>
  <c r="AY13" i="71"/>
  <c r="T13" i="33"/>
  <c r="AY13" i="33"/>
  <c r="AX13" i="33"/>
  <c r="K29" i="92"/>
  <c r="L29" i="92" s="1"/>
  <c r="M29" i="92" s="1"/>
  <c r="D30" i="92"/>
  <c r="K30" i="92" s="1"/>
  <c r="L30" i="92" s="1"/>
  <c r="AM5" i="90"/>
  <c r="AM5" i="67"/>
  <c r="E32" i="92"/>
  <c r="C33" i="92"/>
  <c r="H10" i="31" l="1"/>
  <c r="F13" i="71"/>
  <c r="F16" i="34" s="1"/>
  <c r="F13" i="33"/>
  <c r="G16" i="34" s="1"/>
  <c r="H12" i="31"/>
  <c r="D31" i="92"/>
  <c r="K31" i="92" s="1"/>
  <c r="L31" i="92" s="1"/>
  <c r="AN5" i="90"/>
  <c r="AN5" i="67"/>
  <c r="M30" i="92"/>
  <c r="E33" i="92"/>
  <c r="G106" i="92" s="1"/>
  <c r="C34" i="92"/>
  <c r="G109" i="92" l="1"/>
  <c r="Q109" i="92" s="1"/>
  <c r="V109" i="92" s="1"/>
  <c r="G108" i="92"/>
  <c r="Q108" i="92" s="1"/>
  <c r="V108" i="92" s="1"/>
  <c r="G107" i="92"/>
  <c r="Q107" i="92" s="1"/>
  <c r="V107" i="92" s="1"/>
  <c r="Q106" i="92"/>
  <c r="D32" i="92"/>
  <c r="J19" i="85"/>
  <c r="AO5" i="90"/>
  <c r="AO5" i="67"/>
  <c r="M31" i="92"/>
  <c r="E34" i="92"/>
  <c r="C35" i="92"/>
  <c r="G111" i="92" l="1"/>
  <c r="K32" i="92"/>
  <c r="L32" i="92" s="1"/>
  <c r="M32" i="92" s="1"/>
  <c r="V106" i="92"/>
  <c r="V111" i="92" s="1"/>
  <c r="Q111" i="92"/>
  <c r="D33" i="92"/>
  <c r="K33" i="92" s="1"/>
  <c r="AP5" i="90"/>
  <c r="AP5" i="67"/>
  <c r="E35" i="92"/>
  <c r="C36" i="92"/>
  <c r="F109" i="92" l="1"/>
  <c r="P109" i="92" s="1"/>
  <c r="U109" i="92" s="1"/>
  <c r="F108" i="92"/>
  <c r="P108" i="92" s="1"/>
  <c r="U108" i="92" s="1"/>
  <c r="F106" i="92"/>
  <c r="P106" i="92" s="1"/>
  <c r="F107" i="92"/>
  <c r="P107" i="92" s="1"/>
  <c r="U107" i="92" s="1"/>
  <c r="L63" i="90"/>
  <c r="L33" i="92"/>
  <c r="D34" i="92"/>
  <c r="AQ5" i="90"/>
  <c r="AQ5" i="67"/>
  <c r="E36" i="92"/>
  <c r="C37" i="92"/>
  <c r="F111" i="92" l="1"/>
  <c r="L71" i="90"/>
  <c r="M33" i="92"/>
  <c r="K34" i="92"/>
  <c r="L34" i="92" s="1"/>
  <c r="M34" i="92" s="1"/>
  <c r="D35" i="92"/>
  <c r="U106" i="92"/>
  <c r="U111" i="92" s="1"/>
  <c r="P111" i="92"/>
  <c r="AR5" i="90"/>
  <c r="AR5" i="67"/>
  <c r="E37" i="92"/>
  <c r="C38" i="92"/>
  <c r="K35" i="92" l="1"/>
  <c r="L35" i="92" s="1"/>
  <c r="M35" i="92" s="1"/>
  <c r="D36" i="92"/>
  <c r="AS5" i="90"/>
  <c r="AS5" i="67"/>
  <c r="E38" i="92"/>
  <c r="C39" i="92"/>
  <c r="K36" i="92" l="1"/>
  <c r="D37" i="92"/>
  <c r="AT5" i="90"/>
  <c r="AT5" i="67"/>
  <c r="E39" i="92"/>
  <c r="C40" i="92"/>
  <c r="K37" i="92" l="1"/>
  <c r="L37" i="92" s="1"/>
  <c r="M37" i="92" s="1"/>
  <c r="D38" i="92"/>
  <c r="K38" i="92" s="1"/>
  <c r="L38" i="92" s="1"/>
  <c r="L36" i="92"/>
  <c r="M36" i="92" s="1"/>
  <c r="O63" i="90"/>
  <c r="AU5" i="90"/>
  <c r="AU5" i="67"/>
  <c r="E40" i="92"/>
  <c r="C41" i="92"/>
  <c r="D39" i="92" l="1"/>
  <c r="K39" i="92" s="1"/>
  <c r="R63" i="90" s="1"/>
  <c r="AV5" i="90"/>
  <c r="AV5" i="67"/>
  <c r="D40" i="92"/>
  <c r="K40" i="92" s="1"/>
  <c r="L40" i="92" s="1"/>
  <c r="M38" i="92"/>
  <c r="E41" i="92"/>
  <c r="C42" i="92"/>
  <c r="L39" i="92" l="1"/>
  <c r="M39" i="92" s="1"/>
  <c r="AW5" i="90"/>
  <c r="AW5" i="67"/>
  <c r="D41" i="92"/>
  <c r="K41" i="92" s="1"/>
  <c r="L41" i="92" s="1"/>
  <c r="M40" i="92"/>
  <c r="E42" i="92"/>
  <c r="C43" i="92"/>
  <c r="AX5" i="90" l="1"/>
  <c r="AX5" i="67"/>
  <c r="D42" i="92"/>
  <c r="K42" i="92" s="1"/>
  <c r="L42" i="92" s="1"/>
  <c r="M41" i="92"/>
  <c r="E43" i="92"/>
  <c r="C44" i="92"/>
  <c r="AY5" i="90" l="1"/>
  <c r="AY5" i="67"/>
  <c r="D43" i="92"/>
  <c r="K43" i="92" s="1"/>
  <c r="L43" i="92" s="1"/>
  <c r="M42" i="92"/>
  <c r="E44" i="92"/>
  <c r="C45" i="92"/>
  <c r="AZ5" i="67" l="1"/>
  <c r="D44" i="92"/>
  <c r="K44" i="92" s="1"/>
  <c r="L44" i="92" s="1"/>
  <c r="M43" i="92"/>
  <c r="E45" i="92"/>
  <c r="C46" i="92"/>
  <c r="D45" i="92" l="1"/>
  <c r="K45" i="92" s="1"/>
  <c r="L45" i="92" s="1"/>
  <c r="BA5" i="67"/>
  <c r="M44" i="92"/>
  <c r="E46" i="92"/>
  <c r="C47" i="92"/>
  <c r="D46" i="92" l="1"/>
  <c r="K46" i="92" s="1"/>
  <c r="L46" i="92" s="1"/>
  <c r="M45" i="92"/>
  <c r="E47" i="92"/>
  <c r="C48" i="92"/>
  <c r="D47" i="92" l="1"/>
  <c r="K47" i="92" s="1"/>
  <c r="L47" i="92" s="1"/>
  <c r="M46" i="92"/>
  <c r="E48" i="92"/>
  <c r="C49" i="92"/>
  <c r="D48" i="92" l="1"/>
  <c r="K48" i="92" s="1"/>
  <c r="L48" i="92" s="1"/>
  <c r="M47" i="92"/>
  <c r="E49" i="92"/>
  <c r="C50" i="92"/>
  <c r="D49" i="92" l="1"/>
  <c r="K49" i="92" s="1"/>
  <c r="L49" i="92" s="1"/>
  <c r="M48" i="92"/>
  <c r="E50" i="92"/>
  <c r="C51" i="92"/>
  <c r="D50" i="92" l="1"/>
  <c r="K50" i="92" s="1"/>
  <c r="L50" i="92" s="1"/>
  <c r="M49" i="92"/>
  <c r="E51" i="92"/>
  <c r="C52" i="92"/>
  <c r="D51" i="92" l="1"/>
  <c r="K51" i="92" s="1"/>
  <c r="M50" i="92"/>
  <c r="E52" i="92"/>
  <c r="C53" i="92"/>
  <c r="D52" i="92" l="1"/>
  <c r="K52" i="92" s="1"/>
  <c r="L52" i="92" s="1"/>
  <c r="L51" i="92"/>
  <c r="E53" i="92"/>
  <c r="C54" i="92"/>
  <c r="D53" i="92" l="1"/>
  <c r="K53" i="92" s="1"/>
  <c r="L53" i="92" s="1"/>
  <c r="M52" i="92"/>
  <c r="M51" i="92"/>
  <c r="E54" i="92"/>
  <c r="C55" i="92"/>
  <c r="D54" i="92" l="1"/>
  <c r="K54" i="92" s="1"/>
  <c r="L54" i="92" s="1"/>
  <c r="M53" i="92"/>
  <c r="E55" i="92"/>
  <c r="C56" i="92"/>
  <c r="D55" i="92" l="1"/>
  <c r="K55" i="92" s="1"/>
  <c r="L55" i="92" s="1"/>
  <c r="M54" i="92"/>
  <c r="E56" i="92"/>
  <c r="C57" i="92"/>
  <c r="D56" i="92" l="1"/>
  <c r="K56" i="92" s="1"/>
  <c r="L56" i="92" s="1"/>
  <c r="M55" i="92"/>
  <c r="E57" i="92"/>
  <c r="C58" i="92"/>
  <c r="D57" i="92" l="1"/>
  <c r="K57" i="92" s="1"/>
  <c r="L57" i="92" s="1"/>
  <c r="M56" i="92"/>
  <c r="E58" i="92"/>
  <c r="C59" i="92"/>
  <c r="D58" i="92" l="1"/>
  <c r="K58" i="92" s="1"/>
  <c r="L58" i="92" s="1"/>
  <c r="M57" i="92"/>
  <c r="E59" i="92"/>
  <c r="C60" i="92"/>
  <c r="D59" i="92" l="1"/>
  <c r="K59" i="92" s="1"/>
  <c r="L59" i="92" s="1"/>
  <c r="M58" i="92"/>
  <c r="E60" i="92"/>
  <c r="C61" i="92"/>
  <c r="D60" i="92" l="1"/>
  <c r="K60" i="92" s="1"/>
  <c r="L60" i="92" s="1"/>
  <c r="M59" i="92"/>
  <c r="E61" i="92"/>
  <c r="C62" i="92"/>
  <c r="D61" i="92" l="1"/>
  <c r="K61" i="92" s="1"/>
  <c r="L61" i="92" s="1"/>
  <c r="M60" i="92"/>
  <c r="E62" i="92"/>
  <c r="C63" i="92"/>
  <c r="D62" i="92" l="1"/>
  <c r="K62" i="92" s="1"/>
  <c r="L62" i="92" s="1"/>
  <c r="M61" i="92"/>
  <c r="E63" i="92"/>
  <c r="D63" i="92"/>
  <c r="K63" i="92" s="1"/>
  <c r="C64" i="92"/>
  <c r="L63" i="92" l="1"/>
  <c r="M62" i="92"/>
  <c r="E64" i="92"/>
  <c r="D64" i="92"/>
  <c r="K64" i="92" s="1"/>
  <c r="C65" i="92"/>
  <c r="M63" i="92" l="1"/>
  <c r="L64" i="92"/>
  <c r="E65" i="92"/>
  <c r="D65" i="92"/>
  <c r="K65" i="92" s="1"/>
  <c r="C66" i="92"/>
  <c r="M64" i="92" l="1"/>
  <c r="L65" i="92"/>
  <c r="E66" i="92"/>
  <c r="D66" i="92"/>
  <c r="K66" i="92" s="1"/>
  <c r="C67" i="92"/>
  <c r="M65" i="92" l="1"/>
  <c r="L66" i="92"/>
  <c r="E67" i="92"/>
  <c r="D67" i="92"/>
  <c r="K67" i="92" s="1"/>
  <c r="C68" i="92"/>
  <c r="M66" i="92" l="1"/>
  <c r="L67" i="92"/>
  <c r="E68" i="92"/>
  <c r="D68" i="92"/>
  <c r="K68" i="92" s="1"/>
  <c r="C69" i="92"/>
  <c r="M67" i="92" l="1"/>
  <c r="L68" i="92"/>
  <c r="E69" i="92"/>
  <c r="D69" i="92"/>
  <c r="K69" i="92" s="1"/>
  <c r="C70" i="92"/>
  <c r="L69" i="92" l="1"/>
  <c r="M68" i="92"/>
  <c r="E70" i="92"/>
  <c r="D70" i="92"/>
  <c r="K70" i="92" s="1"/>
  <c r="C71" i="92"/>
  <c r="I106" i="92" l="1"/>
  <c r="I108" i="92"/>
  <c r="S108" i="92" s="1"/>
  <c r="X108" i="92" s="1"/>
  <c r="H108" i="92"/>
  <c r="R108" i="92" s="1"/>
  <c r="W108" i="92" s="1"/>
  <c r="N111" i="92"/>
  <c r="I109" i="92"/>
  <c r="S109" i="92" s="1"/>
  <c r="X109" i="92" s="1"/>
  <c r="H109" i="92"/>
  <c r="R109" i="92" s="1"/>
  <c r="W109" i="92" s="1"/>
  <c r="H106" i="92"/>
  <c r="M111" i="92"/>
  <c r="H107" i="92"/>
  <c r="R107" i="92" s="1"/>
  <c r="W107" i="92" s="1"/>
  <c r="I107" i="92"/>
  <c r="S107" i="92" s="1"/>
  <c r="X107" i="92" s="1"/>
  <c r="J63" i="90"/>
  <c r="I71" i="90"/>
  <c r="I63" i="90"/>
  <c r="J71" i="90"/>
  <c r="K63" i="90"/>
  <c r="K71" i="90"/>
  <c r="V63" i="90"/>
  <c r="AA63" i="90"/>
  <c r="W71" i="90"/>
  <c r="T71" i="90"/>
  <c r="X71" i="90"/>
  <c r="P71" i="90"/>
  <c r="AE71" i="90"/>
  <c r="U71" i="90"/>
  <c r="AF63" i="90"/>
  <c r="M71" i="90"/>
  <c r="AA71" i="90"/>
  <c r="O71" i="90"/>
  <c r="Y71" i="90"/>
  <c r="AE63" i="90"/>
  <c r="N71" i="90"/>
  <c r="R71" i="90"/>
  <c r="V71" i="90"/>
  <c r="AC63" i="90"/>
  <c r="AB71" i="90"/>
  <c r="Z63" i="90"/>
  <c r="AG71" i="90"/>
  <c r="S63" i="90"/>
  <c r="Y63" i="90"/>
  <c r="AD71" i="90"/>
  <c r="S71" i="90"/>
  <c r="P63" i="90"/>
  <c r="AB63" i="90"/>
  <c r="T63" i="90"/>
  <c r="AC71" i="90"/>
  <c r="AG63" i="90"/>
  <c r="Z71" i="90"/>
  <c r="AD63" i="90"/>
  <c r="Q63" i="90"/>
  <c r="AF71" i="90"/>
  <c r="X63" i="90"/>
  <c r="N63" i="90"/>
  <c r="AH63" i="90"/>
  <c r="W63" i="90"/>
  <c r="U63" i="90"/>
  <c r="Q71" i="90"/>
  <c r="AI71" i="90"/>
  <c r="AI63" i="90"/>
  <c r="AH71" i="90"/>
  <c r="AJ71" i="90"/>
  <c r="AJ63" i="90"/>
  <c r="AK63" i="90"/>
  <c r="AK71" i="90"/>
  <c r="AL71" i="90"/>
  <c r="AM63" i="90"/>
  <c r="AL63" i="90"/>
  <c r="AM71" i="90"/>
  <c r="AN71" i="90"/>
  <c r="AO63" i="90"/>
  <c r="AN63" i="90"/>
  <c r="AP63" i="90"/>
  <c r="AO71" i="90"/>
  <c r="AQ71" i="90"/>
  <c r="AP71" i="90"/>
  <c r="AR71" i="90"/>
  <c r="AQ63" i="90"/>
  <c r="AS63" i="90"/>
  <c r="AR63" i="90"/>
  <c r="AU63" i="90"/>
  <c r="AS71" i="90"/>
  <c r="AT63" i="90"/>
  <c r="AU71" i="90"/>
  <c r="AV63" i="90"/>
  <c r="AT71" i="90"/>
  <c r="AV71" i="90"/>
  <c r="AW63" i="90"/>
  <c r="M69" i="92"/>
  <c r="L70" i="92"/>
  <c r="E71" i="92"/>
  <c r="D71" i="92"/>
  <c r="K71" i="92" s="1"/>
  <c r="AX63" i="90" s="1"/>
  <c r="R106" i="92" l="1"/>
  <c r="W106" i="92" s="1"/>
  <c r="W111" i="92" s="1"/>
  <c r="H111" i="92"/>
  <c r="S106" i="92"/>
  <c r="X106" i="92" s="1"/>
  <c r="X111" i="92" s="1"/>
  <c r="I111" i="92"/>
  <c r="AW71" i="90"/>
  <c r="AW89" i="90" s="1"/>
  <c r="AW116" i="90" s="1"/>
  <c r="M63" i="90"/>
  <c r="M69" i="90" s="1"/>
  <c r="AY63" i="90"/>
  <c r="AY69" i="90" s="1"/>
  <c r="J89" i="90"/>
  <c r="J116" i="90" s="1"/>
  <c r="J76" i="90"/>
  <c r="J77" i="90"/>
  <c r="K111" i="90"/>
  <c r="K68" i="90"/>
  <c r="K69" i="90"/>
  <c r="L89" i="90"/>
  <c r="L116" i="90" s="1"/>
  <c r="L76" i="90"/>
  <c r="L77" i="90"/>
  <c r="K77" i="90"/>
  <c r="K76" i="90"/>
  <c r="K89" i="90"/>
  <c r="K116" i="90" s="1"/>
  <c r="I84" i="90"/>
  <c r="I111" i="90" s="1"/>
  <c r="I68" i="90"/>
  <c r="I69" i="90"/>
  <c r="I77" i="90"/>
  <c r="I89" i="90"/>
  <c r="I116" i="90" s="1"/>
  <c r="I76" i="90"/>
  <c r="J84" i="90"/>
  <c r="J111" i="90" s="1"/>
  <c r="J68" i="90"/>
  <c r="J69" i="90"/>
  <c r="L84" i="90"/>
  <c r="L111" i="90" s="1"/>
  <c r="L68" i="90"/>
  <c r="L69" i="90"/>
  <c r="O68" i="90"/>
  <c r="O84" i="90"/>
  <c r="O111" i="90" s="1"/>
  <c r="O69" i="90"/>
  <c r="U76" i="90"/>
  <c r="U89" i="90"/>
  <c r="U116" i="90" s="1"/>
  <c r="U77" i="90"/>
  <c r="Q76" i="90"/>
  <c r="Q89" i="90"/>
  <c r="Q116" i="90" s="1"/>
  <c r="Q77" i="90"/>
  <c r="O89" i="90"/>
  <c r="O116" i="90" s="1"/>
  <c r="O77" i="90"/>
  <c r="O76" i="90"/>
  <c r="AF84" i="90"/>
  <c r="AF111" i="90" s="1"/>
  <c r="AF68" i="90"/>
  <c r="AF69" i="90"/>
  <c r="AK84" i="90"/>
  <c r="AK111" i="90" s="1"/>
  <c r="AK68" i="90"/>
  <c r="AK69" i="90"/>
  <c r="AL76" i="90"/>
  <c r="AL89" i="90"/>
  <c r="AL116" i="90" s="1"/>
  <c r="AL77" i="90"/>
  <c r="AN69" i="90"/>
  <c r="AN84" i="90"/>
  <c r="AN111" i="90" s="1"/>
  <c r="AN68" i="90"/>
  <c r="Q68" i="90"/>
  <c r="Q84" i="90"/>
  <c r="Q111" i="90" s="1"/>
  <c r="Q69" i="90"/>
  <c r="S68" i="90"/>
  <c r="S84" i="90"/>
  <c r="S111" i="90" s="1"/>
  <c r="S69" i="90"/>
  <c r="R69" i="90"/>
  <c r="R84" i="90"/>
  <c r="R111" i="90" s="1"/>
  <c r="R68" i="90"/>
  <c r="AI89" i="90"/>
  <c r="AI116" i="90" s="1"/>
  <c r="AI76" i="90"/>
  <c r="AI77" i="90"/>
  <c r="T84" i="90"/>
  <c r="T111" i="90" s="1"/>
  <c r="T68" i="90"/>
  <c r="T69" i="90"/>
  <c r="AV69" i="90"/>
  <c r="AV84" i="90"/>
  <c r="AV111" i="90" s="1"/>
  <c r="AV68" i="90"/>
  <c r="AX69" i="90"/>
  <c r="AX84" i="90"/>
  <c r="AX111" i="90" s="1"/>
  <c r="AX68" i="90"/>
  <c r="Z84" i="90"/>
  <c r="Z111" i="90" s="1"/>
  <c r="Z68" i="90"/>
  <c r="Z69" i="90"/>
  <c r="AR68" i="90"/>
  <c r="AR84" i="90"/>
  <c r="AR111" i="90" s="1"/>
  <c r="AR69" i="90"/>
  <c r="AR77" i="90"/>
  <c r="AR76" i="90"/>
  <c r="AR89" i="90"/>
  <c r="AR116" i="90" s="1"/>
  <c r="T89" i="90"/>
  <c r="T116" i="90" s="1"/>
  <c r="T77" i="90"/>
  <c r="T76" i="90"/>
  <c r="AN76" i="90"/>
  <c r="AN89" i="90"/>
  <c r="AN116" i="90" s="1"/>
  <c r="AN77" i="90"/>
  <c r="AM77" i="90"/>
  <c r="AM76" i="90"/>
  <c r="AM89" i="90"/>
  <c r="AM116" i="90" s="1"/>
  <c r="N76" i="90"/>
  <c r="N77" i="90"/>
  <c r="N89" i="90"/>
  <c r="N116" i="90" s="1"/>
  <c r="AJ84" i="90"/>
  <c r="AJ111" i="90" s="1"/>
  <c r="AJ68" i="90"/>
  <c r="AJ69" i="90"/>
  <c r="AD68" i="90"/>
  <c r="AD84" i="90"/>
  <c r="AD111" i="90" s="1"/>
  <c r="AD69" i="90"/>
  <c r="AP68" i="90"/>
  <c r="AP84" i="90"/>
  <c r="AP111" i="90" s="1"/>
  <c r="AP69" i="90"/>
  <c r="AB89" i="90"/>
  <c r="AB116" i="90" s="1"/>
  <c r="AB76" i="90"/>
  <c r="AB77" i="90"/>
  <c r="S76" i="90"/>
  <c r="S77" i="90"/>
  <c r="S89" i="90"/>
  <c r="S116" i="90" s="1"/>
  <c r="AI84" i="90"/>
  <c r="AI111" i="90" s="1"/>
  <c r="AI68" i="90"/>
  <c r="AI69" i="90"/>
  <c r="AJ77" i="90"/>
  <c r="AJ89" i="90"/>
  <c r="AJ116" i="90" s="1"/>
  <c r="AJ76" i="90"/>
  <c r="Y76" i="90"/>
  <c r="Y89" i="90"/>
  <c r="Y116" i="90" s="1"/>
  <c r="Y77" i="90"/>
  <c r="AP76" i="90"/>
  <c r="AP89" i="90"/>
  <c r="AP116" i="90" s="1"/>
  <c r="AP77" i="90"/>
  <c r="AE84" i="90"/>
  <c r="AE111" i="90" s="1"/>
  <c r="AE69" i="90"/>
  <c r="AE68" i="90"/>
  <c r="AC68" i="90"/>
  <c r="AC69" i="90"/>
  <c r="AC84" i="90"/>
  <c r="AC111" i="90" s="1"/>
  <c r="AT84" i="90"/>
  <c r="AT111" i="90" s="1"/>
  <c r="AT68" i="90"/>
  <c r="AT69" i="90"/>
  <c r="N68" i="90"/>
  <c r="N84" i="90"/>
  <c r="N111" i="90" s="1"/>
  <c r="N69" i="90"/>
  <c r="V69" i="90"/>
  <c r="V84" i="90"/>
  <c r="V111" i="90" s="1"/>
  <c r="V68" i="90"/>
  <c r="AU84" i="90"/>
  <c r="AU111" i="90" s="1"/>
  <c r="AU68" i="90"/>
  <c r="AU69" i="90"/>
  <c r="P76" i="90"/>
  <c r="P89" i="90"/>
  <c r="P116" i="90" s="1"/>
  <c r="P77" i="90"/>
  <c r="AD76" i="90"/>
  <c r="AD89" i="90"/>
  <c r="AD116" i="90" s="1"/>
  <c r="AD77" i="90"/>
  <c r="AL84" i="90"/>
  <c r="AL111" i="90" s="1"/>
  <c r="AL68" i="90"/>
  <c r="AL69" i="90"/>
  <c r="Z89" i="90"/>
  <c r="Z116" i="90" s="1"/>
  <c r="Z76" i="90"/>
  <c r="Z77" i="90"/>
  <c r="AC89" i="90"/>
  <c r="AC116" i="90" s="1"/>
  <c r="AC76" i="90"/>
  <c r="AC77" i="90"/>
  <c r="AS76" i="90"/>
  <c r="AS89" i="90"/>
  <c r="AS116" i="90" s="1"/>
  <c r="AS77" i="90"/>
  <c r="AQ68" i="90"/>
  <c r="AQ84" i="90"/>
  <c r="AQ111" i="90" s="1"/>
  <c r="AQ69" i="90"/>
  <c r="AK89" i="90"/>
  <c r="AK116" i="90" s="1"/>
  <c r="AK76" i="90"/>
  <c r="AK77" i="90"/>
  <c r="AM84" i="90"/>
  <c r="AM111" i="90" s="1"/>
  <c r="AM68" i="90"/>
  <c r="AM69" i="90"/>
  <c r="AS84" i="90"/>
  <c r="AS111" i="90" s="1"/>
  <c r="AS68" i="90"/>
  <c r="AS69" i="90"/>
  <c r="AB84" i="90"/>
  <c r="AB111" i="90" s="1"/>
  <c r="AB69" i="90"/>
  <c r="AB68" i="90"/>
  <c r="AQ89" i="90"/>
  <c r="AQ116" i="90" s="1"/>
  <c r="AQ76" i="90"/>
  <c r="AQ77" i="90"/>
  <c r="AG76" i="90"/>
  <c r="AG89" i="90"/>
  <c r="AG116" i="90" s="1"/>
  <c r="AG77" i="90"/>
  <c r="AT76" i="90"/>
  <c r="AT77" i="90"/>
  <c r="AT89" i="90"/>
  <c r="AT116" i="90" s="1"/>
  <c r="AH68" i="90"/>
  <c r="AH69" i="90"/>
  <c r="AH111" i="90"/>
  <c r="X68" i="90"/>
  <c r="X69" i="90"/>
  <c r="X84" i="90"/>
  <c r="X111" i="90" s="1"/>
  <c r="AF89" i="90"/>
  <c r="AF116" i="90" s="1"/>
  <c r="AF77" i="90"/>
  <c r="AF76" i="90"/>
  <c r="AO84" i="90"/>
  <c r="AO111" i="90" s="1"/>
  <c r="AO68" i="90"/>
  <c r="AO69" i="90"/>
  <c r="AV76" i="90"/>
  <c r="AV89" i="90"/>
  <c r="AV116" i="90" s="1"/>
  <c r="AV77" i="90"/>
  <c r="AU89" i="90"/>
  <c r="AU116" i="90" s="1"/>
  <c r="AU77" i="90"/>
  <c r="AU76" i="90"/>
  <c r="R76" i="90"/>
  <c r="R89" i="90"/>
  <c r="R116" i="90" s="1"/>
  <c r="R77" i="90"/>
  <c r="AH89" i="90"/>
  <c r="AH116" i="90" s="1"/>
  <c r="AH76" i="90"/>
  <c r="AH77" i="90"/>
  <c r="AG68" i="90"/>
  <c r="AG84" i="90"/>
  <c r="AG111" i="90" s="1"/>
  <c r="AG69" i="90"/>
  <c r="AW68" i="90"/>
  <c r="AW84" i="90"/>
  <c r="AW111" i="90" s="1"/>
  <c r="AW69" i="90"/>
  <c r="W76" i="90"/>
  <c r="W89" i="90"/>
  <c r="W116" i="90" s="1"/>
  <c r="W77" i="90"/>
  <c r="V76" i="90"/>
  <c r="V77" i="90"/>
  <c r="V89" i="90"/>
  <c r="V116" i="90" s="1"/>
  <c r="P68" i="90"/>
  <c r="P84" i="90"/>
  <c r="P111" i="90" s="1"/>
  <c r="P69" i="90"/>
  <c r="AE89" i="90"/>
  <c r="AE116" i="90" s="1"/>
  <c r="AE77" i="90"/>
  <c r="AE76" i="90"/>
  <c r="AO76" i="90"/>
  <c r="AO77" i="90"/>
  <c r="AO89" i="90"/>
  <c r="AO116" i="90" s="1"/>
  <c r="AA89" i="90"/>
  <c r="AA116" i="90" s="1"/>
  <c r="AA77" i="90"/>
  <c r="AA76" i="90"/>
  <c r="AA69" i="90"/>
  <c r="AA84" i="90"/>
  <c r="AA111" i="90" s="1"/>
  <c r="AA68" i="90"/>
  <c r="W69" i="90"/>
  <c r="W68" i="90"/>
  <c r="W84" i="90"/>
  <c r="W111" i="90" s="1"/>
  <c r="X76" i="90"/>
  <c r="X89" i="90"/>
  <c r="X116" i="90" s="1"/>
  <c r="X77" i="90"/>
  <c r="Y69" i="90"/>
  <c r="Y68" i="90"/>
  <c r="Y84" i="90"/>
  <c r="Y111" i="90" s="1"/>
  <c r="U68" i="90"/>
  <c r="U84" i="90"/>
  <c r="U111" i="90" s="1"/>
  <c r="U69" i="90"/>
  <c r="M70" i="92"/>
  <c r="L71" i="92"/>
  <c r="AX71" i="90" s="1"/>
  <c r="R111" i="92" l="1"/>
  <c r="S111" i="92"/>
  <c r="AW77" i="90"/>
  <c r="AW76" i="90"/>
  <c r="M68" i="90"/>
  <c r="M84" i="90"/>
  <c r="M111" i="90" s="1"/>
  <c r="AX89" i="90"/>
  <c r="AX116" i="90" s="1"/>
  <c r="AX76" i="90"/>
  <c r="AX77" i="90"/>
  <c r="AY71" i="90"/>
  <c r="AY76" i="90" s="1"/>
  <c r="AY84" i="90"/>
  <c r="AY111" i="90" s="1"/>
  <c r="AY68" i="90"/>
  <c r="L86" i="90"/>
  <c r="L113" i="90" s="1"/>
  <c r="L87" i="90"/>
  <c r="L114" i="90" s="1"/>
  <c r="I91" i="90"/>
  <c r="I118" i="90" s="1"/>
  <c r="I92" i="90"/>
  <c r="I119" i="90" s="1"/>
  <c r="K91" i="90"/>
  <c r="K118" i="90" s="1"/>
  <c r="K92" i="90"/>
  <c r="K119" i="90" s="1"/>
  <c r="K86" i="90"/>
  <c r="K113" i="90" s="1"/>
  <c r="K87" i="90"/>
  <c r="K114" i="90" s="1"/>
  <c r="I86" i="90"/>
  <c r="I113" i="90" s="1"/>
  <c r="I87" i="90"/>
  <c r="I114" i="90" s="1"/>
  <c r="L92" i="90"/>
  <c r="L119" i="90" s="1"/>
  <c r="L91" i="90"/>
  <c r="L118" i="90" s="1"/>
  <c r="J91" i="90"/>
  <c r="J118" i="90" s="1"/>
  <c r="J92" i="90"/>
  <c r="J119" i="90" s="1"/>
  <c r="J86" i="90"/>
  <c r="J113" i="90" s="1"/>
  <c r="J87" i="90"/>
  <c r="J114" i="90" s="1"/>
  <c r="V92" i="90"/>
  <c r="V119" i="90" s="1"/>
  <c r="V91" i="90"/>
  <c r="V118" i="90" s="1"/>
  <c r="AG86" i="90"/>
  <c r="AG113" i="90" s="1"/>
  <c r="AG87" i="90"/>
  <c r="AG114" i="90" s="1"/>
  <c r="R91" i="90"/>
  <c r="R118" i="90" s="1"/>
  <c r="R92" i="90"/>
  <c r="R119" i="90" s="1"/>
  <c r="AV92" i="90"/>
  <c r="AV119" i="90" s="1"/>
  <c r="AV91" i="90"/>
  <c r="AV118" i="90" s="1"/>
  <c r="AK92" i="90"/>
  <c r="AK119" i="90" s="1"/>
  <c r="AK91" i="90"/>
  <c r="AK118" i="90" s="1"/>
  <c r="AP92" i="90"/>
  <c r="AP119" i="90" s="1"/>
  <c r="AP91" i="90"/>
  <c r="AP118" i="90" s="1"/>
  <c r="AP87" i="90"/>
  <c r="AP114" i="90" s="1"/>
  <c r="AP86" i="90"/>
  <c r="AP113" i="90" s="1"/>
  <c r="S86" i="90"/>
  <c r="S113" i="90" s="1"/>
  <c r="S87" i="90"/>
  <c r="S114" i="90" s="1"/>
  <c r="AS86" i="90"/>
  <c r="AS113" i="90" s="1"/>
  <c r="AS87" i="90"/>
  <c r="AS114" i="90" s="1"/>
  <c r="AW91" i="90"/>
  <c r="AW118" i="90" s="1"/>
  <c r="AW92" i="90"/>
  <c r="AW119" i="90" s="1"/>
  <c r="AL86" i="90"/>
  <c r="AL113" i="90" s="1"/>
  <c r="AL87" i="90"/>
  <c r="AL114" i="90" s="1"/>
  <c r="AD91" i="90"/>
  <c r="AD118" i="90" s="1"/>
  <c r="AD92" i="90"/>
  <c r="AD119" i="90" s="1"/>
  <c r="AI86" i="90"/>
  <c r="AI113" i="90" s="1"/>
  <c r="AI87" i="90"/>
  <c r="AI114" i="90" s="1"/>
  <c r="AJ86" i="90"/>
  <c r="AJ113" i="90" s="1"/>
  <c r="AJ87" i="90"/>
  <c r="AJ114" i="90" s="1"/>
  <c r="AR91" i="90"/>
  <c r="AR118" i="90" s="1"/>
  <c r="AR92" i="90"/>
  <c r="AR119" i="90" s="1"/>
  <c r="AV87" i="90"/>
  <c r="AV114" i="90" s="1"/>
  <c r="AV86" i="90"/>
  <c r="AV113" i="90" s="1"/>
  <c r="U86" i="90"/>
  <c r="U113" i="90" s="1"/>
  <c r="U87" i="90"/>
  <c r="U114" i="90" s="1"/>
  <c r="AQ86" i="90"/>
  <c r="AQ113" i="90" s="1"/>
  <c r="AQ87" i="90"/>
  <c r="AQ114" i="90" s="1"/>
  <c r="P92" i="90"/>
  <c r="P119" i="90" s="1"/>
  <c r="P91" i="90"/>
  <c r="P118" i="90" s="1"/>
  <c r="N92" i="90"/>
  <c r="N119" i="90" s="1"/>
  <c r="N91" i="90"/>
  <c r="N118" i="90" s="1"/>
  <c r="AN91" i="90"/>
  <c r="AN118" i="90" s="1"/>
  <c r="AN92" i="90"/>
  <c r="AN119" i="90" s="1"/>
  <c r="AK86" i="90"/>
  <c r="AK113" i="90" s="1"/>
  <c r="AK87" i="90"/>
  <c r="AK114" i="90" s="1"/>
  <c r="W87" i="90"/>
  <c r="W114" i="90" s="1"/>
  <c r="W86" i="90"/>
  <c r="W113" i="90" s="1"/>
  <c r="AA91" i="90"/>
  <c r="AA118" i="90" s="1"/>
  <c r="AA92" i="90"/>
  <c r="AA119" i="90" s="1"/>
  <c r="AQ92" i="90"/>
  <c r="AQ119" i="90" s="1"/>
  <c r="AQ91" i="90"/>
  <c r="AQ118" i="90" s="1"/>
  <c r="AB92" i="90"/>
  <c r="AB119" i="90" s="1"/>
  <c r="AB91" i="90"/>
  <c r="AB118" i="90" s="1"/>
  <c r="AM92" i="90"/>
  <c r="AM119" i="90" s="1"/>
  <c r="AM91" i="90"/>
  <c r="AM118" i="90" s="1"/>
  <c r="Q86" i="90"/>
  <c r="Q113" i="90" s="1"/>
  <c r="Q87" i="90"/>
  <c r="Q114" i="90" s="1"/>
  <c r="Q92" i="90"/>
  <c r="Q119" i="90" s="1"/>
  <c r="Q91" i="90"/>
  <c r="Q118" i="90" s="1"/>
  <c r="Y87" i="90"/>
  <c r="Y114" i="90" s="1"/>
  <c r="Y86" i="90"/>
  <c r="Y113" i="90" s="1"/>
  <c r="W91" i="90"/>
  <c r="W118" i="90" s="1"/>
  <c r="W92" i="90"/>
  <c r="W119" i="90" s="1"/>
  <c r="AU92" i="90"/>
  <c r="AU119" i="90" s="1"/>
  <c r="AU91" i="90"/>
  <c r="AU118" i="90" s="1"/>
  <c r="AB86" i="90"/>
  <c r="AB113" i="90" s="1"/>
  <c r="AB87" i="90"/>
  <c r="AB114" i="90" s="1"/>
  <c r="Y91" i="90"/>
  <c r="Y118" i="90" s="1"/>
  <c r="Y92" i="90"/>
  <c r="Y119" i="90" s="1"/>
  <c r="T86" i="90"/>
  <c r="T113" i="90" s="1"/>
  <c r="T87" i="90"/>
  <c r="T114" i="90" s="1"/>
  <c r="AN86" i="90"/>
  <c r="AN113" i="90" s="1"/>
  <c r="AN87" i="90"/>
  <c r="AN114" i="90" s="1"/>
  <c r="P86" i="90"/>
  <c r="P113" i="90" s="1"/>
  <c r="P87" i="90"/>
  <c r="P114" i="90" s="1"/>
  <c r="AW87" i="90"/>
  <c r="AW114" i="90" s="1"/>
  <c r="AW86" i="90"/>
  <c r="AW113" i="90" s="1"/>
  <c r="AH91" i="90"/>
  <c r="AH118" i="90" s="1"/>
  <c r="AH92" i="90"/>
  <c r="AH119" i="90" s="1"/>
  <c r="AT92" i="90"/>
  <c r="AT119" i="90" s="1"/>
  <c r="AT91" i="90"/>
  <c r="AT118" i="90" s="1"/>
  <c r="AU86" i="90"/>
  <c r="AU113" i="90" s="1"/>
  <c r="AU87" i="90"/>
  <c r="AU114" i="90" s="1"/>
  <c r="AT87" i="90"/>
  <c r="AT114" i="90" s="1"/>
  <c r="AT86" i="90"/>
  <c r="AT113" i="90" s="1"/>
  <c r="T91" i="90"/>
  <c r="T118" i="90" s="1"/>
  <c r="T92" i="90"/>
  <c r="T119" i="90" s="1"/>
  <c r="AX87" i="90"/>
  <c r="AX114" i="90" s="1"/>
  <c r="AX86" i="90"/>
  <c r="AX113" i="90" s="1"/>
  <c r="AI92" i="90"/>
  <c r="AI119" i="90" s="1"/>
  <c r="AI91" i="90"/>
  <c r="AI118" i="90" s="1"/>
  <c r="R87" i="90"/>
  <c r="R114" i="90" s="1"/>
  <c r="R86" i="90"/>
  <c r="R113" i="90" s="1"/>
  <c r="X91" i="90"/>
  <c r="X118" i="90" s="1"/>
  <c r="X92" i="90"/>
  <c r="X119" i="90" s="1"/>
  <c r="AF92" i="90"/>
  <c r="AF119" i="90" s="1"/>
  <c r="AF91" i="90"/>
  <c r="AF118" i="90" s="1"/>
  <c r="X86" i="90"/>
  <c r="X113" i="90" s="1"/>
  <c r="X87" i="90"/>
  <c r="X114" i="90" s="1"/>
  <c r="AS92" i="90"/>
  <c r="AS119" i="90" s="1"/>
  <c r="AS91" i="90"/>
  <c r="AS118" i="90" s="1"/>
  <c r="AC92" i="90"/>
  <c r="AC119" i="90" s="1"/>
  <c r="AC91" i="90"/>
  <c r="AC118" i="90" s="1"/>
  <c r="Z91" i="90"/>
  <c r="Z118" i="90" s="1"/>
  <c r="Z92" i="90"/>
  <c r="Z119" i="90" s="1"/>
  <c r="N86" i="90"/>
  <c r="N113" i="90" s="1"/>
  <c r="N87" i="90"/>
  <c r="N114" i="90" s="1"/>
  <c r="AE87" i="90"/>
  <c r="AE114" i="90" s="1"/>
  <c r="AE86" i="90"/>
  <c r="AE113" i="90" s="1"/>
  <c r="S92" i="90"/>
  <c r="S119" i="90" s="1"/>
  <c r="S91" i="90"/>
  <c r="S118" i="90" s="1"/>
  <c r="AD87" i="90"/>
  <c r="AD114" i="90" s="1"/>
  <c r="AD86" i="90"/>
  <c r="AD113" i="90" s="1"/>
  <c r="AL92" i="90"/>
  <c r="AL119" i="90" s="1"/>
  <c r="AL91" i="90"/>
  <c r="AL118" i="90" s="1"/>
  <c r="O92" i="90"/>
  <c r="O119" i="90" s="1"/>
  <c r="O91" i="90"/>
  <c r="O118" i="90" s="1"/>
  <c r="U92" i="90"/>
  <c r="U119" i="90" s="1"/>
  <c r="U91" i="90"/>
  <c r="U118" i="90" s="1"/>
  <c r="AA86" i="90"/>
  <c r="AA113" i="90" s="1"/>
  <c r="AA87" i="90"/>
  <c r="AA114" i="90" s="1"/>
  <c r="AO91" i="90"/>
  <c r="AO118" i="90" s="1"/>
  <c r="AO92" i="90"/>
  <c r="AO119" i="90" s="1"/>
  <c r="AE91" i="90"/>
  <c r="AE118" i="90" s="1"/>
  <c r="AE92" i="90"/>
  <c r="AE119" i="90" s="1"/>
  <c r="AO87" i="90"/>
  <c r="AO114" i="90" s="1"/>
  <c r="AO86" i="90"/>
  <c r="AO113" i="90" s="1"/>
  <c r="AH87" i="90"/>
  <c r="AH114" i="90" s="1"/>
  <c r="AH86" i="90"/>
  <c r="AG91" i="90"/>
  <c r="AG118" i="90" s="1"/>
  <c r="AG92" i="90"/>
  <c r="AG119" i="90" s="1"/>
  <c r="AM87" i="90"/>
  <c r="AM114" i="90" s="1"/>
  <c r="AM86" i="90"/>
  <c r="AM113" i="90" s="1"/>
  <c r="V87" i="90"/>
  <c r="V114" i="90" s="1"/>
  <c r="V86" i="90"/>
  <c r="V113" i="90" s="1"/>
  <c r="AC86" i="90"/>
  <c r="AC113" i="90" s="1"/>
  <c r="AC87" i="90"/>
  <c r="AC114" i="90" s="1"/>
  <c r="AJ91" i="90"/>
  <c r="AJ118" i="90" s="1"/>
  <c r="AJ92" i="90"/>
  <c r="AJ119" i="90" s="1"/>
  <c r="AR86" i="90"/>
  <c r="AR113" i="90" s="1"/>
  <c r="AR87" i="90"/>
  <c r="AR114" i="90" s="1"/>
  <c r="Z87" i="90"/>
  <c r="Z114" i="90" s="1"/>
  <c r="Z86" i="90"/>
  <c r="Z113" i="90" s="1"/>
  <c r="AF87" i="90"/>
  <c r="AF114" i="90" s="1"/>
  <c r="AF86" i="90"/>
  <c r="AF113" i="90" s="1"/>
  <c r="O86" i="90"/>
  <c r="O87" i="90"/>
  <c r="O114" i="90" s="1"/>
  <c r="M71" i="92"/>
  <c r="M87" i="90" l="1"/>
  <c r="M114" i="90" s="1"/>
  <c r="M86" i="90"/>
  <c r="M113" i="90" s="1"/>
  <c r="AX91" i="90"/>
  <c r="AX118" i="90" s="1"/>
  <c r="AX92" i="90"/>
  <c r="AX119" i="90" s="1"/>
  <c r="AY89" i="90"/>
  <c r="AY92" i="90" s="1"/>
  <c r="AY119" i="90" s="1"/>
  <c r="AY77" i="90"/>
  <c r="O113" i="90"/>
  <c r="AH113" i="90"/>
  <c r="AY86" i="90"/>
  <c r="AY113" i="90" s="1"/>
  <c r="AY87" i="90"/>
  <c r="AY114" i="90" s="1"/>
  <c r="M89" i="90"/>
  <c r="M116" i="90" s="1"/>
  <c r="M76" i="90"/>
  <c r="M77" i="90"/>
  <c r="AY116" i="90" l="1"/>
  <c r="AY91" i="90"/>
  <c r="AY118" i="90" s="1"/>
  <c r="M92" i="90"/>
  <c r="M119" i="90" s="1"/>
  <c r="M91" i="90"/>
  <c r="M118" i="90" s="1"/>
  <c r="BA9" i="1" l="1"/>
  <c r="AZ9" i="1"/>
  <c r="AZ9" i="28" s="1"/>
  <c r="AZ8" i="1"/>
  <c r="BA8" i="1"/>
  <c r="BA8" i="28" s="1"/>
  <c r="BA8" i="31" l="1"/>
  <c r="AZ9" i="31"/>
  <c r="AZ8" i="28"/>
  <c r="BA9" i="28"/>
  <c r="BA9" i="31" s="1"/>
  <c r="BA12" i="33" l="1"/>
  <c r="BA12" i="71"/>
  <c r="AZ12" i="71"/>
  <c r="AZ8" i="31"/>
  <c r="AZ12" i="33" l="1"/>
  <c r="AZ16" i="53" l="1"/>
  <c r="BA16" i="53"/>
  <c r="H79" i="67" l="1"/>
  <c r="L91" i="67" s="1"/>
  <c r="L34" i="55" s="1"/>
  <c r="L16" i="53" s="1"/>
  <c r="H87" i="67"/>
  <c r="Y91" i="67"/>
  <c r="Y34" i="55" s="1"/>
  <c r="Y16" i="53" s="1"/>
  <c r="Z91" i="67"/>
  <c r="Z34" i="55" s="1"/>
  <c r="Z16" i="53" s="1"/>
  <c r="T91" i="67"/>
  <c r="T34" i="55" s="1"/>
  <c r="T16" i="53" s="1"/>
  <c r="AN91" i="67"/>
  <c r="AN34" i="55" s="1"/>
  <c r="AN16" i="53" s="1"/>
  <c r="N91" i="67"/>
  <c r="N34" i="55" s="1"/>
  <c r="N16" i="53" s="1"/>
  <c r="AX91" i="67"/>
  <c r="AX34" i="55" s="1"/>
  <c r="AX16" i="53" s="1"/>
  <c r="AW91" i="67"/>
  <c r="AW34" i="55" s="1"/>
  <c r="AW16" i="53" s="1"/>
  <c r="AT91" i="67"/>
  <c r="AT34" i="55" s="1"/>
  <c r="AT16" i="53" s="1"/>
  <c r="M91" i="67"/>
  <c r="M34" i="55" s="1"/>
  <c r="M16" i="53" s="1"/>
  <c r="BA91" i="67"/>
  <c r="AI91" i="67"/>
  <c r="AI34" i="55" s="1"/>
  <c r="AI16" i="53" s="1"/>
  <c r="AD91" i="67"/>
  <c r="AD34" i="55" s="1"/>
  <c r="AD16" i="53" s="1"/>
  <c r="AK91" i="67"/>
  <c r="AK34" i="55" s="1"/>
  <c r="AK16" i="53" s="1"/>
  <c r="U91" i="67"/>
  <c r="U34" i="55" s="1"/>
  <c r="U16" i="53" s="1"/>
  <c r="AZ91" i="67"/>
  <c r="AA91" i="67"/>
  <c r="AA34" i="55" s="1"/>
  <c r="AA16" i="53" s="1"/>
  <c r="AR91" i="67"/>
  <c r="AR34" i="55" s="1"/>
  <c r="AR16" i="53" s="1"/>
  <c r="W91" i="67"/>
  <c r="W34" i="55" s="1"/>
  <c r="W16" i="53" s="1"/>
  <c r="AY91" i="67"/>
  <c r="AY34" i="55" s="1"/>
  <c r="AY16" i="53" s="1"/>
  <c r="AO91" i="67"/>
  <c r="AO34" i="55" s="1"/>
  <c r="AO16" i="53" s="1"/>
  <c r="AL91" i="67"/>
  <c r="AL34" i="55" s="1"/>
  <c r="AL16" i="53" s="1"/>
  <c r="P91" i="67"/>
  <c r="P34" i="55" s="1"/>
  <c r="P16" i="53" s="1"/>
  <c r="AF91" i="67"/>
  <c r="AF34" i="55" s="1"/>
  <c r="AF16" i="53" s="1"/>
  <c r="AQ91" i="67"/>
  <c r="AQ34" i="55" s="1"/>
  <c r="AQ16" i="53" s="1"/>
  <c r="Q91" i="67"/>
  <c r="Q34" i="55" s="1"/>
  <c r="Q16" i="53" s="1"/>
  <c r="AJ91" i="67"/>
  <c r="AJ34" i="55" s="1"/>
  <c r="AJ16" i="53" s="1"/>
  <c r="S91" i="67"/>
  <c r="S34" i="55" s="1"/>
  <c r="S16" i="53" s="1"/>
  <c r="V91" i="67"/>
  <c r="V34" i="55" s="1"/>
  <c r="V16" i="53" s="1"/>
  <c r="AG91" i="67"/>
  <c r="AG34" i="55" s="1"/>
  <c r="AG16" i="53" s="1"/>
  <c r="O91" i="67"/>
  <c r="O34" i="55" s="1"/>
  <c r="O16" i="53" s="1"/>
  <c r="K91" i="67"/>
  <c r="K34" i="55" s="1"/>
  <c r="K16" i="53" s="1"/>
  <c r="AV91" i="67"/>
  <c r="AV34" i="55" s="1"/>
  <c r="AV16" i="53" s="1"/>
  <c r="I91" i="67"/>
  <c r="I34" i="55" s="1"/>
  <c r="I16" i="53" s="1"/>
  <c r="AC91" i="67"/>
  <c r="AC34" i="55" s="1"/>
  <c r="AC16" i="53" s="1"/>
  <c r="AP91" i="67"/>
  <c r="AP34" i="55" s="1"/>
  <c r="AP16" i="53" s="1"/>
  <c r="J91" i="67"/>
  <c r="J34" i="55" s="1"/>
  <c r="J16" i="53" s="1"/>
  <c r="AS91" i="67"/>
  <c r="AS34" i="55" s="1"/>
  <c r="AS16" i="53" s="1"/>
  <c r="AU91" i="67"/>
  <c r="AU34" i="55" s="1"/>
  <c r="AU16" i="53" s="1"/>
  <c r="AB91" i="67" l="1"/>
  <c r="AB34" i="55" s="1"/>
  <c r="AB16" i="53" s="1"/>
  <c r="AH91" i="67"/>
  <c r="AH34" i="55" s="1"/>
  <c r="AH16" i="53" s="1"/>
  <c r="AE91" i="67"/>
  <c r="AE34" i="55" s="1"/>
  <c r="AE16" i="53" s="1"/>
  <c r="AM91" i="67"/>
  <c r="AM34" i="55" s="1"/>
  <c r="AM16" i="53" s="1"/>
  <c r="R91" i="67"/>
  <c r="R34" i="55" s="1"/>
  <c r="R16" i="53" s="1"/>
  <c r="X91" i="67"/>
  <c r="X34" i="55" s="1"/>
  <c r="X16" i="53" s="1"/>
  <c r="M92" i="67"/>
  <c r="M48" i="55" s="1"/>
  <c r="M30" i="53" s="1"/>
  <c r="M43" i="53" s="1"/>
  <c r="M52" i="53" s="1"/>
  <c r="M14" i="1" s="1"/>
  <c r="M14" i="28" s="1"/>
  <c r="AM92" i="67"/>
  <c r="AM48" i="55" s="1"/>
  <c r="AM30" i="53" s="1"/>
  <c r="Y92" i="67"/>
  <c r="Y48" i="55" s="1"/>
  <c r="Y30" i="53" s="1"/>
  <c r="Y43" i="53" s="1"/>
  <c r="Y52" i="53" s="1"/>
  <c r="Y14" i="1" s="1"/>
  <c r="Y14" i="28" s="1"/>
  <c r="AO92" i="67"/>
  <c r="AO48" i="55" s="1"/>
  <c r="AO30" i="53" s="1"/>
  <c r="AO43" i="53" s="1"/>
  <c r="AO52" i="53" s="1"/>
  <c r="AO14" i="1" s="1"/>
  <c r="AO14" i="28" s="1"/>
  <c r="J92" i="67"/>
  <c r="J48" i="55" s="1"/>
  <c r="J30" i="53" s="1"/>
  <c r="J43" i="53" s="1"/>
  <c r="J52" i="53" s="1"/>
  <c r="J14" i="1" s="1"/>
  <c r="AZ92" i="67"/>
  <c r="AZ30" i="53" s="1"/>
  <c r="AZ43" i="53" s="1"/>
  <c r="AZ52" i="53" s="1"/>
  <c r="AZ14" i="1" s="1"/>
  <c r="AZ14" i="28" s="1"/>
  <c r="AB92" i="67"/>
  <c r="AB48" i="55" s="1"/>
  <c r="AB30" i="53" s="1"/>
  <c r="AB43" i="53" s="1"/>
  <c r="AB52" i="53" s="1"/>
  <c r="AB14" i="1" s="1"/>
  <c r="AB14" i="28" s="1"/>
  <c r="U92" i="67"/>
  <c r="U48" i="55" s="1"/>
  <c r="U30" i="53" s="1"/>
  <c r="U43" i="53" s="1"/>
  <c r="U52" i="53" s="1"/>
  <c r="U14" i="1" s="1"/>
  <c r="U14" i="28" s="1"/>
  <c r="U15" i="71" s="1"/>
  <c r="Z92" i="67"/>
  <c r="Z48" i="55" s="1"/>
  <c r="Z30" i="53" s="1"/>
  <c r="Z43" i="53" s="1"/>
  <c r="Z52" i="53" s="1"/>
  <c r="Z14" i="1" s="1"/>
  <c r="Z14" i="28" s="1"/>
  <c r="O92" i="67"/>
  <c r="O48" i="55" s="1"/>
  <c r="O30" i="53" s="1"/>
  <c r="O43" i="53" s="1"/>
  <c r="O52" i="53" s="1"/>
  <c r="O14" i="1" s="1"/>
  <c r="O14" i="28" s="1"/>
  <c r="AW92" i="67"/>
  <c r="AW48" i="55" s="1"/>
  <c r="AW30" i="53" s="1"/>
  <c r="AW43" i="53" s="1"/>
  <c r="AW52" i="53" s="1"/>
  <c r="AW14" i="1" s="1"/>
  <c r="AW14" i="28" s="1"/>
  <c r="AW15" i="71" s="1"/>
  <c r="AR92" i="67"/>
  <c r="AR48" i="55" s="1"/>
  <c r="AR30" i="53" s="1"/>
  <c r="AR43" i="53" s="1"/>
  <c r="AR52" i="53" s="1"/>
  <c r="AR14" i="1" s="1"/>
  <c r="AR14" i="28" s="1"/>
  <c r="AT92" i="67"/>
  <c r="AT48" i="55" s="1"/>
  <c r="AT30" i="53" s="1"/>
  <c r="AT43" i="53" s="1"/>
  <c r="AT52" i="53" s="1"/>
  <c r="AT14" i="1" s="1"/>
  <c r="AT14" i="28" s="1"/>
  <c r="BA92" i="67"/>
  <c r="BA30" i="53" s="1"/>
  <c r="BA43" i="53" s="1"/>
  <c r="BA52" i="53" s="1"/>
  <c r="BA14" i="1" s="1"/>
  <c r="BA14" i="28" s="1"/>
  <c r="AQ92" i="67"/>
  <c r="AQ48" i="55" s="1"/>
  <c r="AQ30" i="53" s="1"/>
  <c r="AQ43" i="53" s="1"/>
  <c r="AQ52" i="53" s="1"/>
  <c r="AQ14" i="1" s="1"/>
  <c r="AQ14" i="28" s="1"/>
  <c r="K92" i="67"/>
  <c r="K48" i="55" s="1"/>
  <c r="K30" i="53" s="1"/>
  <c r="K43" i="53" s="1"/>
  <c r="K52" i="53" s="1"/>
  <c r="K14" i="1" s="1"/>
  <c r="K14" i="28" s="1"/>
  <c r="T92" i="67"/>
  <c r="T48" i="55" s="1"/>
  <c r="T30" i="53" s="1"/>
  <c r="T43" i="53" s="1"/>
  <c r="T52" i="53" s="1"/>
  <c r="T14" i="1" s="1"/>
  <c r="T14" i="28" s="1"/>
  <c r="AU92" i="67"/>
  <c r="AU48" i="55" s="1"/>
  <c r="AU30" i="53" s="1"/>
  <c r="AU43" i="53" s="1"/>
  <c r="AU52" i="53" s="1"/>
  <c r="AU14" i="1" s="1"/>
  <c r="AU14" i="28" s="1"/>
  <c r="AA92" i="67"/>
  <c r="AA48" i="55" s="1"/>
  <c r="AA30" i="53" s="1"/>
  <c r="AA43" i="53" s="1"/>
  <c r="AA52" i="53" s="1"/>
  <c r="AA14" i="1" s="1"/>
  <c r="AA14" i="28" s="1"/>
  <c r="AY92" i="67"/>
  <c r="AY48" i="55" s="1"/>
  <c r="AY30" i="53" s="1"/>
  <c r="AY43" i="53" s="1"/>
  <c r="AY52" i="53" s="1"/>
  <c r="AY14" i="1" s="1"/>
  <c r="AY14" i="28" s="1"/>
  <c r="AG92" i="67"/>
  <c r="AG48" i="55" s="1"/>
  <c r="AG30" i="53" s="1"/>
  <c r="AG43" i="53" s="1"/>
  <c r="AG52" i="53" s="1"/>
  <c r="AG14" i="1" s="1"/>
  <c r="AG14" i="28" s="1"/>
  <c r="R92" i="67"/>
  <c r="R48" i="55" s="1"/>
  <c r="R30" i="53" s="1"/>
  <c r="N92" i="67"/>
  <c r="N48" i="55" s="1"/>
  <c r="N30" i="53" s="1"/>
  <c r="N43" i="53" s="1"/>
  <c r="N52" i="53" s="1"/>
  <c r="N14" i="1" s="1"/>
  <c r="N14" i="28" s="1"/>
  <c r="AL92" i="67"/>
  <c r="AL48" i="55" s="1"/>
  <c r="AL30" i="53" s="1"/>
  <c r="AL43" i="53" s="1"/>
  <c r="AL52" i="53" s="1"/>
  <c r="AL14" i="1" s="1"/>
  <c r="AL14" i="28" s="1"/>
  <c r="AH92" i="67"/>
  <c r="AH48" i="55" s="1"/>
  <c r="AH30" i="53" s="1"/>
  <c r="AH43" i="53" s="1"/>
  <c r="AH52" i="53" s="1"/>
  <c r="AH14" i="1" s="1"/>
  <c r="AH14" i="28" s="1"/>
  <c r="P92" i="67"/>
  <c r="P48" i="55" s="1"/>
  <c r="P30" i="53" s="1"/>
  <c r="P43" i="53" s="1"/>
  <c r="P52" i="53" s="1"/>
  <c r="P14" i="1" s="1"/>
  <c r="P14" i="28" s="1"/>
  <c r="I92" i="67"/>
  <c r="I48" i="55" s="1"/>
  <c r="I30" i="53" s="1"/>
  <c r="I43" i="53" s="1"/>
  <c r="I52" i="53" s="1"/>
  <c r="I14" i="1" s="1"/>
  <c r="I14" i="28" s="1"/>
  <c r="AE92" i="67"/>
  <c r="AE48" i="55" s="1"/>
  <c r="AE30" i="53" s="1"/>
  <c r="AE43" i="53" s="1"/>
  <c r="AE52" i="53" s="1"/>
  <c r="AE14" i="1" s="1"/>
  <c r="AE14" i="28" s="1"/>
  <c r="L92" i="67"/>
  <c r="L48" i="55" s="1"/>
  <c r="L30" i="53" s="1"/>
  <c r="L43" i="53" s="1"/>
  <c r="L52" i="53" s="1"/>
  <c r="L14" i="1" s="1"/>
  <c r="L14" i="28" s="1"/>
  <c r="AP92" i="67"/>
  <c r="AP48" i="55" s="1"/>
  <c r="AP30" i="53" s="1"/>
  <c r="AP43" i="53" s="1"/>
  <c r="AP52" i="53" s="1"/>
  <c r="AP14" i="1" s="1"/>
  <c r="AP14" i="28" s="1"/>
  <c r="W92" i="67"/>
  <c r="W48" i="55" s="1"/>
  <c r="W30" i="53" s="1"/>
  <c r="W43" i="53" s="1"/>
  <c r="W52" i="53" s="1"/>
  <c r="W14" i="1" s="1"/>
  <c r="W14" i="28" s="1"/>
  <c r="AI92" i="67"/>
  <c r="AI48" i="55" s="1"/>
  <c r="AI30" i="53" s="1"/>
  <c r="AI43" i="53" s="1"/>
  <c r="AI52" i="53" s="1"/>
  <c r="AI14" i="1" s="1"/>
  <c r="AI14" i="28" s="1"/>
  <c r="AS92" i="67"/>
  <c r="AS48" i="55" s="1"/>
  <c r="AS30" i="53" s="1"/>
  <c r="AS43" i="53" s="1"/>
  <c r="AS52" i="53" s="1"/>
  <c r="AS14" i="1" s="1"/>
  <c r="AS14" i="28" s="1"/>
  <c r="AN92" i="67"/>
  <c r="AN48" i="55" s="1"/>
  <c r="AN30" i="53" s="1"/>
  <c r="AN43" i="53" s="1"/>
  <c r="AN52" i="53" s="1"/>
  <c r="AN14" i="1" s="1"/>
  <c r="AN14" i="28" s="1"/>
  <c r="V92" i="67"/>
  <c r="V48" i="55" s="1"/>
  <c r="V30" i="53" s="1"/>
  <c r="V43" i="53" s="1"/>
  <c r="V52" i="53" s="1"/>
  <c r="V14" i="1" s="1"/>
  <c r="V14" i="28" s="1"/>
  <c r="V14" i="31" s="1"/>
  <c r="V15" i="33" s="1"/>
  <c r="Q92" i="67"/>
  <c r="Q48" i="55" s="1"/>
  <c r="Q30" i="53" s="1"/>
  <c r="Q43" i="53" s="1"/>
  <c r="Q52" i="53" s="1"/>
  <c r="Q14" i="1" s="1"/>
  <c r="Q14" i="28" s="1"/>
  <c r="S92" i="67"/>
  <c r="S48" i="55" s="1"/>
  <c r="S30" i="53" s="1"/>
  <c r="S43" i="53" s="1"/>
  <c r="S52" i="53" s="1"/>
  <c r="S14" i="1" s="1"/>
  <c r="S14" i="28" s="1"/>
  <c r="AD92" i="67"/>
  <c r="AD48" i="55" s="1"/>
  <c r="AD30" i="53" s="1"/>
  <c r="AD43" i="53" s="1"/>
  <c r="AD52" i="53" s="1"/>
  <c r="AD14" i="1" s="1"/>
  <c r="AD14" i="28" s="1"/>
  <c r="AX92" i="67"/>
  <c r="AX48" i="55" s="1"/>
  <c r="AX30" i="53" s="1"/>
  <c r="AX43" i="53" s="1"/>
  <c r="AX52" i="53" s="1"/>
  <c r="AX14" i="1" s="1"/>
  <c r="AX14" i="28" s="1"/>
  <c r="AK92" i="67"/>
  <c r="AK48" i="55" s="1"/>
  <c r="AK30" i="53" s="1"/>
  <c r="AK43" i="53" s="1"/>
  <c r="AK52" i="53" s="1"/>
  <c r="AK14" i="1" s="1"/>
  <c r="AK14" i="28" s="1"/>
  <c r="X92" i="67"/>
  <c r="X48" i="55" s="1"/>
  <c r="X30" i="53" s="1"/>
  <c r="AC92" i="67"/>
  <c r="AC48" i="55" s="1"/>
  <c r="AC30" i="53" s="1"/>
  <c r="AC43" i="53" s="1"/>
  <c r="AC52" i="53" s="1"/>
  <c r="AC14" i="1" s="1"/>
  <c r="AC14" i="28" s="1"/>
  <c r="AV92" i="67"/>
  <c r="AV48" i="55" s="1"/>
  <c r="AV30" i="53" s="1"/>
  <c r="AV43" i="53" s="1"/>
  <c r="AV52" i="53" s="1"/>
  <c r="AV14" i="1" s="1"/>
  <c r="AV14" i="28" s="1"/>
  <c r="AF92" i="67"/>
  <c r="AF48" i="55" s="1"/>
  <c r="AF30" i="53" s="1"/>
  <c r="AF43" i="53" s="1"/>
  <c r="AF52" i="53" s="1"/>
  <c r="AF14" i="1" s="1"/>
  <c r="AF14" i="28" s="1"/>
  <c r="AJ92" i="67"/>
  <c r="AJ48" i="55" s="1"/>
  <c r="AJ30" i="53" s="1"/>
  <c r="AJ43" i="53" s="1"/>
  <c r="AJ52" i="53" s="1"/>
  <c r="AJ14" i="1" s="1"/>
  <c r="AJ14" i="28" s="1"/>
  <c r="AM43" i="53" l="1"/>
  <c r="AM52" i="53" s="1"/>
  <c r="AM14" i="1" s="1"/>
  <c r="AM14" i="28" s="1"/>
  <c r="AM14" i="31" s="1"/>
  <c r="AM15" i="33" s="1"/>
  <c r="X43" i="53"/>
  <c r="X52" i="53" s="1"/>
  <c r="X14" i="1" s="1"/>
  <c r="X14" i="28" s="1"/>
  <c r="X14" i="31" s="1"/>
  <c r="X15" i="33" s="1"/>
  <c r="AZ15" i="71"/>
  <c r="AZ14" i="31"/>
  <c r="BA14" i="31"/>
  <c r="BA15" i="71"/>
  <c r="V15" i="71"/>
  <c r="R43" i="53"/>
  <c r="R52" i="53" s="1"/>
  <c r="R14" i="1" s="1"/>
  <c r="AA14" i="31"/>
  <c r="AA15" i="33" s="1"/>
  <c r="AA15" i="71"/>
  <c r="O15" i="71"/>
  <c r="O14" i="31"/>
  <c r="O15" i="33" s="1"/>
  <c r="AF15" i="71"/>
  <c r="AF14" i="31"/>
  <c r="AF15" i="33" s="1"/>
  <c r="AM15" i="71"/>
  <c r="K14" i="31"/>
  <c r="K15" i="33" s="1"/>
  <c r="K15" i="71"/>
  <c r="AO15" i="71"/>
  <c r="AO14" i="31"/>
  <c r="AO15" i="33" s="1"/>
  <c r="AK14" i="31"/>
  <c r="AK15" i="33" s="1"/>
  <c r="AK15" i="71"/>
  <c r="AQ14" i="31"/>
  <c r="AQ15" i="33" s="1"/>
  <c r="AQ15" i="71"/>
  <c r="Y14" i="31"/>
  <c r="Y15" i="33" s="1"/>
  <c r="Y15" i="71"/>
  <c r="P14" i="31"/>
  <c r="P15" i="33" s="1"/>
  <c r="P15" i="71"/>
  <c r="M14" i="31"/>
  <c r="M15" i="33" s="1"/>
  <c r="M15" i="71"/>
  <c r="AH14" i="31"/>
  <c r="AH15" i="33" s="1"/>
  <c r="AH15" i="71"/>
  <c r="AL15" i="71"/>
  <c r="AL14" i="31"/>
  <c r="AL15" i="33" s="1"/>
  <c r="AR14" i="31"/>
  <c r="AR15" i="33" s="1"/>
  <c r="AR15" i="71"/>
  <c r="N15" i="71"/>
  <c r="N14" i="31"/>
  <c r="N15" i="33" s="1"/>
  <c r="T15" i="71"/>
  <c r="T14" i="31"/>
  <c r="T15" i="33" s="1"/>
  <c r="AD14" i="31"/>
  <c r="AD15" i="33" s="1"/>
  <c r="AD15" i="71"/>
  <c r="AT15" i="71"/>
  <c r="AT14" i="31"/>
  <c r="AT15" i="33" s="1"/>
  <c r="AG15" i="71"/>
  <c r="AG14" i="31"/>
  <c r="AG15" i="33" s="1"/>
  <c r="L14" i="31"/>
  <c r="L15" i="33" s="1"/>
  <c r="L15" i="71"/>
  <c r="AE14" i="31"/>
  <c r="AE15" i="33" s="1"/>
  <c r="AE15" i="71"/>
  <c r="AN14" i="31"/>
  <c r="AN15" i="33" s="1"/>
  <c r="AN15" i="71"/>
  <c r="AJ15" i="71"/>
  <c r="AJ14" i="31"/>
  <c r="AJ15" i="33" s="1"/>
  <c r="Z15" i="71"/>
  <c r="Z14" i="31"/>
  <c r="Z15" i="33" s="1"/>
  <c r="J14" i="28"/>
  <c r="AX14" i="31"/>
  <c r="AX15" i="33" s="1"/>
  <c r="AX15" i="71"/>
  <c r="AS15" i="71"/>
  <c r="AS14" i="31"/>
  <c r="AS15" i="33" s="1"/>
  <c r="AY14" i="31"/>
  <c r="AY15" i="33" s="1"/>
  <c r="AY15" i="71"/>
  <c r="S14" i="31"/>
  <c r="S15" i="33" s="1"/>
  <c r="S15" i="71"/>
  <c r="Q15" i="71"/>
  <c r="Q14" i="31"/>
  <c r="Q15" i="33" s="1"/>
  <c r="AI15" i="71"/>
  <c r="AI14" i="31"/>
  <c r="AI15" i="33" s="1"/>
  <c r="AV14" i="31"/>
  <c r="AV15" i="33" s="1"/>
  <c r="AV15" i="71"/>
  <c r="W15" i="71"/>
  <c r="W14" i="31"/>
  <c r="W15" i="33" s="1"/>
  <c r="AB14" i="31"/>
  <c r="AB15" i="33" s="1"/>
  <c r="AB15" i="71"/>
  <c r="AC15" i="71"/>
  <c r="AC14" i="31"/>
  <c r="AC15" i="33" s="1"/>
  <c r="AP14" i="31"/>
  <c r="AP15" i="33" s="1"/>
  <c r="AP15" i="71"/>
  <c r="AU14" i="31"/>
  <c r="AU15" i="33" s="1"/>
  <c r="AU15" i="71"/>
  <c r="U14" i="31"/>
  <c r="U15" i="33" s="1"/>
  <c r="AW14" i="31"/>
  <c r="AW15" i="33" s="1"/>
  <c r="I15" i="71"/>
  <c r="I14" i="31"/>
  <c r="X15" i="71" l="1"/>
  <c r="AZ15" i="33"/>
  <c r="BA15" i="33"/>
  <c r="R14" i="28"/>
  <c r="H14" i="1"/>
  <c r="J15" i="71"/>
  <c r="J14" i="31"/>
  <c r="J15" i="33" s="1"/>
  <c r="I15" i="33"/>
  <c r="R14" i="31" l="1"/>
  <c r="H14" i="28"/>
  <c r="R15" i="71"/>
  <c r="F15" i="71" s="1"/>
  <c r="F18" i="34" s="1"/>
  <c r="R15" i="33" l="1"/>
  <c r="F15" i="33" s="1"/>
  <c r="G18" i="34" s="1"/>
  <c r="H14" i="31"/>
  <c r="D93" i="92"/>
  <c r="D90" i="92"/>
  <c r="G90" i="92" s="1"/>
  <c r="D89" i="92"/>
  <c r="H89" i="92" s="1"/>
  <c r="D100" i="92"/>
  <c r="D99" i="92"/>
  <c r="D98" i="92"/>
  <c r="D97" i="92"/>
  <c r="I97" i="92" s="1"/>
  <c r="D96" i="92"/>
  <c r="D94" i="92"/>
  <c r="D95" i="92"/>
  <c r="D91" i="92"/>
  <c r="I91" i="92" s="1"/>
  <c r="D88" i="92"/>
  <c r="D87" i="92"/>
  <c r="E87" i="92" s="1"/>
  <c r="D92" i="92"/>
  <c r="D86" i="92"/>
  <c r="D85" i="92"/>
  <c r="D84" i="92"/>
  <c r="D83" i="92"/>
  <c r="D82" i="92"/>
  <c r="F82" i="92" s="1"/>
  <c r="D81" i="92"/>
  <c r="D80" i="92"/>
  <c r="D79" i="92"/>
  <c r="D78" i="92"/>
  <c r="J17" i="85" l="1"/>
  <c r="E98" i="92"/>
  <c r="H79" i="92"/>
  <c r="E90" i="92"/>
  <c r="E88" i="92"/>
  <c r="H95" i="92"/>
  <c r="G91" i="92"/>
  <c r="E86" i="92"/>
  <c r="G98" i="92"/>
  <c r="E79" i="92"/>
  <c r="F78" i="92"/>
  <c r="I83" i="92"/>
  <c r="H98" i="92"/>
  <c r="F79" i="92"/>
  <c r="E95" i="92"/>
  <c r="I78" i="92"/>
  <c r="E78" i="92"/>
  <c r="G78" i="92"/>
  <c r="F83" i="92"/>
  <c r="G97" i="92"/>
  <c r="E97" i="92"/>
  <c r="F97" i="92"/>
  <c r="E85" i="92"/>
  <c r="G95" i="92"/>
  <c r="F91" i="92"/>
  <c r="H85" i="92"/>
  <c r="I90" i="92"/>
  <c r="H78" i="92"/>
  <c r="G80" i="92"/>
  <c r="I84" i="92"/>
  <c r="G87" i="92"/>
  <c r="E91" i="92"/>
  <c r="I100" i="92"/>
  <c r="E93" i="92"/>
  <c r="H83" i="92"/>
  <c r="F84" i="92"/>
  <c r="H87" i="92"/>
  <c r="H84" i="92"/>
  <c r="I87" i="92"/>
  <c r="G88" i="92"/>
  <c r="F93" i="92"/>
  <c r="E81" i="92"/>
  <c r="G85" i="92"/>
  <c r="F88" i="92"/>
  <c r="I99" i="92"/>
  <c r="F90" i="92"/>
  <c r="I88" i="92"/>
  <c r="H80" i="92"/>
  <c r="I85" i="92"/>
  <c r="H90" i="92"/>
  <c r="I82" i="92"/>
  <c r="I81" i="92"/>
  <c r="E84" i="92"/>
  <c r="F87" i="92"/>
  <c r="H88" i="92"/>
  <c r="I95" i="92"/>
  <c r="I98" i="92"/>
  <c r="F89" i="92"/>
  <c r="H93" i="92"/>
  <c r="E80" i="92"/>
  <c r="G79" i="92"/>
  <c r="G83" i="92"/>
  <c r="G89" i="92"/>
  <c r="E82" i="92"/>
  <c r="H81" i="92"/>
  <c r="I80" i="92"/>
  <c r="F81" i="92"/>
  <c r="G84" i="92"/>
  <c r="H92" i="92"/>
  <c r="F98" i="92"/>
  <c r="I79" i="92"/>
  <c r="H94" i="92"/>
  <c r="E94" i="92"/>
  <c r="F94" i="92"/>
  <c r="I94" i="92"/>
  <c r="G94" i="92"/>
  <c r="F80" i="92"/>
  <c r="G82" i="92"/>
  <c r="H82" i="92"/>
  <c r="G96" i="92"/>
  <c r="F96" i="92"/>
  <c r="E96" i="92"/>
  <c r="G81" i="92"/>
  <c r="I86" i="92"/>
  <c r="F86" i="92"/>
  <c r="H86" i="92"/>
  <c r="G86" i="92"/>
  <c r="I96" i="92"/>
  <c r="H96" i="92"/>
  <c r="E92" i="92"/>
  <c r="I92" i="92"/>
  <c r="F92" i="92"/>
  <c r="G92" i="92"/>
  <c r="F77" i="92"/>
  <c r="I77" i="92"/>
  <c r="H77" i="92"/>
  <c r="G77" i="92"/>
  <c r="E83" i="92"/>
  <c r="G99" i="92"/>
  <c r="H91" i="92"/>
  <c r="H99" i="92"/>
  <c r="H97" i="92"/>
  <c r="F99" i="92"/>
  <c r="E99" i="92"/>
  <c r="H100" i="92"/>
  <c r="E100" i="92"/>
  <c r="G100" i="92"/>
  <c r="F100" i="92"/>
  <c r="F85" i="92"/>
  <c r="F95" i="92"/>
  <c r="E89" i="92"/>
  <c r="I89" i="92"/>
  <c r="I93" i="92"/>
  <c r="G93" i="92"/>
  <c r="E102" i="92" l="1"/>
  <c r="F126" i="92" s="1"/>
  <c r="F132" i="92" s="1"/>
  <c r="D148" i="92" s="1"/>
  <c r="F102" i="92"/>
  <c r="F127" i="92" s="1"/>
  <c r="F133" i="92" s="1"/>
  <c r="G102" i="92"/>
  <c r="F128" i="92" s="1"/>
  <c r="F134" i="92" s="1"/>
  <c r="H102" i="92"/>
  <c r="F129" i="92" s="1"/>
  <c r="I102" i="92"/>
  <c r="F130" i="92" s="1"/>
  <c r="F136" i="92" s="1"/>
  <c r="F135" i="92" l="1"/>
  <c r="F139" i="92" s="1"/>
  <c r="E148" i="92"/>
  <c r="D221" i="92"/>
  <c r="F141" i="92"/>
  <c r="F142" i="92"/>
  <c r="F138" i="92"/>
  <c r="D149" i="92" l="1"/>
  <c r="E221" i="92"/>
  <c r="E149" i="92"/>
  <c r="D222" i="92" l="1"/>
  <c r="D150" i="92"/>
  <c r="E222" i="92"/>
  <c r="E150" i="92"/>
  <c r="E223" i="92" l="1"/>
  <c r="E151" i="92"/>
  <c r="D223" i="92"/>
  <c r="D151" i="92"/>
  <c r="D152" i="92" s="1"/>
  <c r="E224" i="92" l="1"/>
  <c r="E152" i="92"/>
  <c r="D224" i="92"/>
  <c r="D153" i="92" l="1"/>
  <c r="D225" i="92"/>
  <c r="E225" i="92"/>
  <c r="E153" i="92"/>
  <c r="I96" i="90" l="1"/>
  <c r="I97" i="90" s="1"/>
  <c r="D226" i="92"/>
  <c r="D154" i="92"/>
  <c r="E226" i="92"/>
  <c r="E154" i="92"/>
  <c r="E155" i="92" l="1"/>
  <c r="E227" i="92"/>
  <c r="J96" i="90"/>
  <c r="J97" i="90" s="1"/>
  <c r="I101" i="90"/>
  <c r="I123" i="90" s="1"/>
  <c r="I99" i="90"/>
  <c r="I121" i="90" s="1"/>
  <c r="I102" i="90"/>
  <c r="I124" i="90" s="1"/>
  <c r="I107" i="90"/>
  <c r="I129" i="90" s="1"/>
  <c r="I104" i="90"/>
  <c r="I126" i="90" s="1"/>
  <c r="I142" i="90" s="1"/>
  <c r="I106" i="90"/>
  <c r="I128" i="90" s="1"/>
  <c r="D155" i="92"/>
  <c r="D227" i="92"/>
  <c r="I133" i="90" l="1"/>
  <c r="I139" i="90" s="1"/>
  <c r="I132" i="90"/>
  <c r="I138" i="90" s="1"/>
  <c r="I13" i="55" s="1"/>
  <c r="J101" i="90"/>
  <c r="J123" i="90" s="1"/>
  <c r="J102" i="90"/>
  <c r="J124" i="90" s="1"/>
  <c r="J99" i="90"/>
  <c r="J121" i="90" s="1"/>
  <c r="I131" i="90"/>
  <c r="I141" i="90"/>
  <c r="J107" i="90"/>
  <c r="J129" i="90" s="1"/>
  <c r="J106" i="90"/>
  <c r="J128" i="90" s="1"/>
  <c r="J104" i="90"/>
  <c r="J126" i="90" s="1"/>
  <c r="J142" i="90" s="1"/>
  <c r="E156" i="92"/>
  <c r="E228" i="92"/>
  <c r="O97" i="90" s="1"/>
  <c r="K96" i="90"/>
  <c r="K97" i="90" s="1"/>
  <c r="D156" i="92"/>
  <c r="D228" i="92"/>
  <c r="O96" i="90" s="1"/>
  <c r="I12" i="55" l="1"/>
  <c r="I8" i="1" s="1"/>
  <c r="I8" i="28" s="1"/>
  <c r="O102" i="90"/>
  <c r="O124" i="90" s="1"/>
  <c r="O99" i="90"/>
  <c r="O121" i="90" s="1"/>
  <c r="O101" i="90"/>
  <c r="O123" i="90" s="1"/>
  <c r="O106" i="90"/>
  <c r="O128" i="90" s="1"/>
  <c r="O107" i="90"/>
  <c r="O129" i="90" s="1"/>
  <c r="O104" i="90"/>
  <c r="O126" i="90" s="1"/>
  <c r="O142" i="90" s="1"/>
  <c r="I9" i="1"/>
  <c r="I9" i="28" s="1"/>
  <c r="E229" i="92"/>
  <c r="P97" i="90" s="1"/>
  <c r="E157" i="92"/>
  <c r="J131" i="90"/>
  <c r="J141" i="90"/>
  <c r="J133" i="90"/>
  <c r="J139" i="90" s="1"/>
  <c r="J132" i="90"/>
  <c r="J138" i="90" s="1"/>
  <c r="J13" i="55" s="1"/>
  <c r="K106" i="90"/>
  <c r="K128" i="90" s="1"/>
  <c r="K104" i="90"/>
  <c r="K126" i="90" s="1"/>
  <c r="K142" i="90" s="1"/>
  <c r="K107" i="90"/>
  <c r="K129" i="90" s="1"/>
  <c r="K99" i="90"/>
  <c r="K121" i="90" s="1"/>
  <c r="K102" i="90"/>
  <c r="K124" i="90" s="1"/>
  <c r="K101" i="90"/>
  <c r="K123" i="90" s="1"/>
  <c r="L96" i="90"/>
  <c r="L97" i="90" s="1"/>
  <c r="D157" i="92"/>
  <c r="D229" i="92"/>
  <c r="P96" i="90" s="1"/>
  <c r="J12" i="55" l="1"/>
  <c r="J8" i="1" s="1"/>
  <c r="J8" i="28" s="1"/>
  <c r="J8" i="31" s="1"/>
  <c r="O133" i="90"/>
  <c r="O139" i="90" s="1"/>
  <c r="P102" i="90"/>
  <c r="P124" i="90" s="1"/>
  <c r="P99" i="90"/>
  <c r="P121" i="90" s="1"/>
  <c r="P101" i="90"/>
  <c r="P123" i="90" s="1"/>
  <c r="E230" i="92"/>
  <c r="Q97" i="90" s="1"/>
  <c r="E158" i="92"/>
  <c r="O132" i="90"/>
  <c r="O138" i="90" s="1"/>
  <c r="O13" i="55" s="1"/>
  <c r="O131" i="90"/>
  <c r="O141" i="90"/>
  <c r="P107" i="90"/>
  <c r="P129" i="90" s="1"/>
  <c r="P104" i="90"/>
  <c r="P126" i="90" s="1"/>
  <c r="P142" i="90" s="1"/>
  <c r="P106" i="90"/>
  <c r="P128" i="90" s="1"/>
  <c r="D230" i="92"/>
  <c r="Q96" i="90" s="1"/>
  <c r="D158" i="92"/>
  <c r="K132" i="90"/>
  <c r="K138" i="90" s="1"/>
  <c r="K13" i="55" s="1"/>
  <c r="K133" i="90"/>
  <c r="K139" i="90" s="1"/>
  <c r="M96" i="90"/>
  <c r="M97" i="90" s="1"/>
  <c r="K131" i="90"/>
  <c r="K141" i="90"/>
  <c r="L101" i="90"/>
  <c r="L123" i="90" s="1"/>
  <c r="L99" i="90"/>
  <c r="L121" i="90" s="1"/>
  <c r="L102" i="90"/>
  <c r="L124" i="90" s="1"/>
  <c r="L106" i="90"/>
  <c r="L128" i="90" s="1"/>
  <c r="L107" i="90"/>
  <c r="L129" i="90" s="1"/>
  <c r="L104" i="90"/>
  <c r="L126" i="90" s="1"/>
  <c r="L142" i="90" s="1"/>
  <c r="N96" i="90"/>
  <c r="N97" i="90" s="1"/>
  <c r="I12" i="71"/>
  <c r="I8" i="31"/>
  <c r="I9" i="31"/>
  <c r="J9" i="1"/>
  <c r="K12" i="55" l="1"/>
  <c r="K8" i="1" s="1"/>
  <c r="K8" i="28" s="1"/>
  <c r="K8" i="31" s="1"/>
  <c r="O12" i="55"/>
  <c r="O8" i="1" s="1"/>
  <c r="O8" i="28" s="1"/>
  <c r="O8" i="31" s="1"/>
  <c r="O9" i="1"/>
  <c r="O9" i="28" s="1"/>
  <c r="P133" i="90"/>
  <c r="P139" i="90" s="1"/>
  <c r="D159" i="92"/>
  <c r="D231" i="92"/>
  <c r="R96" i="90" s="1"/>
  <c r="Q107" i="90"/>
  <c r="Q129" i="90" s="1"/>
  <c r="Q106" i="90"/>
  <c r="Q128" i="90" s="1"/>
  <c r="Q104" i="90"/>
  <c r="Q126" i="90" s="1"/>
  <c r="Q142" i="90" s="1"/>
  <c r="Q101" i="90"/>
  <c r="Q123" i="90" s="1"/>
  <c r="Q102" i="90"/>
  <c r="Q124" i="90" s="1"/>
  <c r="Q99" i="90"/>
  <c r="Q121" i="90" s="1"/>
  <c r="E231" i="92"/>
  <c r="R97" i="90" s="1"/>
  <c r="E159" i="92"/>
  <c r="P132" i="90"/>
  <c r="P138" i="90" s="1"/>
  <c r="P13" i="55" s="1"/>
  <c r="P141" i="90"/>
  <c r="P131" i="90"/>
  <c r="K9" i="1"/>
  <c r="K9" i="28" s="1"/>
  <c r="K9" i="31" s="1"/>
  <c r="L132" i="90"/>
  <c r="L138" i="90" s="1"/>
  <c r="L13" i="55" s="1"/>
  <c r="M106" i="90"/>
  <c r="M128" i="90" s="1"/>
  <c r="M107" i="90"/>
  <c r="M129" i="90" s="1"/>
  <c r="M104" i="90"/>
  <c r="M126" i="90" s="1"/>
  <c r="M142" i="90" s="1"/>
  <c r="J9" i="28"/>
  <c r="I12" i="33"/>
  <c r="M101" i="90"/>
  <c r="M123" i="90" s="1"/>
  <c r="M102" i="90"/>
  <c r="M124" i="90" s="1"/>
  <c r="M99" i="90"/>
  <c r="M121" i="90" s="1"/>
  <c r="N101" i="90"/>
  <c r="N123" i="90" s="1"/>
  <c r="N102" i="90"/>
  <c r="N124" i="90" s="1"/>
  <c r="N99" i="90"/>
  <c r="N121" i="90" s="1"/>
  <c r="N107" i="90"/>
  <c r="N129" i="90" s="1"/>
  <c r="N106" i="90"/>
  <c r="N128" i="90" s="1"/>
  <c r="N104" i="90"/>
  <c r="N126" i="90" s="1"/>
  <c r="N142" i="90" s="1"/>
  <c r="L133" i="90"/>
  <c r="L139" i="90" s="1"/>
  <c r="L131" i="90"/>
  <c r="L141" i="90"/>
  <c r="P12" i="55" l="1"/>
  <c r="P8" i="1" s="1"/>
  <c r="P8" i="28" s="1"/>
  <c r="P8" i="31" s="1"/>
  <c r="L12" i="55"/>
  <c r="L8" i="1" s="1"/>
  <c r="L8" i="28" s="1"/>
  <c r="P9" i="1"/>
  <c r="P9" i="28" s="1"/>
  <c r="P9" i="31" s="1"/>
  <c r="Q133" i="90"/>
  <c r="Q139" i="90" s="1"/>
  <c r="K12" i="71"/>
  <c r="Q132" i="90"/>
  <c r="Q138" i="90" s="1"/>
  <c r="Q13" i="55" s="1"/>
  <c r="Q131" i="90"/>
  <c r="Q141" i="90"/>
  <c r="R104" i="90"/>
  <c r="R126" i="90" s="1"/>
  <c r="R142" i="90" s="1"/>
  <c r="R106" i="90"/>
  <c r="R128" i="90" s="1"/>
  <c r="R107" i="90"/>
  <c r="R129" i="90" s="1"/>
  <c r="E232" i="92"/>
  <c r="S97" i="90" s="1"/>
  <c r="E160" i="92"/>
  <c r="D160" i="92"/>
  <c r="D232" i="92"/>
  <c r="S96" i="90" s="1"/>
  <c r="R101" i="90"/>
  <c r="R123" i="90" s="1"/>
  <c r="R102" i="90"/>
  <c r="R124" i="90" s="1"/>
  <c r="R99" i="90"/>
  <c r="R121" i="90" s="1"/>
  <c r="O9" i="31"/>
  <c r="O12" i="71"/>
  <c r="M132" i="90"/>
  <c r="M138" i="90" s="1"/>
  <c r="M13" i="55" s="1"/>
  <c r="M133" i="90"/>
  <c r="M139" i="90" s="1"/>
  <c r="L9" i="1"/>
  <c r="L9" i="28" s="1"/>
  <c r="L9" i="31" s="1"/>
  <c r="K12" i="33"/>
  <c r="M131" i="90"/>
  <c r="M141" i="90"/>
  <c r="J9" i="31"/>
  <c r="J12" i="71"/>
  <c r="N131" i="90"/>
  <c r="N141" i="90"/>
  <c r="N133" i="90"/>
  <c r="N139" i="90" s="1"/>
  <c r="N132" i="90"/>
  <c r="N138" i="90" s="1"/>
  <c r="N13" i="55" s="1"/>
  <c r="Q12" i="55" l="1"/>
  <c r="Q8" i="1" s="1"/>
  <c r="Q8" i="28" s="1"/>
  <c r="Q8" i="31" s="1"/>
  <c r="M12" i="55"/>
  <c r="M8" i="1" s="1"/>
  <c r="M8" i="28" s="1"/>
  <c r="M8" i="31" s="1"/>
  <c r="N12" i="55"/>
  <c r="N8" i="1" s="1"/>
  <c r="N8" i="28" s="1"/>
  <c r="N8" i="31" s="1"/>
  <c r="P12" i="71"/>
  <c r="Q9" i="1"/>
  <c r="Q9" i="28" s="1"/>
  <c r="Q9" i="31" s="1"/>
  <c r="M9" i="1"/>
  <c r="M9" i="28" s="1"/>
  <c r="R132" i="90"/>
  <c r="R138" i="90" s="1"/>
  <c r="R13" i="55" s="1"/>
  <c r="E161" i="92"/>
  <c r="E233" i="92"/>
  <c r="T97" i="90" s="1"/>
  <c r="D161" i="92"/>
  <c r="D233" i="92"/>
  <c r="T96" i="90" s="1"/>
  <c r="P12" i="33"/>
  <c r="R131" i="90"/>
  <c r="R141" i="90"/>
  <c r="S102" i="90"/>
  <c r="S124" i="90" s="1"/>
  <c r="S99" i="90"/>
  <c r="S121" i="90" s="1"/>
  <c r="S101" i="90"/>
  <c r="S123" i="90" s="1"/>
  <c r="R133" i="90"/>
  <c r="R139" i="90" s="1"/>
  <c r="S107" i="90"/>
  <c r="S129" i="90" s="1"/>
  <c r="S106" i="90"/>
  <c r="S128" i="90" s="1"/>
  <c r="S104" i="90"/>
  <c r="S126" i="90" s="1"/>
  <c r="S142" i="90" s="1"/>
  <c r="O12" i="33"/>
  <c r="N9" i="1"/>
  <c r="N9" i="28" s="1"/>
  <c r="N9" i="31" s="1"/>
  <c r="J12" i="33"/>
  <c r="L8" i="31"/>
  <c r="L12" i="71"/>
  <c r="R12" i="55" l="1"/>
  <c r="R8" i="1" s="1"/>
  <c r="R8" i="28" s="1"/>
  <c r="R8" i="31" s="1"/>
  <c r="Q12" i="33"/>
  <c r="Q12" i="71"/>
  <c r="R9" i="1"/>
  <c r="R9" i="28" s="1"/>
  <c r="R9" i="31" s="1"/>
  <c r="S132" i="90"/>
  <c r="S138" i="90" s="1"/>
  <c r="S13" i="55" s="1"/>
  <c r="S133" i="90"/>
  <c r="S139" i="90" s="1"/>
  <c r="S141" i="90"/>
  <c r="S131" i="90"/>
  <c r="E162" i="92"/>
  <c r="E234" i="92"/>
  <c r="U97" i="90" s="1"/>
  <c r="T102" i="90"/>
  <c r="T124" i="90" s="1"/>
  <c r="T99" i="90"/>
  <c r="T121" i="90" s="1"/>
  <c r="T101" i="90"/>
  <c r="T123" i="90" s="1"/>
  <c r="D162" i="92"/>
  <c r="D234" i="92"/>
  <c r="U96" i="90" s="1"/>
  <c r="T107" i="90"/>
  <c r="T129" i="90" s="1"/>
  <c r="T104" i="90"/>
  <c r="T126" i="90" s="1"/>
  <c r="T142" i="90" s="1"/>
  <c r="T106" i="90"/>
  <c r="T128" i="90" s="1"/>
  <c r="N12" i="71"/>
  <c r="L12" i="33"/>
  <c r="N12" i="33"/>
  <c r="M9" i="31"/>
  <c r="M12" i="71"/>
  <c r="S12" i="55" l="1"/>
  <c r="S8" i="1" s="1"/>
  <c r="S8" i="28" s="1"/>
  <c r="S8" i="31" s="1"/>
  <c r="S9" i="1"/>
  <c r="S9" i="28" s="1"/>
  <c r="R12" i="71"/>
  <c r="T132" i="90"/>
  <c r="T138" i="90" s="1"/>
  <c r="T13" i="55" s="1"/>
  <c r="T133" i="90"/>
  <c r="T139" i="90" s="1"/>
  <c r="U102" i="90"/>
  <c r="U124" i="90" s="1"/>
  <c r="U99" i="90"/>
  <c r="U121" i="90" s="1"/>
  <c r="U101" i="90"/>
  <c r="U123" i="90" s="1"/>
  <c r="D235" i="92"/>
  <c r="V96" i="90" s="1"/>
  <c r="D163" i="92"/>
  <c r="T131" i="90"/>
  <c r="T141" i="90"/>
  <c r="E163" i="92"/>
  <c r="E235" i="92"/>
  <c r="V97" i="90" s="1"/>
  <c r="R12" i="33"/>
  <c r="U104" i="90"/>
  <c r="U126" i="90" s="1"/>
  <c r="U142" i="90" s="1"/>
  <c r="U107" i="90"/>
  <c r="U129" i="90" s="1"/>
  <c r="U106" i="90"/>
  <c r="U128" i="90" s="1"/>
  <c r="M12" i="33"/>
  <c r="T12" i="55" l="1"/>
  <c r="T8" i="1" s="1"/>
  <c r="T8" i="28" s="1"/>
  <c r="T8" i="31" s="1"/>
  <c r="S12" i="71"/>
  <c r="S9" i="31"/>
  <c r="S12" i="33" s="1"/>
  <c r="T9" i="1"/>
  <c r="T9" i="28" s="1"/>
  <c r="T9" i="31" s="1"/>
  <c r="V101" i="90"/>
  <c r="V123" i="90" s="1"/>
  <c r="V102" i="90"/>
  <c r="V124" i="90" s="1"/>
  <c r="V99" i="90"/>
  <c r="V121" i="90" s="1"/>
  <c r="U132" i="90"/>
  <c r="U138" i="90" s="1"/>
  <c r="U13" i="55" s="1"/>
  <c r="U141" i="90"/>
  <c r="U131" i="90"/>
  <c r="U133" i="90"/>
  <c r="U139" i="90" s="1"/>
  <c r="E164" i="92"/>
  <c r="E236" i="92"/>
  <c r="W97" i="90" s="1"/>
  <c r="V106" i="90"/>
  <c r="V128" i="90" s="1"/>
  <c r="V104" i="90"/>
  <c r="V126" i="90" s="1"/>
  <c r="V142" i="90" s="1"/>
  <c r="V107" i="90"/>
  <c r="V129" i="90" s="1"/>
  <c r="D236" i="92"/>
  <c r="W96" i="90" s="1"/>
  <c r="D164" i="92"/>
  <c r="U12" i="55" l="1"/>
  <c r="U8" i="1" s="1"/>
  <c r="U8" i="28" s="1"/>
  <c r="U8" i="31" s="1"/>
  <c r="T12" i="71"/>
  <c r="T12" i="33"/>
  <c r="V133" i="90"/>
  <c r="V139" i="90" s="1"/>
  <c r="W106" i="90"/>
  <c r="W128" i="90" s="1"/>
  <c r="W107" i="90"/>
  <c r="W129" i="90" s="1"/>
  <c r="W104" i="90"/>
  <c r="W126" i="90" s="1"/>
  <c r="W142" i="90" s="1"/>
  <c r="V131" i="90"/>
  <c r="V141" i="90"/>
  <c r="V132" i="90"/>
  <c r="V138" i="90" s="1"/>
  <c r="V13" i="55" s="1"/>
  <c r="U9" i="1"/>
  <c r="U9" i="28" s="1"/>
  <c r="U9" i="31" s="1"/>
  <c r="E237" i="92"/>
  <c r="X97" i="90" s="1"/>
  <c r="E165" i="92"/>
  <c r="D237" i="92"/>
  <c r="X96" i="90" s="1"/>
  <c r="D165" i="92"/>
  <c r="W102" i="90"/>
  <c r="W124" i="90" s="1"/>
  <c r="W101" i="90"/>
  <c r="W123" i="90" s="1"/>
  <c r="W99" i="90"/>
  <c r="W121" i="90" s="1"/>
  <c r="V12" i="55" l="1"/>
  <c r="V8" i="1" s="1"/>
  <c r="V8" i="28" s="1"/>
  <c r="V8" i="31" s="1"/>
  <c r="V9" i="1"/>
  <c r="V9" i="28" s="1"/>
  <c r="W132" i="90"/>
  <c r="W138" i="90" s="1"/>
  <c r="W13" i="55" s="1"/>
  <c r="W133" i="90"/>
  <c r="W139" i="90" s="1"/>
  <c r="U12" i="33"/>
  <c r="W141" i="90"/>
  <c r="W131" i="90"/>
  <c r="U12" i="71"/>
  <c r="X99" i="90"/>
  <c r="X121" i="90" s="1"/>
  <c r="X102" i="90"/>
  <c r="X124" i="90" s="1"/>
  <c r="X101" i="90"/>
  <c r="X123" i="90" s="1"/>
  <c r="X104" i="90"/>
  <c r="X126" i="90" s="1"/>
  <c r="X142" i="90" s="1"/>
  <c r="X106" i="90"/>
  <c r="X128" i="90" s="1"/>
  <c r="X107" i="90"/>
  <c r="X129" i="90" s="1"/>
  <c r="E238" i="92"/>
  <c r="Y97" i="90" s="1"/>
  <c r="E166" i="92"/>
  <c r="D238" i="92"/>
  <c r="Y96" i="90" s="1"/>
  <c r="D166" i="92"/>
  <c r="W12" i="55" l="1"/>
  <c r="W8" i="1" s="1"/>
  <c r="W8" i="28" s="1"/>
  <c r="W8" i="31" s="1"/>
  <c r="V9" i="31"/>
  <c r="V12" i="33" s="1"/>
  <c r="V12" i="71"/>
  <c r="W9" i="1"/>
  <c r="W9" i="28" s="1"/>
  <c r="X132" i="90"/>
  <c r="X138" i="90" s="1"/>
  <c r="X13" i="55" s="1"/>
  <c r="X133" i="90"/>
  <c r="X139" i="90" s="1"/>
  <c r="X141" i="90"/>
  <c r="X131" i="90"/>
  <c r="Y104" i="90"/>
  <c r="Y126" i="90" s="1"/>
  <c r="Y142" i="90" s="1"/>
  <c r="Y107" i="90"/>
  <c r="Y129" i="90" s="1"/>
  <c r="Y106" i="90"/>
  <c r="Y128" i="90" s="1"/>
  <c r="Y102" i="90"/>
  <c r="Y124" i="90" s="1"/>
  <c r="Y99" i="90"/>
  <c r="Y121" i="90" s="1"/>
  <c r="Y101" i="90"/>
  <c r="Y123" i="90" s="1"/>
  <c r="D167" i="92"/>
  <c r="D239" i="92"/>
  <c r="Z96" i="90" s="1"/>
  <c r="E167" i="92"/>
  <c r="E239" i="92"/>
  <c r="Z97" i="90" s="1"/>
  <c r="X12" i="55" l="1"/>
  <c r="X8" i="1" s="1"/>
  <c r="X8" i="28" s="1"/>
  <c r="X8" i="31" s="1"/>
  <c r="W9" i="31"/>
  <c r="W12" i="33" s="1"/>
  <c r="W12" i="71"/>
  <c r="X9" i="1"/>
  <c r="X9" i="28" s="1"/>
  <c r="X9" i="31" s="1"/>
  <c r="Y132" i="90"/>
  <c r="Y138" i="90" s="1"/>
  <c r="Y13" i="55" s="1"/>
  <c r="E240" i="92"/>
  <c r="AA97" i="90" s="1"/>
  <c r="E168" i="92"/>
  <c r="Z107" i="90"/>
  <c r="Z129" i="90" s="1"/>
  <c r="Z106" i="90"/>
  <c r="Z128" i="90" s="1"/>
  <c r="Z104" i="90"/>
  <c r="Z126" i="90" s="1"/>
  <c r="Z142" i="90" s="1"/>
  <c r="Z101" i="90"/>
  <c r="Z123" i="90" s="1"/>
  <c r="Z102" i="90"/>
  <c r="Z124" i="90" s="1"/>
  <c r="Z99" i="90"/>
  <c r="Z121" i="90" s="1"/>
  <c r="D168" i="92"/>
  <c r="D240" i="92"/>
  <c r="AA96" i="90" s="1"/>
  <c r="Y131" i="90"/>
  <c r="Y141" i="90"/>
  <c r="Y133" i="90"/>
  <c r="Y139" i="90" s="1"/>
  <c r="Y12" i="55" l="1"/>
  <c r="Y8" i="1" s="1"/>
  <c r="Y8" i="28" s="1"/>
  <c r="Y8" i="31" s="1"/>
  <c r="X12" i="71"/>
  <c r="Y9" i="1"/>
  <c r="Y9" i="28" s="1"/>
  <c r="Y9" i="31" s="1"/>
  <c r="Z132" i="90"/>
  <c r="Z138" i="90" s="1"/>
  <c r="Z13" i="55" s="1"/>
  <c r="Z133" i="90"/>
  <c r="Z139" i="90" s="1"/>
  <c r="Z141" i="90"/>
  <c r="Z131" i="90"/>
  <c r="D241" i="92"/>
  <c r="AB96" i="90" s="1"/>
  <c r="D169" i="92"/>
  <c r="X12" i="33"/>
  <c r="E241" i="92"/>
  <c r="AB97" i="90" s="1"/>
  <c r="E169" i="92"/>
  <c r="AA101" i="90"/>
  <c r="AA123" i="90" s="1"/>
  <c r="AA99" i="90"/>
  <c r="AA121" i="90" s="1"/>
  <c r="AA102" i="90"/>
  <c r="AA124" i="90" s="1"/>
  <c r="AA107" i="90"/>
  <c r="AA129" i="90" s="1"/>
  <c r="AA106" i="90"/>
  <c r="AA128" i="90" s="1"/>
  <c r="AA104" i="90"/>
  <c r="AA126" i="90" s="1"/>
  <c r="AA142" i="90" s="1"/>
  <c r="Z12" i="55" l="1"/>
  <c r="Z8" i="1" s="1"/>
  <c r="Z8" i="28" s="1"/>
  <c r="Z8" i="31" s="1"/>
  <c r="Z9" i="1"/>
  <c r="Z9" i="28" s="1"/>
  <c r="Z9" i="31" s="1"/>
  <c r="Y12" i="71"/>
  <c r="Y12" i="33"/>
  <c r="D242" i="92"/>
  <c r="AC96" i="90" s="1"/>
  <c r="D170" i="92"/>
  <c r="AB104" i="90"/>
  <c r="AB126" i="90" s="1"/>
  <c r="AB142" i="90" s="1"/>
  <c r="AB107" i="90"/>
  <c r="AB129" i="90" s="1"/>
  <c r="AB106" i="90"/>
  <c r="AB128" i="90" s="1"/>
  <c r="AA133" i="90"/>
  <c r="AA139" i="90" s="1"/>
  <c r="AA131" i="90"/>
  <c r="AA141" i="90"/>
  <c r="AA132" i="90"/>
  <c r="AA138" i="90" s="1"/>
  <c r="AA13" i="55" s="1"/>
  <c r="E170" i="92"/>
  <c r="E242" i="92"/>
  <c r="AC97" i="90" s="1"/>
  <c r="AB102" i="90"/>
  <c r="AB124" i="90" s="1"/>
  <c r="AB99" i="90"/>
  <c r="AB121" i="90" s="1"/>
  <c r="AB101" i="90"/>
  <c r="AB123" i="90" s="1"/>
  <c r="Z12" i="33" l="1"/>
  <c r="AA12" i="55"/>
  <c r="AA8" i="1" s="1"/>
  <c r="AA8" i="28" s="1"/>
  <c r="AA8" i="31" s="1"/>
  <c r="Z12" i="71"/>
  <c r="AB132" i="90"/>
  <c r="AB138" i="90" s="1"/>
  <c r="AB13" i="55" s="1"/>
  <c r="AB133" i="90"/>
  <c r="AB139" i="90" s="1"/>
  <c r="AA9" i="1"/>
  <c r="AA9" i="28" s="1"/>
  <c r="AA9" i="31" s="1"/>
  <c r="AC104" i="90"/>
  <c r="AC126" i="90" s="1"/>
  <c r="AC142" i="90" s="1"/>
  <c r="AC107" i="90"/>
  <c r="AC129" i="90" s="1"/>
  <c r="AC106" i="90"/>
  <c r="AC128" i="90" s="1"/>
  <c r="AC101" i="90"/>
  <c r="AC123" i="90" s="1"/>
  <c r="AC102" i="90"/>
  <c r="AC124" i="90" s="1"/>
  <c r="AC99" i="90"/>
  <c r="AC121" i="90" s="1"/>
  <c r="AB141" i="90"/>
  <c r="AB131" i="90"/>
  <c r="D171" i="92"/>
  <c r="D243" i="92"/>
  <c r="AD96" i="90" s="1"/>
  <c r="E243" i="92"/>
  <c r="AD97" i="90" s="1"/>
  <c r="E171" i="92"/>
  <c r="AB12" i="55" l="1"/>
  <c r="AB8" i="1" s="1"/>
  <c r="AB8" i="28" s="1"/>
  <c r="AB8" i="31" s="1"/>
  <c r="AB9" i="1"/>
  <c r="AB9" i="28" s="1"/>
  <c r="AB9" i="31" s="1"/>
  <c r="AA12" i="71"/>
  <c r="AC133" i="90"/>
  <c r="AC139" i="90" s="1"/>
  <c r="AC132" i="90"/>
  <c r="AC138" i="90" s="1"/>
  <c r="AC13" i="55" s="1"/>
  <c r="D244" i="92"/>
  <c r="AE96" i="90" s="1"/>
  <c r="D172" i="92"/>
  <c r="AA12" i="33"/>
  <c r="AC131" i="90"/>
  <c r="AC141" i="90"/>
  <c r="AD101" i="90"/>
  <c r="AD123" i="90" s="1"/>
  <c r="AD102" i="90"/>
  <c r="AD124" i="90" s="1"/>
  <c r="AD99" i="90"/>
  <c r="AD121" i="90" s="1"/>
  <c r="E244" i="92"/>
  <c r="AE97" i="90" s="1"/>
  <c r="E172" i="92"/>
  <c r="AD106" i="90"/>
  <c r="AD128" i="90" s="1"/>
  <c r="AD107" i="90"/>
  <c r="AD129" i="90" s="1"/>
  <c r="AD104" i="90"/>
  <c r="AD126" i="90" s="1"/>
  <c r="AD142" i="90" s="1"/>
  <c r="AC12" i="55" l="1"/>
  <c r="AC8" i="1" s="1"/>
  <c r="AC8" i="28" s="1"/>
  <c r="AC8" i="31" s="1"/>
  <c r="AB12" i="33"/>
  <c r="AB12" i="71"/>
  <c r="AC9" i="1"/>
  <c r="AC9" i="28" s="1"/>
  <c r="AD132" i="90"/>
  <c r="AD138" i="90" s="1"/>
  <c r="AD13" i="55" s="1"/>
  <c r="AD133" i="90"/>
  <c r="AD139" i="90" s="1"/>
  <c r="AE101" i="90"/>
  <c r="AE123" i="90" s="1"/>
  <c r="AE99" i="90"/>
  <c r="AE121" i="90" s="1"/>
  <c r="AE102" i="90"/>
  <c r="AE124" i="90" s="1"/>
  <c r="D245" i="92"/>
  <c r="AF96" i="90" s="1"/>
  <c r="D173" i="92"/>
  <c r="E173" i="92"/>
  <c r="E245" i="92"/>
  <c r="AF97" i="90" s="1"/>
  <c r="AE107" i="90"/>
  <c r="AE129" i="90" s="1"/>
  <c r="AE104" i="90"/>
  <c r="AE126" i="90" s="1"/>
  <c r="AE142" i="90" s="1"/>
  <c r="AE106" i="90"/>
  <c r="AE128" i="90" s="1"/>
  <c r="AD131" i="90"/>
  <c r="AD141" i="90"/>
  <c r="AD12" i="55" l="1"/>
  <c r="AD8" i="1" s="1"/>
  <c r="AD8" i="28" s="1"/>
  <c r="AD8" i="31" s="1"/>
  <c r="D246" i="92"/>
  <c r="D174" i="92"/>
  <c r="E246" i="92"/>
  <c r="AG97" i="90" s="1"/>
  <c r="E174" i="92"/>
  <c r="AD9" i="1"/>
  <c r="AD9" i="28" s="1"/>
  <c r="AD9" i="31" s="1"/>
  <c r="AE133" i="90"/>
  <c r="AE139" i="90" s="1"/>
  <c r="AG96" i="90"/>
  <c r="AE141" i="90"/>
  <c r="AE131" i="90"/>
  <c r="AF106" i="90"/>
  <c r="AF128" i="90" s="1"/>
  <c r="AF107" i="90"/>
  <c r="AF129" i="90" s="1"/>
  <c r="AF104" i="90"/>
  <c r="AF126" i="90" s="1"/>
  <c r="AF142" i="90" s="1"/>
  <c r="AE132" i="90"/>
  <c r="AE138" i="90" s="1"/>
  <c r="AE13" i="55" s="1"/>
  <c r="AF102" i="90"/>
  <c r="AF124" i="90" s="1"/>
  <c r="AF99" i="90"/>
  <c r="AF121" i="90" s="1"/>
  <c r="AF101" i="90"/>
  <c r="AF123" i="90" s="1"/>
  <c r="AC12" i="71"/>
  <c r="AC9" i="31"/>
  <c r="AE12" i="55" l="1"/>
  <c r="AE8" i="1" s="1"/>
  <c r="AE8" i="28" s="1"/>
  <c r="AE8" i="31" s="1"/>
  <c r="AG104" i="90"/>
  <c r="AG126" i="90" s="1"/>
  <c r="AG142" i="90" s="1"/>
  <c r="D247" i="92"/>
  <c r="AH96" i="90" s="1"/>
  <c r="D175" i="92"/>
  <c r="E247" i="92"/>
  <c r="E175" i="92"/>
  <c r="AD12" i="71"/>
  <c r="AE9" i="1"/>
  <c r="AE9" i="28" s="1"/>
  <c r="AE9" i="31" s="1"/>
  <c r="AF132" i="90"/>
  <c r="AF138" i="90" s="1"/>
  <c r="AF13" i="55" s="1"/>
  <c r="AF133" i="90"/>
  <c r="AF139" i="90" s="1"/>
  <c r="AF131" i="90"/>
  <c r="AF141" i="90"/>
  <c r="AD12" i="33"/>
  <c r="AG102" i="90"/>
  <c r="AG124" i="90" s="1"/>
  <c r="AG101" i="90"/>
  <c r="AG123" i="90" s="1"/>
  <c r="AG99" i="90"/>
  <c r="AG121" i="90" s="1"/>
  <c r="AC12" i="33"/>
  <c r="AH97" i="90" l="1"/>
  <c r="AH106" i="90" s="1"/>
  <c r="AG107" i="90"/>
  <c r="AG129" i="90" s="1"/>
  <c r="AG133" i="90" s="1"/>
  <c r="AG139" i="90" s="1"/>
  <c r="AG106" i="90"/>
  <c r="AG128" i="90" s="1"/>
  <c r="AG132" i="90" s="1"/>
  <c r="AG138" i="90" s="1"/>
  <c r="AG13" i="55" s="1"/>
  <c r="AE12" i="33"/>
  <c r="AF12" i="55"/>
  <c r="AF8" i="1" s="1"/>
  <c r="AF8" i="28" s="1"/>
  <c r="AF8" i="31" s="1"/>
  <c r="AH101" i="90"/>
  <c r="AH123" i="90" s="1"/>
  <c r="AH99" i="90"/>
  <c r="AH121" i="90" s="1"/>
  <c r="AH102" i="90"/>
  <c r="AH124" i="90" s="1"/>
  <c r="D176" i="92"/>
  <c r="D248" i="92"/>
  <c r="AI96" i="90" s="1"/>
  <c r="E176" i="92"/>
  <c r="E248" i="92"/>
  <c r="AI97" i="90" s="1"/>
  <c r="AE12" i="71"/>
  <c r="AF9" i="1"/>
  <c r="AF9" i="28" s="1"/>
  <c r="AG141" i="90"/>
  <c r="AG131" i="90"/>
  <c r="AH132" i="90" l="1"/>
  <c r="AH138" i="90" s="1"/>
  <c r="AH13" i="55" s="1"/>
  <c r="AH104" i="90"/>
  <c r="AH126" i="90" s="1"/>
  <c r="AH142" i="90" s="1"/>
  <c r="AH107" i="90"/>
  <c r="AH129" i="90" s="1"/>
  <c r="AH133" i="90"/>
  <c r="AH139" i="90" s="1"/>
  <c r="AF12" i="71"/>
  <c r="AH12" i="55"/>
  <c r="AH8" i="1" s="1"/>
  <c r="AH8" i="28" s="1"/>
  <c r="AH8" i="31" s="1"/>
  <c r="AG12" i="55"/>
  <c r="AG8" i="1" s="1"/>
  <c r="AG8" i="28" s="1"/>
  <c r="AG8" i="31" s="1"/>
  <c r="AH9" i="1"/>
  <c r="AH9" i="28" s="1"/>
  <c r="AH9" i="31" s="1"/>
  <c r="AH141" i="90"/>
  <c r="AH131" i="90"/>
  <c r="AI107" i="90"/>
  <c r="AI129" i="90" s="1"/>
  <c r="AI106" i="90"/>
  <c r="AI128" i="90" s="1"/>
  <c r="AI104" i="90"/>
  <c r="AI126" i="90" s="1"/>
  <c r="AI142" i="90" s="1"/>
  <c r="AI99" i="90"/>
  <c r="AI121" i="90" s="1"/>
  <c r="AI101" i="90"/>
  <c r="AI123" i="90" s="1"/>
  <c r="AI102" i="90"/>
  <c r="AI124" i="90" s="1"/>
  <c r="D249" i="92"/>
  <c r="AJ96" i="90" s="1"/>
  <c r="D177" i="92"/>
  <c r="E177" i="92"/>
  <c r="E249" i="92"/>
  <c r="AJ97" i="90" s="1"/>
  <c r="AG9" i="1"/>
  <c r="AG9" i="28" s="1"/>
  <c r="AF9" i="31"/>
  <c r="AG12" i="71" l="1"/>
  <c r="AH12" i="33"/>
  <c r="AI133" i="90"/>
  <c r="AI139" i="90" s="1"/>
  <c r="AI132" i="90"/>
  <c r="AI138" i="90" s="1"/>
  <c r="AI13" i="55" s="1"/>
  <c r="AJ107" i="90"/>
  <c r="AJ129" i="90" s="1"/>
  <c r="AJ104" i="90"/>
  <c r="AJ126" i="90" s="1"/>
  <c r="AJ142" i="90" s="1"/>
  <c r="AJ106" i="90"/>
  <c r="AJ128" i="90" s="1"/>
  <c r="AI141" i="90"/>
  <c r="AI131" i="90"/>
  <c r="AJ101" i="90"/>
  <c r="AJ123" i="90" s="1"/>
  <c r="AJ102" i="90"/>
  <c r="AJ124" i="90" s="1"/>
  <c r="AJ99" i="90"/>
  <c r="AJ121" i="90" s="1"/>
  <c r="E250" i="92"/>
  <c r="AK97" i="90" s="1"/>
  <c r="E178" i="92"/>
  <c r="D250" i="92"/>
  <c r="AK96" i="90" s="1"/>
  <c r="D178" i="92"/>
  <c r="AG9" i="31"/>
  <c r="AG12" i="33" s="1"/>
  <c r="AH12" i="71"/>
  <c r="AF12" i="33"/>
  <c r="AI12" i="55" l="1"/>
  <c r="AI8" i="1" s="1"/>
  <c r="AI8" i="28" s="1"/>
  <c r="AI8" i="31" s="1"/>
  <c r="AI9" i="1"/>
  <c r="AI9" i="28" s="1"/>
  <c r="AI9" i="31" s="1"/>
  <c r="AJ132" i="90"/>
  <c r="AJ138" i="90" s="1"/>
  <c r="AJ13" i="55" s="1"/>
  <c r="AJ133" i="90"/>
  <c r="AJ139" i="90" s="1"/>
  <c r="AK104" i="90"/>
  <c r="AK126" i="90" s="1"/>
  <c r="AK142" i="90" s="1"/>
  <c r="AK107" i="90"/>
  <c r="AK129" i="90" s="1"/>
  <c r="AK106" i="90"/>
  <c r="AK128" i="90" s="1"/>
  <c r="AK102" i="90"/>
  <c r="AK124" i="90" s="1"/>
  <c r="AK101" i="90"/>
  <c r="AK123" i="90" s="1"/>
  <c r="AK99" i="90"/>
  <c r="AK121" i="90" s="1"/>
  <c r="AJ141" i="90"/>
  <c r="AJ131" i="90"/>
  <c r="E179" i="92"/>
  <c r="E251" i="92"/>
  <c r="AL97" i="90" s="1"/>
  <c r="D251" i="92"/>
  <c r="AL96" i="90" s="1"/>
  <c r="D179" i="92"/>
  <c r="AJ12" i="55" l="1"/>
  <c r="AJ8" i="1" s="1"/>
  <c r="AJ8" i="28" s="1"/>
  <c r="AJ8" i="31" s="1"/>
  <c r="AI12" i="33"/>
  <c r="AI12" i="71"/>
  <c r="AJ9" i="1"/>
  <c r="AJ9" i="28" s="1"/>
  <c r="AJ9" i="31" s="1"/>
  <c r="AK132" i="90"/>
  <c r="AK138" i="90" s="1"/>
  <c r="AK13" i="55" s="1"/>
  <c r="AK133" i="90"/>
  <c r="AK139" i="90" s="1"/>
  <c r="AK131" i="90"/>
  <c r="AK141" i="90"/>
  <c r="AL102" i="90"/>
  <c r="AL124" i="90" s="1"/>
  <c r="AL101" i="90"/>
  <c r="AL123" i="90" s="1"/>
  <c r="AL99" i="90"/>
  <c r="AL121" i="90" s="1"/>
  <c r="AL106" i="90"/>
  <c r="AL128" i="90" s="1"/>
  <c r="AL104" i="90"/>
  <c r="AL126" i="90" s="1"/>
  <c r="AL142" i="90" s="1"/>
  <c r="AL107" i="90"/>
  <c r="AL129" i="90" s="1"/>
  <c r="D180" i="92"/>
  <c r="D252" i="92"/>
  <c r="AM96" i="90" s="1"/>
  <c r="E252" i="92"/>
  <c r="AM97" i="90" s="1"/>
  <c r="E180" i="92"/>
  <c r="AK12" i="55" l="1"/>
  <c r="AK8" i="1" s="1"/>
  <c r="AK8" i="28" s="1"/>
  <c r="AK8" i="31" s="1"/>
  <c r="AK9" i="1"/>
  <c r="AK9" i="28" s="1"/>
  <c r="AK9" i="31" s="1"/>
  <c r="AJ12" i="71"/>
  <c r="AJ12" i="33"/>
  <c r="AL132" i="90"/>
  <c r="AL138" i="90" s="1"/>
  <c r="AL13" i="55" s="1"/>
  <c r="AL133" i="90"/>
  <c r="AL139" i="90" s="1"/>
  <c r="AM107" i="90"/>
  <c r="AM129" i="90" s="1"/>
  <c r="AM104" i="90"/>
  <c r="AM126" i="90" s="1"/>
  <c r="AM142" i="90" s="1"/>
  <c r="AM106" i="90"/>
  <c r="AM128" i="90" s="1"/>
  <c r="AL131" i="90"/>
  <c r="AL141" i="90"/>
  <c r="AM101" i="90"/>
  <c r="AM123" i="90" s="1"/>
  <c r="AM102" i="90"/>
  <c r="AM124" i="90" s="1"/>
  <c r="AM99" i="90"/>
  <c r="AM121" i="90" s="1"/>
  <c r="E253" i="92"/>
  <c r="AN97" i="90" s="1"/>
  <c r="E181" i="92"/>
  <c r="D253" i="92"/>
  <c r="AN96" i="90" s="1"/>
  <c r="D181" i="92"/>
  <c r="AL12" i="55" l="1"/>
  <c r="AL8" i="1" s="1"/>
  <c r="AL8" i="28" s="1"/>
  <c r="AL8" i="31" s="1"/>
  <c r="AK12" i="33"/>
  <c r="AK12" i="71"/>
  <c r="AL9" i="1"/>
  <c r="AL9" i="28" s="1"/>
  <c r="AL9" i="31" s="1"/>
  <c r="AN102" i="90"/>
  <c r="AN124" i="90" s="1"/>
  <c r="AN101" i="90"/>
  <c r="AN123" i="90" s="1"/>
  <c r="AN99" i="90"/>
  <c r="AN121" i="90" s="1"/>
  <c r="AM141" i="90"/>
  <c r="AM131" i="90"/>
  <c r="AM133" i="90"/>
  <c r="AM139" i="90" s="1"/>
  <c r="AM132" i="90"/>
  <c r="AM138" i="90" s="1"/>
  <c r="AM13" i="55" s="1"/>
  <c r="AN106" i="90"/>
  <c r="AN128" i="90" s="1"/>
  <c r="AN104" i="90"/>
  <c r="AN126" i="90" s="1"/>
  <c r="AN142" i="90" s="1"/>
  <c r="AN107" i="90"/>
  <c r="AN129" i="90" s="1"/>
  <c r="D182" i="92"/>
  <c r="D254" i="92"/>
  <c r="AO96" i="90" s="1"/>
  <c r="E182" i="92"/>
  <c r="E254" i="92"/>
  <c r="AO97" i="90" s="1"/>
  <c r="AM12" i="55" l="1"/>
  <c r="AM8" i="1" s="1"/>
  <c r="AM8" i="28" s="1"/>
  <c r="AM8" i="31" s="1"/>
  <c r="AL12" i="71"/>
  <c r="AL12" i="33"/>
  <c r="AM9" i="1"/>
  <c r="AM9" i="28" s="1"/>
  <c r="AM9" i="31" s="1"/>
  <c r="AN131" i="90"/>
  <c r="AN141" i="90"/>
  <c r="AN132" i="90"/>
  <c r="AN138" i="90" s="1"/>
  <c r="AN13" i="55" s="1"/>
  <c r="AN133" i="90"/>
  <c r="AN139" i="90" s="1"/>
  <c r="AO106" i="90"/>
  <c r="AO128" i="90" s="1"/>
  <c r="AO107" i="90"/>
  <c r="AO129" i="90" s="1"/>
  <c r="AO104" i="90"/>
  <c r="AO126" i="90" s="1"/>
  <c r="AO142" i="90" s="1"/>
  <c r="AO102" i="90"/>
  <c r="AO124" i="90" s="1"/>
  <c r="AO99" i="90"/>
  <c r="AO121" i="90" s="1"/>
  <c r="AO101" i="90"/>
  <c r="AO123" i="90" s="1"/>
  <c r="D183" i="92"/>
  <c r="D255" i="92"/>
  <c r="AP96" i="90" s="1"/>
  <c r="E255" i="92"/>
  <c r="AP97" i="90" s="1"/>
  <c r="E183" i="92"/>
  <c r="AN12" i="55" l="1"/>
  <c r="AN8" i="1" s="1"/>
  <c r="AN8" i="28" s="1"/>
  <c r="AN8" i="31" s="1"/>
  <c r="AM12" i="71"/>
  <c r="AM12" i="33"/>
  <c r="AN9" i="1"/>
  <c r="AN9" i="28" s="1"/>
  <c r="AN9" i="31" s="1"/>
  <c r="AO132" i="90"/>
  <c r="AO138" i="90" s="1"/>
  <c r="AO13" i="55" s="1"/>
  <c r="AP99" i="90"/>
  <c r="AP121" i="90" s="1"/>
  <c r="AP101" i="90"/>
  <c r="AP123" i="90" s="1"/>
  <c r="AP102" i="90"/>
  <c r="AP124" i="90" s="1"/>
  <c r="AP107" i="90"/>
  <c r="AP129" i="90" s="1"/>
  <c r="AP106" i="90"/>
  <c r="AP128" i="90" s="1"/>
  <c r="AP104" i="90"/>
  <c r="AP126" i="90" s="1"/>
  <c r="AP142" i="90" s="1"/>
  <c r="AO141" i="90"/>
  <c r="AO131" i="90"/>
  <c r="AO133" i="90"/>
  <c r="AO139" i="90" s="1"/>
  <c r="E256" i="92"/>
  <c r="AQ97" i="90" s="1"/>
  <c r="E184" i="92"/>
  <c r="D256" i="92"/>
  <c r="AQ96" i="90" s="1"/>
  <c r="D184" i="92"/>
  <c r="AO12" i="55" l="1"/>
  <c r="AO8" i="1" s="1"/>
  <c r="AO8" i="28" s="1"/>
  <c r="AO8" i="31" s="1"/>
  <c r="AN12" i="33"/>
  <c r="AN12" i="71"/>
  <c r="AO9" i="1"/>
  <c r="AO9" i="28" s="1"/>
  <c r="AO9" i="31" s="1"/>
  <c r="AP133" i="90"/>
  <c r="AP139" i="90" s="1"/>
  <c r="AQ102" i="90"/>
  <c r="AQ124" i="90" s="1"/>
  <c r="AQ99" i="90"/>
  <c r="AQ121" i="90" s="1"/>
  <c r="AQ101" i="90"/>
  <c r="AQ123" i="90" s="1"/>
  <c r="AP132" i="90"/>
  <c r="AP138" i="90" s="1"/>
  <c r="AP13" i="55" s="1"/>
  <c r="AP131" i="90"/>
  <c r="AP141" i="90"/>
  <c r="AQ104" i="90"/>
  <c r="AQ126" i="90" s="1"/>
  <c r="AQ142" i="90" s="1"/>
  <c r="AQ107" i="90"/>
  <c r="AQ129" i="90" s="1"/>
  <c r="AQ106" i="90"/>
  <c r="AQ128" i="90" s="1"/>
  <c r="D185" i="92"/>
  <c r="D257" i="92"/>
  <c r="AR96" i="90" s="1"/>
  <c r="E257" i="92"/>
  <c r="AR97" i="90" s="1"/>
  <c r="E185" i="92"/>
  <c r="AP12" i="55" l="1"/>
  <c r="AP8" i="1" s="1"/>
  <c r="AP8" i="28" s="1"/>
  <c r="AP8" i="31" s="1"/>
  <c r="AP9" i="1"/>
  <c r="AP9" i="28" s="1"/>
  <c r="AP9" i="31" s="1"/>
  <c r="AO12" i="71"/>
  <c r="AO12" i="33"/>
  <c r="AQ132" i="90"/>
  <c r="AQ138" i="90" s="1"/>
  <c r="AQ13" i="55" s="1"/>
  <c r="AQ141" i="90"/>
  <c r="AQ131" i="90"/>
  <c r="AQ133" i="90"/>
  <c r="AQ139" i="90" s="1"/>
  <c r="AR102" i="90"/>
  <c r="AR124" i="90" s="1"/>
  <c r="AR101" i="90"/>
  <c r="AR123" i="90" s="1"/>
  <c r="AR99" i="90"/>
  <c r="AR121" i="90" s="1"/>
  <c r="AR106" i="90"/>
  <c r="AR128" i="90" s="1"/>
  <c r="AR104" i="90"/>
  <c r="AR126" i="90" s="1"/>
  <c r="AR142" i="90" s="1"/>
  <c r="AR107" i="90"/>
  <c r="AR129" i="90" s="1"/>
  <c r="D258" i="92"/>
  <c r="AS96" i="90" s="1"/>
  <c r="D186" i="92"/>
  <c r="E186" i="92"/>
  <c r="E258" i="92"/>
  <c r="AS97" i="90" s="1"/>
  <c r="AQ12" i="55" l="1"/>
  <c r="AQ8" i="1" s="1"/>
  <c r="AQ8" i="28" s="1"/>
  <c r="AQ8" i="31" s="1"/>
  <c r="AP12" i="33"/>
  <c r="AP12" i="71"/>
  <c r="AQ9" i="1"/>
  <c r="AQ9" i="28" s="1"/>
  <c r="AQ9" i="31" s="1"/>
  <c r="AR131" i="90"/>
  <c r="AR141" i="90"/>
  <c r="AR132" i="90"/>
  <c r="AR138" i="90" s="1"/>
  <c r="AR13" i="55" s="1"/>
  <c r="AS107" i="90"/>
  <c r="AS129" i="90" s="1"/>
  <c r="AS104" i="90"/>
  <c r="AS126" i="90" s="1"/>
  <c r="AS142" i="90" s="1"/>
  <c r="AS106" i="90"/>
  <c r="AS128" i="90" s="1"/>
  <c r="AR133" i="90"/>
  <c r="AR139" i="90" s="1"/>
  <c r="AS99" i="90"/>
  <c r="AS121" i="90" s="1"/>
  <c r="AS102" i="90"/>
  <c r="AS124" i="90" s="1"/>
  <c r="AS101" i="90"/>
  <c r="AS123" i="90" s="1"/>
  <c r="E259" i="92"/>
  <c r="AT97" i="90" s="1"/>
  <c r="E187" i="92"/>
  <c r="D187" i="92"/>
  <c r="D259" i="92"/>
  <c r="AT96" i="90" s="1"/>
  <c r="AR12" i="55" l="1"/>
  <c r="AR8" i="1" s="1"/>
  <c r="AR8" i="28" s="1"/>
  <c r="AR8" i="31" s="1"/>
  <c r="AR9" i="1"/>
  <c r="AR9" i="28" s="1"/>
  <c r="AQ12" i="33"/>
  <c r="AS133" i="90"/>
  <c r="AS139" i="90" s="1"/>
  <c r="AQ12" i="71"/>
  <c r="AS132" i="90"/>
  <c r="AS138" i="90" s="1"/>
  <c r="AS13" i="55" s="1"/>
  <c r="AT99" i="90"/>
  <c r="AT121" i="90" s="1"/>
  <c r="AT102" i="90"/>
  <c r="AT124" i="90" s="1"/>
  <c r="AT101" i="90"/>
  <c r="AT123" i="90" s="1"/>
  <c r="AS141" i="90"/>
  <c r="AS131" i="90"/>
  <c r="AT107" i="90"/>
  <c r="AT129" i="90" s="1"/>
  <c r="AT104" i="90"/>
  <c r="AT126" i="90" s="1"/>
  <c r="AT142" i="90" s="1"/>
  <c r="AT106" i="90"/>
  <c r="AT128" i="90" s="1"/>
  <c r="E188" i="92"/>
  <c r="E260" i="92"/>
  <c r="AU97" i="90" s="1"/>
  <c r="D260" i="92"/>
  <c r="AU96" i="90" s="1"/>
  <c r="D188" i="92"/>
  <c r="AS12" i="55" l="1"/>
  <c r="AS8" i="1" s="1"/>
  <c r="AS8" i="28" s="1"/>
  <c r="AS8" i="31" s="1"/>
  <c r="AR9" i="31"/>
  <c r="AR12" i="33" s="1"/>
  <c r="AR12" i="71"/>
  <c r="AS9" i="1"/>
  <c r="AS9" i="28" s="1"/>
  <c r="AT131" i="90"/>
  <c r="AT141" i="90"/>
  <c r="AU99" i="90"/>
  <c r="AU121" i="90" s="1"/>
  <c r="AU101" i="90"/>
  <c r="AU123" i="90" s="1"/>
  <c r="AU102" i="90"/>
  <c r="AU124" i="90" s="1"/>
  <c r="AT132" i="90"/>
  <c r="AT138" i="90" s="1"/>
  <c r="AT13" i="55" s="1"/>
  <c r="AU106" i="90"/>
  <c r="AU128" i="90" s="1"/>
  <c r="AU104" i="90"/>
  <c r="AU126" i="90" s="1"/>
  <c r="AU142" i="90" s="1"/>
  <c r="AU107" i="90"/>
  <c r="AU129" i="90" s="1"/>
  <c r="AT133" i="90"/>
  <c r="AT139" i="90" s="1"/>
  <c r="E261" i="92"/>
  <c r="AV97" i="90" s="1"/>
  <c r="E189" i="92"/>
  <c r="D261" i="92"/>
  <c r="AV96" i="90" s="1"/>
  <c r="D189" i="92"/>
  <c r="AS12" i="71" l="1"/>
  <c r="AT12" i="55"/>
  <c r="AT8" i="1" s="1"/>
  <c r="AT8" i="28" s="1"/>
  <c r="AT8" i="31" s="1"/>
  <c r="AT9" i="1"/>
  <c r="AT9" i="28" s="1"/>
  <c r="AT9" i="31" s="1"/>
  <c r="AS9" i="31"/>
  <c r="AS12" i="33" s="1"/>
  <c r="AV107" i="90"/>
  <c r="AV129" i="90" s="1"/>
  <c r="AV106" i="90"/>
  <c r="AV128" i="90" s="1"/>
  <c r="AV104" i="90"/>
  <c r="AV126" i="90" s="1"/>
  <c r="AV142" i="90" s="1"/>
  <c r="AU133" i="90"/>
  <c r="AU139" i="90" s="1"/>
  <c r="AU132" i="90"/>
  <c r="AU138" i="90" s="1"/>
  <c r="AU13" i="55" s="1"/>
  <c r="AU131" i="90"/>
  <c r="AU141" i="90"/>
  <c r="AV101" i="90"/>
  <c r="AV123" i="90" s="1"/>
  <c r="AV99" i="90"/>
  <c r="AV121" i="90" s="1"/>
  <c r="AV102" i="90"/>
  <c r="AV124" i="90" s="1"/>
  <c r="D190" i="92"/>
  <c r="D262" i="92"/>
  <c r="AW96" i="90" s="1"/>
  <c r="E262" i="92"/>
  <c r="AW97" i="90" s="1"/>
  <c r="E190" i="92"/>
  <c r="AU12" i="55" l="1"/>
  <c r="AU8" i="1" s="1"/>
  <c r="AU8" i="28" s="1"/>
  <c r="AU8" i="31" s="1"/>
  <c r="AT12" i="33"/>
  <c r="AT12" i="71"/>
  <c r="AV132" i="90"/>
  <c r="AV138" i="90" s="1"/>
  <c r="AV13" i="55" s="1"/>
  <c r="AU9" i="1"/>
  <c r="AU9" i="28" s="1"/>
  <c r="AU9" i="31" s="1"/>
  <c r="AV133" i="90"/>
  <c r="AV139" i="90" s="1"/>
  <c r="AW107" i="90"/>
  <c r="AW129" i="90" s="1"/>
  <c r="AW106" i="90"/>
  <c r="AW128" i="90" s="1"/>
  <c r="AW104" i="90"/>
  <c r="AW126" i="90" s="1"/>
  <c r="AW142" i="90" s="1"/>
  <c r="AV131" i="90"/>
  <c r="AV141" i="90"/>
  <c r="AW101" i="90"/>
  <c r="AW123" i="90" s="1"/>
  <c r="AW99" i="90"/>
  <c r="AW121" i="90" s="1"/>
  <c r="AW102" i="90"/>
  <c r="AW124" i="90" s="1"/>
  <c r="E191" i="92"/>
  <c r="E263" i="92"/>
  <c r="AX97" i="90" s="1"/>
  <c r="D263" i="92"/>
  <c r="AX96" i="90" s="1"/>
  <c r="D191" i="92"/>
  <c r="AV12" i="55" l="1"/>
  <c r="AV8" i="1" s="1"/>
  <c r="AV8" i="28" s="1"/>
  <c r="AV8" i="31" s="1"/>
  <c r="AV9" i="1"/>
  <c r="AV9" i="28" s="1"/>
  <c r="AV9" i="31" s="1"/>
  <c r="AU12" i="33"/>
  <c r="AU12" i="71"/>
  <c r="AW132" i="90"/>
  <c r="AW138" i="90" s="1"/>
  <c r="AW13" i="55" s="1"/>
  <c r="AW133" i="90"/>
  <c r="AW139" i="90" s="1"/>
  <c r="AW141" i="90"/>
  <c r="AW131" i="90"/>
  <c r="AX102" i="90"/>
  <c r="AX124" i="90" s="1"/>
  <c r="AX99" i="90"/>
  <c r="AX121" i="90" s="1"/>
  <c r="AX101" i="90"/>
  <c r="AX123" i="90" s="1"/>
  <c r="AX107" i="90"/>
  <c r="AX129" i="90" s="1"/>
  <c r="AX104" i="90"/>
  <c r="AX126" i="90" s="1"/>
  <c r="AX142" i="90" s="1"/>
  <c r="AX106" i="90"/>
  <c r="AX128" i="90" s="1"/>
  <c r="D192" i="92"/>
  <c r="D264" i="92"/>
  <c r="AY96" i="90" s="1"/>
  <c r="E192" i="92"/>
  <c r="E264" i="92"/>
  <c r="AY97" i="90" s="1"/>
  <c r="AW12" i="55" l="1"/>
  <c r="AW8" i="1" s="1"/>
  <c r="AW8" i="28" s="1"/>
  <c r="AW8" i="31" s="1"/>
  <c r="AV12" i="33"/>
  <c r="AV12" i="71"/>
  <c r="AX132" i="90"/>
  <c r="AX138" i="90" s="1"/>
  <c r="AX13" i="55" s="1"/>
  <c r="AW9" i="1"/>
  <c r="AW9" i="28" s="1"/>
  <c r="AW9" i="31" s="1"/>
  <c r="AX141" i="90"/>
  <c r="AX131" i="90"/>
  <c r="AY102" i="90"/>
  <c r="AY124" i="90" s="1"/>
  <c r="AY101" i="90"/>
  <c r="AY123" i="90" s="1"/>
  <c r="AY99" i="90"/>
  <c r="AY121" i="90" s="1"/>
  <c r="AX133" i="90"/>
  <c r="AX139" i="90" s="1"/>
  <c r="AY106" i="90"/>
  <c r="AY128" i="90" s="1"/>
  <c r="AY107" i="90"/>
  <c r="AY129" i="90" s="1"/>
  <c r="AY104" i="90"/>
  <c r="AY126" i="90" s="1"/>
  <c r="AY142" i="90" s="1"/>
  <c r="E193" i="92"/>
  <c r="E266" i="92" s="1"/>
  <c r="E265" i="92"/>
  <c r="D265" i="92"/>
  <c r="D193" i="92"/>
  <c r="D266" i="92" s="1"/>
  <c r="AW12" i="33" l="1"/>
  <c r="AX12" i="55"/>
  <c r="AX8" i="1" s="1"/>
  <c r="AX8" i="28" s="1"/>
  <c r="AX9" i="1"/>
  <c r="AX9" i="28" s="1"/>
  <c r="AW12" i="71"/>
  <c r="AY131" i="90"/>
  <c r="AY141" i="90"/>
  <c r="AY132" i="90"/>
  <c r="AY138" i="90" s="1"/>
  <c r="AY13" i="55" s="1"/>
  <c r="AY133" i="90"/>
  <c r="AY139" i="90" s="1"/>
  <c r="AY12" i="55" l="1"/>
  <c r="AY8" i="1" s="1"/>
  <c r="AY9" i="1"/>
  <c r="AY9" i="28" s="1"/>
  <c r="AY9" i="31" s="1"/>
  <c r="AX8" i="31"/>
  <c r="AX12" i="71"/>
  <c r="AX9" i="31"/>
  <c r="AY8" i="28" l="1"/>
  <c r="AY12" i="71" s="1"/>
  <c r="F12" i="71" s="1"/>
  <c r="H8" i="1"/>
  <c r="H9" i="1"/>
  <c r="H9" i="28"/>
  <c r="H9" i="31"/>
  <c r="AX12" i="33"/>
  <c r="AY8" i="31" l="1"/>
  <c r="H8" i="28"/>
  <c r="H8" i="31" l="1"/>
  <c r="AY12" i="33"/>
  <c r="F12" i="33" s="1"/>
  <c r="G15" i="34" s="1"/>
  <c r="J18" i="85" l="1"/>
  <c r="K30" i="67"/>
  <c r="K54" i="67" s="1"/>
  <c r="K60" i="67" s="1"/>
  <c r="J30" i="67"/>
  <c r="I30" i="67" s="1"/>
  <c r="L30" i="67"/>
  <c r="L52" i="67" s="1"/>
  <c r="L58" i="67" s="1"/>
  <c r="L64" i="67" s="1"/>
  <c r="L28" i="55" s="1"/>
  <c r="L10" i="53" s="1"/>
  <c r="L37" i="53" s="1"/>
  <c r="K52" i="67"/>
  <c r="K58" i="67" s="1"/>
  <c r="K64" i="67" s="1"/>
  <c r="K28" i="55" s="1"/>
  <c r="K10" i="53" s="1"/>
  <c r="K37" i="53" s="1"/>
  <c r="K53" i="67" l="1"/>
  <c r="K59" i="67" s="1"/>
  <c r="K65" i="67" s="1"/>
  <c r="K29" i="55" s="1"/>
  <c r="K11" i="53" s="1"/>
  <c r="K38" i="53" s="1"/>
  <c r="J53" i="67"/>
  <c r="J59" i="67" s="1"/>
  <c r="J65" i="67" s="1"/>
  <c r="J29" i="55" s="1"/>
  <c r="J11" i="53" s="1"/>
  <c r="J38" i="53" s="1"/>
  <c r="J52" i="67"/>
  <c r="J58" i="67" s="1"/>
  <c r="J64" i="67" s="1"/>
  <c r="J28" i="55" s="1"/>
  <c r="J10" i="53" s="1"/>
  <c r="J37" i="53" s="1"/>
  <c r="M30" i="67"/>
  <c r="L54" i="67"/>
  <c r="L60" i="67" s="1"/>
  <c r="L66" i="67" s="1"/>
  <c r="L30" i="55" s="1"/>
  <c r="L12" i="53" s="1"/>
  <c r="L39" i="53" s="1"/>
  <c r="L53" i="67"/>
  <c r="L59" i="67" s="1"/>
  <c r="L65" i="67" s="1"/>
  <c r="L29" i="55" s="1"/>
  <c r="L11" i="53" s="1"/>
  <c r="L38" i="53" s="1"/>
  <c r="L50" i="53" s="1"/>
  <c r="L16" i="1" s="1"/>
  <c r="L16" i="28" s="1"/>
  <c r="I54" i="67"/>
  <c r="I60" i="67" s="1"/>
  <c r="I66" i="67" s="1"/>
  <c r="I52" i="67"/>
  <c r="I58" i="67" s="1"/>
  <c r="I64" i="67" s="1"/>
  <c r="I53" i="67"/>
  <c r="I59" i="67" s="1"/>
  <c r="I65" i="67" s="1"/>
  <c r="I29" i="55" s="1"/>
  <c r="I11" i="53" s="1"/>
  <c r="I38" i="53" s="1"/>
  <c r="J54" i="67"/>
  <c r="J60" i="67" s="1"/>
  <c r="J66" i="67" s="1"/>
  <c r="J30" i="55" s="1"/>
  <c r="J12" i="53" s="1"/>
  <c r="J39" i="53" s="1"/>
  <c r="K66" i="67"/>
  <c r="K30" i="55" s="1"/>
  <c r="K12" i="53" s="1"/>
  <c r="K39" i="53" s="1"/>
  <c r="K50" i="53" s="1"/>
  <c r="K16" i="1" s="1"/>
  <c r="K16" i="28" s="1"/>
  <c r="J50" i="53" l="1"/>
  <c r="J16" i="1" s="1"/>
  <c r="J16" i="28" s="1"/>
  <c r="J16" i="31" s="1"/>
  <c r="J31" i="33" s="1"/>
  <c r="M53" i="67"/>
  <c r="M59" i="67" s="1"/>
  <c r="M65" i="67" s="1"/>
  <c r="M29" i="55" s="1"/>
  <c r="M11" i="53" s="1"/>
  <c r="M38" i="53" s="1"/>
  <c r="M54" i="67"/>
  <c r="M60" i="67" s="1"/>
  <c r="M66" i="67" s="1"/>
  <c r="M30" i="55" s="1"/>
  <c r="M12" i="53" s="1"/>
  <c r="M39" i="53" s="1"/>
  <c r="N30" i="67"/>
  <c r="M52" i="67"/>
  <c r="M58" i="67" s="1"/>
  <c r="M64" i="67" s="1"/>
  <c r="M28" i="55" s="1"/>
  <c r="M10" i="53" s="1"/>
  <c r="M37" i="53" s="1"/>
  <c r="M50" i="53" s="1"/>
  <c r="M16" i="1" s="1"/>
  <c r="M16" i="28" s="1"/>
  <c r="M16" i="31" s="1"/>
  <c r="M19" i="31" s="1"/>
  <c r="M28" i="33" s="1"/>
  <c r="L31" i="71"/>
  <c r="L16" i="31"/>
  <c r="L31" i="33" s="1"/>
  <c r="L19" i="28"/>
  <c r="L28" i="71" s="1"/>
  <c r="J31" i="71"/>
  <c r="K16" i="31"/>
  <c r="K31" i="71"/>
  <c r="K19" i="28"/>
  <c r="K28" i="71" s="1"/>
  <c r="I28" i="55"/>
  <c r="I10" i="53" s="1"/>
  <c r="I37" i="53" s="1"/>
  <c r="I30" i="55"/>
  <c r="I12" i="53" s="1"/>
  <c r="I39" i="53" s="1"/>
  <c r="J19" i="28" l="1"/>
  <c r="J28" i="71" s="1"/>
  <c r="J19" i="31"/>
  <c r="J28" i="33" s="1"/>
  <c r="M31" i="71"/>
  <c r="M19" i="28"/>
  <c r="M28" i="71" s="1"/>
  <c r="N54" i="67"/>
  <c r="N60" i="67" s="1"/>
  <c r="N66" i="67" s="1"/>
  <c r="N30" i="55" s="1"/>
  <c r="N12" i="53" s="1"/>
  <c r="N39" i="53" s="1"/>
  <c r="O30" i="67"/>
  <c r="N52" i="67"/>
  <c r="N58" i="67" s="1"/>
  <c r="N64" i="67" s="1"/>
  <c r="N28" i="55" s="1"/>
  <c r="N10" i="53" s="1"/>
  <c r="N37" i="53" s="1"/>
  <c r="N53" i="67"/>
  <c r="N59" i="67" s="1"/>
  <c r="N65" i="67" s="1"/>
  <c r="N29" i="55" s="1"/>
  <c r="N11" i="53" s="1"/>
  <c r="N38" i="53" s="1"/>
  <c r="M31" i="33"/>
  <c r="L19" i="31"/>
  <c r="L28" i="33" s="1"/>
  <c r="K19" i="31"/>
  <c r="K28" i="33" s="1"/>
  <c r="K31" i="33"/>
  <c r="I50" i="53"/>
  <c r="I16" i="1" s="1"/>
  <c r="I16" i="28" s="1"/>
  <c r="N50" i="53" l="1"/>
  <c r="N16" i="1" s="1"/>
  <c r="N16" i="28" s="1"/>
  <c r="O52" i="67"/>
  <c r="O58" i="67" s="1"/>
  <c r="O64" i="67" s="1"/>
  <c r="O54" i="67"/>
  <c r="O60" i="67" s="1"/>
  <c r="P30" i="67"/>
  <c r="O53" i="67"/>
  <c r="O59" i="67" s="1"/>
  <c r="O66" i="67"/>
  <c r="O65" i="67"/>
  <c r="I16" i="31"/>
  <c r="I31" i="71"/>
  <c r="I19" i="28"/>
  <c r="P53" i="67" l="1"/>
  <c r="P59" i="67" s="1"/>
  <c r="P65" i="67" s="1"/>
  <c r="P29" i="55" s="1"/>
  <c r="P11" i="53" s="1"/>
  <c r="P38" i="53" s="1"/>
  <c r="P52" i="67"/>
  <c r="P58" i="67" s="1"/>
  <c r="P64" i="67" s="1"/>
  <c r="P28" i="55" s="1"/>
  <c r="P10" i="53" s="1"/>
  <c r="P37" i="53" s="1"/>
  <c r="P50" i="53" s="1"/>
  <c r="P16" i="1" s="1"/>
  <c r="P16" i="28" s="1"/>
  <c r="P19" i="28" s="1"/>
  <c r="P28" i="71" s="1"/>
  <c r="Q30" i="67"/>
  <c r="P54" i="67"/>
  <c r="P60" i="67" s="1"/>
  <c r="P66" i="67" s="1"/>
  <c r="P30" i="55" s="1"/>
  <c r="P12" i="53" s="1"/>
  <c r="P39" i="53" s="1"/>
  <c r="N19" i="28"/>
  <c r="N28" i="71" s="1"/>
  <c r="N16" i="31"/>
  <c r="N31" i="71"/>
  <c r="O29" i="55"/>
  <c r="O11" i="53" s="1"/>
  <c r="O38" i="53" s="1"/>
  <c r="O28" i="55"/>
  <c r="O10" i="53" s="1"/>
  <c r="O37" i="53" s="1"/>
  <c r="O30" i="55"/>
  <c r="O12" i="53" s="1"/>
  <c r="O39" i="53" s="1"/>
  <c r="I28" i="71"/>
  <c r="J20" i="28"/>
  <c r="J29" i="71" s="1"/>
  <c r="J11" i="85" s="1"/>
  <c r="K20" i="28"/>
  <c r="K29" i="71" s="1"/>
  <c r="K11" i="85" s="1"/>
  <c r="M20" i="28"/>
  <c r="M29" i="71" s="1"/>
  <c r="M11" i="85" s="1"/>
  <c r="L20" i="28"/>
  <c r="L29" i="71" s="1"/>
  <c r="L11" i="85" s="1"/>
  <c r="I20" i="28"/>
  <c r="I29" i="71" s="1"/>
  <c r="I11" i="85" s="1"/>
  <c r="I31" i="33"/>
  <c r="I19" i="31"/>
  <c r="N20" i="28" l="1"/>
  <c r="N29" i="71" s="1"/>
  <c r="N11" i="85" s="1"/>
  <c r="P31" i="71"/>
  <c r="P16" i="31"/>
  <c r="P31" i="33" s="1"/>
  <c r="Q52" i="67"/>
  <c r="Q58" i="67" s="1"/>
  <c r="Q64" i="67" s="1"/>
  <c r="Q28" i="55" s="1"/>
  <c r="Q10" i="53" s="1"/>
  <c r="Q37" i="53" s="1"/>
  <c r="Q53" i="67"/>
  <c r="Q59" i="67" s="1"/>
  <c r="Q65" i="67" s="1"/>
  <c r="Q29" i="55" s="1"/>
  <c r="Q11" i="53" s="1"/>
  <c r="Q38" i="53" s="1"/>
  <c r="R30" i="67"/>
  <c r="Q54" i="67"/>
  <c r="Q60" i="67" s="1"/>
  <c r="N31" i="33"/>
  <c r="N19" i="31"/>
  <c r="N28" i="33" s="1"/>
  <c r="O50" i="53"/>
  <c r="O16" i="1" s="1"/>
  <c r="O16" i="28" s="1"/>
  <c r="Q66" i="67"/>
  <c r="I28" i="33"/>
  <c r="J20" i="31"/>
  <c r="J29" i="33" s="1"/>
  <c r="J5" i="85" s="1"/>
  <c r="K20" i="31"/>
  <c r="K29" i="33" s="1"/>
  <c r="K5" i="85" s="1"/>
  <c r="M20" i="31"/>
  <c r="M29" i="33" s="1"/>
  <c r="M5" i="85" s="1"/>
  <c r="L20" i="31"/>
  <c r="L29" i="33" s="1"/>
  <c r="L5" i="85" s="1"/>
  <c r="I20" i="31"/>
  <c r="I29" i="33" s="1"/>
  <c r="I5" i="85" s="1"/>
  <c r="P19" i="31" l="1"/>
  <c r="P28" i="33" s="1"/>
  <c r="R52" i="67"/>
  <c r="R58" i="67" s="1"/>
  <c r="R64" i="67" s="1"/>
  <c r="R53" i="67"/>
  <c r="R59" i="67" s="1"/>
  <c r="R54" i="67"/>
  <c r="R60" i="67" s="1"/>
  <c r="R66" i="67" s="1"/>
  <c r="R30" i="55" s="1"/>
  <c r="R12" i="53" s="1"/>
  <c r="R39" i="53" s="1"/>
  <c r="S30" i="67"/>
  <c r="N20" i="31"/>
  <c r="N29" i="33" s="1"/>
  <c r="N5" i="85" s="1"/>
  <c r="R65" i="67"/>
  <c r="O31" i="71"/>
  <c r="O19" i="28"/>
  <c r="O16" i="31"/>
  <c r="Q30" i="55"/>
  <c r="Q12" i="53" s="1"/>
  <c r="Q39" i="53" s="1"/>
  <c r="Q50" i="53" s="1"/>
  <c r="Q16" i="1" s="1"/>
  <c r="T30" i="67" l="1"/>
  <c r="S53" i="67"/>
  <c r="S59" i="67" s="1"/>
  <c r="S65" i="67" s="1"/>
  <c r="S29" i="55" s="1"/>
  <c r="S11" i="53" s="1"/>
  <c r="S38" i="53" s="1"/>
  <c r="S54" i="67"/>
  <c r="S60" i="67" s="1"/>
  <c r="S52" i="67"/>
  <c r="S58" i="67" s="1"/>
  <c r="S64" i="67" s="1"/>
  <c r="S28" i="55" s="1"/>
  <c r="S10" i="53" s="1"/>
  <c r="S37" i="53" s="1"/>
  <c r="R29" i="55"/>
  <c r="R11" i="53" s="1"/>
  <c r="R38" i="53" s="1"/>
  <c r="R28" i="55"/>
  <c r="R10" i="53" s="1"/>
  <c r="R37" i="53" s="1"/>
  <c r="R50" i="53" s="1"/>
  <c r="R16" i="1" s="1"/>
  <c r="R16" i="28" s="1"/>
  <c r="Q16" i="28"/>
  <c r="O31" i="33"/>
  <c r="O19" i="31"/>
  <c r="O28" i="71"/>
  <c r="P20" i="28"/>
  <c r="P29" i="71" s="1"/>
  <c r="P11" i="85" s="1"/>
  <c r="O20" i="28"/>
  <c r="O29" i="71" s="1"/>
  <c r="O11" i="85" s="1"/>
  <c r="S66" i="67"/>
  <c r="T52" i="67" l="1"/>
  <c r="T58" i="67" s="1"/>
  <c r="T64" i="67" s="1"/>
  <c r="T53" i="67"/>
  <c r="T59" i="67" s="1"/>
  <c r="T65" i="67" s="1"/>
  <c r="T29" i="55" s="1"/>
  <c r="T11" i="53" s="1"/>
  <c r="T38" i="53" s="1"/>
  <c r="T54" i="67"/>
  <c r="T60" i="67" s="1"/>
  <c r="T66" i="67" s="1"/>
  <c r="T30" i="55" s="1"/>
  <c r="T12" i="53" s="1"/>
  <c r="T39" i="53" s="1"/>
  <c r="U30" i="67"/>
  <c r="Q19" i="28"/>
  <c r="Q31" i="71"/>
  <c r="Q16" i="31"/>
  <c r="R19" i="28"/>
  <c r="R28" i="71" s="1"/>
  <c r="R31" i="71"/>
  <c r="R16" i="31"/>
  <c r="S30" i="55"/>
  <c r="S12" i="53" s="1"/>
  <c r="S39" i="53" s="1"/>
  <c r="S50" i="53" s="1"/>
  <c r="S16" i="1" s="1"/>
  <c r="O28" i="33"/>
  <c r="O20" i="31"/>
  <c r="O29" i="33" s="1"/>
  <c r="O5" i="85" s="1"/>
  <c r="P20" i="31"/>
  <c r="P29" i="33" s="1"/>
  <c r="P5" i="85" s="1"/>
  <c r="U52" i="67" l="1"/>
  <c r="U58" i="67" s="1"/>
  <c r="U64" i="67" s="1"/>
  <c r="U28" i="55" s="1"/>
  <c r="U10" i="53" s="1"/>
  <c r="U37" i="53" s="1"/>
  <c r="U53" i="67"/>
  <c r="U59" i="67" s="1"/>
  <c r="U54" i="67"/>
  <c r="U60" i="67" s="1"/>
  <c r="U66" i="67" s="1"/>
  <c r="U30" i="55" s="1"/>
  <c r="U12" i="53" s="1"/>
  <c r="U39" i="53" s="1"/>
  <c r="V30" i="67"/>
  <c r="T28" i="55"/>
  <c r="T10" i="53" s="1"/>
  <c r="T37" i="53" s="1"/>
  <c r="T50" i="53" s="1"/>
  <c r="T16" i="1" s="1"/>
  <c r="T16" i="28" s="1"/>
  <c r="U65" i="67"/>
  <c r="S16" i="28"/>
  <c r="R31" i="33"/>
  <c r="R19" i="31"/>
  <c r="R28" i="33" s="1"/>
  <c r="Q31" i="33"/>
  <c r="Q19" i="31"/>
  <c r="Q28" i="71"/>
  <c r="R20" i="28"/>
  <c r="R29" i="71" s="1"/>
  <c r="R11" i="85" s="1"/>
  <c r="Q20" i="28"/>
  <c r="Q29" i="71" s="1"/>
  <c r="Q11" i="85" s="1"/>
  <c r="V52" i="67" l="1"/>
  <c r="V54" i="67"/>
  <c r="V53" i="67"/>
  <c r="S19" i="28"/>
  <c r="S31" i="71"/>
  <c r="S16" i="31"/>
  <c r="Q28" i="33"/>
  <c r="Q20" i="31"/>
  <c r="Q29" i="33" s="1"/>
  <c r="Q5" i="85" s="1"/>
  <c r="R20" i="31"/>
  <c r="R29" i="33" s="1"/>
  <c r="R5" i="85" s="1"/>
  <c r="U29" i="55"/>
  <c r="U11" i="53" s="1"/>
  <c r="U38" i="53" s="1"/>
  <c r="U50" i="53" s="1"/>
  <c r="U16" i="1" s="1"/>
  <c r="T16" i="31"/>
  <c r="T31" i="71"/>
  <c r="T19" i="28"/>
  <c r="T28" i="71" s="1"/>
  <c r="V59" i="67" l="1"/>
  <c r="H53" i="67"/>
  <c r="V60" i="67"/>
  <c r="H54" i="67"/>
  <c r="H52" i="67"/>
  <c r="V58" i="67"/>
  <c r="T31" i="33"/>
  <c r="T19" i="31"/>
  <c r="T28" i="33" s="1"/>
  <c r="S19" i="31"/>
  <c r="S31" i="33"/>
  <c r="S28" i="71"/>
  <c r="T20" i="28"/>
  <c r="T29" i="71" s="1"/>
  <c r="T11" i="85" s="1"/>
  <c r="S20" i="28"/>
  <c r="S29" i="71" s="1"/>
  <c r="S11" i="85" s="1"/>
  <c r="U16" i="28"/>
  <c r="V64" i="67" l="1"/>
  <c r="H58" i="67"/>
  <c r="V66" i="67"/>
  <c r="H60" i="67"/>
  <c r="H154" i="67"/>
  <c r="H33" i="57" s="1"/>
  <c r="F18" i="38" s="1"/>
  <c r="F22" i="38" s="1"/>
  <c r="F23" i="38" s="1"/>
  <c r="F25" i="38" s="1"/>
  <c r="V65" i="67"/>
  <c r="H59" i="67"/>
  <c r="S28" i="33"/>
  <c r="T20" i="31"/>
  <c r="T29" i="33" s="1"/>
  <c r="T5" i="85" s="1"/>
  <c r="S20" i="31"/>
  <c r="S29" i="33" s="1"/>
  <c r="S5" i="85" s="1"/>
  <c r="U31" i="71"/>
  <c r="U19" i="28"/>
  <c r="U16" i="31"/>
  <c r="V29" i="55" l="1"/>
  <c r="V11" i="53" s="1"/>
  <c r="V38" i="53" s="1"/>
  <c r="H65" i="67"/>
  <c r="AO27" i="38"/>
  <c r="AO36" i="38" s="1"/>
  <c r="AO37" i="38" s="1"/>
  <c r="AO13" i="1" s="1"/>
  <c r="AO13" i="28" s="1"/>
  <c r="J27" i="38"/>
  <c r="J36" i="38" s="1"/>
  <c r="J37" i="38" s="1"/>
  <c r="J13" i="1" s="1"/>
  <c r="J13" i="28" s="1"/>
  <c r="Y27" i="38"/>
  <c r="Y36" i="38" s="1"/>
  <c r="Y37" i="38" s="1"/>
  <c r="Y13" i="1" s="1"/>
  <c r="Y13" i="28" s="1"/>
  <c r="V27" i="38"/>
  <c r="V36" i="38" s="1"/>
  <c r="V37" i="38" s="1"/>
  <c r="V13" i="1" s="1"/>
  <c r="V13" i="28" s="1"/>
  <c r="AZ27" i="38"/>
  <c r="AZ36" i="38" s="1"/>
  <c r="AZ37" i="38" s="1"/>
  <c r="AZ13" i="1" s="1"/>
  <c r="AZ13" i="28" s="1"/>
  <c r="AX27" i="38"/>
  <c r="AX36" i="38" s="1"/>
  <c r="AX37" i="38" s="1"/>
  <c r="AX13" i="1" s="1"/>
  <c r="AX13" i="28" s="1"/>
  <c r="AQ27" i="38"/>
  <c r="AQ36" i="38" s="1"/>
  <c r="AQ37" i="38" s="1"/>
  <c r="AQ13" i="1" s="1"/>
  <c r="AQ13" i="28" s="1"/>
  <c r="AH27" i="38"/>
  <c r="AH36" i="38" s="1"/>
  <c r="AH37" i="38" s="1"/>
  <c r="AH13" i="1" s="1"/>
  <c r="AH13" i="28" s="1"/>
  <c r="K27" i="38"/>
  <c r="K36" i="38" s="1"/>
  <c r="K37" i="38" s="1"/>
  <c r="K13" i="1" s="1"/>
  <c r="K13" i="28" s="1"/>
  <c r="AT27" i="38"/>
  <c r="AT36" i="38" s="1"/>
  <c r="AT37" i="38" s="1"/>
  <c r="AT13" i="1" s="1"/>
  <c r="AT13" i="28" s="1"/>
  <c r="I27" i="38"/>
  <c r="U27" i="38"/>
  <c r="U36" i="38" s="1"/>
  <c r="U37" i="38" s="1"/>
  <c r="U13" i="1" s="1"/>
  <c r="U13" i="28" s="1"/>
  <c r="P27" i="38"/>
  <c r="P36" i="38" s="1"/>
  <c r="P37" i="38" s="1"/>
  <c r="P13" i="1" s="1"/>
  <c r="P13" i="28" s="1"/>
  <c r="T27" i="38"/>
  <c r="T36" i="38" s="1"/>
  <c r="T37" i="38" s="1"/>
  <c r="T13" i="1" s="1"/>
  <c r="T13" i="28" s="1"/>
  <c r="W27" i="38"/>
  <c r="W36" i="38" s="1"/>
  <c r="W37" i="38" s="1"/>
  <c r="W13" i="1" s="1"/>
  <c r="W13" i="28" s="1"/>
  <c r="AA27" i="38"/>
  <c r="AA36" i="38" s="1"/>
  <c r="AA37" i="38" s="1"/>
  <c r="AA13" i="1" s="1"/>
  <c r="AA13" i="28" s="1"/>
  <c r="AW27" i="38"/>
  <c r="AW36" i="38" s="1"/>
  <c r="AW37" i="38" s="1"/>
  <c r="AW13" i="1" s="1"/>
  <c r="AW13" i="28" s="1"/>
  <c r="AN27" i="38"/>
  <c r="AN36" i="38" s="1"/>
  <c r="AN37" i="38" s="1"/>
  <c r="AN13" i="1" s="1"/>
  <c r="AN13" i="28" s="1"/>
  <c r="Q27" i="38"/>
  <c r="Q36" i="38" s="1"/>
  <c r="Q37" i="38" s="1"/>
  <c r="Q13" i="1" s="1"/>
  <c r="Q13" i="28" s="1"/>
  <c r="AM27" i="38"/>
  <c r="AM36" i="38" s="1"/>
  <c r="AM37" i="38" s="1"/>
  <c r="AM13" i="1" s="1"/>
  <c r="AM13" i="28" s="1"/>
  <c r="AG27" i="38"/>
  <c r="AG36" i="38" s="1"/>
  <c r="AG37" i="38" s="1"/>
  <c r="AG13" i="1" s="1"/>
  <c r="AG13" i="28" s="1"/>
  <c r="X27" i="38"/>
  <c r="X36" i="38" s="1"/>
  <c r="X37" i="38" s="1"/>
  <c r="X13" i="1" s="1"/>
  <c r="X13" i="28" s="1"/>
  <c r="O27" i="38"/>
  <c r="O36" i="38" s="1"/>
  <c r="O37" i="38" s="1"/>
  <c r="O13" i="1" s="1"/>
  <c r="O13" i="28" s="1"/>
  <c r="AJ27" i="38"/>
  <c r="AJ36" i="38" s="1"/>
  <c r="AJ37" i="38" s="1"/>
  <c r="AJ13" i="1" s="1"/>
  <c r="AJ13" i="28" s="1"/>
  <c r="L27" i="38"/>
  <c r="L36" i="38" s="1"/>
  <c r="L37" i="38" s="1"/>
  <c r="L13" i="1" s="1"/>
  <c r="L13" i="28" s="1"/>
  <c r="AU27" i="38"/>
  <c r="AU36" i="38" s="1"/>
  <c r="AU37" i="38" s="1"/>
  <c r="AU13" i="1" s="1"/>
  <c r="AU13" i="28" s="1"/>
  <c r="F30" i="38"/>
  <c r="AY27" i="38"/>
  <c r="AY36" i="38" s="1"/>
  <c r="AY37" i="38" s="1"/>
  <c r="AY13" i="1" s="1"/>
  <c r="AY13" i="28" s="1"/>
  <c r="M27" i="38"/>
  <c r="M36" i="38" s="1"/>
  <c r="M37" i="38" s="1"/>
  <c r="M13" i="1" s="1"/>
  <c r="M13" i="28" s="1"/>
  <c r="AK27" i="38"/>
  <c r="AK36" i="38" s="1"/>
  <c r="AK37" i="38" s="1"/>
  <c r="AK13" i="1" s="1"/>
  <c r="AK13" i="28" s="1"/>
  <c r="AC27" i="38"/>
  <c r="AC36" i="38" s="1"/>
  <c r="AC37" i="38" s="1"/>
  <c r="AC13" i="1" s="1"/>
  <c r="AC13" i="28" s="1"/>
  <c r="N27" i="38"/>
  <c r="N36" i="38" s="1"/>
  <c r="N37" i="38" s="1"/>
  <c r="N13" i="1" s="1"/>
  <c r="N13" i="28" s="1"/>
  <c r="Z27" i="38"/>
  <c r="Z36" i="38" s="1"/>
  <c r="Z37" i="38" s="1"/>
  <c r="Z13" i="1" s="1"/>
  <c r="Z13" i="28" s="1"/>
  <c r="R27" i="38"/>
  <c r="R36" i="38" s="1"/>
  <c r="R37" i="38" s="1"/>
  <c r="R13" i="1" s="1"/>
  <c r="R13" i="28" s="1"/>
  <c r="AP27" i="38"/>
  <c r="AP36" i="38" s="1"/>
  <c r="AP37" i="38" s="1"/>
  <c r="AP13" i="1" s="1"/>
  <c r="AP13" i="28" s="1"/>
  <c r="AV27" i="38"/>
  <c r="AV36" i="38" s="1"/>
  <c r="AV37" i="38" s="1"/>
  <c r="AV13" i="1" s="1"/>
  <c r="AV13" i="28" s="1"/>
  <c r="AR27" i="38"/>
  <c r="AR36" i="38" s="1"/>
  <c r="AR37" i="38" s="1"/>
  <c r="AR13" i="1" s="1"/>
  <c r="AR13" i="28" s="1"/>
  <c r="S27" i="38"/>
  <c r="S36" i="38" s="1"/>
  <c r="S37" i="38" s="1"/>
  <c r="S13" i="1" s="1"/>
  <c r="S13" i="28" s="1"/>
  <c r="AS27" i="38"/>
  <c r="AS36" i="38" s="1"/>
  <c r="AS37" i="38" s="1"/>
  <c r="AS13" i="1" s="1"/>
  <c r="AS13" i="28" s="1"/>
  <c r="AE27" i="38"/>
  <c r="AE36" i="38" s="1"/>
  <c r="AE37" i="38" s="1"/>
  <c r="AE13" i="1" s="1"/>
  <c r="AE13" i="28" s="1"/>
  <c r="BA27" i="38"/>
  <c r="BA36" i="38" s="1"/>
  <c r="BA37" i="38" s="1"/>
  <c r="BA13" i="1" s="1"/>
  <c r="BA13" i="28" s="1"/>
  <c r="AF27" i="38"/>
  <c r="AF36" i="38" s="1"/>
  <c r="AF37" i="38" s="1"/>
  <c r="AF13" i="1" s="1"/>
  <c r="AF13" i="28" s="1"/>
  <c r="AB27" i="38"/>
  <c r="AB36" i="38" s="1"/>
  <c r="AB37" i="38" s="1"/>
  <c r="AB13" i="1" s="1"/>
  <c r="AB13" i="28" s="1"/>
  <c r="AI27" i="38"/>
  <c r="AI36" i="38" s="1"/>
  <c r="AI37" i="38" s="1"/>
  <c r="AI13" i="1" s="1"/>
  <c r="AI13" i="28" s="1"/>
  <c r="AL27" i="38"/>
  <c r="AL36" i="38" s="1"/>
  <c r="AL37" i="38" s="1"/>
  <c r="AL13" i="1" s="1"/>
  <c r="AL13" i="28" s="1"/>
  <c r="AD27" i="38"/>
  <c r="AD36" i="38" s="1"/>
  <c r="AD37" i="38" s="1"/>
  <c r="AD13" i="1" s="1"/>
  <c r="AD13" i="28" s="1"/>
  <c r="H66" i="67"/>
  <c r="V30" i="55"/>
  <c r="V12" i="53" s="1"/>
  <c r="V39" i="53" s="1"/>
  <c r="V28" i="55"/>
  <c r="V10" i="53" s="1"/>
  <c r="V37" i="53" s="1"/>
  <c r="V50" i="53" s="1"/>
  <c r="V16" i="1" s="1"/>
  <c r="H64" i="67"/>
  <c r="U19" i="31"/>
  <c r="U31" i="33"/>
  <c r="U28" i="71"/>
  <c r="U20" i="28"/>
  <c r="U29" i="71" s="1"/>
  <c r="U11" i="85" s="1"/>
  <c r="L17" i="28" l="1"/>
  <c r="L14" i="71"/>
  <c r="L13" i="31"/>
  <c r="AD14" i="71"/>
  <c r="AD17" i="28"/>
  <c r="AD13" i="31"/>
  <c r="R13" i="31"/>
  <c r="R14" i="71"/>
  <c r="R17" i="28"/>
  <c r="X17" i="28"/>
  <c r="X14" i="71"/>
  <c r="X13" i="31"/>
  <c r="AT13" i="31"/>
  <c r="AT14" i="71"/>
  <c r="AT17" i="28"/>
  <c r="AL13" i="31"/>
  <c r="AL14" i="71"/>
  <c r="AL17" i="28"/>
  <c r="Z14" i="71"/>
  <c r="Z17" i="28"/>
  <c r="Z13" i="31"/>
  <c r="AG13" i="31"/>
  <c r="AG17" i="28"/>
  <c r="AG14" i="71"/>
  <c r="K13" i="31"/>
  <c r="K17" i="28"/>
  <c r="K14" i="71"/>
  <c r="AI14" i="71"/>
  <c r="AI13" i="31"/>
  <c r="AI17" i="28"/>
  <c r="N17" i="28"/>
  <c r="N14" i="71"/>
  <c r="N13" i="31"/>
  <c r="AM17" i="28"/>
  <c r="AM14" i="71"/>
  <c r="AM13" i="31"/>
  <c r="AH17" i="28"/>
  <c r="AH13" i="31"/>
  <c r="AH14" i="71"/>
  <c r="AB13" i="31"/>
  <c r="AB17" i="28"/>
  <c r="AB14" i="71"/>
  <c r="AC13" i="31"/>
  <c r="AC17" i="28"/>
  <c r="AC14" i="71"/>
  <c r="Q13" i="31"/>
  <c r="Q14" i="71"/>
  <c r="Q17" i="28"/>
  <c r="AQ17" i="28"/>
  <c r="AQ14" i="71"/>
  <c r="AQ13" i="31"/>
  <c r="V16" i="28"/>
  <c r="H16" i="1"/>
  <c r="AF14" i="71"/>
  <c r="AF17" i="28"/>
  <c r="AF13" i="31"/>
  <c r="AK13" i="31"/>
  <c r="AK17" i="28"/>
  <c r="AK14" i="71"/>
  <c r="AN13" i="31"/>
  <c r="AN17" i="28"/>
  <c r="AN14" i="71"/>
  <c r="AX17" i="28"/>
  <c r="AX13" i="31"/>
  <c r="AX14" i="71"/>
  <c r="BA14" i="71"/>
  <c r="BA17" i="28"/>
  <c r="BA13" i="31"/>
  <c r="M17" i="28"/>
  <c r="M14" i="71"/>
  <c r="M13" i="31"/>
  <c r="AW17" i="28"/>
  <c r="AW14" i="71"/>
  <c r="AW13" i="31"/>
  <c r="AZ17" i="28"/>
  <c r="AZ13" i="31"/>
  <c r="AZ14" i="71"/>
  <c r="AR14" i="71"/>
  <c r="AR17" i="28"/>
  <c r="AR13" i="31"/>
  <c r="AE13" i="31"/>
  <c r="AE14" i="71"/>
  <c r="AE17" i="28"/>
  <c r="AY17" i="28"/>
  <c r="AY14" i="71"/>
  <c r="AY13" i="31"/>
  <c r="AA17" i="28"/>
  <c r="AA13" i="31"/>
  <c r="AA14" i="71"/>
  <c r="V14" i="71"/>
  <c r="V13" i="31"/>
  <c r="V17" i="28"/>
  <c r="AS14" i="71"/>
  <c r="AS13" i="31"/>
  <c r="AS17" i="28"/>
  <c r="V32" i="38"/>
  <c r="R32" i="38"/>
  <c r="P32" i="38"/>
  <c r="AJ32" i="38"/>
  <c r="BA32" i="38"/>
  <c r="T32" i="38"/>
  <c r="I32" i="38"/>
  <c r="AG32" i="38"/>
  <c r="AI32" i="38"/>
  <c r="Z32" i="38"/>
  <c r="AL32" i="38"/>
  <c r="Q32" i="38"/>
  <c r="AU32" i="38"/>
  <c r="AR32" i="38"/>
  <c r="AT32" i="38"/>
  <c r="AB32" i="38"/>
  <c r="AW32" i="38"/>
  <c r="AV32" i="38"/>
  <c r="Y32" i="38"/>
  <c r="AN32" i="38"/>
  <c r="J32" i="38"/>
  <c r="AO32" i="38"/>
  <c r="AF32" i="38"/>
  <c r="W32" i="38"/>
  <c r="AM32" i="38"/>
  <c r="AA32" i="38"/>
  <c r="O32" i="38"/>
  <c r="AD32" i="38"/>
  <c r="AH32" i="38"/>
  <c r="AZ32" i="38"/>
  <c r="S32" i="38"/>
  <c r="K32" i="38"/>
  <c r="AY32" i="38"/>
  <c r="AP32" i="38"/>
  <c r="X32" i="38"/>
  <c r="U32" i="38"/>
  <c r="AE32" i="38"/>
  <c r="AS32" i="38"/>
  <c r="L32" i="38"/>
  <c r="M32" i="38"/>
  <c r="AK32" i="38"/>
  <c r="AC32" i="38"/>
  <c r="N32" i="38"/>
  <c r="AQ32" i="38"/>
  <c r="AX32" i="38"/>
  <c r="W14" i="71"/>
  <c r="W13" i="31"/>
  <c r="W17" i="28"/>
  <c r="Y17" i="28"/>
  <c r="Y14" i="71"/>
  <c r="Y13" i="31"/>
  <c r="S14" i="71"/>
  <c r="S13" i="31"/>
  <c r="S17" i="28"/>
  <c r="AU13" i="31"/>
  <c r="AU17" i="28"/>
  <c r="AU14" i="71"/>
  <c r="T14" i="71"/>
  <c r="T17" i="28"/>
  <c r="T13" i="31"/>
  <c r="J14" i="71"/>
  <c r="J17" i="28"/>
  <c r="J13" i="31"/>
  <c r="P13" i="31"/>
  <c r="P14" i="71"/>
  <c r="P17" i="28"/>
  <c r="AO13" i="31"/>
  <c r="AO14" i="71"/>
  <c r="AO17" i="28"/>
  <c r="AV13" i="31"/>
  <c r="AV17" i="28"/>
  <c r="AV14" i="71"/>
  <c r="AJ13" i="31"/>
  <c r="AJ14" i="71"/>
  <c r="AJ17" i="28"/>
  <c r="U13" i="31"/>
  <c r="U17" i="28"/>
  <c r="U14" i="71"/>
  <c r="AP17" i="28"/>
  <c r="AP13" i="31"/>
  <c r="AP14" i="71"/>
  <c r="O17" i="28"/>
  <c r="O14" i="71"/>
  <c r="O13" i="31"/>
  <c r="I36" i="38"/>
  <c r="I37" i="38" s="1"/>
  <c r="F27" i="38"/>
  <c r="F36" i="38" s="1"/>
  <c r="U28" i="33"/>
  <c r="U20" i="31"/>
  <c r="U29" i="33" s="1"/>
  <c r="U5" i="85" s="1"/>
  <c r="I13" i="1" l="1"/>
  <c r="F37" i="38"/>
  <c r="AJ14" i="33"/>
  <c r="AJ17" i="31"/>
  <c r="Y21" i="28"/>
  <c r="Y25" i="71"/>
  <c r="AY25" i="71"/>
  <c r="AY21" i="28"/>
  <c r="AW21" i="28"/>
  <c r="AW25" i="71"/>
  <c r="AN17" i="31"/>
  <c r="AN14" i="33"/>
  <c r="Q25" i="71"/>
  <c r="Q21" i="28"/>
  <c r="AM14" i="33"/>
  <c r="AM17" i="31"/>
  <c r="X14" i="33"/>
  <c r="X17" i="31"/>
  <c r="T14" i="33"/>
  <c r="T17" i="31"/>
  <c r="AS21" i="28"/>
  <c r="AS25" i="71"/>
  <c r="AE25" i="71"/>
  <c r="AE21" i="28"/>
  <c r="M14" i="33"/>
  <c r="M17" i="31"/>
  <c r="AG21" i="28"/>
  <c r="AG25" i="71"/>
  <c r="AV21" i="28"/>
  <c r="AV25" i="71"/>
  <c r="T21" i="28"/>
  <c r="T25" i="71"/>
  <c r="W17" i="31"/>
  <c r="W14" i="33"/>
  <c r="AS14" i="33"/>
  <c r="AS17" i="31"/>
  <c r="AK25" i="71"/>
  <c r="AK21" i="28"/>
  <c r="Q14" i="33"/>
  <c r="Q17" i="31"/>
  <c r="AM25" i="71"/>
  <c r="AM21" i="28"/>
  <c r="AG14" i="33"/>
  <c r="AG17" i="31"/>
  <c r="X21" i="28"/>
  <c r="X25" i="71"/>
  <c r="N17" i="31"/>
  <c r="N14" i="33"/>
  <c r="Z17" i="31"/>
  <c r="Z14" i="33"/>
  <c r="R21" i="28"/>
  <c r="R25" i="71"/>
  <c r="Z25" i="71"/>
  <c r="Z21" i="28"/>
  <c r="AV17" i="31"/>
  <c r="AV14" i="33"/>
  <c r="AO21" i="28"/>
  <c r="AO25" i="71"/>
  <c r="V25" i="71"/>
  <c r="AR17" i="31"/>
  <c r="AR14" i="33"/>
  <c r="BA14" i="33"/>
  <c r="BA17" i="31"/>
  <c r="AF17" i="31"/>
  <c r="AF14" i="33"/>
  <c r="AC25" i="71"/>
  <c r="AC21" i="28"/>
  <c r="AP14" i="33"/>
  <c r="AP17" i="31"/>
  <c r="AU21" i="28"/>
  <c r="AU25" i="71"/>
  <c r="V17" i="31"/>
  <c r="V14" i="33"/>
  <c r="AR25" i="71"/>
  <c r="AR21" i="28"/>
  <c r="BA25" i="71"/>
  <c r="BA21" i="28"/>
  <c r="AF25" i="71"/>
  <c r="AF21" i="28"/>
  <c r="AC14" i="33"/>
  <c r="AC17" i="31"/>
  <c r="N21" i="28"/>
  <c r="N25" i="71"/>
  <c r="R14" i="33"/>
  <c r="R17" i="31"/>
  <c r="O21" i="28"/>
  <c r="O25" i="71"/>
  <c r="AE17" i="31"/>
  <c r="AE14" i="33"/>
  <c r="AP21" i="28"/>
  <c r="AP25" i="71"/>
  <c r="AO17" i="31"/>
  <c r="AO14" i="33"/>
  <c r="AU14" i="33"/>
  <c r="AU17" i="31"/>
  <c r="F32" i="38"/>
  <c r="AI21" i="28"/>
  <c r="AI25" i="71"/>
  <c r="AL25" i="71"/>
  <c r="AL21" i="28"/>
  <c r="AD17" i="31"/>
  <c r="AD14" i="33"/>
  <c r="W21" i="28"/>
  <c r="W25" i="71"/>
  <c r="P21" i="28"/>
  <c r="P25" i="71"/>
  <c r="S25" i="71"/>
  <c r="S21" i="28"/>
  <c r="AB25" i="71"/>
  <c r="AB21" i="28"/>
  <c r="AI14" i="33"/>
  <c r="AI17" i="31"/>
  <c r="AD21" i="28"/>
  <c r="AD25" i="71"/>
  <c r="AK17" i="31"/>
  <c r="AK14" i="33"/>
  <c r="U21" i="28"/>
  <c r="U25" i="71"/>
  <c r="S17" i="31"/>
  <c r="S14" i="33"/>
  <c r="AA14" i="33"/>
  <c r="AA17" i="31"/>
  <c r="AZ14" i="33"/>
  <c r="AZ17" i="31"/>
  <c r="AX17" i="31"/>
  <c r="AX14" i="33"/>
  <c r="V31" i="71"/>
  <c r="F31" i="71" s="1"/>
  <c r="F28" i="34" s="1"/>
  <c r="F30" i="34" s="1"/>
  <c r="F32" i="34" s="1"/>
  <c r="H16" i="28"/>
  <c r="V16" i="31"/>
  <c r="V19" i="28"/>
  <c r="AB17" i="31"/>
  <c r="AB14" i="33"/>
  <c r="AL17" i="31"/>
  <c r="AL14" i="33"/>
  <c r="U17" i="31"/>
  <c r="U14" i="33"/>
  <c r="P17" i="31"/>
  <c r="P14" i="33"/>
  <c r="AA21" i="28"/>
  <c r="AA25" i="71"/>
  <c r="AZ21" i="28"/>
  <c r="AZ25" i="71"/>
  <c r="AX21" i="28"/>
  <c r="AX25" i="71"/>
  <c r="AQ17" i="31"/>
  <c r="AQ14" i="33"/>
  <c r="AT25" i="71"/>
  <c r="AT21" i="28"/>
  <c r="L14" i="33"/>
  <c r="L17" i="31"/>
  <c r="AH14" i="33"/>
  <c r="AH17" i="31"/>
  <c r="K25" i="71"/>
  <c r="K21" i="28"/>
  <c r="O14" i="33"/>
  <c r="O17" i="31"/>
  <c r="M25" i="71"/>
  <c r="M21" i="28"/>
  <c r="AJ25" i="71"/>
  <c r="AJ21" i="28"/>
  <c r="J17" i="31"/>
  <c r="J14" i="33"/>
  <c r="Y17" i="31"/>
  <c r="Y14" i="33"/>
  <c r="AY17" i="31"/>
  <c r="AY14" i="33"/>
  <c r="AW17" i="31"/>
  <c r="AW14" i="33"/>
  <c r="J25" i="71"/>
  <c r="J21" i="28"/>
  <c r="AN21" i="28"/>
  <c r="AN25" i="71"/>
  <c r="AQ25" i="71"/>
  <c r="AQ21" i="28"/>
  <c r="AH25" i="71"/>
  <c r="AH21" i="28"/>
  <c r="K14" i="33"/>
  <c r="K17" i="31"/>
  <c r="AT17" i="31"/>
  <c r="AT14" i="33"/>
  <c r="L21" i="28"/>
  <c r="L25" i="71"/>
  <c r="V28" i="71" l="1"/>
  <c r="F28" i="71" s="1"/>
  <c r="AH20" i="28"/>
  <c r="AH29" i="71" s="1"/>
  <c r="AH11" i="85" s="1"/>
  <c r="AM20" i="28"/>
  <c r="AM29" i="71" s="1"/>
  <c r="AM11" i="85" s="1"/>
  <c r="X20" i="28"/>
  <c r="X29" i="71" s="1"/>
  <c r="X11" i="85" s="1"/>
  <c r="Z20" i="28"/>
  <c r="Z29" i="71" s="1"/>
  <c r="Z11" i="85" s="1"/>
  <c r="AB20" i="28"/>
  <c r="AB29" i="71" s="1"/>
  <c r="AB11" i="85" s="1"/>
  <c r="AG20" i="28"/>
  <c r="AG29" i="71" s="1"/>
  <c r="AG11" i="85" s="1"/>
  <c r="AQ20" i="28"/>
  <c r="AQ29" i="71" s="1"/>
  <c r="AQ11" i="85" s="1"/>
  <c r="BA20" i="28"/>
  <c r="BA29" i="71" s="1"/>
  <c r="AW20" i="28"/>
  <c r="AW29" i="71" s="1"/>
  <c r="AW11" i="85" s="1"/>
  <c r="AL20" i="28"/>
  <c r="AL29" i="71" s="1"/>
  <c r="AL11" i="85" s="1"/>
  <c r="AZ20" i="28"/>
  <c r="AZ29" i="71" s="1"/>
  <c r="AR20" i="28"/>
  <c r="AR29" i="71" s="1"/>
  <c r="AR11" i="85" s="1"/>
  <c r="AC20" i="28"/>
  <c r="AC29" i="71" s="1"/>
  <c r="AC11" i="85" s="1"/>
  <c r="AV20" i="28"/>
  <c r="AV29" i="71" s="1"/>
  <c r="AV11" i="85" s="1"/>
  <c r="AP20" i="28"/>
  <c r="AP29" i="71" s="1"/>
  <c r="AP11" i="85" s="1"/>
  <c r="AU20" i="28"/>
  <c r="AU29" i="71" s="1"/>
  <c r="AU11" i="85" s="1"/>
  <c r="AI20" i="28"/>
  <c r="AI29" i="71" s="1"/>
  <c r="AI11" i="85" s="1"/>
  <c r="AJ20" i="28"/>
  <c r="AJ29" i="71" s="1"/>
  <c r="AJ11" i="85" s="1"/>
  <c r="V20" i="28"/>
  <c r="V29" i="71" s="1"/>
  <c r="V11" i="85" s="1"/>
  <c r="AX20" i="28"/>
  <c r="AX29" i="71" s="1"/>
  <c r="AX11" i="85" s="1"/>
  <c r="AO20" i="28"/>
  <c r="AO29" i="71" s="1"/>
  <c r="AO11" i="85" s="1"/>
  <c r="AA20" i="28"/>
  <c r="AA29" i="71" s="1"/>
  <c r="AA11" i="85" s="1"/>
  <c r="AF20" i="28"/>
  <c r="AF29" i="71" s="1"/>
  <c r="AF11" i="85" s="1"/>
  <c r="Y20" i="28"/>
  <c r="Y29" i="71" s="1"/>
  <c r="Y11" i="85" s="1"/>
  <c r="AN20" i="28"/>
  <c r="AN29" i="71" s="1"/>
  <c r="AN11" i="85" s="1"/>
  <c r="AT20" i="28"/>
  <c r="AT29" i="71" s="1"/>
  <c r="AT11" i="85" s="1"/>
  <c r="AK20" i="28"/>
  <c r="AK29" i="71" s="1"/>
  <c r="AK11" i="85" s="1"/>
  <c r="AS20" i="28"/>
  <c r="AS29" i="71" s="1"/>
  <c r="AS11" i="85" s="1"/>
  <c r="AE20" i="28"/>
  <c r="AE29" i="71" s="1"/>
  <c r="AE11" i="85" s="1"/>
  <c r="AD20" i="28"/>
  <c r="AD29" i="71" s="1"/>
  <c r="AD11" i="85" s="1"/>
  <c r="AY20" i="28"/>
  <c r="AY29" i="71" s="1"/>
  <c r="W20" i="28"/>
  <c r="W29" i="71" s="1"/>
  <c r="W11" i="85" s="1"/>
  <c r="AU25" i="33"/>
  <c r="AU21" i="31"/>
  <c r="V21" i="28"/>
  <c r="AS21" i="31"/>
  <c r="AS25" i="33"/>
  <c r="N25" i="33"/>
  <c r="N21" i="31"/>
  <c r="AN21" i="31"/>
  <c r="AN25" i="33"/>
  <c r="AH25" i="33"/>
  <c r="AH21" i="31"/>
  <c r="AC25" i="33"/>
  <c r="AC21" i="31"/>
  <c r="AP25" i="33"/>
  <c r="AP21" i="31"/>
  <c r="W25" i="33"/>
  <c r="W21" i="31"/>
  <c r="AG21" i="31"/>
  <c r="AG25" i="33"/>
  <c r="T25" i="33"/>
  <c r="T21" i="31"/>
  <c r="AV25" i="33"/>
  <c r="AV21" i="31"/>
  <c r="AD21" i="31"/>
  <c r="AD25" i="33"/>
  <c r="X25" i="33"/>
  <c r="X21" i="31"/>
  <c r="AE21" i="31"/>
  <c r="AE25" i="33"/>
  <c r="AF21" i="31"/>
  <c r="AF25" i="33"/>
  <c r="P25" i="33"/>
  <c r="P21" i="31"/>
  <c r="AZ25" i="33"/>
  <c r="AZ21" i="31"/>
  <c r="U21" i="31"/>
  <c r="U25" i="33"/>
  <c r="AA25" i="33"/>
  <c r="AA21" i="31"/>
  <c r="Q25" i="33"/>
  <c r="Q21" i="31"/>
  <c r="AM25" i="33"/>
  <c r="AM21" i="31"/>
  <c r="AJ25" i="33"/>
  <c r="AJ21" i="31"/>
  <c r="AY21" i="31"/>
  <c r="AY25" i="33"/>
  <c r="Y21" i="31"/>
  <c r="Y25" i="33"/>
  <c r="AO21" i="31"/>
  <c r="AO25" i="33"/>
  <c r="J21" i="31"/>
  <c r="J25" i="33"/>
  <c r="BA21" i="31"/>
  <c r="BA25" i="33"/>
  <c r="K21" i="31"/>
  <c r="K25" i="33"/>
  <c r="V31" i="33"/>
  <c r="F31" i="33" s="1"/>
  <c r="G28" i="34" s="1"/>
  <c r="G30" i="34" s="1"/>
  <c r="G32" i="34" s="1"/>
  <c r="H16" i="31"/>
  <c r="V19" i="31"/>
  <c r="V21" i="31" s="1"/>
  <c r="L21" i="31"/>
  <c r="L25" i="33"/>
  <c r="AK21" i="31"/>
  <c r="AK25" i="33"/>
  <c r="AX25" i="33"/>
  <c r="AX21" i="31"/>
  <c r="AI25" i="33"/>
  <c r="AI21" i="31"/>
  <c r="AQ21" i="31"/>
  <c r="AQ25" i="33"/>
  <c r="AL25" i="33"/>
  <c r="AL21" i="31"/>
  <c r="O21" i="31"/>
  <c r="O25" i="33"/>
  <c r="R25" i="33"/>
  <c r="R21" i="31"/>
  <c r="M25" i="33"/>
  <c r="M21" i="31"/>
  <c r="AT21" i="31"/>
  <c r="AT25" i="33"/>
  <c r="AW25" i="33"/>
  <c r="AW21" i="31"/>
  <c r="AB25" i="33"/>
  <c r="AB21" i="31"/>
  <c r="S21" i="31"/>
  <c r="S25" i="33"/>
  <c r="V25" i="33"/>
  <c r="AR25" i="33"/>
  <c r="AR21" i="31"/>
  <c r="Z25" i="33"/>
  <c r="Z21" i="31"/>
  <c r="I13" i="28"/>
  <c r="H13" i="1"/>
  <c r="V28" i="33" l="1"/>
  <c r="F28" i="33" s="1"/>
  <c r="X20" i="31"/>
  <c r="X29" i="33" s="1"/>
  <c r="X5" i="85" s="1"/>
  <c r="AV20" i="31"/>
  <c r="AV29" i="33" s="1"/>
  <c r="AV5" i="85" s="1"/>
  <c r="AY20" i="31"/>
  <c r="AY29" i="33" s="1"/>
  <c r="AF20" i="31"/>
  <c r="AF29" i="33" s="1"/>
  <c r="AF5" i="85" s="1"/>
  <c r="AO20" i="31"/>
  <c r="AO29" i="33" s="1"/>
  <c r="AO5" i="85" s="1"/>
  <c r="V20" i="31"/>
  <c r="V29" i="33" s="1"/>
  <c r="V5" i="85" s="1"/>
  <c r="AN20" i="31"/>
  <c r="AN29" i="33" s="1"/>
  <c r="AN5" i="85" s="1"/>
  <c r="AH20" i="31"/>
  <c r="AH29" i="33" s="1"/>
  <c r="AH5" i="85" s="1"/>
  <c r="AG20" i="31"/>
  <c r="AG29" i="33" s="1"/>
  <c r="AG5" i="85" s="1"/>
  <c r="Y20" i="31"/>
  <c r="Y29" i="33" s="1"/>
  <c r="Y5" i="85" s="1"/>
  <c r="AR20" i="31"/>
  <c r="AR29" i="33" s="1"/>
  <c r="AR5" i="85" s="1"/>
  <c r="AL20" i="31"/>
  <c r="AL29" i="33" s="1"/>
  <c r="AL5" i="85" s="1"/>
  <c r="AI20" i="31"/>
  <c r="AI29" i="33" s="1"/>
  <c r="AI5" i="85" s="1"/>
  <c r="AW20" i="31"/>
  <c r="AW29" i="33" s="1"/>
  <c r="AW5" i="85" s="1"/>
  <c r="AM20" i="31"/>
  <c r="AM29" i="33" s="1"/>
  <c r="AM5" i="85" s="1"/>
  <c r="AK20" i="31"/>
  <c r="AK29" i="33" s="1"/>
  <c r="AK5" i="85" s="1"/>
  <c r="AP20" i="31"/>
  <c r="AP29" i="33" s="1"/>
  <c r="AP5" i="85" s="1"/>
  <c r="AD20" i="31"/>
  <c r="AD29" i="33" s="1"/>
  <c r="AD5" i="85" s="1"/>
  <c r="AQ20" i="31"/>
  <c r="AQ29" i="33" s="1"/>
  <c r="AQ5" i="85" s="1"/>
  <c r="AC20" i="31"/>
  <c r="AC29" i="33" s="1"/>
  <c r="AC5" i="85" s="1"/>
  <c r="AS20" i="31"/>
  <c r="AS29" i="33" s="1"/>
  <c r="AS5" i="85" s="1"/>
  <c r="AZ20" i="31"/>
  <c r="AZ29" i="33" s="1"/>
  <c r="AA20" i="31"/>
  <c r="AA29" i="33" s="1"/>
  <c r="AA5" i="85" s="1"/>
  <c r="Z20" i="31"/>
  <c r="Z29" i="33" s="1"/>
  <c r="Z5" i="85" s="1"/>
  <c r="AU20" i="31"/>
  <c r="AU29" i="33" s="1"/>
  <c r="AU5" i="85" s="1"/>
  <c r="BA20" i="31"/>
  <c r="BA29" i="33" s="1"/>
  <c r="W20" i="31"/>
  <c r="W29" i="33" s="1"/>
  <c r="W5" i="85" s="1"/>
  <c r="AT20" i="31"/>
  <c r="AT29" i="33" s="1"/>
  <c r="AT5" i="85" s="1"/>
  <c r="AE20" i="31"/>
  <c r="AE29" i="33" s="1"/>
  <c r="AE5" i="85" s="1"/>
  <c r="AX20" i="31"/>
  <c r="AX29" i="33" s="1"/>
  <c r="AX5" i="85" s="1"/>
  <c r="AJ20" i="31"/>
  <c r="AJ29" i="33" s="1"/>
  <c r="AJ5" i="85" s="1"/>
  <c r="AB20" i="31"/>
  <c r="AB29" i="33" s="1"/>
  <c r="AB5" i="85" s="1"/>
  <c r="I14" i="71"/>
  <c r="F14" i="71" s="1"/>
  <c r="I17" i="28"/>
  <c r="H13" i="28"/>
  <c r="I13" i="31"/>
  <c r="L18" i="28" l="1"/>
  <c r="L26" i="71" s="1"/>
  <c r="L12" i="85" s="1"/>
  <c r="V18" i="28"/>
  <c r="V26" i="71" s="1"/>
  <c r="V12" i="85" s="1"/>
  <c r="AO18" i="28"/>
  <c r="AO26" i="71" s="1"/>
  <c r="AO12" i="85" s="1"/>
  <c r="AI18" i="28"/>
  <c r="AI26" i="71" s="1"/>
  <c r="AI12" i="85" s="1"/>
  <c r="Z18" i="28"/>
  <c r="Z26" i="71" s="1"/>
  <c r="Z12" i="85" s="1"/>
  <c r="T18" i="28"/>
  <c r="T26" i="71" s="1"/>
  <c r="T12" i="85" s="1"/>
  <c r="AF18" i="28"/>
  <c r="AF26" i="71" s="1"/>
  <c r="AF12" i="85" s="1"/>
  <c r="AL18" i="28"/>
  <c r="AL26" i="71" s="1"/>
  <c r="AL12" i="85" s="1"/>
  <c r="X18" i="28"/>
  <c r="X26" i="71" s="1"/>
  <c r="X12" i="85" s="1"/>
  <c r="AM18" i="28"/>
  <c r="AM26" i="71" s="1"/>
  <c r="AM12" i="85" s="1"/>
  <c r="N18" i="28"/>
  <c r="N26" i="71" s="1"/>
  <c r="N12" i="85" s="1"/>
  <c r="BA18" i="28"/>
  <c r="BA26" i="71" s="1"/>
  <c r="AR18" i="28"/>
  <c r="AR26" i="71" s="1"/>
  <c r="AR12" i="85" s="1"/>
  <c r="AH18" i="28"/>
  <c r="AH26" i="71" s="1"/>
  <c r="AH12" i="85" s="1"/>
  <c r="M18" i="28"/>
  <c r="M26" i="71" s="1"/>
  <c r="M12" i="85" s="1"/>
  <c r="U18" i="28"/>
  <c r="U26" i="71" s="1"/>
  <c r="U12" i="85" s="1"/>
  <c r="AU18" i="28"/>
  <c r="AU26" i="71" s="1"/>
  <c r="AU12" i="85" s="1"/>
  <c r="AJ18" i="28"/>
  <c r="AJ26" i="71" s="1"/>
  <c r="AJ12" i="85" s="1"/>
  <c r="AC18" i="28"/>
  <c r="AC26" i="71" s="1"/>
  <c r="AC12" i="85" s="1"/>
  <c r="S18" i="28"/>
  <c r="S26" i="71" s="1"/>
  <c r="S12" i="85" s="1"/>
  <c r="AX18" i="28"/>
  <c r="AX26" i="71" s="1"/>
  <c r="AX12" i="85" s="1"/>
  <c r="AD18" i="28"/>
  <c r="AD26" i="71" s="1"/>
  <c r="AD12" i="85" s="1"/>
  <c r="Q18" i="28"/>
  <c r="Q26" i="71" s="1"/>
  <c r="Q12" i="85" s="1"/>
  <c r="R18" i="28"/>
  <c r="R26" i="71" s="1"/>
  <c r="R12" i="85" s="1"/>
  <c r="AS18" i="28"/>
  <c r="AS26" i="71" s="1"/>
  <c r="AS12" i="85" s="1"/>
  <c r="AA18" i="28"/>
  <c r="AA26" i="71" s="1"/>
  <c r="AA12" i="85" s="1"/>
  <c r="AK18" i="28"/>
  <c r="AK26" i="71" s="1"/>
  <c r="AK12" i="85" s="1"/>
  <c r="AP18" i="28"/>
  <c r="AP26" i="71" s="1"/>
  <c r="AP12" i="85" s="1"/>
  <c r="K18" i="28"/>
  <c r="K26" i="71" s="1"/>
  <c r="K12" i="85" s="1"/>
  <c r="O18" i="28"/>
  <c r="O26" i="71" s="1"/>
  <c r="O12" i="85" s="1"/>
  <c r="AE18" i="28"/>
  <c r="AE26" i="71" s="1"/>
  <c r="AE12" i="85" s="1"/>
  <c r="AB18" i="28"/>
  <c r="AB26" i="71" s="1"/>
  <c r="AB12" i="85" s="1"/>
  <c r="I25" i="71"/>
  <c r="F25" i="71" s="1"/>
  <c r="AW18" i="28"/>
  <c r="AW26" i="71" s="1"/>
  <c r="AW12" i="85" s="1"/>
  <c r="P18" i="28"/>
  <c r="P26" i="71" s="1"/>
  <c r="P12" i="85" s="1"/>
  <c r="AQ18" i="28"/>
  <c r="AQ26" i="71" s="1"/>
  <c r="AQ12" i="85" s="1"/>
  <c r="AZ18" i="28"/>
  <c r="AZ26" i="71" s="1"/>
  <c r="W18" i="28"/>
  <c r="W26" i="71" s="1"/>
  <c r="W12" i="85" s="1"/>
  <c r="Y18" i="28"/>
  <c r="Y26" i="71" s="1"/>
  <c r="Y12" i="85" s="1"/>
  <c r="AT18" i="28"/>
  <c r="AT26" i="71" s="1"/>
  <c r="AT12" i="85" s="1"/>
  <c r="I21" i="28"/>
  <c r="AY18" i="28"/>
  <c r="AY26" i="71" s="1"/>
  <c r="AN18" i="28"/>
  <c r="AN26" i="71" s="1"/>
  <c r="AN12" i="85" s="1"/>
  <c r="I18" i="28"/>
  <c r="I26" i="71" s="1"/>
  <c r="I12" i="85" s="1"/>
  <c r="AV18" i="28"/>
  <c r="AV26" i="71" s="1"/>
  <c r="AV12" i="85" s="1"/>
  <c r="J18" i="28"/>
  <c r="J26" i="71" s="1"/>
  <c r="J12" i="85" s="1"/>
  <c r="AG18" i="28"/>
  <c r="AG26" i="71" s="1"/>
  <c r="AG12" i="85" s="1"/>
  <c r="F17" i="34"/>
  <c r="F20" i="34" s="1"/>
  <c r="F16" i="71"/>
  <c r="I14" i="33"/>
  <c r="F14" i="33" s="1"/>
  <c r="I17" i="31"/>
  <c r="H13" i="31"/>
  <c r="F36" i="34" l="1"/>
  <c r="F40" i="34"/>
  <c r="F22" i="34"/>
  <c r="F37" i="71"/>
  <c r="F34" i="71"/>
  <c r="AB22" i="28"/>
  <c r="T22" i="28"/>
  <c r="AA22" i="28"/>
  <c r="W22" i="28"/>
  <c r="AD22" i="28"/>
  <c r="AS22" i="28"/>
  <c r="AN22" i="28"/>
  <c r="AL22" i="28"/>
  <c r="V22" i="28"/>
  <c r="AF22" i="28"/>
  <c r="AH22" i="28"/>
  <c r="AK22" i="28"/>
  <c r="AG22" i="28"/>
  <c r="I22" i="28"/>
  <c r="AQ22" i="28"/>
  <c r="M22" i="28"/>
  <c r="O22" i="28"/>
  <c r="AC22" i="28"/>
  <c r="S22" i="28"/>
  <c r="L22" i="28"/>
  <c r="AW22" i="28"/>
  <c r="Q22" i="28"/>
  <c r="Z22" i="28"/>
  <c r="J22" i="28"/>
  <c r="AI22" i="28"/>
  <c r="N22" i="28"/>
  <c r="AX22" i="28"/>
  <c r="P22" i="28"/>
  <c r="AP22" i="28"/>
  <c r="AT22" i="28"/>
  <c r="AU22" i="28"/>
  <c r="K22" i="28"/>
  <c r="AJ22" i="28"/>
  <c r="AY22" i="28"/>
  <c r="X22" i="28"/>
  <c r="AV22" i="28"/>
  <c r="Y22" i="28"/>
  <c r="AM22" i="28"/>
  <c r="AO22" i="28"/>
  <c r="R22" i="28"/>
  <c r="U22" i="28"/>
  <c r="AR22" i="28"/>
  <c r="AE22" i="28"/>
  <c r="BA22" i="28"/>
  <c r="AZ22" i="28"/>
  <c r="G44" i="34"/>
  <c r="AE18" i="31"/>
  <c r="AE26" i="33" s="1"/>
  <c r="AE6" i="85" s="1"/>
  <c r="R18" i="31"/>
  <c r="R26" i="33" s="1"/>
  <c r="R6" i="85" s="1"/>
  <c r="I25" i="33"/>
  <c r="F25" i="33" s="1"/>
  <c r="AV18" i="31"/>
  <c r="AV26" i="33" s="1"/>
  <c r="AV6" i="85" s="1"/>
  <c r="AX18" i="31"/>
  <c r="AX26" i="33" s="1"/>
  <c r="AX6" i="85" s="1"/>
  <c r="L18" i="31"/>
  <c r="L26" i="33" s="1"/>
  <c r="L6" i="85" s="1"/>
  <c r="AJ18" i="31"/>
  <c r="AJ26" i="33" s="1"/>
  <c r="AJ6" i="85" s="1"/>
  <c r="AS18" i="31"/>
  <c r="AS26" i="33" s="1"/>
  <c r="AS6" i="85" s="1"/>
  <c r="AA18" i="31"/>
  <c r="AA26" i="33" s="1"/>
  <c r="AA6" i="85" s="1"/>
  <c r="K18" i="31"/>
  <c r="K26" i="33" s="1"/>
  <c r="K6" i="85" s="1"/>
  <c r="BA18" i="31"/>
  <c r="BA26" i="33" s="1"/>
  <c r="AP18" i="31"/>
  <c r="AP26" i="33" s="1"/>
  <c r="AP6" i="85" s="1"/>
  <c r="AY18" i="31"/>
  <c r="AY26" i="33" s="1"/>
  <c r="Y18" i="31"/>
  <c r="Y26" i="33" s="1"/>
  <c r="Y6" i="85" s="1"/>
  <c r="AK18" i="31"/>
  <c r="AK26" i="33" s="1"/>
  <c r="AK6" i="85" s="1"/>
  <c r="M18" i="31"/>
  <c r="M26" i="33" s="1"/>
  <c r="M6" i="85" s="1"/>
  <c r="AM18" i="31"/>
  <c r="AM26" i="33" s="1"/>
  <c r="AM6" i="85" s="1"/>
  <c r="I18" i="31"/>
  <c r="I26" i="33" s="1"/>
  <c r="I6" i="85" s="1"/>
  <c r="I21" i="31"/>
  <c r="AR18" i="31"/>
  <c r="AR26" i="33" s="1"/>
  <c r="AR6" i="85" s="1"/>
  <c r="AI18" i="31"/>
  <c r="AI26" i="33" s="1"/>
  <c r="AI6" i="85" s="1"/>
  <c r="AB18" i="31"/>
  <c r="AB26" i="33" s="1"/>
  <c r="AB6" i="85" s="1"/>
  <c r="Q18" i="31"/>
  <c r="Q26" i="33" s="1"/>
  <c r="Q6" i="85" s="1"/>
  <c r="AO18" i="31"/>
  <c r="AO26" i="33" s="1"/>
  <c r="AO6" i="85" s="1"/>
  <c r="P18" i="31"/>
  <c r="P26" i="33" s="1"/>
  <c r="P6" i="85" s="1"/>
  <c r="AT18" i="31"/>
  <c r="AT26" i="33" s="1"/>
  <c r="AT6" i="85" s="1"/>
  <c r="AL18" i="31"/>
  <c r="AL26" i="33" s="1"/>
  <c r="AL6" i="85" s="1"/>
  <c r="X18" i="31"/>
  <c r="X26" i="33" s="1"/>
  <c r="X6" i="85" s="1"/>
  <c r="AN18" i="31"/>
  <c r="AN26" i="33" s="1"/>
  <c r="AN6" i="85" s="1"/>
  <c r="AQ18" i="31"/>
  <c r="AQ26" i="33" s="1"/>
  <c r="AQ6" i="85" s="1"/>
  <c r="U18" i="31"/>
  <c r="U26" i="33" s="1"/>
  <c r="U6" i="85" s="1"/>
  <c r="AH18" i="31"/>
  <c r="AH26" i="33" s="1"/>
  <c r="AH6" i="85" s="1"/>
  <c r="J18" i="31"/>
  <c r="J26" i="33" s="1"/>
  <c r="J6" i="85" s="1"/>
  <c r="O18" i="31"/>
  <c r="O26" i="33" s="1"/>
  <c r="O6" i="85" s="1"/>
  <c r="AZ18" i="31"/>
  <c r="AZ26" i="33" s="1"/>
  <c r="AU18" i="31"/>
  <c r="AU26" i="33" s="1"/>
  <c r="AU6" i="85" s="1"/>
  <c r="N18" i="31"/>
  <c r="N26" i="33" s="1"/>
  <c r="N6" i="85" s="1"/>
  <c r="AC18" i="31"/>
  <c r="AC26" i="33" s="1"/>
  <c r="AC6" i="85" s="1"/>
  <c r="S18" i="31"/>
  <c r="S26" i="33" s="1"/>
  <c r="S6" i="85" s="1"/>
  <c r="AF18" i="31"/>
  <c r="AF26" i="33" s="1"/>
  <c r="AF6" i="85" s="1"/>
  <c r="V18" i="31"/>
  <c r="V26" i="33" s="1"/>
  <c r="V6" i="85" s="1"/>
  <c r="Z18" i="31"/>
  <c r="Z26" i="33" s="1"/>
  <c r="Z6" i="85" s="1"/>
  <c r="AD18" i="31"/>
  <c r="AD26" i="33" s="1"/>
  <c r="AD6" i="85" s="1"/>
  <c r="AG18" i="31"/>
  <c r="AG26" i="33" s="1"/>
  <c r="AG6" i="85" s="1"/>
  <c r="W18" i="31"/>
  <c r="W26" i="33" s="1"/>
  <c r="W6" i="85" s="1"/>
  <c r="T18" i="31"/>
  <c r="T26" i="33" s="1"/>
  <c r="T6" i="85" s="1"/>
  <c r="AW18" i="31"/>
  <c r="AW26" i="33" s="1"/>
  <c r="AW6" i="85" s="1"/>
  <c r="F16" i="33"/>
  <c r="J16" i="85"/>
  <c r="G17" i="34"/>
  <c r="G20" i="34" s="1"/>
  <c r="F20" i="71"/>
  <c r="F22" i="71"/>
  <c r="F18" i="71"/>
  <c r="F21" i="71"/>
  <c r="F19" i="71"/>
  <c r="AC22" i="31" l="1"/>
  <c r="AL22" i="31"/>
  <c r="AB22" i="31"/>
  <c r="AM22" i="31"/>
  <c r="BA22" i="31"/>
  <c r="J22" i="31"/>
  <c r="AV22" i="31"/>
  <c r="AY22" i="31"/>
  <c r="AP22" i="31"/>
  <c r="T22" i="31"/>
  <c r="AO22" i="31"/>
  <c r="AS22" i="31"/>
  <c r="Y22" i="31"/>
  <c r="X22" i="31"/>
  <c r="AI22" i="31"/>
  <c r="AF22" i="31"/>
  <c r="AT22" i="31"/>
  <c r="AH22" i="31"/>
  <c r="Q22" i="31"/>
  <c r="W22" i="31"/>
  <c r="K22" i="31"/>
  <c r="AQ22" i="31"/>
  <c r="P22" i="31"/>
  <c r="AA22" i="31"/>
  <c r="AD22" i="31"/>
  <c r="V22" i="31"/>
  <c r="Z22" i="31"/>
  <c r="AW22" i="31"/>
  <c r="AJ22" i="31"/>
  <c r="AN22" i="31"/>
  <c r="I22" i="31"/>
  <c r="O22" i="31"/>
  <c r="N22" i="31"/>
  <c r="R22" i="31"/>
  <c r="AG22" i="31"/>
  <c r="AR22" i="31"/>
  <c r="AE22" i="31"/>
  <c r="S22" i="31"/>
  <c r="AZ22" i="31"/>
  <c r="AX22" i="31"/>
  <c r="M22" i="31"/>
  <c r="AU22" i="31"/>
  <c r="AK22" i="31"/>
  <c r="L22" i="31"/>
  <c r="U22" i="31"/>
  <c r="F34" i="33"/>
  <c r="L24" i="85" s="1"/>
  <c r="L26" i="85" s="1"/>
  <c r="F37" i="33"/>
  <c r="G36" i="34"/>
  <c r="G22" i="34"/>
  <c r="G40" i="34"/>
  <c r="H18" i="85"/>
  <c r="H16" i="85"/>
  <c r="H17" i="85"/>
  <c r="H19" i="85"/>
  <c r="F20" i="33"/>
  <c r="F18" i="33"/>
  <c r="F22" i="33"/>
  <c r="F21" i="33"/>
  <c r="F19" i="33"/>
</calcChain>
</file>

<file path=xl/sharedStrings.xml><?xml version="1.0" encoding="utf-8"?>
<sst xmlns="http://schemas.openxmlformats.org/spreadsheetml/2006/main" count="8647" uniqueCount="1361">
  <si>
    <t>Oklahoma Department of Transportation</t>
  </si>
  <si>
    <t>I-35 McClain County</t>
  </si>
  <si>
    <t>Benefit-Cost Analysis</t>
  </si>
  <si>
    <t>February 2026</t>
  </si>
  <si>
    <t>Guide for Reviewers</t>
  </si>
  <si>
    <t>Benefit Cost Analysis Model</t>
  </si>
  <si>
    <t xml:space="preserve">This model contains all calculations used in the Benefit Cost Analysis for this project. The legend below provides guidance on the role of each tab, and the meaning of different colors and shading throughout the model. </t>
  </si>
  <si>
    <t xml:space="preserve">Sensitivity analysis may be performed by adjusting values in the red and light green tabs. The remaining tabs are for calculation purposes only. </t>
  </si>
  <si>
    <t>Tab Reference</t>
  </si>
  <si>
    <t>Aqua Shading - Intro Materials</t>
  </si>
  <si>
    <t>Red Shading - Standard Input Values, reflecting guidance from USDOT and other sources</t>
  </si>
  <si>
    <t>Light Green Shading - Project Input Values and intermediate calculations, reflecting project-specific information</t>
  </si>
  <si>
    <t>Gold Shading - Aggregated Costs and Benefits (Quantified)</t>
  </si>
  <si>
    <t>Purple Shading - Aggregated Costs and Benefits (Monetized)</t>
  </si>
  <si>
    <t>Blue Shading - Summary Output Tables and Charts</t>
  </si>
  <si>
    <t>Dark Green Shading - Calculations and Raw Data</t>
  </si>
  <si>
    <t>Cell Reference</t>
  </si>
  <si>
    <t>Light Green Cell Shading - Model Owner Input Value</t>
  </si>
  <si>
    <t>Light Yellow Cell Shading - User Input Value</t>
  </si>
  <si>
    <t>Blue Text - Import from Another Sheet</t>
  </si>
  <si>
    <t>Red Text - Exported to Another Sheet</t>
  </si>
  <si>
    <t>Model Flow Diagram</t>
  </si>
  <si>
    <t xml:space="preserve">This model flow diagram provides an overview of the relationships of the model's worksheets and how the input data is calculated into model outputs. The legend below provides guidance on the role of each tab, and the meaning of different colors and shading throughout the model. </t>
  </si>
  <si>
    <t>Dark Green Shading - Calculations and Source Data</t>
  </si>
  <si>
    <t>Project InputsC</t>
  </si>
  <si>
    <t>Project Costs</t>
  </si>
  <si>
    <t>Inflation Adjustment Chart</t>
  </si>
  <si>
    <t>Vehicle Collision Summary</t>
  </si>
  <si>
    <t>Bicycle Collision Summary</t>
  </si>
  <si>
    <t>Safety Inputs</t>
  </si>
  <si>
    <t>Residual Value Calc</t>
  </si>
  <si>
    <t>Pedestrian Collision Summary</t>
  </si>
  <si>
    <t>Fuel Savings Calc</t>
  </si>
  <si>
    <t>Intersection Traffic Data Inputs</t>
  </si>
  <si>
    <t>Traffic Analysis_Intersection</t>
  </si>
  <si>
    <t>Emissions Calc</t>
  </si>
  <si>
    <t>Segment Traffic Data Inputs</t>
  </si>
  <si>
    <t>Traffic Analysis_Segments</t>
  </si>
  <si>
    <t>Costs Calc</t>
  </si>
  <si>
    <t>Bike-Ped Population Data</t>
  </si>
  <si>
    <t>Bike User Inputs</t>
  </si>
  <si>
    <t>Intermediate Calcs</t>
  </si>
  <si>
    <t>Summarized Quantified Calcs</t>
  </si>
  <si>
    <t>Undiscounted Summary</t>
  </si>
  <si>
    <t>Quick Summary</t>
  </si>
  <si>
    <t>Ped Users Inputs</t>
  </si>
  <si>
    <t>StockValueC</t>
  </si>
  <si>
    <t>Undisc Results</t>
  </si>
  <si>
    <t>Values</t>
  </si>
  <si>
    <t>Dashboard</t>
  </si>
  <si>
    <t>Transit Facility Amenity Inputs</t>
  </si>
  <si>
    <t>Discount Calc</t>
  </si>
  <si>
    <t>Disc Results</t>
  </si>
  <si>
    <t>Discounted Summary</t>
  </si>
  <si>
    <t>StockValueR</t>
  </si>
  <si>
    <t>Transit Vehicle Amenity Inputs</t>
  </si>
  <si>
    <t>Transit Board Quality Inputs</t>
  </si>
  <si>
    <t>Transit Ride Quality Inputs</t>
  </si>
  <si>
    <t>Service Inputs_Bus</t>
  </si>
  <si>
    <t>Service Inputs_LR/Subway</t>
  </si>
  <si>
    <t>Service Inputs_Passenger Rail</t>
  </si>
  <si>
    <t>Service Inputs_Freight Rail</t>
  </si>
  <si>
    <t>Rail Operating Inputs</t>
  </si>
  <si>
    <t>Rail Ops and Social Costs Calc</t>
  </si>
  <si>
    <t>SUMMARY OUTPUT TABLES AND CHARTS</t>
  </si>
  <si>
    <t>BCA Model Outputs Dashboard</t>
  </si>
  <si>
    <t>BCA Model Breakdown of Project Operational Benefits by Percentage</t>
  </si>
  <si>
    <t>BCA Model Benefit-Cost Ratio</t>
  </si>
  <si>
    <t>BCA Model Discounted Benefits and Costs</t>
  </si>
  <si>
    <t>Year</t>
  </si>
  <si>
    <t>Cumulative Discounted Costs</t>
  </si>
  <si>
    <t>Cumulative Discounted Benefits</t>
  </si>
  <si>
    <t>BCA Model Undiscounted Benefits and Costs</t>
  </si>
  <si>
    <t>Cumulative Undiscounted Costs</t>
  </si>
  <si>
    <t>Cumulative Undiscounted Benefits</t>
  </si>
  <si>
    <t>BCA Model Breakdown of Operational Benefits by Category</t>
  </si>
  <si>
    <t>Change in O&amp;M Costs</t>
  </si>
  <si>
    <t>percent</t>
  </si>
  <si>
    <t>Residual Value</t>
  </si>
  <si>
    <t>Travel Time Savings</t>
  </si>
  <si>
    <t>Safety Benefits</t>
  </si>
  <si>
    <t>Performance Label</t>
  </si>
  <si>
    <t>Value</t>
  </si>
  <si>
    <t>Labels</t>
  </si>
  <si>
    <t>Below Requirements</t>
  </si>
  <si>
    <t>Pointer</t>
  </si>
  <si>
    <t>Competitive</t>
  </si>
  <si>
    <t>Thickness</t>
  </si>
  <si>
    <t>Excellent</t>
  </si>
  <si>
    <t>Rest</t>
  </si>
  <si>
    <t>Total</t>
  </si>
  <si>
    <t>Benefit-Cost Analysis - Summary of BCA Outputs</t>
  </si>
  <si>
    <t>Variable</t>
  </si>
  <si>
    <t>Unit</t>
  </si>
  <si>
    <t>BENEFITS</t>
  </si>
  <si>
    <t>years</t>
  </si>
  <si>
    <t>Undiscounted</t>
  </si>
  <si>
    <t>Discounted</t>
  </si>
  <si>
    <t>Average Yearly Benefits</t>
  </si>
  <si>
    <t>COSTS</t>
  </si>
  <si>
    <t>Average Yearly Costs</t>
  </si>
  <si>
    <t>NPV</t>
  </si>
  <si>
    <t>B/C Ratios</t>
  </si>
  <si>
    <t>Internal Rate of Return (IRR)</t>
  </si>
  <si>
    <t>Internal Rate of Return</t>
  </si>
  <si>
    <t>STANDARD INPUT VALUES</t>
  </si>
  <si>
    <t>Source: US DOT BCA Guidance for Discretionary Grant Programs, December 2025</t>
  </si>
  <si>
    <t>Base Year of Nominal Dollar</t>
  </si>
  <si>
    <t>Multiplier to Adjust to Real 2024$</t>
  </si>
  <si>
    <t>Implicit Price Deflator for GDP</t>
  </si>
  <si>
    <t>*Q2 2025</t>
  </si>
  <si>
    <t>Benefit-Cost Analysis - Constant Stock Values</t>
  </si>
  <si>
    <t>Source</t>
  </si>
  <si>
    <t>Units</t>
  </si>
  <si>
    <t>Constant 
(Likely Case)</t>
  </si>
  <si>
    <t>Standard</t>
  </si>
  <si>
    <t>User-Defined</t>
  </si>
  <si>
    <t>GENERAL</t>
  </si>
  <si>
    <t>Analysis Factors Scenario</t>
  </si>
  <si>
    <t xml:space="preserve">User Input </t>
  </si>
  <si>
    <t>Model Start Year</t>
  </si>
  <si>
    <t>year</t>
  </si>
  <si>
    <t>Base Year (for valuation 2020 = 2020$s)</t>
  </si>
  <si>
    <t>Base Year (for discounting)</t>
  </si>
  <si>
    <t>Fuel Tax Dollar Year</t>
  </si>
  <si>
    <t>EIA, 2025, https://www.eia.gov/petroleum/marketing/monthly/xls/fueltaxes.xls</t>
  </si>
  <si>
    <t>Federal Gas Tax</t>
  </si>
  <si>
    <t>Federal Diesel Tax</t>
  </si>
  <si>
    <t>State Gas Tax</t>
  </si>
  <si>
    <t>State Diesel Tax</t>
  </si>
  <si>
    <t>Inflation Adjustment Factor - 2024$ to 2024$</t>
  </si>
  <si>
    <t>Factor</t>
  </si>
  <si>
    <t>Average Vehicle Occupancy -- Passenger Vehicles (all)</t>
  </si>
  <si>
    <t>USDOT BCA Guidance December 2025</t>
  </si>
  <si>
    <t>Figure</t>
  </si>
  <si>
    <t>Average Vehicle Occupancy -- Passenger Vehicles (Weekday Peak)</t>
  </si>
  <si>
    <t>Average Vehicle Occupancy -- Passenger Vehicles (Weekday Offpeak)</t>
  </si>
  <si>
    <t>Average Vehicle Occupancy -- Passenger Vehicles (Weekend)</t>
  </si>
  <si>
    <t>Average Vehicle Occupancy -- Trucks</t>
  </si>
  <si>
    <t>FACTORS</t>
  </si>
  <si>
    <t>Grams to metric ton conversion</t>
  </si>
  <si>
    <t>Grams to short ton conversion</t>
  </si>
  <si>
    <t>Lbs to metric ton conversion</t>
  </si>
  <si>
    <t>VALUE OF TIME</t>
  </si>
  <si>
    <t>Value of time Real Growth Rate</t>
  </si>
  <si>
    <t>USDOT 2014</t>
  </si>
  <si>
    <t>annual rate</t>
  </si>
  <si>
    <t>Surface Modes (except HSR)  Values</t>
  </si>
  <si>
    <t>Local Travel</t>
  </si>
  <si>
    <t>Personal Share of Total Person-Miles of Travel</t>
  </si>
  <si>
    <t>Business Share of Total Person-Miles of Travel</t>
  </si>
  <si>
    <t>Personal VTTS</t>
  </si>
  <si>
    <t>Business VTTS</t>
  </si>
  <si>
    <t>All Purposes</t>
  </si>
  <si>
    <t>Intercity Travel (More than 50 Miles)</t>
  </si>
  <si>
    <t>USDOT Value of Travel Time Guidance 2016</t>
  </si>
  <si>
    <t>USDOT BCA Guidance December 2025 / USDOT Value of Travel Time Guidance 2016</t>
  </si>
  <si>
    <t>calc</t>
  </si>
  <si>
    <t>Bicyclists/Pedestrians/Waiting/Standing/Transfer Time</t>
  </si>
  <si>
    <t>Air and HSR Values</t>
  </si>
  <si>
    <t>Intercity Travel</t>
  </si>
  <si>
    <t>Personal Share of Total Person-Trips</t>
  </si>
  <si>
    <t>Business Share of Total Person-Trips</t>
  </si>
  <si>
    <t>Other Values</t>
  </si>
  <si>
    <t>Truck Drivers VTTS</t>
  </si>
  <si>
    <t>Bus Drivers VTTS</t>
  </si>
  <si>
    <t>Transit Rail Operators VTTS</t>
  </si>
  <si>
    <t>Locomotive Engineers VTTS</t>
  </si>
  <si>
    <t>Airline Pilots and Engineers VTTS</t>
  </si>
  <si>
    <t>Truck Reliability</t>
  </si>
  <si>
    <t xml:space="preserve">   </t>
  </si>
  <si>
    <t>Cost of Unreliability per hour of 95th percentile delay experienced by a truck shipment</t>
  </si>
  <si>
    <t>NCHRP 07-24: Estimating the Value of Truck Travel Time Reliability, Forthcoming</t>
  </si>
  <si>
    <t>2022$ per vehicle-hour</t>
  </si>
  <si>
    <t>FUEL COST AND CONSUMPTION EFFICIENCY</t>
  </si>
  <si>
    <t>Dollar Year of EIA IEA Forecast</t>
  </si>
  <si>
    <t>US EIA Annual Energy Outlook 2025</t>
  </si>
  <si>
    <t>EIA IEA Forecast End Year</t>
  </si>
  <si>
    <t>Motor gasoline price growth (after 2050)</t>
  </si>
  <si>
    <t>CAGR from 2021-2050 EIA Forecast</t>
  </si>
  <si>
    <t>Percent Annual Growth</t>
  </si>
  <si>
    <t>Diesel price growth (after 2050)</t>
  </si>
  <si>
    <t>Jet fuel price growth (after 2050)</t>
  </si>
  <si>
    <t>Electricity price growth (after 2050)</t>
  </si>
  <si>
    <t>Auto fuel efficiency growth (after 2050)</t>
  </si>
  <si>
    <t>Truck fuel efficiency growth (after 2050)</t>
  </si>
  <si>
    <t>Aircraft fuel efficiency growth (after 2050)</t>
  </si>
  <si>
    <t>Rail fuel efficiency growth (after 2050)</t>
  </si>
  <si>
    <t>Fuel Consumption at Idle (Auto, gasoline)</t>
  </si>
  <si>
    <t>Argonne Laboratory, "Idling Reduction Savings Calculator", https://www.anl.gov/sites/www/files/2018-02/idling_worksheet.pdf</t>
  </si>
  <si>
    <t>gallons/hour</t>
  </si>
  <si>
    <t>Fuel Consumption at Idle (Truck, diesel)</t>
  </si>
  <si>
    <t>Autos Fuel Efficiency Factors (MPH)</t>
  </si>
  <si>
    <t>USEIA 2013</t>
  </si>
  <si>
    <t>multiplier</t>
  </si>
  <si>
    <t>Trucks Fuel Efficiency (MPH)</t>
  </si>
  <si>
    <t>GHG EMISSIONS FACTORS AND COSTS</t>
  </si>
  <si>
    <t>Emissions Costs - CO2 (see StockValueR tab for forecast values)</t>
  </si>
  <si>
    <t>CO2 Emissions Forecast End Date</t>
  </si>
  <si>
    <t>Discount Rate for CO2 Emissions</t>
  </si>
  <si>
    <t>percentage</t>
  </si>
  <si>
    <t>Emissions Costs After Forecast Period</t>
  </si>
  <si>
    <t>Grams of CO2 Emissions Per Gallon of Gasoline</t>
  </si>
  <si>
    <t>EPA, Emissions Factors for GHG Inventories, 2025</t>
  </si>
  <si>
    <t>grams / gal gasoline</t>
  </si>
  <si>
    <t>Grams of CO2 Emissions Per Gallon of Diesel</t>
  </si>
  <si>
    <t>grams / gal diesel</t>
  </si>
  <si>
    <t>Grams of CO2 Emissions Per Gallon of Kerosene Jet Fuel</t>
  </si>
  <si>
    <t>grams / gal jet fuel</t>
  </si>
  <si>
    <t>Emissions Costs - Non-CO2 (see StockValueR tab for forecast values)</t>
  </si>
  <si>
    <t>Non-CO2 Emissions Forecast End Date</t>
  </si>
  <si>
    <t>Non-CO2 Emissions Costs After Forecast Period</t>
  </si>
  <si>
    <t>FREIGHT AND PASSENGER RAIL EMISSIONS FACTORS</t>
  </si>
  <si>
    <t>Locomotive Fuel Consumption by Service Category</t>
  </si>
  <si>
    <t>National and Regional Freight Line-Haul</t>
  </si>
  <si>
    <t>US EPA, Locomotive Emissions Factors, 2009</t>
  </si>
  <si>
    <t>National and Regional Freight Switching</t>
  </si>
  <si>
    <t>Local Freight</t>
  </si>
  <si>
    <t>National and Regional Freight Line-Haul (Weighted Average by Category)</t>
  </si>
  <si>
    <t>Calculation</t>
  </si>
  <si>
    <t>National and Regional Freight Switching (Weighted Average by Category)</t>
  </si>
  <si>
    <t>Local Freight (Weighted Average by Category)</t>
  </si>
  <si>
    <t>Passenger Rail</t>
  </si>
  <si>
    <t>Passenger Rail (Weighted Average by Category)</t>
  </si>
  <si>
    <t>Passenger Rail Emissions Values</t>
  </si>
  <si>
    <t>Energy Consumption</t>
  </si>
  <si>
    <t>Diesel-Electric Commuter Passenger Rail US Average Energy Consumption</t>
  </si>
  <si>
    <t>NCRRP, Comparison of Passenger Rail Energy Consumption with Competing Modes, 2015</t>
  </si>
  <si>
    <t>BTU / passenger-mile</t>
  </si>
  <si>
    <t>Regional and Intercity Passenger Rail US Average Energy Consumption</t>
  </si>
  <si>
    <t>Conversion Factor (BTU to gallon of diesel)</t>
  </si>
  <si>
    <t>EIA, Units and Calculators Explained</t>
  </si>
  <si>
    <t>BTUs per gal diesel</t>
  </si>
  <si>
    <t>gal diesel / passenger-mile</t>
  </si>
  <si>
    <t>Electrified Commuter Passenger Rail US Average Energy Consumption</t>
  </si>
  <si>
    <t>Conversion Factor (BTU to kWh)</t>
  </si>
  <si>
    <t>BTUs per kWh</t>
  </si>
  <si>
    <t>kWh / passenger-mile</t>
  </si>
  <si>
    <t>Emission Factors (Diesel)</t>
  </si>
  <si>
    <t>Grams of SO2 Emissions Per Gallon of Diesel</t>
  </si>
  <si>
    <t>US EPA, Emissions Factors for Locomotives, 2009</t>
  </si>
  <si>
    <t>g / gal diesel</t>
  </si>
  <si>
    <t>Grams of CH4 Emissions Per Gallon of Diesel</t>
  </si>
  <si>
    <t>Locomotive Emission Inventories for the United States from ERTAC Rail, 2012</t>
  </si>
  <si>
    <t>Grams of VOC per Gram of HC</t>
  </si>
  <si>
    <t>factor</t>
  </si>
  <si>
    <t>Grams of PM2.5 per Gram of PM10</t>
  </si>
  <si>
    <t>Emission Factors (Electricity)</t>
  </si>
  <si>
    <t>Grams of CO2 Emissions per kWh (NEC Average)</t>
  </si>
  <si>
    <t>EIA, Emissions by plant and by region, 2021</t>
  </si>
  <si>
    <t>grams / kWh</t>
  </si>
  <si>
    <t>Grams of SO2 Emissions per kWh (NEC Average)</t>
  </si>
  <si>
    <t>Grams of NOx Emissions per kWh (NEC Average)</t>
  </si>
  <si>
    <t>Freight Rail Emissions Values</t>
  </si>
  <si>
    <t>Freight Rail US Average Energy Consumption (Running Operations)</t>
  </si>
  <si>
    <t>ton-miles / gal of diesel</t>
  </si>
  <si>
    <t>Freight Rail US Average Energy Consumption (Idling)</t>
  </si>
  <si>
    <t>CARB, Technology Assessment: Freight Locomotives, 2016</t>
  </si>
  <si>
    <t>gal / hour</t>
  </si>
  <si>
    <t>LIGHT RAIL/SUBWAY/STREET CAR EMISSIONS FACTORS</t>
  </si>
  <si>
    <t>Light Rail Emissions Values</t>
  </si>
  <si>
    <t>Light Rail Annual Passenger-Miles (National Average)</t>
  </si>
  <si>
    <t>FTA, National Transit Database, Service Metrics, 2017-2021</t>
  </si>
  <si>
    <t>passenger-miles</t>
  </si>
  <si>
    <t>Subway Annual Passenger-Miles (National Average)</t>
  </si>
  <si>
    <t>Street Car Annual Passenger-Miles (National Average)</t>
  </si>
  <si>
    <t>Light Rail Annual Energy Consumption (National Average)</t>
  </si>
  <si>
    <t>kWh</t>
  </si>
  <si>
    <t>Subway Annual Energy Consumption (National Average)</t>
  </si>
  <si>
    <t>Street Car Annual Energy Consumption (National Average)</t>
  </si>
  <si>
    <t>Light Rail/Subway/Street Car US Average Energy Consumption</t>
  </si>
  <si>
    <t>Grams of CO2 Emissions per kWh (National Average)</t>
  </si>
  <si>
    <t>EIA, Emissions by plant and by region, 2023, https://www.eia.gov/electricity/data/emissions/</t>
  </si>
  <si>
    <t>Grams of SO2 Emissions per kWh (National Average)</t>
  </si>
  <si>
    <t>Grams of NOx Emissions per kWh (National Average)</t>
  </si>
  <si>
    <t>AIRCRAFT EMISSIONS FACTORS</t>
  </si>
  <si>
    <t>Grams of NOx Emissions per Gallon of Jet Fuel</t>
  </si>
  <si>
    <t>EPA, Emissions Factors for GHG Inventories, 2024</t>
  </si>
  <si>
    <t>grams / gallon</t>
  </si>
  <si>
    <t>VEHICLE OPERATING COSTS</t>
  </si>
  <si>
    <t>Vehicle Operating Costs - Light Duty Vehicles</t>
  </si>
  <si>
    <t>Vehicle Operating Costs - Commercial Trucks</t>
  </si>
  <si>
    <t>TRAIN OPERATING AND SOCIAL COSTS</t>
  </si>
  <si>
    <t>Operating Costs by Train Type - Idling Operation</t>
  </si>
  <si>
    <t xml:space="preserve">Train Operating Costs - Freight Train - Idling </t>
  </si>
  <si>
    <t xml:space="preserve">Train Operating Costs - Commuter Train - Idling </t>
  </si>
  <si>
    <t>Train Operating Costs - Amtrak Long-Distance - Idling</t>
  </si>
  <si>
    <t xml:space="preserve">Train Operating Costs - Amtrak State-Supported - Idling </t>
  </si>
  <si>
    <t>Operating Costs by Train Type - Hauling Operation</t>
  </si>
  <si>
    <t xml:space="preserve">Train Operating Costs - Freight Train - Hauling </t>
  </si>
  <si>
    <t xml:space="preserve">Train Operating Costs - Commuter Train - Hauling </t>
  </si>
  <si>
    <t>Train Operating Costs - Amtrak Long-Distance - Hauling</t>
  </si>
  <si>
    <t xml:space="preserve">Train Operating Costs - Amtrak State-Supported - Hauling </t>
  </si>
  <si>
    <t>Operating Costs by Train Type - All Movements</t>
  </si>
  <si>
    <t>Train Operating Costs - Freight Railcars</t>
  </si>
  <si>
    <t>Non-CO2 Emissions Costs by Train Type - Idling Operation</t>
  </si>
  <si>
    <t xml:space="preserve">Train Non-CO2 Emissions Costs - Freight Train - Idling </t>
  </si>
  <si>
    <t xml:space="preserve">Train Non-CO2 Emissions Costs - Commuter Train - Idling </t>
  </si>
  <si>
    <t>Train Non-CO2 Emissions Costs - Amtrak Long-Distance - Idling</t>
  </si>
  <si>
    <t xml:space="preserve">Train Non-CO2 Emissions Costs - Amtrak State-Supported - Idling </t>
  </si>
  <si>
    <t>Non-CO2 Emissions Costs by Train Type - Hauling Operation</t>
  </si>
  <si>
    <t xml:space="preserve">Train Non-CO2 Emissions Costs - Freight Train - Hauling </t>
  </si>
  <si>
    <t xml:space="preserve">Train Non-CO2 Emissions Costs - Commuter Train - Hauling </t>
  </si>
  <si>
    <t>Train Non-CO2 Emissions Costs - Amtrak Long-Distance - Hauling</t>
  </si>
  <si>
    <t xml:space="preserve">Train Non-CO2 Emissions Costs - Amtrak State-Supported - Hauling </t>
  </si>
  <si>
    <t>CO2 Emissions Costs by Train Type - Idling Operation</t>
  </si>
  <si>
    <t xml:space="preserve">Train CO2 Emissions Costs - Freight Train - Idling </t>
  </si>
  <si>
    <t xml:space="preserve">Train CO2 Emissions Costs - Commuter Train - Idling </t>
  </si>
  <si>
    <t>Train CO2 Emissions Costs - Amtrak Long-Distance - Idling</t>
  </si>
  <si>
    <t xml:space="preserve">Train CO2 Emissions Costs - Amtrak State-Supported - Idling </t>
  </si>
  <si>
    <t>CO2 Emissions Costs by Train Type - Hauling Operation</t>
  </si>
  <si>
    <t xml:space="preserve">Train CO2 Emissions Costs - Freight Train - Hauling </t>
  </si>
  <si>
    <t xml:space="preserve">Train CO2 Emissions Costs - Commuter Train - Hauling </t>
  </si>
  <si>
    <t>Train CO2 Emissions Costs - Amtrak Long-Distance - Hauling</t>
  </si>
  <si>
    <t xml:space="preserve">Train CO2 Emissions Costs - Amtrak State-Supported - Hauling </t>
  </si>
  <si>
    <t>EXTERNAL HIGHWAY USE COSTS</t>
  </si>
  <si>
    <t>VEHICLE PAVEMENT DAMAGE</t>
  </si>
  <si>
    <t>Autos/Rural Interstate</t>
  </si>
  <si>
    <t>FHWA 2000</t>
  </si>
  <si>
    <t>2022$ / VMT</t>
  </si>
  <si>
    <t>Autos/Urban Interstate</t>
  </si>
  <si>
    <t>40 kip 4-axle S.U. Truck/Rural Interstate</t>
  </si>
  <si>
    <t>40 kip 4-axle S.U. Truck/Urban Interstate</t>
  </si>
  <si>
    <t>60 kip 4-axle S.U. Truck/Rural Interstate</t>
  </si>
  <si>
    <t>60 kip 4-axle S.U. Truck/Urban Interstate</t>
  </si>
  <si>
    <t>60 kip 5-axle Comb/Rural Interstate</t>
  </si>
  <si>
    <t>60 kip 5-axle Comb/Urban Interstate</t>
  </si>
  <si>
    <t>Auto Average Pavement Cost</t>
  </si>
  <si>
    <t>Truck Average Pavement Cost</t>
  </si>
  <si>
    <t>VEHICLE NOISE COSTS</t>
  </si>
  <si>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</si>
  <si>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</si>
  <si>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</si>
  <si>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</si>
  <si>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</si>
  <si>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</si>
  <si>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</si>
  <si>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</si>
  <si>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</si>
  <si>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Auto Average Noise Cost</t>
  </si>
  <si>
    <t>2023$ / VMT</t>
  </si>
  <si>
    <t>Truck Average Noise Cost</t>
  </si>
  <si>
    <t>VEHICLE ROADWAY CONGESTION</t>
  </si>
  <si>
    <t>Auto Average Congestion Cost</t>
  </si>
  <si>
    <t>Truck Average Congestion Cost</t>
  </si>
  <si>
    <t>VEHICLE SAFETY COSTS</t>
  </si>
  <si>
    <t>Auto Average Safety Cost</t>
  </si>
  <si>
    <t>Truck Average Safety Cost</t>
  </si>
  <si>
    <t>VEHICLE NON-CO2 EMISSIONS COSTS</t>
  </si>
  <si>
    <t>VEHICLE CO2 EMISSIONS COSTS</t>
  </si>
  <si>
    <t>2023$ / vehicle-mile</t>
  </si>
  <si>
    <t>PEDESTRIAN AND BICYCLIST BENEFITS</t>
  </si>
  <si>
    <t>Average Travel Speed (Walking)</t>
  </si>
  <si>
    <t>MPH</t>
  </si>
  <si>
    <t>Average Travel Speed (Cycling On-Street Facility)</t>
  </si>
  <si>
    <t>Average Travel Speed (Cycling on Off-Street Facility without Crossings)</t>
  </si>
  <si>
    <t>Average Trip Distance (Walking)</t>
  </si>
  <si>
    <t>person-miles</t>
  </si>
  <si>
    <t>Average Trip Distance (Cycling)</t>
  </si>
  <si>
    <t>Percentage of Children who Ride a Bike on a Given Day</t>
  </si>
  <si>
    <t>National Household Travel Survey (NHTS), 2017</t>
  </si>
  <si>
    <t>Percentage of Children who Walk on a Given Day</t>
  </si>
  <si>
    <t>"Rule of Half" Benefit Modification Factor for Induced Users</t>
  </si>
  <si>
    <t>PEDESTRIAN/BICYCLIST TRIP DATA BY PURPOSE</t>
  </si>
  <si>
    <t>Percentage of Walking Trips for Work</t>
  </si>
  <si>
    <t>National Household Travel Survey, 2017</t>
  </si>
  <si>
    <t>Percentage of Walking Trips for Social/Recreation/Other</t>
  </si>
  <si>
    <t>Percentage of Bicycle Trips for Work</t>
  </si>
  <si>
    <t>Percentage of Bicycle Trips for Social/Recreation/Other</t>
  </si>
  <si>
    <t>PEDESTRIAN/BICYCLIST MODE-SHIFT PROFILE</t>
  </si>
  <si>
    <t>Percentage of Person-Trips by Personal Vehicle</t>
  </si>
  <si>
    <t>Percentage of Person-Trips by Transit</t>
  </si>
  <si>
    <t>Percentage of Person-Trips by Walk/Bike</t>
  </si>
  <si>
    <t>Percentage of Person-Trips by Other Mode</t>
  </si>
  <si>
    <t>Percentage of Walk/Bike-Trips to/from Personal Vehicle</t>
  </si>
  <si>
    <t>Percentage of Walk/Bike-Trips to/from Transit</t>
  </si>
  <si>
    <t>Percentage of Walk/Bike-Trips to/from Other Mode</t>
  </si>
  <si>
    <t>ACTIVE HEALTH BENEFITS</t>
  </si>
  <si>
    <t>Walking Health Benefits</t>
  </si>
  <si>
    <t>Cycling Health Benefits</t>
  </si>
  <si>
    <t>Percentage of Walking Users in Applicable Age Range</t>
  </si>
  <si>
    <t>Percentage of Bicycling Users in Applicable Age Range</t>
  </si>
  <si>
    <t>PEDESTRIAN FACILITY AMENITIES</t>
  </si>
  <si>
    <t>Expand Sidewalk (per foot of added width)</t>
  </si>
  <si>
    <t>Reducing Upslope by 1%</t>
  </si>
  <si>
    <t>Reducing Traffic Speed by 1 MPH (for speeds &lt;= 45 MPH)</t>
  </si>
  <si>
    <t>Reducing Traffic Volume by 1 Vehicle per Hour (for ADT &lt;= 55,000)</t>
  </si>
  <si>
    <t>Install Marked-Crosswalk on Roadway with Volumes =&gt; 10,000 ADT</t>
  </si>
  <si>
    <t>Install Signal for Pedestrian Crossing on Roadway with Volumes =&gt; 13,000 ADT</t>
  </si>
  <si>
    <t>BICYCLIST FACILITY IMPROVEMENT</t>
  </si>
  <si>
    <t>On-Street Cycling without Improvements</t>
  </si>
  <si>
    <t>Cycling Path with At-Grade Crossings</t>
  </si>
  <si>
    <t>Cycling Path with no At-Grade Crossings</t>
  </si>
  <si>
    <t>Dedicated Cycling Lane</t>
  </si>
  <si>
    <t>Cycling Boulevard/"Sharrow"</t>
  </si>
  <si>
    <t>Separated Cycle Track</t>
  </si>
  <si>
    <t>EXISTING AND INDUCED DEMAND MULTIPLIER FOR BICYCLE-TRIPS</t>
  </si>
  <si>
    <t>NCHRP Biking Likelihood Multiplier of Population Living Within 1/4 mile of a Bike Facility</t>
  </si>
  <si>
    <t>NCHRP Guidelines for Analysis of Investments in Bicycle Facilities, 2006.</t>
  </si>
  <si>
    <t>NCHRP Biking Likelihood Multiplier of Population Living Within 1/2 mile of a Bike Facility</t>
  </si>
  <si>
    <t>NCHRP Biking Likelihood Multiplier of Population Living Within 1 mile of a Bike Facility</t>
  </si>
  <si>
    <t>EXISTING AND INDUCED DEMAND MULTIPLIER FOR WALKING-TRIPS</t>
  </si>
  <si>
    <t>NCHRP Walking Likelihood Multiplier of Population Living Within 1/8 mile of a Pedestrian Facility</t>
  </si>
  <si>
    <t>NCHRP Walking Likelihood Multiplier of Population Living Within 1/4 mile of a Pedestrian Facility</t>
  </si>
  <si>
    <t>NCHRP Walking Likelihood Multiplier of Population Living Within 3/8 mile of a Pedestrian Facility</t>
  </si>
  <si>
    <t>PEDESTRIAN/BICYCLIST COMMUTE TRIP DATA BY STATE</t>
  </si>
  <si>
    <t>Percentage of Commuters Biking to Work</t>
  </si>
  <si>
    <t>Alabama</t>
  </si>
  <si>
    <t>US Census, American Community Survey, 2020</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</si>
  <si>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</si>
  <si>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</si>
  <si>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</si>
  <si>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</si>
  <si>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</si>
  <si>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</si>
  <si>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</si>
  <si>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</si>
  <si>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</si>
  <si>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</si>
  <si>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</si>
  <si>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</si>
  <si>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</si>
  <si>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</si>
  <si>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</si>
  <si>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</si>
  <si>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</si>
  <si>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</si>
  <si>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</si>
  <si>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</si>
  <si>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</si>
  <si>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</si>
  <si>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</si>
  <si>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</si>
  <si>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</si>
  <si>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</si>
  <si>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</si>
  <si>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</si>
  <si>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</si>
  <si>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</si>
  <si>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</si>
  <si>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</si>
  <si>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</si>
  <si>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</si>
  <si>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</si>
  <si>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</si>
  <si>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</si>
  <si>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</si>
  <si>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</si>
  <si>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</si>
  <si>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</si>
  <si>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</si>
  <si>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</si>
  <si>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</si>
  <si>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</si>
  <si>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</si>
  <si>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</si>
  <si>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</si>
  <si>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</si>
  <si>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</si>
  <si>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</si>
  <si>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Percentage of Commuters Walking to Work</t>
  </si>
  <si>
    <t>TRANSIT USER BENEFITS</t>
  </si>
  <si>
    <t>TRANSIT FACILTY AMENITIES</t>
  </si>
  <si>
    <t>Bus Stop Facility Amenities</t>
  </si>
  <si>
    <t>Clocks</t>
  </si>
  <si>
    <t>Electronic Real-Time Information Displays</t>
  </si>
  <si>
    <t>Information/Emergency Button</t>
  </si>
  <si>
    <t>PA System</t>
  </si>
  <si>
    <t>Platform/Stop Seating Availability</t>
  </si>
  <si>
    <t>Platform/Stop Weather Protection</t>
  </si>
  <si>
    <t>Restroom Availability</t>
  </si>
  <si>
    <t>Retail/Food Outlet Availability</t>
  </si>
  <si>
    <t>Staff Availability</t>
  </si>
  <si>
    <t>Step-Free Access to Station/Stop</t>
  </si>
  <si>
    <t>Step-Free Access to Vehicle</t>
  </si>
  <si>
    <t>Surveillance Cameras</t>
  </si>
  <si>
    <t>Temperature Controlled Environment</t>
  </si>
  <si>
    <t>Ticket Machines</t>
  </si>
  <si>
    <t>Timetables</t>
  </si>
  <si>
    <t>Light Rail/Streetcar Stop Facility Amenities</t>
  </si>
  <si>
    <t>Rail Station Facility Amenities</t>
  </si>
  <si>
    <t>Bike Facilities</t>
  </si>
  <si>
    <t>Car Access Facilities</t>
  </si>
  <si>
    <t>Elevator</t>
  </si>
  <si>
    <t>Escalators</t>
  </si>
  <si>
    <t>On-Site Ticket Office</t>
  </si>
  <si>
    <t>Taxi Pickup/Dropoff</t>
  </si>
  <si>
    <t>Waiting Room</t>
  </si>
  <si>
    <t>TRANSIT VEHICLE AMENITIES</t>
  </si>
  <si>
    <t>Bus Vehicle Amenities</t>
  </si>
  <si>
    <t>Handrails</t>
  </si>
  <si>
    <t>Luggage Storage</t>
  </si>
  <si>
    <t>Temperature Control</t>
  </si>
  <si>
    <t>Wheelchair Space</t>
  </si>
  <si>
    <t>Light Rail/Streetcar Vehicle Amenities</t>
  </si>
  <si>
    <t>Rail Vehicle Amenities</t>
  </si>
  <si>
    <t>Food Service Availability</t>
  </si>
  <si>
    <t>TRANSIT MODE RIDE AND BOARDING QUALITY</t>
  </si>
  <si>
    <t>Boarding Quality by Transit Mode</t>
  </si>
  <si>
    <t>Local On-Street Bus</t>
  </si>
  <si>
    <t>Low-Intensive BRT</t>
  </si>
  <si>
    <t>Mid-Intensive BRT</t>
  </si>
  <si>
    <t>High-Intensive BRT</t>
  </si>
  <si>
    <t>Streetcar or On-Street Light Rail Transit</t>
  </si>
  <si>
    <t>Off-Street Light Rail Transit</t>
  </si>
  <si>
    <t>Heavy Rail</t>
  </si>
  <si>
    <t>Commuter Rail</t>
  </si>
  <si>
    <t>Ferry</t>
  </si>
  <si>
    <t>Vehicle Ride Quality by Transit Mode</t>
  </si>
  <si>
    <t>TRANSIT TRIP DATA BY PURPOSE</t>
  </si>
  <si>
    <t>Percentage of Transit Trips for Work</t>
  </si>
  <si>
    <t>Percentage of Transit Trips for Social/Recreation/Other</t>
  </si>
  <si>
    <t>TRANSIT TRIP TRAVEL TIME BY COMPONENT</t>
  </si>
  <si>
    <t>Percentage of Average Transit Trip Travel Time (Access Time)</t>
  </si>
  <si>
    <t>Percentage of Average Transit Trip Travel Time (Wait Time)</t>
  </si>
  <si>
    <t>Percentage of Average Transit Trip Travel Time (In-Vehicle Time)</t>
  </si>
  <si>
    <t>Percentage of Average Transit Trip Travel Time (Egress Time)</t>
  </si>
  <si>
    <t>TRANSIT COMMUTE TRIP DATA BY STATE</t>
  </si>
  <si>
    <t>Percentage of Commuters Taking Transit to Work</t>
  </si>
  <si>
    <t>SAFETY</t>
  </si>
  <si>
    <t>KABCO Monetized Values</t>
  </si>
  <si>
    <t>No Injury - O</t>
  </si>
  <si>
    <t>Possible Injury - C</t>
  </si>
  <si>
    <t>Non Incapacitating - B</t>
  </si>
  <si>
    <t>Incapacitating - A</t>
  </si>
  <si>
    <t>Killed - K</t>
  </si>
  <si>
    <t>Injured Severity Unknown</t>
  </si>
  <si>
    <t>Unknown If Injured (# Incidents Reported)</t>
  </si>
  <si>
    <t>Crash Type Monetized Values</t>
  </si>
  <si>
    <t>Injury Crash</t>
  </si>
  <si>
    <t>Fatal Crash</t>
  </si>
  <si>
    <t>Property Damage Values</t>
  </si>
  <si>
    <t>Property Damage Only cost</t>
  </si>
  <si>
    <t>Value of a Statistical Life</t>
  </si>
  <si>
    <t>Value of a Statistical Life Likely</t>
  </si>
  <si>
    <t>AIS Values as Fractions of Life</t>
  </si>
  <si>
    <t>Fatality fraction</t>
  </si>
  <si>
    <t>USDOT Treatment of the Value of Preventing Fatalities and Injuries  in Preparing Economic Analyses, Mar 2021</t>
  </si>
  <si>
    <t>MAIS 5 fraction</t>
  </si>
  <si>
    <t>MAIS 4 fraction</t>
  </si>
  <si>
    <t>MAIS 3 fraction</t>
  </si>
  <si>
    <t>MAIS 2 fraction</t>
  </si>
  <si>
    <t>MAIS 1 fraction</t>
  </si>
  <si>
    <t>MAIS Values of a Statistical Life</t>
  </si>
  <si>
    <t>Fatality Value of a Statistical Life</t>
  </si>
  <si>
    <t>2022$ / injury</t>
  </si>
  <si>
    <t>MAIS 5 Value of a Statistical Life</t>
  </si>
  <si>
    <t>MAIS 4 Value of a Statistical Life</t>
  </si>
  <si>
    <t>MAIS 3 Value of a Statistical Life</t>
  </si>
  <si>
    <t>MAIS 2 Value of a Statistical Life</t>
  </si>
  <si>
    <t>MAIS 1 Value of a Statistical Life</t>
  </si>
  <si>
    <t>AIS-to-MAIS Conversion</t>
  </si>
  <si>
    <t>AIS 5 as % Injuries</t>
  </si>
  <si>
    <t>NHTSA (2002)</t>
  </si>
  <si>
    <t>AIS 4 as % Injuries</t>
  </si>
  <si>
    <t>AIS 3 as % Injuries</t>
  </si>
  <si>
    <t>AIS 2 as % Injuries</t>
  </si>
  <si>
    <t>AIS 1 as % Injuries</t>
  </si>
  <si>
    <t>SAFETY - KABCO Conversions</t>
  </si>
  <si>
    <t>Fatality</t>
  </si>
  <si>
    <t>FASTLANE Guide 2016</t>
  </si>
  <si>
    <t>MAIS 5</t>
  </si>
  <si>
    <t>MAIS 4</t>
  </si>
  <si>
    <t>MAIS 3</t>
  </si>
  <si>
    <t>MAIS 2</t>
  </si>
  <si>
    <t>MAIS 1</t>
  </si>
  <si>
    <t>PDO</t>
  </si>
  <si>
    <t>Killled - K</t>
  </si>
  <si>
    <t>Unknown If Injured</t>
  </si>
  <si>
    <t>State Gas &amp; Diesel Taxes</t>
  </si>
  <si>
    <t>Gas and Diesel Taxes by State</t>
  </si>
  <si>
    <t>US EIA, Federal and state motor fuel taxes, July 2025</t>
  </si>
  <si>
    <t>2025$/gallon</t>
  </si>
  <si>
    <t>National Average</t>
  </si>
  <si>
    <t>Benefit-Cost Analysis - Time-Series Stock Values</t>
  </si>
  <si>
    <t>Calendar Year</t>
  </si>
  <si>
    <t>Constant</t>
  </si>
  <si>
    <t>FUEL</t>
  </si>
  <si>
    <t>Fuel Efficiency</t>
  </si>
  <si>
    <t>Auto/Pickup/SUV (light duty stock) fuel efficiency</t>
  </si>
  <si>
    <t>US EIA Annual Energy Outlook 2025, Table 7</t>
  </si>
  <si>
    <t>mpg</t>
  </si>
  <si>
    <t>Trucks (freight truck) fuel efficiency</t>
  </si>
  <si>
    <t>Aircraft fuel efficiency</t>
  </si>
  <si>
    <t>seat-miles per gal jet fuel</t>
  </si>
  <si>
    <t>Rail fuel efficiency (running operation)</t>
  </si>
  <si>
    <t>ton-miles / thousand BTU</t>
  </si>
  <si>
    <t>Auto (light duty stock) fuel efficiency</t>
  </si>
  <si>
    <t>US EIA 2025 w/Forecast</t>
  </si>
  <si>
    <t>Fuel and Electricity Prices</t>
  </si>
  <si>
    <t>motor gasoline (transportation)</t>
  </si>
  <si>
    <t>US EIA Annual Energy Outlook 2025, Table 12</t>
  </si>
  <si>
    <t>2024$ / gal, incl. taxes</t>
  </si>
  <si>
    <t>diesel (transportation)</t>
  </si>
  <si>
    <t>jet fuel (transportation)</t>
  </si>
  <si>
    <t>electricity (average for all users)</t>
  </si>
  <si>
    <t>2024$ / kWh, incl. taxes</t>
  </si>
  <si>
    <t>EMISSIONS</t>
  </si>
  <si>
    <t>Emissions Costs</t>
  </si>
  <si>
    <t>CO2 Costs</t>
  </si>
  <si>
    <t>2024$ / metric ton</t>
  </si>
  <si>
    <t>NOX Costs Likely</t>
  </si>
  <si>
    <t>PM2.5 Costs Likely</t>
  </si>
  <si>
    <t>SOX Costs Likely</t>
  </si>
  <si>
    <t>CH4 Costs Likely</t>
  </si>
  <si>
    <t>IWG, "Technical Support Document: Social Cost of Carbon, Methane, and Nitrous Oxide Interim Estimates under Executive Order 13990", 2021</t>
  </si>
  <si>
    <t>VOC Costs Likely (urban)</t>
  </si>
  <si>
    <t>Caltrans Cal-B/C Model 7.2</t>
  </si>
  <si>
    <t>VOC Costs Likely (rural)</t>
  </si>
  <si>
    <t>CH4 Inflation Adjustment Factor ($2020 to $2024)</t>
  </si>
  <si>
    <t>IWG, Technical Support Document: Social  Cost of Carbon, Methane, and Nitrous  Oxide Interim Estimates under Executive Order 13990, 2021</t>
  </si>
  <si>
    <t>Auto Emissions</t>
  </si>
  <si>
    <r>
      <rPr>
        <b/>
        <sz val="11"/>
        <rFont val="Calibri"/>
        <family val="2"/>
      </rPr>
      <t xml:space="preserve">Note: </t>
    </r>
    <r>
      <rPr>
        <sz val="11"/>
        <rFont val="Calibri"/>
        <family val="2"/>
        <scheme val="minor"/>
      </rPr>
      <t xml:space="preserve">Auto emissions factors are based on California Air Resources Board's EMFAC2017 Mobile Emissions Inventory for 2024 and 2044, with other years calculated based on the CAGR between those years. The emission rates for years after 2044 are assumed to be constant to the value in 2044. The emissions rates for years before 2024 are based on the California Air Resources Board's EMFAC2017 Mobile Emissions Inventory for 2020 and 2040. </t>
    </r>
  </si>
  <si>
    <t>NOx Emissions</t>
  </si>
  <si>
    <t>0 MPH</t>
  </si>
  <si>
    <t>California Air Resources Board, EMFAC2024 Mobile Emissions Inventory</t>
  </si>
  <si>
    <t>g / VMT</t>
  </si>
  <si>
    <t>5 MPH</t>
  </si>
  <si>
    <t>6 MPH</t>
  </si>
  <si>
    <t>7 MPH</t>
  </si>
  <si>
    <t>8 MPH</t>
  </si>
  <si>
    <t>9 MPH</t>
  </si>
  <si>
    <t>10 MPH</t>
  </si>
  <si>
    <t>11 MPH</t>
  </si>
  <si>
    <t>12 MPH</t>
  </si>
  <si>
    <t>13 MPH</t>
  </si>
  <si>
    <t>14 MPH</t>
  </si>
  <si>
    <t>15 MPH</t>
  </si>
  <si>
    <t>16 MPH</t>
  </si>
  <si>
    <t>17 MPH</t>
  </si>
  <si>
    <t>18 MPH</t>
  </si>
  <si>
    <t>19 MPH</t>
  </si>
  <si>
    <t>20 MPH</t>
  </si>
  <si>
    <t>21 MPH</t>
  </si>
  <si>
    <t>22 MPH</t>
  </si>
  <si>
    <t>23 MPH</t>
  </si>
  <si>
    <t>24 MPH</t>
  </si>
  <si>
    <t>25 MPH</t>
  </si>
  <si>
    <t>26 MPH</t>
  </si>
  <si>
    <t>27 MPH</t>
  </si>
  <si>
    <t>28 MPH</t>
  </si>
  <si>
    <t>29 MPH</t>
  </si>
  <si>
    <t>30 MPH</t>
  </si>
  <si>
    <t>31 MPH</t>
  </si>
  <si>
    <t>32 MPH</t>
  </si>
  <si>
    <t>33 MPH</t>
  </si>
  <si>
    <t>34 MPH</t>
  </si>
  <si>
    <t>35 MPH</t>
  </si>
  <si>
    <t>36 MPH</t>
  </si>
  <si>
    <t>37 MPH</t>
  </si>
  <si>
    <t>38 MPH</t>
  </si>
  <si>
    <t>39 MPH</t>
  </si>
  <si>
    <t>40 MPH</t>
  </si>
  <si>
    <t>41 MPH</t>
  </si>
  <si>
    <t>42 MPH</t>
  </si>
  <si>
    <t>43 MPH</t>
  </si>
  <si>
    <t>44 MPH</t>
  </si>
  <si>
    <t>45 MPH</t>
  </si>
  <si>
    <t>46 MPH</t>
  </si>
  <si>
    <t>47 MPH</t>
  </si>
  <si>
    <t>48 MPH</t>
  </si>
  <si>
    <t>49 MPH</t>
  </si>
  <si>
    <t>50 MPH</t>
  </si>
  <si>
    <t>51 MPH</t>
  </si>
  <si>
    <t>52 MPH</t>
  </si>
  <si>
    <t>53 MPH</t>
  </si>
  <si>
    <t>54 MPH</t>
  </si>
  <si>
    <t>55 MPH</t>
  </si>
  <si>
    <t>56 MPH</t>
  </si>
  <si>
    <t>57 MPH</t>
  </si>
  <si>
    <t>58 MPH</t>
  </si>
  <si>
    <t>59 MPH</t>
  </si>
  <si>
    <t>60 MPH</t>
  </si>
  <si>
    <t>61 MPH</t>
  </si>
  <si>
    <t>62 MPH</t>
  </si>
  <si>
    <t>63 MPH</t>
  </si>
  <si>
    <t>64 MPH</t>
  </si>
  <si>
    <t>65 MPH</t>
  </si>
  <si>
    <t>66 MPH</t>
  </si>
  <si>
    <t>67 MPH</t>
  </si>
  <si>
    <t>68 MPH</t>
  </si>
  <si>
    <t>69 MPH</t>
  </si>
  <si>
    <t>70 MPH</t>
  </si>
  <si>
    <t>PM2.5 Emissions</t>
  </si>
  <si>
    <t>SOx Emissions</t>
  </si>
  <si>
    <t>Truck Emissions</t>
  </si>
  <si>
    <r>
      <rPr>
        <b/>
        <sz val="11"/>
        <rFont val="Calibri"/>
        <family val="2"/>
      </rPr>
      <t xml:space="preserve">Note: </t>
    </r>
    <r>
      <rPr>
        <sz val="11"/>
        <rFont val="Calibri"/>
        <family val="2"/>
        <scheme val="minor"/>
      </rPr>
      <t>Truck emissions factors are based on California Air Resources Board's EMFAC2017 Mobile Emissions Inventory for 2020 and 2040, with other years calculated based on the CAGR between those years.</t>
    </r>
  </si>
  <si>
    <t>Bus Emissions</t>
  </si>
  <si>
    <r>
      <rPr>
        <b/>
        <sz val="11"/>
        <rFont val="Calibri"/>
        <family val="2"/>
      </rPr>
      <t xml:space="preserve">Note: </t>
    </r>
    <r>
      <rPr>
        <sz val="11"/>
        <rFont val="Calibri"/>
        <family val="2"/>
        <scheme val="minor"/>
      </rPr>
      <t>Bus emissions factors are based on California Air Resources Board's EMFAC2017 Mobile Emissions Inventory for 2020 and 2040, with other years calculated based on the CAGR between those years.</t>
    </r>
  </si>
  <si>
    <t>Freight Rail Emissions</t>
  </si>
  <si>
    <t>NOX Emissions</t>
  </si>
  <si>
    <t>Grams of NOx Emissions per Gallon of Diesel (Large Line-Haul)</t>
  </si>
  <si>
    <t>Grams of NOx Emissions per Gallon of Diesel (Large Switch)</t>
  </si>
  <si>
    <t>Grams of NOx Emissions per Gallon of Diesel (Small Railroads)</t>
  </si>
  <si>
    <t>Grams of NOx Emissions per Gallon of Diesel (Average)</t>
  </si>
  <si>
    <t>Grams of PM10 Emissions per Gallon of Diesel (Large Line-Haul)</t>
  </si>
  <si>
    <t>Grams of PM10 Emissions per Gallon of Diesel (Large Switch)</t>
  </si>
  <si>
    <t>Grams of PM10 Emissions per Gallon of Diesel (Small Railroads)</t>
  </si>
  <si>
    <t>Grams of PM10 Emissions per Gallon of Diesel (Average)</t>
  </si>
  <si>
    <t>Grams of PM2.5 Emissions per Gallon of Diesel (Large Line-Haul)</t>
  </si>
  <si>
    <t>Grams of PM2.5 Emissions per Gallon of Diesel (Large Switch)</t>
  </si>
  <si>
    <t>Grams of PM2.5 Emissions per Gallon of Diesel (Small Railroads)</t>
  </si>
  <si>
    <t>Grams of PM2.5 Emissions per Gallon of Diesel (Average)</t>
  </si>
  <si>
    <t>VOC Emissions</t>
  </si>
  <si>
    <t>Grams of HC Emissions per Gallon of Diesel (Large Line-Haul)</t>
  </si>
  <si>
    <t>Grams of HC Emissions per Gallon of Diesel (Large Switch)</t>
  </si>
  <si>
    <t>Grams of HC Emissions per Gallon of Diesel (Small Railroads)</t>
  </si>
  <si>
    <t>Grams of HC Emissions per Gallon of Diesel (Average)</t>
  </si>
  <si>
    <t>Grams of VOC Emissions per Gallon of Diesel (Large Line-Haul)</t>
  </si>
  <si>
    <t>Grams of VOC Emissions per Gallon of Diesel (Large Switch)</t>
  </si>
  <si>
    <t>Grams of VOC Emissions per Gallon of Diesel (Small Railroads)</t>
  </si>
  <si>
    <t>Grams of VOC Emissions per Gallon of Diesel (Average)</t>
  </si>
  <si>
    <t>Passenger Rail Emissions</t>
  </si>
  <si>
    <t>PROJECT INPUT VALUES AND INTERMEDIATE CALCULATIONS</t>
  </si>
  <si>
    <t>Benefit-Cost Analysis - Project Inputs Worksheet</t>
  </si>
  <si>
    <t>General Project Details</t>
  </si>
  <si>
    <t>Design/Construction Start Date</t>
  </si>
  <si>
    <t>Project Defined</t>
  </si>
  <si>
    <t>Design/Construction End Date</t>
  </si>
  <si>
    <t>Design/Construction Period</t>
  </si>
  <si>
    <t>Project Opening</t>
  </si>
  <si>
    <t>Last Year in Operations Period</t>
  </si>
  <si>
    <t>First Year Adjustment Factor</t>
  </si>
  <si>
    <t>Adj. for partial years</t>
  </si>
  <si>
    <t>Operations Period</t>
  </si>
  <si>
    <t>User Defined</t>
  </si>
  <si>
    <t>Analysis Length (Including Construction)</t>
  </si>
  <si>
    <t>Percent Rural</t>
  </si>
  <si>
    <t>Percent Urban</t>
  </si>
  <si>
    <t>Project State</t>
  </si>
  <si>
    <t>state</t>
  </si>
  <si>
    <t>Individual Item Details (for Residual Value Calc)</t>
  </si>
  <si>
    <t>Item 1</t>
  </si>
  <si>
    <t>Asset Name</t>
  </si>
  <si>
    <t>words</t>
  </si>
  <si>
    <t>Expected Lifespan of Asset</t>
  </si>
  <si>
    <t>Last purchase year</t>
  </si>
  <si>
    <t>Analysis End Year</t>
  </si>
  <si>
    <t>Item Capital Cost</t>
  </si>
  <si>
    <t>Benefit-Cost Analysis - Cost Calculations Worksheet</t>
  </si>
  <si>
    <t>SCHEDULE</t>
  </si>
  <si>
    <t>SOURCE</t>
  </si>
  <si>
    <t>UNIT</t>
  </si>
  <si>
    <t>VALUE</t>
  </si>
  <si>
    <t>Construction Start Year</t>
  </si>
  <si>
    <t>User Input</t>
  </si>
  <si>
    <t>Construction End Year</t>
  </si>
  <si>
    <t>Operations Start Year</t>
  </si>
  <si>
    <t>Operations End Year</t>
  </si>
  <si>
    <t>Length of Operations Period</t>
  </si>
  <si>
    <t>(check if in accordance with USDOT guidance)</t>
  </si>
  <si>
    <t>CAPITAL COST SCHEDULE</t>
  </si>
  <si>
    <t>Capital Costs</t>
  </si>
  <si>
    <t>Year of Dollars for Project Costs</t>
  </si>
  <si>
    <t>ODOT Operations Team, Project Schedule</t>
  </si>
  <si>
    <t>Target Year of Dollars</t>
  </si>
  <si>
    <t>USDOT BCA Guidance Nov 2024</t>
  </si>
  <si>
    <t>Cost Schedule</t>
  </si>
  <si>
    <t>Base Year for Cost Escalation</t>
  </si>
  <si>
    <t>Cost Escalation Rate</t>
  </si>
  <si>
    <t>Schedule of Cost Activities by Year (input number of months per year)</t>
  </si>
  <si>
    <t>Engineering/Design/Environmental Services</t>
  </si>
  <si>
    <t>months</t>
  </si>
  <si>
    <t>ROW Acquisition</t>
  </si>
  <si>
    <t>Construction</t>
  </si>
  <si>
    <t>Total Cost by Cost Category</t>
  </si>
  <si>
    <t>YOE$</t>
  </si>
  <si>
    <t>Cost by Category By Year</t>
  </si>
  <si>
    <t>Costs by Year</t>
  </si>
  <si>
    <t>Capital Costs Export to EXPORT Tab</t>
  </si>
  <si>
    <t>Operations and Maintenance Costs</t>
  </si>
  <si>
    <t>Operations &amp; Maintenance Costs by Year Flags</t>
  </si>
  <si>
    <t>Year of Dollars for Project Costs (Build)</t>
  </si>
  <si>
    <t>Operations &amp; Maintenance Annual Costs (Build)</t>
  </si>
  <si>
    <t>Year of Dollars for Project Costs (No Build)</t>
  </si>
  <si>
    <t>Operations &amp; Maintenance Annual Costs (No Build)</t>
  </si>
  <si>
    <t>Operations &amp; Maintenance Costs Export to EXPORT Tab</t>
  </si>
  <si>
    <t>Operations &amp; Maintenance Costs (Build)</t>
  </si>
  <si>
    <t>Operations &amp; Maintenance Costs (No Build)</t>
  </si>
  <si>
    <t>Repair &amp; Rehabilitation Costs</t>
  </si>
  <si>
    <r>
      <t xml:space="preserve">Frequency of R&amp;R Activity 1 (Build) </t>
    </r>
    <r>
      <rPr>
        <i/>
        <sz val="11"/>
        <color theme="1"/>
        <rFont val="Calibri"/>
        <family val="2"/>
      </rPr>
      <t>(indicate with a "1" in the appropriate years)</t>
    </r>
  </si>
  <si>
    <r>
      <t xml:space="preserve">Frequency of R&amp;R Activity 2 (Build) </t>
    </r>
    <r>
      <rPr>
        <i/>
        <sz val="11"/>
        <color theme="1"/>
        <rFont val="Calibri"/>
        <family val="2"/>
      </rPr>
      <t>(indicate with a "1" in the appropriate years)</t>
    </r>
  </si>
  <si>
    <r>
      <t xml:space="preserve">Frequency of R&amp;R Activity 3 (Build) </t>
    </r>
    <r>
      <rPr>
        <i/>
        <sz val="11"/>
        <color theme="1"/>
        <rFont val="Calibri"/>
        <family val="2"/>
      </rPr>
      <t>(indicate with a "1" in the appropriate years)</t>
    </r>
  </si>
  <si>
    <r>
      <t xml:space="preserve">Frequency of R&amp;R Activity 4 (Build) </t>
    </r>
    <r>
      <rPr>
        <i/>
        <sz val="11"/>
        <color theme="1"/>
        <rFont val="Calibri"/>
        <family val="2"/>
      </rPr>
      <t>(indicate with a "1" in the appropriate years)</t>
    </r>
  </si>
  <si>
    <t>Repair &amp; Rehabilitation Build Costs</t>
  </si>
  <si>
    <t>Cost of R&amp;R Activity 1 (Build)</t>
  </si>
  <si>
    <t>ODOT Team Assumption. $2m every 14 years post-construction</t>
  </si>
  <si>
    <t>Cost of R&amp;R Activity 2 (Build)</t>
  </si>
  <si>
    <t>Cost of R&amp;R Activity 3 (Build)</t>
  </si>
  <si>
    <t>Cost of R&amp;R Activity 4 (Build)</t>
  </si>
  <si>
    <t>Repair &amp; Rehabilitation No Build Costs</t>
  </si>
  <si>
    <r>
      <t xml:space="preserve">Frequency of R&amp;R Activity 1 (No Build) </t>
    </r>
    <r>
      <rPr>
        <i/>
        <sz val="11"/>
        <color theme="1"/>
        <rFont val="Calibri"/>
        <family val="2"/>
      </rPr>
      <t>(indicate with a "1" in the appropriate years)</t>
    </r>
  </si>
  <si>
    <r>
      <t xml:space="preserve">Frequency of R&amp;R Activity 2 (No Build) </t>
    </r>
    <r>
      <rPr>
        <i/>
        <sz val="11"/>
        <color theme="1"/>
        <rFont val="Calibri"/>
        <family val="2"/>
      </rPr>
      <t>(indicate with a "1" in the appropriate years)</t>
    </r>
  </si>
  <si>
    <r>
      <t xml:space="preserve">Frequency of R&amp;R Activity 3 (No Build) </t>
    </r>
    <r>
      <rPr>
        <i/>
        <sz val="11"/>
        <color theme="1"/>
        <rFont val="Calibri"/>
        <family val="2"/>
      </rPr>
      <t>(indicate with a "1" in the appropriate years)</t>
    </r>
  </si>
  <si>
    <r>
      <t xml:space="preserve">Frequency of R&amp;R Activity 4 (No Build) </t>
    </r>
    <r>
      <rPr>
        <i/>
        <sz val="11"/>
        <color theme="1"/>
        <rFont val="Calibri"/>
        <family val="2"/>
      </rPr>
      <t>(indicate with a "1" in the appropriate years)</t>
    </r>
  </si>
  <si>
    <t>Cost of R&amp;R Activity 1 (No Build)</t>
  </si>
  <si>
    <t>ODOT Team Assumption. $2m every 8 years starting 2027</t>
  </si>
  <si>
    <t>Cost of R&amp;R Activity 2 (No Build)</t>
  </si>
  <si>
    <t>Cost of R&amp;R Activity 3 (No Build)</t>
  </si>
  <si>
    <t>Cost of R&amp;R Activity 4 (No Build)</t>
  </si>
  <si>
    <t>Repair &amp; Rehabilitation Costs Export to EXPORT Tab</t>
  </si>
  <si>
    <t>Repair &amp; Rehabilitation Costs (Build)</t>
  </si>
  <si>
    <t>Repair &amp; Rehabilitation Costs (No Build)</t>
  </si>
  <si>
    <t>I-35 Segment</t>
  </si>
  <si>
    <t>Benefit-Cost Analysis - Safety Calculations Worksheet</t>
  </si>
  <si>
    <t>Constant (Likely Case)</t>
  </si>
  <si>
    <t>Safety Analysis</t>
  </si>
  <si>
    <t>Limits of Project Segment #1</t>
  </si>
  <si>
    <t>mile posts/area</t>
  </si>
  <si>
    <t>I-35 Section</t>
  </si>
  <si>
    <t>Limits of Project Segment #2</t>
  </si>
  <si>
    <t>Limits of Project Segment #3</t>
  </si>
  <si>
    <t>Limits of Project Segment #4</t>
  </si>
  <si>
    <t>Limits of Project Segment #5</t>
  </si>
  <si>
    <t>Safety Analysis - Inputs</t>
  </si>
  <si>
    <t>Safety Analysis (based on KABCO Data) - Inputs</t>
  </si>
  <si>
    <t>Project Segment #1</t>
  </si>
  <si>
    <t>ODOT Operations Team, Crash Report 2017-2022</t>
  </si>
  <si>
    <t>injuries</t>
  </si>
  <si>
    <t>Total Years of Crash History</t>
  </si>
  <si>
    <t>Safety Analysis - Calculations</t>
  </si>
  <si>
    <t>Safety Analysis (based on KABCO Data) - Calculations</t>
  </si>
  <si>
    <t>Reduction in Annual Vehicle Crashes (based on KABCO Data)</t>
  </si>
  <si>
    <t>Source/Notes</t>
  </si>
  <si>
    <t>Traffic Analysis</t>
  </si>
  <si>
    <t>Project Parameters</t>
  </si>
  <si>
    <t>name</t>
  </si>
  <si>
    <t>Weekdays per Year in Traffic Data</t>
  </si>
  <si>
    <t>days</t>
  </si>
  <si>
    <t>Saturdays per Year in Traffic Data</t>
  </si>
  <si>
    <t>Sundays per Year in Traffic Data</t>
  </si>
  <si>
    <t>Annualization Factor</t>
  </si>
  <si>
    <t>Project Opening Year</t>
  </si>
  <si>
    <t>Traffic Data Inputs</t>
  </si>
  <si>
    <t>Year of Traffic Data (Base/Current Year)</t>
  </si>
  <si>
    <t>Oklahoma Transportation - Traffic Viewer. Station ID 440034, https://okdot.public.ms2soft.com/TDMS.UI_Core/trafficviewer\</t>
  </si>
  <si>
    <t>Year of Traffic Data (Project Opening Year)</t>
  </si>
  <si>
    <t>Project Input</t>
  </si>
  <si>
    <t>Year of Traffic Data (Future Year)</t>
  </si>
  <si>
    <t>CAGR</t>
  </si>
  <si>
    <t>Assumption, RTC Washoe Traffic Operations Team</t>
  </si>
  <si>
    <t>Traffic Data Projections</t>
  </si>
  <si>
    <t>VHTs</t>
  </si>
  <si>
    <t>Traffic Data Projections (Total Project Area)</t>
  </si>
  <si>
    <t>PHTs</t>
  </si>
  <si>
    <t>Benefit-Cost Analysis - Roadway Segment Traffic Data Calculations Worksheet</t>
  </si>
  <si>
    <t>Name of Roadway Segment #1</t>
  </si>
  <si>
    <t>Length of Roadway Segment #1 (No Build)</t>
  </si>
  <si>
    <t>miles</t>
  </si>
  <si>
    <t>Length of Roadway Segment #1 (Build)</t>
  </si>
  <si>
    <t>Annual Growth Rate from Base Year to Opening Year</t>
  </si>
  <si>
    <t>Annual Growth Rate from Opening Year to Future Forecast Year</t>
  </si>
  <si>
    <t>Annual Growth Rate after Future Forecast Year</t>
  </si>
  <si>
    <t>AADTs</t>
  </si>
  <si>
    <t>Annual Vehicle-Trips By Year</t>
  </si>
  <si>
    <t>vehicle-trips</t>
  </si>
  <si>
    <t>Trucks as Percentage of Traffic in Project Area (without Project)</t>
  </si>
  <si>
    <t>Autos as Percentage of Traffic in Project Area (without Project)</t>
  </si>
  <si>
    <t>Trucks as Percentage of Traffic in Project Area (with Project)</t>
  </si>
  <si>
    <t>Autos as Percentage of Traffic in Project Area (with Project)</t>
  </si>
  <si>
    <t>Annual Vehicle-Miles Traveled By Year</t>
  </si>
  <si>
    <t>VMTs</t>
  </si>
  <si>
    <t>Annual Vehicle-Hours Traveled By Year</t>
  </si>
  <si>
    <t>Total VMTs in Project Area (without Project)</t>
  </si>
  <si>
    <t>Truck VMTs in Project Area (without Project)</t>
  </si>
  <si>
    <t>Auto VMTs in Project Area (without Project)</t>
  </si>
  <si>
    <t>Total VMTs in Project Area (with Project)</t>
  </si>
  <si>
    <t>Truck VMTs in Project Area (with Project)</t>
  </si>
  <si>
    <t>Auto VMTs in Project Area (with Project)</t>
  </si>
  <si>
    <t>Total VHTs in Project Area (without Project)</t>
  </si>
  <si>
    <t>Truck VHTs in Project Area (without Project)</t>
  </si>
  <si>
    <t>Auto VHTs in Project Area (without Project)</t>
  </si>
  <si>
    <t>Total Existing VHTs in Project Area (with Project)</t>
  </si>
  <si>
    <t>Truck Existing VHTs in Project Area (with Project)</t>
  </si>
  <si>
    <t>Auto Existing VHTs in Project Area (with Project)</t>
  </si>
  <si>
    <t>Reduction in Total Existing VHTs in Project Area</t>
  </si>
  <si>
    <t>Reduction in Truck Existing VHTs in Project Area</t>
  </si>
  <si>
    <t>Reduction in Auto Existing VHTs in Project Area</t>
  </si>
  <si>
    <t>Reduction in Existing Truck PHTs in Project Area</t>
  </si>
  <si>
    <t>Reduction in Existing Auto PHTs in Project Area</t>
  </si>
  <si>
    <t>Average Travel Speed (without Project)</t>
  </si>
  <si>
    <t>Average Travel Speed (with Project)</t>
  </si>
  <si>
    <t>ADTs</t>
  </si>
  <si>
    <t>PHT</t>
  </si>
  <si>
    <t>Benefit-Cost Analysis - Intermediate Calculations Worksheet</t>
  </si>
  <si>
    <t>Benefits</t>
  </si>
  <si>
    <t>Travel Time Savings - Auto</t>
  </si>
  <si>
    <t>negative = increase in PHT, positive = decrease in PHT</t>
  </si>
  <si>
    <t>Travel Time Savings - Truck</t>
  </si>
  <si>
    <t>Safety</t>
  </si>
  <si>
    <t>Auto and Truck</t>
  </si>
  <si>
    <t>If you have KABCO Rates</t>
  </si>
  <si>
    <t>negative = increase in injuries, positive = decrease in injuries</t>
  </si>
  <si>
    <t># per year</t>
  </si>
  <si>
    <t>Costs</t>
  </si>
  <si>
    <t>Build Costs</t>
  </si>
  <si>
    <t>Preliminary Engineering</t>
  </si>
  <si>
    <t>Right-of-Way</t>
  </si>
  <si>
    <t>Total Capital Costs (if not delineated above)</t>
  </si>
  <si>
    <t>O&amp;M Costs</t>
  </si>
  <si>
    <t>R&amp;R Costs</t>
  </si>
  <si>
    <t>No Build Costs</t>
  </si>
  <si>
    <t>AGGREGATED COSTS AND BENEFITS (QUANTIFIED)</t>
  </si>
  <si>
    <t>Benefit-Cost Analysis - Summarized Quantified Calculations Worksheet</t>
  </si>
  <si>
    <t>Sum Total</t>
  </si>
  <si>
    <t>negative = increase in crashes, positive = decrease in crashes</t>
  </si>
  <si>
    <t>always positive</t>
  </si>
  <si>
    <t>AGGREGATED COSTS AND BENEFITS (MONETIZED)</t>
  </si>
  <si>
    <t>Benefit-Cost Analysis - Standardized Values Worksheet</t>
  </si>
  <si>
    <t>Benefit-Cost Analysis - Undiscounted Monetized Results Worksheet</t>
  </si>
  <si>
    <t>TOTAL BASE BENEFITS</t>
  </si>
  <si>
    <t>CUMULATIVE BASE BENEFITS</t>
  </si>
  <si>
    <t>TOTAL BASE COSTS</t>
  </si>
  <si>
    <t>CUMULATIVE BASE COSTS</t>
  </si>
  <si>
    <t>NET CASH FLOWS</t>
  </si>
  <si>
    <t>CUMULATIVE NET CASH FLOWS</t>
  </si>
  <si>
    <t>Benefit-Cost Analysis - Discounted Monetized Results Worksheet</t>
  </si>
  <si>
    <t>Discount Factor</t>
  </si>
  <si>
    <t>Benefit-Cost Analysis - Summary of Undiscounted Monetized Results</t>
  </si>
  <si>
    <t>BENEFITS BY CATEGORY</t>
  </si>
  <si>
    <t>Base</t>
  </si>
  <si>
    <t>TOTALS</t>
  </si>
  <si>
    <t>TOTAL  BENEFITS</t>
  </si>
  <si>
    <t>CUMULATIVE  BENEFITS</t>
  </si>
  <si>
    <t>TOTAL  COSTS</t>
  </si>
  <si>
    <t>CUMULATIVE  COSTS</t>
  </si>
  <si>
    <t>BC Ratios</t>
  </si>
  <si>
    <t>B/C Ratio Base</t>
  </si>
  <si>
    <t>ratio</t>
  </si>
  <si>
    <t>Net Present Value</t>
  </si>
  <si>
    <t>Net Present Value Base</t>
  </si>
  <si>
    <t>Benefit-Cost Analysis - Summary of Discounted Monetized Results</t>
  </si>
  <si>
    <t>Calendar</t>
  </si>
  <si>
    <t>CALCULATIONS AND RAW DATA</t>
  </si>
  <si>
    <t>Benefit-Cost Analysis - Discounting and Period Flags Worksheet</t>
  </si>
  <si>
    <t>DISCOUNT RATE</t>
  </si>
  <si>
    <t>rate</t>
  </si>
  <si>
    <t>TIME FLAGS</t>
  </si>
  <si>
    <t>End Year</t>
  </si>
  <si>
    <t>Start year flag</t>
  </si>
  <si>
    <t>End year flag</t>
  </si>
  <si>
    <t>Forecast period flag</t>
  </si>
  <si>
    <t>Adjustment Factor</t>
  </si>
  <si>
    <t>Operations period flag</t>
  </si>
  <si>
    <t>Benefit-Cost Analysis - Residual Value Calculations Worksheet</t>
  </si>
  <si>
    <t>ITEM 1</t>
  </si>
  <si>
    <t>Time between const. and end of analysis</t>
  </si>
  <si>
    <t>Depreciation Rate</t>
  </si>
  <si>
    <t>Total Depreciation</t>
  </si>
  <si>
    <t>Remaining Capital Value Total, Undiscounted</t>
  </si>
  <si>
    <t>Last Year Flag</t>
  </si>
  <si>
    <t>flag</t>
  </si>
  <si>
    <t>Remaining Capital Value Total, Discounted</t>
  </si>
  <si>
    <t>TOTAL</t>
  </si>
  <si>
    <t>Total Residual Value, PV Not Discounted</t>
  </si>
  <si>
    <t>Doc ID</t>
  </si>
  <si>
    <t>County #</t>
  </si>
  <si>
    <t>City #</t>
  </si>
  <si>
    <t>Control #</t>
  </si>
  <si>
    <t>Int ID #</t>
  </si>
  <si>
    <t>Milepoint</t>
  </si>
  <si>
    <t>Hwy Name</t>
  </si>
  <si>
    <t>Hwy Class</t>
  </si>
  <si>
    <t>Special Feature 1</t>
  </si>
  <si>
    <t>Special Feature 2</t>
  </si>
  <si>
    <t>Int. Rel.</t>
  </si>
  <si>
    <t>#Vis. Injured</t>
  </si>
  <si>
    <t># Killed</t>
  </si>
  <si>
    <t>Type of Collision (Derived)</t>
  </si>
  <si>
    <t>Severity</t>
  </si>
  <si>
    <t>Date</t>
  </si>
  <si>
    <t>Latitude (Derived)</t>
  </si>
  <si>
    <t>Longitude (Derived)</t>
  </si>
  <si>
    <t>Collision Time</t>
  </si>
  <si>
    <t>Alcohol Involved</t>
  </si>
  <si>
    <t>Drugs Involved</t>
  </si>
  <si>
    <t>Day of Week</t>
  </si>
  <si>
    <t>Light Conditions</t>
  </si>
  <si>
    <t>On Street</t>
  </si>
  <si>
    <t>At Street</t>
  </si>
  <si>
    <t>Weather Conditions</t>
  </si>
  <si>
    <t># Suspected Serious Injured</t>
  </si>
  <si>
    <t># Non-Incapacitated Injured</t>
  </si>
  <si>
    <t># Possibly Injured</t>
  </si>
  <si>
    <t># Pedestrians</t>
  </si>
  <si>
    <t>Collision Unsafe Unlawful (Derived)</t>
  </si>
  <si>
    <t>Collision Unsafe Unlawful Code (Derived)</t>
  </si>
  <si>
    <t>Roadway Departure (Derived)</t>
  </si>
  <si>
    <t>Cross Centerline (Derived)</t>
  </si>
  <si>
    <t>Unit Type</t>
  </si>
  <si>
    <t>Vehicle Type</t>
  </si>
  <si>
    <t>Unsafe/Unlaw</t>
  </si>
  <si>
    <t>Road Condition</t>
  </si>
  <si>
    <t>Traffic Control</t>
  </si>
  <si>
    <t>Age</t>
  </si>
  <si>
    <t>Sex</t>
  </si>
  <si>
    <t>Driver of Vehicle</t>
  </si>
  <si>
    <t>Injury Severity</t>
  </si>
  <si>
    <t>Person Condition</t>
  </si>
  <si>
    <t>Restraint use</t>
  </si>
  <si>
    <t>I-35</t>
  </si>
  <si>
    <t>REAR-END</t>
  </si>
  <si>
    <t>N</t>
  </si>
  <si>
    <t>MM 99</t>
  </si>
  <si>
    <t>INATT</t>
  </si>
  <si>
    <t>No Roadway Departure</t>
  </si>
  <si>
    <t>D</t>
  </si>
  <si>
    <t>F</t>
  </si>
  <si>
    <t>Y</t>
  </si>
  <si>
    <t>M</t>
  </si>
  <si>
    <t>F-O BARR-CABLE</t>
  </si>
  <si>
    <t>UNSAF-SPD</t>
  </si>
  <si>
    <t>Roadway Departure Left</t>
  </si>
  <si>
    <t>JOHNSON RD. OP*4*</t>
  </si>
  <si>
    <t>OTHER</t>
  </si>
  <si>
    <t>I-35 SB</t>
  </si>
  <si>
    <t>LADD RD.</t>
  </si>
  <si>
    <t>NEG-DRVING</t>
  </si>
  <si>
    <t>F-O FENCE</t>
  </si>
  <si>
    <t>100  MILE MARKER</t>
  </si>
  <si>
    <t>Roadway Departure Right</t>
  </si>
  <si>
    <t>100MM</t>
  </si>
  <si>
    <t>FOL-CLOSE</t>
  </si>
  <si>
    <t>100 MILE MARKER</t>
  </si>
  <si>
    <t>I-35 NB</t>
  </si>
  <si>
    <t>MILE 100</t>
  </si>
  <si>
    <t>MILE 99</t>
  </si>
  <si>
    <t>MM 98</t>
  </si>
  <si>
    <t>SIDESWIPE-SAME</t>
  </si>
  <si>
    <t>SLEEPY</t>
  </si>
  <si>
    <t>DEF-VEH</t>
  </si>
  <si>
    <t>IMP-LN-CHG</t>
  </si>
  <si>
    <t>F-O BARR-OTHER</t>
  </si>
  <si>
    <t>F-O TREE</t>
  </si>
  <si>
    <t>JOHNSON ROAD</t>
  </si>
  <si>
    <t>MILE 98</t>
  </si>
  <si>
    <t>C</t>
  </si>
  <si>
    <t>MM 103</t>
  </si>
  <si>
    <t>99 MILE MARKER</t>
  </si>
  <si>
    <t>F-O POLE-OTHER</t>
  </si>
  <si>
    <t>HORSESHOE CIRCLE</t>
  </si>
  <si>
    <t>D-W-I</t>
  </si>
  <si>
    <t>99 mm</t>
  </si>
  <si>
    <t>F-O TRAFF-SIGN</t>
  </si>
  <si>
    <t>F-O UTIL-POLE</t>
  </si>
  <si>
    <t>F-O DITCH</t>
  </si>
  <si>
    <t>MILE 99.5 NB</t>
  </si>
  <si>
    <t>I-35 N.</t>
  </si>
  <si>
    <t>MM 100</t>
  </si>
  <si>
    <t>LADD RD. UP   *5*</t>
  </si>
  <si>
    <t>MILE 100 SB</t>
  </si>
  <si>
    <t>LADD ROAD</t>
  </si>
  <si>
    <t>P</t>
  </si>
  <si>
    <t>MM100</t>
  </si>
  <si>
    <t>LADD AVE</t>
  </si>
  <si>
    <t>JOHNSON RD. SB EX98</t>
  </si>
  <si>
    <t>LADD RD</t>
  </si>
  <si>
    <t>Export to "Summarized Quantified Calcs"</t>
  </si>
  <si>
    <t>Change in Costs between No-Build and Build</t>
  </si>
  <si>
    <t>Capital Costs (above No Build)</t>
  </si>
  <si>
    <t>negative = increase in O&amp;M costs; positive = decrease in O&amp;M costs</t>
  </si>
  <si>
    <t>Change in R&amp;R Costs</t>
  </si>
  <si>
    <t>negative = increase in R&amp;R costs; positive = decrease in R&amp;R costs</t>
  </si>
  <si>
    <t>Projected Vehicle ADTs by Roadway Segment in Project Area</t>
  </si>
  <si>
    <t>Base/Current Year</t>
  </si>
  <si>
    <t>Project Opening Forecast Year</t>
  </si>
  <si>
    <t>Future Forecast Year</t>
  </si>
  <si>
    <t>YEAR</t>
  </si>
  <si>
    <t>No Build</t>
  </si>
  <si>
    <t>Build</t>
  </si>
  <si>
    <t>No Build (Existing)</t>
  </si>
  <si>
    <t>Build (Existing)</t>
  </si>
  <si>
    <t>Build (Induced)</t>
  </si>
  <si>
    <t>Hour of the Day</t>
  </si>
  <si>
    <t>Percentage of Daily Traffic</t>
  </si>
  <si>
    <t>Average Hourly ADTs</t>
  </si>
  <si>
    <t>Capacity</t>
  </si>
  <si>
    <t>V/C Ratio</t>
  </si>
  <si>
    <t>Travel Speed</t>
  </si>
  <si>
    <t>Projected Vehicle/Capacity Ratio by Roadway Segment in Project Area</t>
  </si>
  <si>
    <t>Type of Roadway (No Build)</t>
  </si>
  <si>
    <t>Four-Lane Freeway with 70 MPH Free-Flow Speed</t>
  </si>
  <si>
    <t>Type of Roadway (Build)</t>
  </si>
  <si>
    <t>Six- to Eight-Lane Freeway with 70 MPH Free-Flow Speed</t>
  </si>
  <si>
    <t>Total Number of Roadway Lanes (No Build)</t>
  </si>
  <si>
    <t>Total Number of Roadway Lanes (Build)</t>
  </si>
  <si>
    <t>Roadway Capacity (Vehicles per Hour) [Existing]</t>
  </si>
  <si>
    <t>Roadway Capacity (Vehicles per Hour) [No Build]</t>
  </si>
  <si>
    <t>Roadway Capacity (Vehicles per Hour) [Build]</t>
  </si>
  <si>
    <t>Average Hourly ADTs (Vehicles per Hour) [Existing]</t>
  </si>
  <si>
    <t>Volume/Capacity Ratio (Vehicles per Hour) [Existing]</t>
  </si>
  <si>
    <t>Projected Average Travel Speed by Roadway Segment in Project Area</t>
  </si>
  <si>
    <t>LOS Criteria</t>
  </si>
  <si>
    <t>Range of V/C Ratio</t>
  </si>
  <si>
    <t>Average Speed (MPH)</t>
  </si>
  <si>
    <t>A</t>
  </si>
  <si>
    <t>B</t>
  </si>
  <si>
    <t>E</t>
  </si>
  <si>
    <t>Arterial Roadway Class I with 45 MPH to 35 MPH Free-Flow Speed</t>
  </si>
  <si>
    <t>Arterial Roadway Class II with 35 MPH to 30 MPH Free-Flow Speed</t>
  </si>
  <si>
    <t>Arterial Roadway Class III with 35 MPH to 25 MPH Free-Flow Speed</t>
  </si>
  <si>
    <t>Multilane Highway with 60 MPH Free-Flow Speed</t>
  </si>
  <si>
    <t>Multilane Highway with 55 MPH Free-Flow Speed</t>
  </si>
  <si>
    <t>Multilane Highway with 50 MPH Free-Flow Speed</t>
  </si>
  <si>
    <t>Four-Lane Freeway with 65 MPH Free-Flow Speed</t>
  </si>
  <si>
    <t>Four-Lane Freeway with 60 MPH Free-Flow Speed</t>
  </si>
  <si>
    <t>Six- to Eight-Lane Freeway with 65 MPH Free-Flow Speed</t>
  </si>
  <si>
    <t>Six- to Eight-Lane Freeway with 60 MPH Free-Flow Speed</t>
  </si>
  <si>
    <t>Two-Lane Highway with 50 MPH Free-Flow Speed (Level Terrain, 60% No Pass Zone)</t>
  </si>
  <si>
    <t>Two-Lane Highway with 50 MPH Free-Flow Speed (Rolling Terrain, 60% No Pass Zone)</t>
  </si>
  <si>
    <t>Two-Lane Highway with 50 MPH Free-Flow Speed (Mountainous Terrain, 60% No Pass Zone)</t>
  </si>
  <si>
    <t>Tue May 14th 2024</t>
  </si>
  <si>
    <t>Wed May 15th 2024</t>
  </si>
  <si>
    <t>12:00 AM-01:00 AM</t>
  </si>
  <si>
    <t>01:00 AM-02:00 AM</t>
  </si>
  <si>
    <t>02:00 AM-03:00 AM</t>
  </si>
  <si>
    <t>03:00 AM-04:00 AM</t>
  </si>
  <si>
    <t>04:00 AM-05:00 AM</t>
  </si>
  <si>
    <t>05:00 AM-06:00 AM</t>
  </si>
  <si>
    <t>06:00 AM-07:00 AM</t>
  </si>
  <si>
    <t>07:00 AM-08:00 AM</t>
  </si>
  <si>
    <t>08:00 AM-09:00 AM</t>
  </si>
  <si>
    <t>09:00 AM-10:00 AM</t>
  </si>
  <si>
    <t>10:00 AM-11:00 AM</t>
  </si>
  <si>
    <t>11:00 AM-12:00 PM</t>
  </si>
  <si>
    <t>12:00 PM-01:00 PM</t>
  </si>
  <si>
    <t>01:00 PM-02:00 PM</t>
  </si>
  <si>
    <t>02:00 PM-03:00 PM</t>
  </si>
  <si>
    <t>03:00 PM-04:00 PM</t>
  </si>
  <si>
    <t>04:00 PM-05:00 PM</t>
  </si>
  <si>
    <t>05:00 PM-06:00 PM</t>
  </si>
  <si>
    <t>06:00 PM-07:00 PM</t>
  </si>
  <si>
    <t>07:00 PM-08:00 PM</t>
  </si>
  <si>
    <t>08:00 PM-09:00 PM</t>
  </si>
  <si>
    <t>09:00 PM-10:00 PM</t>
  </si>
  <si>
    <t>10:00 PM-11:00 PM</t>
  </si>
  <si>
    <t>11:00 PM-12:00 AM</t>
  </si>
  <si>
    <t>U.S. Department of Transportation FY2026 Better Utilizing Investments to Leverage Development (BUILD) Discretionary Grant Program</t>
  </si>
  <si>
    <t>Auto and Truck Travel Time Savings</t>
  </si>
  <si>
    <t>Reduction in Injuries and Fatalities</t>
  </si>
  <si>
    <t>Discount Rate</t>
  </si>
  <si>
    <t>[No Injury - O]</t>
  </si>
  <si>
    <t>[Possible Injury - C]</t>
  </si>
  <si>
    <t>[Non Incapacitating - B]</t>
  </si>
  <si>
    <t>[Incapacitating - A]</t>
  </si>
  <si>
    <t>[Killed - K]</t>
  </si>
  <si>
    <t>[Injured Severity Unknown]</t>
  </si>
  <si>
    <t>Collision Severity</t>
  </si>
  <si>
    <t># of Injuries</t>
  </si>
  <si>
    <t>Vehicle Travel Time Savings</t>
  </si>
  <si>
    <t>AGE</t>
  </si>
  <si>
    <t>AGE_GRP1</t>
  </si>
  <si>
    <t>AGE_GRP2</t>
  </si>
  <si>
    <t>15 - 19</t>
  </si>
  <si>
    <t>ALCOHOL</t>
  </si>
  <si>
    <t>No</t>
  </si>
  <si>
    <t>CITY</t>
  </si>
  <si>
    <t>Rural</t>
  </si>
  <si>
    <t>COUNTY</t>
  </si>
  <si>
    <t>McClain</t>
  </si>
  <si>
    <t>DATE</t>
  </si>
  <si>
    <t>03/01/2022, 01:00 am</t>
  </si>
  <si>
    <t>DAY</t>
  </si>
  <si>
    <t>B Mon</t>
  </si>
  <si>
    <t>DISTRACTED</t>
  </si>
  <si>
    <t>Yes</t>
  </si>
  <si>
    <t>DRUG</t>
  </si>
  <si>
    <t>FARS_NUM</t>
  </si>
  <si>
    <t>HELMET</t>
  </si>
  <si>
    <t>Not Applicable</t>
  </si>
  <si>
    <t>HELMET2</t>
  </si>
  <si>
    <t>N/A</t>
  </si>
  <si>
    <t>HOUR</t>
  </si>
  <si>
    <t>03:00 - 03:59</t>
  </si>
  <si>
    <t>JURISDICTION</t>
  </si>
  <si>
    <t>OHP Troop A</t>
  </si>
  <si>
    <t>LATITUDE</t>
  </si>
  <si>
    <t>LONGITUDE</t>
  </si>
  <si>
    <t>MONTH</t>
  </si>
  <si>
    <t>A January</t>
  </si>
  <si>
    <t>PAR_NUM</t>
  </si>
  <si>
    <t>22-000125</t>
  </si>
  <si>
    <t>PERSON_ID</t>
  </si>
  <si>
    <t>3 1 2</t>
  </si>
  <si>
    <t>POSITION</t>
  </si>
  <si>
    <t>Passenger</t>
  </si>
  <si>
    <t>RESTRAINT</t>
  </si>
  <si>
    <t>None Used</t>
  </si>
  <si>
    <t>RESTRAINT2</t>
  </si>
  <si>
    <t>Unrestrained</t>
  </si>
  <si>
    <t>SEAT_POS</t>
  </si>
  <si>
    <t>Fourth Seat, Middle</t>
  </si>
  <si>
    <t>SEX</t>
  </si>
  <si>
    <t>Male</t>
  </si>
  <si>
    <t>SPEED</t>
  </si>
  <si>
    <t>TIME</t>
  </si>
  <si>
    <t>31/12/1969, 07:00 pm</t>
  </si>
  <si>
    <t>VEH_TYPE</t>
  </si>
  <si>
    <t>Passenger Car</t>
  </si>
  <si>
    <t>Shoulder and Lap Belt</t>
  </si>
  <si>
    <t>In Use</t>
  </si>
  <si>
    <t>25 - 29</t>
  </si>
  <si>
    <t>Purcell</t>
  </si>
  <si>
    <t>14/09/2022, 01:00 am</t>
  </si>
  <si>
    <t>D Wed</t>
  </si>
  <si>
    <t>00:00 - 00:59</t>
  </si>
  <si>
    <t>I September</t>
  </si>
  <si>
    <t>22-018284</t>
  </si>
  <si>
    <t>387 2 1</t>
  </si>
  <si>
    <t>Driver</t>
  </si>
  <si>
    <t>Front Seat, Left Side</t>
  </si>
  <si>
    <t>OKLAHOMA HIGHWAY PATROL</t>
  </si>
  <si>
    <t>ALCOHOL RELATED</t>
  </si>
  <si>
    <t>ALL SPEED</t>
  </si>
  <si>
    <t>RURAL</t>
  </si>
  <si>
    <t>CITY POP</t>
  </si>
  <si>
    <t>Sun</t>
  </si>
  <si>
    <t>DAY LABEL</t>
  </si>
  <si>
    <t>A SUN</t>
  </si>
  <si>
    <t>DOC ID</t>
  </si>
  <si>
    <t>DROWSY DRIVER</t>
  </si>
  <si>
    <t>DRUG RELATED</t>
  </si>
  <si>
    <t>FATAL</t>
  </si>
  <si>
    <t>HIT&amp;RUN</t>
  </si>
  <si>
    <t>HOURS</t>
  </si>
  <si>
    <t>04:00 - 04:59</t>
  </si>
  <si>
    <t>HOURS4</t>
  </si>
  <si>
    <t>00:00 - 05:59</t>
  </si>
  <si>
    <t>HOURS6</t>
  </si>
  <si>
    <t>04:00 - 07:59</t>
  </si>
  <si>
    <t>HOURS8</t>
  </si>
  <si>
    <t>03:00 - 05:59</t>
  </si>
  <si>
    <t>KABCO LABEL</t>
  </si>
  <si>
    <t>A Fatal</t>
  </si>
  <si>
    <t>LATITIDE</t>
  </si>
  <si>
    <t>LIGHTING</t>
  </si>
  <si>
    <t>Dark-Not Lighted</t>
  </si>
  <si>
    <t>LOCALITY</t>
  </si>
  <si>
    <t>Business</t>
  </si>
  <si>
    <t>August</t>
  </si>
  <si>
    <t>MONTH LABEL</t>
  </si>
  <si>
    <t>H AUG</t>
  </si>
  <si>
    <t>NEAREST INTERSECTING ROAD</t>
  </si>
  <si>
    <t>NUMBER OF VEHICLES</t>
  </si>
  <si>
    <t>OLD SPEED</t>
  </si>
  <si>
    <t>OLDER DRIVER</t>
  </si>
  <si>
    <t>RURAL/URBAN</t>
  </si>
  <si>
    <t>SEVERITY</t>
  </si>
  <si>
    <t>Fatal</t>
  </si>
  <si>
    <t>STREET/HIGHWAY</t>
  </si>
  <si>
    <t>INTERSTATE-35 NB</t>
  </si>
  <si>
    <t>TEEN DRIVER</t>
  </si>
  <si>
    <t>TOTAL INJURED</t>
  </si>
  <si>
    <t>TOTAL KILLED</t>
  </si>
  <si>
    <t>UNRESTRAINED FATALS</t>
  </si>
  <si>
    <t>UNRESTRAINED INJURED</t>
  </si>
  <si>
    <t>UNSECURED LOAD</t>
  </si>
  <si>
    <t>WEATHER</t>
  </si>
  <si>
    <t>Cloudy</t>
  </si>
  <si>
    <t>WORKZONE</t>
  </si>
  <si>
    <t>Fri</t>
  </si>
  <si>
    <t>F FRI</t>
  </si>
  <si>
    <t>Not Built-up</t>
  </si>
  <si>
    <t>PURCELL</t>
  </si>
  <si>
    <t>23:00 - 23:59</t>
  </si>
  <si>
    <t>18:00 - 23:59</t>
  </si>
  <si>
    <t>20:00 - 23:59</t>
  </si>
  <si>
    <t>21:00 - 23:59</t>
  </si>
  <si>
    <t>April</t>
  </si>
  <si>
    <t>D APR</t>
  </si>
  <si>
    <t>MILE MARKER 99.5</t>
  </si>
  <si>
    <t>INTERSTATE 35 N/B</t>
  </si>
  <si>
    <t>AGENCY</t>
  </si>
  <si>
    <t>Total Historical Crashes in Project Segment #1 [PDO]</t>
  </si>
  <si>
    <t>Total Historical Crashes in Project Segment #1 [Injured]</t>
  </si>
  <si>
    <t>Total Historical Crashes in Project Segment #1 [Fatal]</t>
  </si>
  <si>
    <t>Average Annual Crashes in Project Segment #1 [PDO]</t>
  </si>
  <si>
    <t>Average Annual Crashes in Project Segment #1 [Injury]</t>
  </si>
  <si>
    <t>Average Annual Crashes in Project Segment #1 [Fatal]</t>
  </si>
  <si>
    <t>Average Avoided Annual Crashes in Project Segment #1 [PDO]</t>
  </si>
  <si>
    <t>Average Avoided Annual Crashes in Project Segment #1 [Injury]</t>
  </si>
  <si>
    <t>Average Avoided Annual Crashes in Project Segment #1 [Fatal]</t>
  </si>
  <si>
    <t>Reduction in Annual Crashes in Project Area [PDO] (with Project)</t>
  </si>
  <si>
    <t>Reduction in Annual Crashes in Project Area [Injury] (with Project)</t>
  </si>
  <si>
    <t>Reduction in Annual Crashes in Project Area [Fatal] (with Project)</t>
  </si>
  <si>
    <t>Injured</t>
  </si>
  <si>
    <t>crashes</t>
  </si>
  <si>
    <t>ODOT Operations Team, Crash Report 2017-2022, with addition of OHSO Interactive Crash Maps data</t>
  </si>
  <si>
    <t>CMF 1 - Increase from 4 lanes to 6 lanes</t>
  </si>
  <si>
    <t>CMF 2 - Install shoulder rumble strips and widen shoulder</t>
  </si>
  <si>
    <t>CMF Clearinghouse (ID: 7928)</t>
  </si>
  <si>
    <t>CMF Clearinghouse (ID: 6665)</t>
  </si>
  <si>
    <t>CMF</t>
  </si>
  <si>
    <t>Combined CMF</t>
  </si>
  <si>
    <t>Calculation, Dominant Common Residuals Method</t>
  </si>
  <si>
    <t>Combined Crash Reduction Factor for All Crashes</t>
  </si>
  <si>
    <t>CRF %</t>
  </si>
  <si>
    <t>ODOT AADT-LOS without Weekend Factor Traffic Report</t>
  </si>
  <si>
    <t>Daily Vehicle-Trips - I-35 Segment (2023) - MM96</t>
  </si>
  <si>
    <t>Daily Vehicle-Trips - I-35 Segment (2023) - MM100</t>
  </si>
  <si>
    <t>Daily Vehicle-Trips - I-35 Segment (2023) - Average</t>
  </si>
  <si>
    <t>I-35 AADT LOS Breakdown from Texas State Line to I-40 without Weekend Factor (Segment 3 and 4)</t>
  </si>
  <si>
    <t>Segment 1</t>
  </si>
  <si>
    <t>Segment 2</t>
  </si>
  <si>
    <t>Segment 3</t>
  </si>
  <si>
    <t>Segment 4</t>
  </si>
  <si>
    <t>Average Growth Factor</t>
  </si>
  <si>
    <t>LOS</t>
  </si>
  <si>
    <t>Speed</t>
  </si>
  <si>
    <t>LOS A</t>
  </si>
  <si>
    <t>LOS B</t>
  </si>
  <si>
    <t>LOS C</t>
  </si>
  <si>
    <t>LOS D</t>
  </si>
  <si>
    <t>LOS E</t>
  </si>
  <si>
    <t>AVC 530</t>
  </si>
  <si>
    <t>Red River to exit 4 Ardmore</t>
  </si>
  <si>
    <t>Location</t>
  </si>
  <si>
    <t>MM 96</t>
  </si>
  <si>
    <t>Ardmore to Purcell</t>
  </si>
  <si>
    <t>Purcell to Canadian River</t>
  </si>
  <si>
    <t>Truck %</t>
  </si>
  <si>
    <t>DHV</t>
  </si>
  <si>
    <t>Year/Site ID</t>
  </si>
  <si>
    <t>Canadian River to Oklahoma River</t>
  </si>
  <si>
    <t>Daily</t>
  </si>
  <si>
    <t>Not updated as of 6/14/2024</t>
  </si>
  <si>
    <t>K =</t>
  </si>
  <si>
    <t>Varies</t>
  </si>
  <si>
    <t>2022 30th Highest(AVC)</t>
  </si>
  <si>
    <t>Truck % (DHV)</t>
  </si>
  <si>
    <t>NOTE</t>
  </si>
  <si>
    <t>D =</t>
  </si>
  <si>
    <t>D Value</t>
  </si>
  <si>
    <t>T =</t>
  </si>
  <si>
    <t>K Value</t>
  </si>
  <si>
    <t>Truck % in red are provided from ODOT</t>
  </si>
  <si>
    <t>V =</t>
  </si>
  <si>
    <t>65-75 mph</t>
  </si>
  <si>
    <t>PHF</t>
  </si>
  <si>
    <t>Station IDs</t>
  </si>
  <si>
    <t>not exist in ODOT Spotlight dashbord</t>
  </si>
  <si>
    <t>PHF=</t>
  </si>
  <si>
    <t>PCE</t>
  </si>
  <si>
    <t>HCM - Ex: 12-25</t>
  </si>
  <si>
    <t>PCE = 2</t>
  </si>
  <si>
    <t>Due to lack of data, K and D for AVC 69 and AVC 20 are reflected from AVC 126</t>
  </si>
  <si>
    <t xml:space="preserve">Weekend Factor = </t>
  </si>
  <si>
    <t>fHV</t>
  </si>
  <si>
    <t>HCM - Eq: 12-10</t>
  </si>
  <si>
    <t>V</t>
  </si>
  <si>
    <t>4 Lane Freeway</t>
  </si>
  <si>
    <t>HCM - Eq: 12-9</t>
  </si>
  <si>
    <t>6 Lane Freeway</t>
  </si>
  <si>
    <t>8 Lane Freeway</t>
  </si>
  <si>
    <t>CAGR (2023-2073)</t>
  </si>
  <si>
    <t>2022 Fatalities</t>
  </si>
  <si>
    <t>OHSO Interactive Crash Map https://okdpswf.maps.arcgis.com/apps/MapSeries/index.html?appid=bbceac52ab4644cb8e9d9753bfd8f137</t>
  </si>
  <si>
    <t>2021 Fatalities</t>
  </si>
  <si>
    <t>Average</t>
  </si>
  <si>
    <t>Source: OHSO, Interactive Crash Maps, Accessed February 2026, OHSO Interactive Crash Maps</t>
  </si>
  <si>
    <t>Infrastructure Maintenance Cost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</si>
</sst>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000_);\(#,##0.0000\);&quot;-  &quot;;&quot; &quot;@"/>
    <numFmt numFmtId="166" formatCode="0.0%"/>
    <numFmt numFmtId="167" formatCode="#,##0_);\(#,##0\);&quot;-  &quot;;&quot; &quot;@"/>
    <numFmt numFmtId="168" formatCode="dd/mmm/yyyy_);;&quot;-  &quot;;&quot; &quot;@"/>
    <numFmt numFmtId="169" formatCode="#,##0.000_);\(#,##0.000\);&quot;-  &quot;;&quot; &quot;@"/>
    <numFmt numFmtId="170" formatCode="_(* #,##0.000_);_(* \(#,##0.000\);_(* &quot;-&quot;??_);_(@_)"/>
    <numFmt numFmtId="171" formatCode="dd/mmm/yy_);;&quot;-  &quot;;&quot; &quot;@"/>
    <numFmt numFmtId="172" formatCode="#,##0.00_);\(#,##0.00\);&quot;-  &quot;;&quot; &quot;@"/>
    <numFmt numFmtId="173" formatCode="#,##0.0_);\(#,##0.0\);&quot;-  &quot;;&quot; &quot;@"/>
    <numFmt numFmtId="174" formatCode="0_);\(0\)"/>
    <numFmt numFmtId="175" formatCode="0.0%_);\-0.0%_);&quot;-  &quot;;&quot; &quot;@"/>
    <numFmt numFmtId="176" formatCode="#,##0.000000_);\(#,##0.000000\);&quot;-  &quot;;&quot; &quot;@"/>
    <numFmt numFmtId="177" formatCode="&quot;$&quot;#,##0"/>
    <numFmt numFmtId="178" formatCode="[$-409]mmmm\ d\,\ yyyy;@"/>
    <numFmt numFmtId="179" formatCode="0.0000"/>
    <numFmt numFmtId="180" formatCode="0.000"/>
    <numFmt numFmtId="181" formatCode="_(* #,##0.0000_);_(* \(#,##0.0000\);_(* &quot;-&quot;??_);_(@_)"/>
    <numFmt numFmtId="182" formatCode="&quot;$&quot;#,##0.000_);[Red]\(&quot;$&quot;#,##0.000\)"/>
    <numFmt numFmtId="183" formatCode="&quot;$&quot;#,##0.0000_);[Red]\(&quot;$&quot;#,##0.0000\)"/>
    <numFmt numFmtId="184" formatCode="#,##0.00000000000_);\(#,##0.00000000000\);&quot;-  &quot;;&quot; &quot;@"/>
    <numFmt numFmtId="185" formatCode="_(* #,##0.0_);_(* \(#,##0.0\);_(* &quot;-&quot;??_);_(@_)"/>
    <numFmt numFmtId="186" formatCode="_(&quot;$&quot;* #,##0_);_(&quot;$&quot;* \(#,##0\);_(&quot;$&quot;* &quot;-&quot;??_);_(@_)"/>
    <numFmt numFmtId="187" formatCode="0.0"/>
  </numFmts>
  <fonts count="55" x14ac:knownFonts="1">
    <font>
      <sz val="11"/>
      <color theme="1"/>
      <name val="Calibri"/>
      <family val="2"/>
      <scheme val="minor"/>
    </font>
    <font>
      <sz val="11"/>
      <name val="Calibri"/>
      <family val="2"/>
    </font>
    <font>
      <sz val="11"/>
      <color theme="1"/>
      <name val="Calibri"/>
      <family val="2"/>
      <scheme val="minor"/>
    </font>
    <font>
      <b/>
      <sz val="11"/>
      <color theme="1"/>
      <name val="Calibri"/>
      <family val="2"/>
      <scheme val="minor"/>
    </font>
    <font>
      <sz val="11"/>
      <color indexed="12"/>
      <name val="Calibri"/>
      <family val="2"/>
      <scheme val="minor"/>
    </font>
    <font>
      <sz val="11"/>
      <color indexed="10"/>
      <name val="Calibri"/>
      <family val="2"/>
      <scheme val="minor"/>
    </font>
    <font>
      <sz val="10"/>
      <name val="Arial"/>
      <family val="2"/>
    </font>
    <font>
      <sz val="11"/>
      <name val="Calibri"/>
      <family val="2"/>
      <scheme val="minor"/>
    </font>
    <font>
      <b/>
      <sz val="11"/>
      <name val="Calibri"/>
      <family val="2"/>
      <scheme val="minor"/>
    </font>
    <font>
      <b/>
      <sz val="10"/>
      <name val="Arial"/>
      <family val="2"/>
    </font>
    <font>
      <u/>
      <sz val="11"/>
      <color theme="1"/>
      <name val="Calibri"/>
      <family val="2"/>
      <scheme val="minor"/>
    </font>
    <font>
      <sz val="11"/>
      <color indexed="10"/>
      <name val="Calibri"/>
      <family val="2"/>
    </font>
    <font>
      <u/>
      <sz val="7.7"/>
      <color theme="10"/>
      <name val="Calibri"/>
      <family val="2"/>
    </font>
    <font>
      <sz val="10"/>
      <color indexed="8"/>
      <name val="Arial"/>
      <family val="2"/>
    </font>
    <font>
      <b/>
      <sz val="11"/>
      <color indexed="12"/>
      <name val="Calibri"/>
      <family val="2"/>
      <scheme val="minor"/>
    </font>
    <font>
      <i/>
      <sz val="11"/>
      <color theme="1"/>
      <name val="Calibri"/>
      <family val="2"/>
      <scheme val="minor"/>
    </font>
    <font>
      <b/>
      <i/>
      <sz val="11"/>
      <color theme="1"/>
      <name val="Calibri"/>
      <family val="2"/>
      <scheme val="minor"/>
    </font>
    <font>
      <b/>
      <u/>
      <sz val="11"/>
      <color theme="1"/>
      <name val="Calibri"/>
      <family val="2"/>
      <scheme val="minor"/>
    </font>
    <font>
      <b/>
      <sz val="11"/>
      <color indexed="8"/>
      <name val="Calibri"/>
      <family val="2"/>
      <scheme val="minor"/>
    </font>
    <font>
      <b/>
      <sz val="12"/>
      <color theme="1"/>
      <name val="Calibri"/>
      <family val="2"/>
      <scheme val="minor"/>
    </font>
    <font>
      <sz val="11"/>
      <color rgb="FFFF0000"/>
      <name val="Calibri"/>
      <family val="2"/>
      <scheme val="minor"/>
    </font>
    <font>
      <i/>
      <sz val="11"/>
      <name val="Calibri"/>
      <family val="2"/>
      <scheme val="minor"/>
    </font>
    <font>
      <b/>
      <sz val="11"/>
      <color indexed="10"/>
      <name val="Calibri"/>
      <family val="2"/>
      <scheme val="minor"/>
    </font>
    <font>
      <u/>
      <sz val="11"/>
      <color indexed="10"/>
      <name val="Calibri"/>
      <family val="2"/>
      <scheme val="minor"/>
    </font>
    <font>
      <i/>
      <sz val="11"/>
      <color theme="1"/>
      <name val="Calibri"/>
      <family val="2"/>
    </font>
    <font>
      <u/>
      <sz val="11"/>
      <name val="Calibri"/>
      <family val="2"/>
      <scheme val="minor"/>
    </font>
    <font>
      <b/>
      <sz val="11"/>
      <color rgb="FFFF0000"/>
      <name val="Calibri"/>
      <family val="2"/>
      <scheme val="minor"/>
    </font>
    <font>
      <sz val="9"/>
      <color indexed="8"/>
      <name val="Calibri"/>
      <family val="2"/>
    </font>
    <font>
      <i/>
      <sz val="11"/>
      <color indexed="12"/>
      <name val="Calibri"/>
      <family val="2"/>
      <scheme val="minor"/>
    </font>
    <font>
      <b/>
      <u/>
      <sz val="11"/>
      <name val="Calibri"/>
      <family val="2"/>
      <scheme val="minor"/>
    </font>
    <font>
      <u/>
      <sz val="11"/>
      <color rgb="FFFF0000"/>
      <name val="Calibri"/>
      <family val="2"/>
      <scheme val="minor"/>
    </font>
    <font>
      <i/>
      <sz val="11"/>
      <color theme="7"/>
      <name val="Calibri"/>
      <family val="2"/>
      <scheme val="minor"/>
    </font>
    <font>
      <sz val="11"/>
      <color theme="0" tint="-0.249977111117893"/>
      <name val="Calibri"/>
      <family val="2"/>
      <scheme val="minor"/>
    </font>
    <font>
      <b/>
      <sz val="10"/>
      <color theme="0" tint="-0.249977111117893"/>
      <name val="Arial"/>
      <family val="2"/>
    </font>
    <font>
      <u/>
      <sz val="11"/>
      <color theme="0" tint="-0.249977111117893"/>
      <name val="Calibri"/>
      <family val="2"/>
      <scheme val="minor"/>
    </font>
    <font>
      <i/>
      <sz val="11"/>
      <color theme="0" tint="-0.249977111117893"/>
      <name val="Calibri"/>
      <family val="2"/>
      <scheme val="minor"/>
    </font>
    <font>
      <sz val="11"/>
      <color rgb="FF0000FF"/>
      <name val="Calibri"/>
      <family val="2"/>
      <scheme val="minor"/>
    </font>
    <font>
      <b/>
      <sz val="11"/>
      <name val="Calibri"/>
      <family val="2"/>
    </font>
    <font>
      <b/>
      <sz val="20"/>
      <name val="Franklin Gothic Medium"/>
      <family val="2"/>
    </font>
    <font>
      <b/>
      <sz val="22"/>
      <name val="Franklin Gothic Medium"/>
      <family val="2"/>
    </font>
    <font>
      <sz val="18"/>
      <name val="Franklin Gothic Medium"/>
      <family val="2"/>
    </font>
    <font>
      <u/>
      <sz val="12"/>
      <name val="Calibri"/>
      <family val="2"/>
      <scheme val="minor"/>
    </font>
    <font>
      <b/>
      <u val="singleAccounting"/>
      <sz val="11"/>
      <color theme="1"/>
      <name val="Calibri"/>
      <family val="2"/>
      <scheme val="minor"/>
    </font>
    <font>
      <b/>
      <sz val="12"/>
      <color theme="0"/>
      <name val="Calibri"/>
      <family val="2"/>
      <scheme val="minor"/>
    </font>
    <font>
      <b/>
      <sz val="12"/>
      <color indexed="9"/>
      <name val="Calibri"/>
      <family val="2"/>
      <scheme val="minor"/>
    </font>
    <font>
      <b/>
      <sz val="12"/>
      <name val="Calibri"/>
      <family val="2"/>
      <scheme val="minor"/>
    </font>
    <font>
      <b/>
      <sz val="12"/>
      <color indexed="8"/>
      <name val="Calibri"/>
      <family val="2"/>
      <scheme val="minor"/>
    </font>
    <font>
      <sz val="11"/>
      <color rgb="FFFF7C80"/>
      <name val="Calibri"/>
      <family val="2"/>
      <scheme val="minor"/>
    </font>
    <font>
      <sz val="11"/>
      <color rgb="FF000000"/>
      <name val="Calibri"/>
      <family val="2"/>
      <scheme val="minor"/>
    </font>
    <font>
      <b/>
      <sz val="8"/>
      <color rgb="FF000000"/>
      <name val="Verdana"/>
      <family val="2"/>
    </font>
    <font>
      <sz val="8"/>
      <color rgb="FF000000"/>
      <name val="Verdana"/>
      <family val="2"/>
    </font>
    <font>
      <b/>
      <sz val="11"/>
      <color rgb="FF000000"/>
      <name val="Calibri"/>
      <family val="2"/>
      <scheme val="minor"/>
    </font>
    <font>
      <sz val="11"/>
      <color rgb="FF006100"/>
      <name val="Calibri"/>
      <family val="2"/>
      <scheme val="minor"/>
    </font>
    <font>
      <b/>
      <sz val="14"/>
      <color theme="1"/>
      <name val="Calibri"/>
      <family val="2"/>
      <scheme val="minor"/>
    </font>
    <font>
      <b/>
      <sz val="11"/>
      <color rgb="FF006100"/>
      <name val="Calibri"/>
      <family val="2"/>
      <scheme val="minor"/>
    </font>
  </fonts>
  <fills count="3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rgb="FFFFFF99"/>
        <bgColor indexed="64"/>
      </patternFill>
    </fill>
    <fill>
      <patternFill patternType="solid">
        <fgColor theme="7" tint="0.39997558519241921"/>
        <bgColor indexed="64"/>
      </patternFill>
    </fill>
    <fill>
      <patternFill patternType="solid">
        <fgColor theme="8"/>
        <bgColor indexed="64"/>
      </patternFill>
    </fill>
    <fill>
      <patternFill patternType="solid">
        <fgColor rgb="FFDBDBDB"/>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7C80"/>
        <bgColor indexed="64"/>
      </patternFill>
    </fill>
    <fill>
      <patternFill patternType="solid">
        <fgColor rgb="FFCC99FF"/>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4"/>
        <bgColor indexed="64"/>
      </patternFill>
    </fill>
    <fill>
      <patternFill patternType="solid">
        <fgColor rgb="FFFFFF00"/>
        <bgColor indexed="64"/>
      </patternFill>
    </fill>
    <fill>
      <patternFill patternType="solid">
        <fgColor rgb="FFDBDBDB"/>
        <bgColor rgb="FF000000"/>
      </patternFill>
    </fill>
    <fill>
      <patternFill patternType="solid">
        <fgColor rgb="FF9BC2E6"/>
        <bgColor indexed="64"/>
      </patternFill>
    </fill>
    <fill>
      <patternFill patternType="solid">
        <fgColor rgb="FFC6EFCE"/>
      </patternFill>
    </fill>
    <fill>
      <patternFill patternType="solid">
        <fgColor theme="6"/>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rgb="FFFFC000"/>
        <bgColor indexed="64"/>
      </patternFill>
    </fill>
    <fill>
      <patternFill patternType="solid">
        <fgColor rgb="FFF62626"/>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39997558519241921"/>
        <bgColor indexed="64"/>
      </patternFill>
    </fill>
  </fills>
  <borders count="10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dashed">
        <color rgb="FFBFBFBF"/>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right/>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theme="0"/>
      </bottom>
      <diagonal/>
    </border>
    <border>
      <left/>
      <right style="thin">
        <color theme="0"/>
      </right>
      <top/>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indexed="64"/>
      </top>
      <bottom/>
      <diagonal/>
    </border>
    <border>
      <left/>
      <right/>
      <top style="thin">
        <color theme="0"/>
      </top>
      <bottom style="thin">
        <color indexed="64"/>
      </bottom>
      <diagonal/>
    </border>
    <border>
      <left/>
      <right/>
      <top style="thin">
        <color indexed="64"/>
      </top>
      <bottom/>
      <diagonal/>
    </border>
    <border>
      <left style="thin">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theme="0"/>
      </right>
      <top/>
      <bottom style="thin">
        <color indexed="64"/>
      </bottom>
      <diagonal/>
    </border>
    <border>
      <left style="thin">
        <color theme="0"/>
      </left>
      <right/>
      <top style="thin">
        <color theme="0"/>
      </top>
      <bottom/>
      <diagonal/>
    </border>
    <border>
      <left style="thin">
        <color theme="0"/>
      </left>
      <right/>
      <top/>
      <bottom style="thin">
        <color indexed="64"/>
      </bottom>
      <diagonal/>
    </border>
    <border>
      <left style="thin">
        <color theme="0"/>
      </left>
      <right style="thin">
        <color theme="0"/>
      </right>
      <top style="thin">
        <color indexed="64"/>
      </top>
      <bottom style="thin">
        <color theme="0"/>
      </bottom>
      <diagonal/>
    </border>
    <border>
      <left/>
      <right style="thin">
        <color indexed="64"/>
      </right>
      <top style="thin">
        <color indexed="64"/>
      </top>
      <bottom style="thin">
        <color theme="0"/>
      </bottom>
      <diagonal/>
    </border>
    <border>
      <left/>
      <right style="thin">
        <color indexed="64"/>
      </right>
      <top/>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top style="thin">
        <color indexed="64"/>
      </top>
      <bottom style="thin">
        <color theme="0"/>
      </bottom>
      <diagonal/>
    </border>
    <border>
      <left style="thin">
        <color rgb="FFFFFFFF"/>
      </left>
      <right style="thin">
        <color rgb="FFFFFFFF"/>
      </right>
      <top style="thin">
        <color rgb="FFFFFFFF"/>
      </top>
      <bottom style="thin">
        <color rgb="FFFFFFFF"/>
      </bottom>
      <diagonal/>
    </border>
    <border>
      <left style="thin">
        <color indexed="64"/>
      </left>
      <right style="thin">
        <color theme="0"/>
      </right>
      <top style="thin">
        <color theme="0"/>
      </top>
      <bottom/>
      <diagonal/>
    </border>
    <border>
      <left style="thin">
        <color indexed="64"/>
      </left>
      <right/>
      <top style="thin">
        <color indexed="64"/>
      </top>
      <bottom/>
      <diagonal/>
    </border>
    <border>
      <left style="thin">
        <color indexed="64"/>
      </left>
      <right/>
      <top/>
      <bottom style="thin">
        <color theme="0"/>
      </bottom>
      <diagonal/>
    </border>
    <border>
      <left style="thin">
        <color indexed="64"/>
      </left>
      <right/>
      <top style="thin">
        <color theme="0"/>
      </top>
      <bottom style="thin">
        <color theme="0"/>
      </bottom>
      <diagonal/>
    </border>
    <border>
      <left/>
      <right style="thin">
        <color theme="0"/>
      </right>
      <top style="thin">
        <color theme="0"/>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indexed="64"/>
      </top>
      <bottom/>
      <diagonal/>
    </border>
    <border>
      <left style="thin">
        <color auto="1"/>
      </left>
      <right/>
      <top/>
      <bottom style="thin">
        <color indexed="64"/>
      </bottom>
      <diagonal/>
    </border>
    <border>
      <left/>
      <right style="thin">
        <color auto="1"/>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theme="0"/>
      </bottom>
      <diagonal/>
    </border>
    <border>
      <left/>
      <right style="thin">
        <color indexed="64"/>
      </right>
      <top style="thin">
        <color theme="0"/>
      </top>
      <bottom/>
      <diagonal/>
    </border>
    <border>
      <left style="thin">
        <color theme="0"/>
      </left>
      <right/>
      <top style="thin">
        <color theme="0"/>
      </top>
      <bottom style="thin">
        <color indexed="64"/>
      </bottom>
      <diagonal/>
    </border>
    <border>
      <left style="thin">
        <color theme="0"/>
      </left>
      <right style="thin">
        <color theme="0"/>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s>
  <cellStyleXfs count="19">
    <xf numFmtId="0" fontId="0" fillId="0" borderId="0"/>
    <xf numFmtId="43" fontId="2" fillId="0" borderId="0" applyFont="0" applyFill="0" applyBorder="0" applyAlignment="0" applyProtection="0"/>
    <xf numFmtId="9" fontId="2" fillId="0" borderId="0" applyFont="0" applyFill="0" applyBorder="0" applyAlignment="0" applyProtection="0"/>
    <xf numFmtId="165" fontId="6" fillId="0" borderId="0" applyFont="0" applyFill="0" applyBorder="0" applyAlignment="0" applyProtection="0"/>
    <xf numFmtId="0" fontId="12" fillId="0" borderId="0" applyNumberFormat="0" applyFill="0" applyBorder="0" applyAlignment="0" applyProtection="0">
      <alignment vertical="top"/>
      <protection locked="0"/>
    </xf>
    <xf numFmtId="168" fontId="6" fillId="0" borderId="0" applyFont="0" applyFill="0" applyBorder="0" applyAlignment="0" applyProtection="0"/>
    <xf numFmtId="43" fontId="6" fillId="0" borderId="0" applyFont="0" applyFill="0" applyBorder="0" applyAlignment="0" applyProtection="0"/>
    <xf numFmtId="171" fontId="6"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6" fillId="0" borderId="0" applyFont="0" applyFill="0" applyBorder="0" applyAlignment="0" applyProtection="0"/>
    <xf numFmtId="0" fontId="13" fillId="0" borderId="0"/>
    <xf numFmtId="44" fontId="2" fillId="0" borderId="0" applyFont="0" applyFill="0" applyBorder="0" applyAlignment="0" applyProtection="0"/>
    <xf numFmtId="0" fontId="27" fillId="0" borderId="3" applyNumberFormat="0" applyFont="0" applyProtection="0">
      <alignment wrapText="1"/>
    </xf>
    <xf numFmtId="0" fontId="2" fillId="0" borderId="0"/>
    <xf numFmtId="0" fontId="52" fillId="22" borderId="0" applyNumberFormat="0" applyBorder="0" applyAlignment="0" applyProtection="0"/>
  </cellStyleXfs>
  <cellXfs count="726">
    <xf numFmtId="0" fontId="0" fillId="0" borderId="0" xfId="0"/>
    <xf numFmtId="0" fontId="3" fillId="0" borderId="1" xfId="0" applyFont="1" applyBorder="1"/>
    <xf numFmtId="0" fontId="10" fillId="0" borderId="1" xfId="0" applyFont="1" applyBorder="1"/>
    <xf numFmtId="0" fontId="15" fillId="0" borderId="1" xfId="0" applyFont="1" applyBorder="1"/>
    <xf numFmtId="0" fontId="0" fillId="0" borderId="1" xfId="0" applyBorder="1"/>
    <xf numFmtId="0" fontId="17" fillId="0" borderId="1" xfId="0" applyFont="1" applyBorder="1"/>
    <xf numFmtId="0" fontId="16"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10" fontId="14" fillId="0" borderId="1" xfId="0" applyNumberFormat="1" applyFont="1" applyBorder="1"/>
    <xf numFmtId="0" fontId="0" fillId="2" borderId="1" xfId="0" applyFill="1" applyBorder="1"/>
    <xf numFmtId="10" fontId="0" fillId="0" borderId="1" xfId="0" applyNumberFormat="1" applyBorder="1"/>
    <xf numFmtId="0" fontId="0" fillId="5" borderId="1" xfId="0" applyFill="1" applyBorder="1"/>
    <xf numFmtId="0" fontId="10" fillId="2" borderId="1" xfId="0" applyFont="1" applyFill="1" applyBorder="1"/>
    <xf numFmtId="0" fontId="15" fillId="2" borderId="1" xfId="0" applyFont="1" applyFill="1" applyBorder="1"/>
    <xf numFmtId="10" fontId="0" fillId="5" borderId="1" xfId="2" applyNumberFormat="1" applyFont="1" applyFill="1" applyBorder="1"/>
    <xf numFmtId="10" fontId="0" fillId="5" borderId="1" xfId="0" applyNumberFormat="1" applyFill="1" applyBorder="1"/>
    <xf numFmtId="43" fontId="0" fillId="0" borderId="1" xfId="1" applyFont="1" applyBorder="1"/>
    <xf numFmtId="43" fontId="0" fillId="5" borderId="1" xfId="1" applyFont="1" applyFill="1" applyBorder="1"/>
    <xf numFmtId="43" fontId="0" fillId="0" borderId="1" xfId="1" applyFont="1" applyFill="1" applyBorder="1"/>
    <xf numFmtId="172" fontId="0" fillId="5" borderId="1" xfId="3" applyNumberFormat="1" applyFont="1" applyFill="1" applyBorder="1"/>
    <xf numFmtId="172" fontId="0" fillId="0" borderId="1" xfId="3" applyNumberFormat="1" applyFont="1" applyFill="1" applyBorder="1"/>
    <xf numFmtId="0" fontId="9" fillId="0" borderId="1" xfId="0" applyFont="1" applyBorder="1"/>
    <xf numFmtId="10" fontId="11" fillId="0" borderId="1" xfId="0" applyNumberFormat="1" applyFont="1" applyBorder="1"/>
    <xf numFmtId="0" fontId="0" fillId="5" borderId="1" xfId="1" applyNumberFormat="1" applyFont="1" applyFill="1" applyBorder="1"/>
    <xf numFmtId="166" fontId="1" fillId="5" borderId="1" xfId="2" applyNumberFormat="1" applyFont="1" applyFill="1" applyBorder="1"/>
    <xf numFmtId="0" fontId="7" fillId="0" borderId="1" xfId="0" applyFont="1" applyBorder="1"/>
    <xf numFmtId="164" fontId="0" fillId="0" borderId="1" xfId="1" applyNumberFormat="1" applyFont="1" applyFill="1" applyBorder="1"/>
    <xf numFmtId="169" fontId="0" fillId="5" borderId="1" xfId="3" applyNumberFormat="1" applyFont="1" applyFill="1" applyBorder="1"/>
    <xf numFmtId="172" fontId="0" fillId="0" borderId="1" xfId="3" applyNumberFormat="1" applyFont="1" applyBorder="1"/>
    <xf numFmtId="169" fontId="0" fillId="0" borderId="1" xfId="3" applyNumberFormat="1" applyFont="1" applyFill="1" applyBorder="1"/>
    <xf numFmtId="0" fontId="0" fillId="3" borderId="1" xfId="0" applyFill="1" applyBorder="1"/>
    <xf numFmtId="10" fontId="0" fillId="0" borderId="1" xfId="2" applyNumberFormat="1" applyFont="1" applyBorder="1"/>
    <xf numFmtId="179" fontId="3" fillId="0" borderId="1" xfId="0" applyNumberFormat="1" applyFont="1" applyBorder="1"/>
    <xf numFmtId="0" fontId="19" fillId="0" borderId="1" xfId="0" applyFont="1" applyBorder="1"/>
    <xf numFmtId="0" fontId="0" fillId="8" borderId="1" xfId="0" applyFill="1" applyBorder="1"/>
    <xf numFmtId="0" fontId="0" fillId="6" borderId="1" xfId="0" applyFill="1" applyBorder="1"/>
    <xf numFmtId="0" fontId="0" fillId="0" borderId="1" xfId="0" applyBorder="1" applyAlignment="1">
      <alignment horizontal="right"/>
    </xf>
    <xf numFmtId="0" fontId="20" fillId="0" borderId="1" xfId="0" applyFont="1" applyBorder="1"/>
    <xf numFmtId="167" fontId="3" fillId="0" borderId="1" xfId="1" applyNumberFormat="1" applyFont="1" applyBorder="1"/>
    <xf numFmtId="167" fontId="0" fillId="0" borderId="1" xfId="3" applyNumberFormat="1" applyFont="1" applyBorder="1"/>
    <xf numFmtId="167" fontId="0" fillId="0" borderId="1" xfId="1" applyNumberFormat="1" applyFont="1" applyBorder="1"/>
    <xf numFmtId="167" fontId="0" fillId="0" borderId="1" xfId="0" applyNumberFormat="1" applyBorder="1"/>
    <xf numFmtId="0" fontId="0" fillId="0" borderId="1" xfId="0" applyBorder="1" applyAlignment="1">
      <alignment horizontal="center"/>
    </xf>
    <xf numFmtId="0" fontId="3" fillId="0" borderId="1" xfId="0" applyFont="1" applyBorder="1" applyAlignment="1">
      <alignment horizontal="right"/>
    </xf>
    <xf numFmtId="0" fontId="0" fillId="2" borderId="1" xfId="0" applyFill="1" applyBorder="1" applyAlignment="1">
      <alignment vertical="center"/>
    </xf>
    <xf numFmtId="0" fontId="8" fillId="0" borderId="1" xfId="0" applyFont="1" applyBorder="1"/>
    <xf numFmtId="0" fontId="25" fillId="0" borderId="1" xfId="0" applyFont="1" applyBorder="1"/>
    <xf numFmtId="167" fontId="7" fillId="0" borderId="1" xfId="3" applyNumberFormat="1" applyFont="1" applyBorder="1"/>
    <xf numFmtId="0" fontId="4" fillId="0" borderId="1" xfId="0" applyFont="1" applyBorder="1"/>
    <xf numFmtId="0" fontId="22" fillId="0" borderId="1" xfId="0" applyFont="1" applyBorder="1"/>
    <xf numFmtId="0" fontId="5" fillId="0" borderId="1" xfId="0" applyFont="1" applyBorder="1"/>
    <xf numFmtId="167" fontId="5" fillId="0" borderId="1" xfId="3" applyNumberFormat="1" applyFont="1" applyBorder="1"/>
    <xf numFmtId="0" fontId="0" fillId="0" borderId="1" xfId="0" applyBorder="1" applyAlignment="1">
      <alignment wrapText="1"/>
    </xf>
    <xf numFmtId="0" fontId="10" fillId="0" borderId="1" xfId="0" applyFont="1" applyBorder="1" applyAlignment="1">
      <alignment wrapText="1"/>
    </xf>
    <xf numFmtId="172" fontId="7" fillId="0" borderId="1" xfId="3" applyNumberFormat="1" applyFont="1" applyFill="1" applyBorder="1"/>
    <xf numFmtId="0" fontId="4" fillId="0" borderId="1" xfId="0" applyFont="1" applyBorder="1" applyAlignment="1">
      <alignment wrapText="1"/>
    </xf>
    <xf numFmtId="0" fontId="4" fillId="0" borderId="1" xfId="0" applyFont="1" applyBorder="1" applyAlignment="1">
      <alignment horizontal="center"/>
    </xf>
    <xf numFmtId="172" fontId="4" fillId="0" borderId="1" xfId="3" applyNumberFormat="1" applyFont="1" applyFill="1" applyBorder="1" applyAlignment="1">
      <alignment horizontal="right"/>
    </xf>
    <xf numFmtId="167" fontId="7" fillId="0" borderId="1" xfId="3" applyNumberFormat="1" applyFont="1" applyFill="1" applyBorder="1"/>
    <xf numFmtId="0" fontId="7" fillId="0" borderId="1" xfId="0" applyFont="1" applyBorder="1" applyAlignment="1">
      <alignment horizontal="center"/>
    </xf>
    <xf numFmtId="10" fontId="4" fillId="0" borderId="1" xfId="0" applyNumberFormat="1" applyFont="1" applyBorder="1"/>
    <xf numFmtId="0" fontId="8" fillId="0" borderId="1" xfId="0" applyFont="1" applyBorder="1" applyAlignment="1">
      <alignment wrapText="1"/>
    </xf>
    <xf numFmtId="0" fontId="7" fillId="0" borderId="1" xfId="0" applyFont="1" applyBorder="1" applyAlignment="1">
      <alignment wrapText="1"/>
    </xf>
    <xf numFmtId="0" fontId="25" fillId="0" borderId="1" xfId="0" applyFont="1" applyBorder="1" applyAlignment="1">
      <alignment wrapText="1"/>
    </xf>
    <xf numFmtId="0" fontId="5" fillId="0" borderId="1" xfId="0" applyFont="1" applyBorder="1" applyAlignment="1">
      <alignment horizontal="center"/>
    </xf>
    <xf numFmtId="0" fontId="22" fillId="0" borderId="1" xfId="0" applyFont="1" applyBorder="1" applyAlignment="1">
      <alignment wrapText="1"/>
    </xf>
    <xf numFmtId="0" fontId="5" fillId="0" borderId="1" xfId="0" applyFont="1" applyBorder="1" applyAlignment="1">
      <alignment wrapText="1"/>
    </xf>
    <xf numFmtId="0" fontId="23" fillId="0" borderId="1" xfId="0" applyFont="1" applyBorder="1" applyAlignment="1">
      <alignment wrapText="1"/>
    </xf>
    <xf numFmtId="172" fontId="4" fillId="0" borderId="1" xfId="3" applyNumberFormat="1" applyFont="1" applyFill="1" applyBorder="1"/>
    <xf numFmtId="167" fontId="4" fillId="0" borderId="1" xfId="3" applyNumberFormat="1" applyFont="1" applyFill="1" applyBorder="1"/>
    <xf numFmtId="167" fontId="4" fillId="0" borderId="1" xfId="1" applyNumberFormat="1" applyFont="1" applyBorder="1" applyAlignment="1">
      <alignment wrapText="1"/>
    </xf>
    <xf numFmtId="0" fontId="4" fillId="0" borderId="1" xfId="1" applyNumberFormat="1" applyFont="1" applyBorder="1" applyAlignment="1">
      <alignment wrapText="1"/>
    </xf>
    <xf numFmtId="175" fontId="4" fillId="0" borderId="1" xfId="2" applyNumberFormat="1" applyFont="1" applyBorder="1"/>
    <xf numFmtId="175" fontId="4" fillId="0" borderId="1" xfId="2" applyNumberFormat="1" applyFont="1" applyFill="1" applyBorder="1"/>
    <xf numFmtId="0" fontId="28" fillId="0" borderId="1" xfId="0" applyFont="1" applyBorder="1"/>
    <xf numFmtId="172" fontId="0" fillId="0" borderId="1" xfId="1" applyNumberFormat="1" applyFont="1" applyBorder="1"/>
    <xf numFmtId="167" fontId="4" fillId="0" borderId="1" xfId="1" applyNumberFormat="1" applyFont="1" applyFill="1" applyBorder="1"/>
    <xf numFmtId="167" fontId="7" fillId="0" borderId="1" xfId="1" applyNumberFormat="1" applyFont="1" applyBorder="1"/>
    <xf numFmtId="169" fontId="7" fillId="0" borderId="1" xfId="1" applyNumberFormat="1" applyFont="1" applyBorder="1"/>
    <xf numFmtId="167" fontId="22" fillId="0" borderId="1" xfId="0" applyNumberFormat="1" applyFont="1" applyBorder="1"/>
    <xf numFmtId="166" fontId="4" fillId="0" borderId="1" xfId="2" applyNumberFormat="1" applyFont="1" applyBorder="1"/>
    <xf numFmtId="166" fontId="0" fillId="0" borderId="1" xfId="0" applyNumberFormat="1" applyBorder="1"/>
    <xf numFmtId="169" fontId="5" fillId="0" borderId="1" xfId="3" applyNumberFormat="1" applyFont="1" applyBorder="1"/>
    <xf numFmtId="0" fontId="17" fillId="2" borderId="1" xfId="0" applyFont="1" applyFill="1" applyBorder="1"/>
    <xf numFmtId="43" fontId="3" fillId="0" borderId="1" xfId="1" applyFont="1" applyBorder="1"/>
    <xf numFmtId="43" fontId="0" fillId="0" borderId="1" xfId="1" applyFont="1" applyBorder="1" applyAlignment="1">
      <alignment wrapText="1"/>
    </xf>
    <xf numFmtId="43" fontId="7" fillId="0" borderId="1" xfId="1" applyFont="1" applyBorder="1"/>
    <xf numFmtId="164" fontId="0" fillId="0" borderId="1" xfId="1" applyNumberFormat="1" applyFont="1" applyBorder="1"/>
    <xf numFmtId="164" fontId="4" fillId="0" borderId="1" xfId="1" applyNumberFormat="1" applyFont="1" applyBorder="1"/>
    <xf numFmtId="10" fontId="7" fillId="0" borderId="1" xfId="2" applyNumberFormat="1" applyFont="1" applyBorder="1"/>
    <xf numFmtId="0" fontId="26" fillId="0" borderId="1" xfId="0" applyFont="1" applyBorder="1"/>
    <xf numFmtId="43" fontId="0" fillId="0" borderId="1" xfId="1" applyFont="1" applyBorder="1" applyAlignment="1"/>
    <xf numFmtId="43" fontId="3" fillId="0" borderId="1" xfId="1" applyFont="1" applyBorder="1" applyAlignment="1"/>
    <xf numFmtId="0" fontId="3" fillId="0" borderId="1" xfId="0" applyFont="1" applyBorder="1" applyAlignment="1">
      <alignment horizontal="center" wrapText="1"/>
    </xf>
    <xf numFmtId="167" fontId="2" fillId="0" borderId="1" xfId="3" applyNumberFormat="1" applyFont="1" applyBorder="1"/>
    <xf numFmtId="167" fontId="3" fillId="0" borderId="1" xfId="3" applyNumberFormat="1" applyFont="1" applyBorder="1"/>
    <xf numFmtId="43" fontId="0" fillId="0" borderId="1" xfId="1" applyFont="1" applyFill="1" applyBorder="1" applyAlignment="1"/>
    <xf numFmtId="167" fontId="0" fillId="0" borderId="1" xfId="3" applyNumberFormat="1" applyFont="1" applyBorder="1" applyAlignment="1"/>
    <xf numFmtId="0" fontId="18" fillId="0" borderId="1" xfId="0" applyFont="1" applyBorder="1"/>
    <xf numFmtId="0" fontId="18" fillId="0" borderId="1" xfId="0" applyFont="1" applyBorder="1" applyAlignment="1">
      <alignment horizontal="center"/>
    </xf>
    <xf numFmtId="164" fontId="0" fillId="4" borderId="1" xfId="1" applyNumberFormat="1" applyFont="1" applyFill="1" applyBorder="1"/>
    <xf numFmtId="0" fontId="3" fillId="4" borderId="1" xfId="1" applyNumberFormat="1" applyFont="1" applyFill="1" applyBorder="1"/>
    <xf numFmtId="169" fontId="3" fillId="4" borderId="1" xfId="3" applyNumberFormat="1" applyFont="1" applyFill="1" applyBorder="1"/>
    <xf numFmtId="167" fontId="3" fillId="4" borderId="1" xfId="3" applyNumberFormat="1" applyFont="1" applyFill="1" applyBorder="1"/>
    <xf numFmtId="0" fontId="0" fillId="4" borderId="1" xfId="0" applyFill="1" applyBorder="1"/>
    <xf numFmtId="0" fontId="3" fillId="4" borderId="1" xfId="0" applyFont="1" applyFill="1" applyBorder="1"/>
    <xf numFmtId="43" fontId="0" fillId="0" borderId="1" xfId="1" applyFont="1" applyBorder="1" applyAlignment="1">
      <alignment horizontal="center"/>
    </xf>
    <xf numFmtId="0" fontId="3" fillId="2" borderId="1" xfId="0" applyFont="1" applyFill="1" applyBorder="1"/>
    <xf numFmtId="0" fontId="7" fillId="2" borderId="1" xfId="0" applyFont="1" applyFill="1" applyBorder="1"/>
    <xf numFmtId="0" fontId="26" fillId="0" borderId="1" xfId="0" applyFont="1" applyBorder="1" applyAlignment="1">
      <alignment horizontal="center"/>
    </xf>
    <xf numFmtId="0" fontId="17" fillId="0" borderId="1" xfId="0" applyFont="1" applyBorder="1" applyAlignment="1">
      <alignment wrapText="1"/>
    </xf>
    <xf numFmtId="9" fontId="0" fillId="3" borderId="1" xfId="0" applyNumberFormat="1" applyFill="1" applyBorder="1"/>
    <xf numFmtId="10" fontId="0" fillId="3" borderId="1" xfId="0" applyNumberFormat="1" applyFill="1" applyBorder="1"/>
    <xf numFmtId="0" fontId="0" fillId="3" borderId="1" xfId="2" applyNumberFormat="1" applyFont="1" applyFill="1" applyBorder="1"/>
    <xf numFmtId="1" fontId="3" fillId="0" borderId="1" xfId="0" applyNumberFormat="1" applyFont="1" applyBorder="1"/>
    <xf numFmtId="172" fontId="7" fillId="5" borderId="1" xfId="3" applyNumberFormat="1" applyFont="1" applyFill="1" applyBorder="1"/>
    <xf numFmtId="172" fontId="4" fillId="5" borderId="1" xfId="3" applyNumberFormat="1" applyFont="1" applyFill="1" applyBorder="1"/>
    <xf numFmtId="172" fontId="0" fillId="5" borderId="1" xfId="3" applyNumberFormat="1" applyFont="1" applyFill="1" applyBorder="1" applyAlignment="1">
      <alignment wrapText="1"/>
    </xf>
    <xf numFmtId="10" fontId="0" fillId="0" borderId="1" xfId="2" applyNumberFormat="1" applyFont="1" applyFill="1" applyBorder="1"/>
    <xf numFmtId="9" fontId="0" fillId="0" borderId="1" xfId="2" applyFont="1" applyBorder="1"/>
    <xf numFmtId="10" fontId="4" fillId="0" borderId="1" xfId="2" applyNumberFormat="1" applyFont="1" applyBorder="1"/>
    <xf numFmtId="172" fontId="0" fillId="2" borderId="1" xfId="3" applyNumberFormat="1" applyFont="1" applyFill="1" applyBorder="1"/>
    <xf numFmtId="0" fontId="3" fillId="5" borderId="1" xfId="0" applyFont="1" applyFill="1" applyBorder="1"/>
    <xf numFmtId="179" fontId="0" fillId="5" borderId="1" xfId="0" applyNumberFormat="1" applyFill="1" applyBorder="1"/>
    <xf numFmtId="181" fontId="0" fillId="0" borderId="1" xfId="1" applyNumberFormat="1" applyFont="1" applyBorder="1"/>
    <xf numFmtId="0" fontId="0" fillId="0" borderId="4" xfId="0" applyBorder="1"/>
    <xf numFmtId="167" fontId="0" fillId="5" borderId="1" xfId="3" applyNumberFormat="1" applyFont="1" applyFill="1" applyBorder="1"/>
    <xf numFmtId="43" fontId="0" fillId="0" borderId="1" xfId="0" applyNumberFormat="1" applyBorder="1"/>
    <xf numFmtId="0" fontId="31" fillId="0" borderId="1" xfId="0" applyFont="1" applyBorder="1"/>
    <xf numFmtId="43" fontId="0" fillId="0" borderId="1" xfId="1" applyFont="1" applyFill="1" applyBorder="1" applyAlignment="1">
      <alignment horizontal="center"/>
    </xf>
    <xf numFmtId="43" fontId="0" fillId="0" borderId="1" xfId="1" applyFont="1" applyBorder="1" applyAlignment="1">
      <alignment horizontal="right"/>
    </xf>
    <xf numFmtId="43" fontId="7" fillId="0" borderId="1" xfId="1" applyFont="1" applyBorder="1" applyAlignment="1">
      <alignment horizontal="right"/>
    </xf>
    <xf numFmtId="43" fontId="0" fillId="0" borderId="1" xfId="1" applyFont="1" applyFill="1" applyBorder="1" applyAlignment="1">
      <alignment horizontal="right"/>
    </xf>
    <xf numFmtId="10" fontId="0" fillId="5" borderId="1" xfId="0" applyNumberFormat="1" applyFill="1" applyBorder="1" applyAlignment="1">
      <alignment horizontal="center"/>
    </xf>
    <xf numFmtId="170" fontId="0" fillId="5" borderId="1" xfId="1" applyNumberFormat="1" applyFont="1" applyFill="1" applyBorder="1"/>
    <xf numFmtId="6" fontId="0" fillId="7" borderId="1" xfId="0" applyNumberFormat="1" applyFill="1" applyBorder="1"/>
    <xf numFmtId="6" fontId="7" fillId="7" borderId="1" xfId="3" applyNumberFormat="1" applyFont="1" applyFill="1" applyBorder="1"/>
    <xf numFmtId="6" fontId="0" fillId="0" borderId="1" xfId="0" applyNumberFormat="1" applyBorder="1"/>
    <xf numFmtId="169" fontId="3" fillId="4" borderId="1" xfId="3" applyNumberFormat="1" applyFont="1" applyFill="1" applyBorder="1" applyAlignment="1">
      <alignment horizontal="center"/>
    </xf>
    <xf numFmtId="6" fontId="0" fillId="5" borderId="1" xfId="0" applyNumberFormat="1" applyFill="1" applyBorder="1"/>
    <xf numFmtId="174" fontId="4" fillId="0" borderId="1" xfId="1" applyNumberFormat="1" applyFont="1" applyFill="1" applyBorder="1"/>
    <xf numFmtId="165" fontId="7" fillId="0" borderId="1" xfId="3" applyFont="1" applyBorder="1"/>
    <xf numFmtId="6" fontId="5" fillId="0" borderId="1" xfId="3" applyNumberFormat="1" applyFont="1" applyFill="1" applyBorder="1"/>
    <xf numFmtId="6" fontId="7" fillId="0" borderId="1" xfId="2" applyNumberFormat="1" applyFont="1" applyBorder="1"/>
    <xf numFmtId="0" fontId="0" fillId="9" borderId="1" xfId="0" applyFill="1" applyBorder="1"/>
    <xf numFmtId="0" fontId="32" fillId="0" borderId="1" xfId="0" applyFont="1" applyBorder="1"/>
    <xf numFmtId="0" fontId="33" fillId="0" borderId="1" xfId="0" applyFont="1" applyBorder="1"/>
    <xf numFmtId="0" fontId="34" fillId="0" borderId="1" xfId="0" applyFont="1" applyBorder="1"/>
    <xf numFmtId="0" fontId="35" fillId="0" borderId="1" xfId="0" applyFont="1" applyBorder="1"/>
    <xf numFmtId="165" fontId="0" fillId="0" borderId="1" xfId="3" applyFont="1" applyBorder="1"/>
    <xf numFmtId="164" fontId="0" fillId="0" borderId="1" xfId="1" applyNumberFormat="1" applyFont="1" applyFill="1" applyBorder="1" applyAlignment="1">
      <alignment horizontal="right"/>
    </xf>
    <xf numFmtId="43" fontId="5" fillId="0" borderId="1" xfId="1" applyFont="1" applyBorder="1"/>
    <xf numFmtId="43" fontId="4" fillId="0" borderId="1" xfId="1" applyFont="1" applyBorder="1"/>
    <xf numFmtId="167" fontId="0" fillId="0" borderId="1" xfId="3" applyNumberFormat="1" applyFont="1" applyBorder="1" applyAlignment="1">
      <alignment horizontal="center"/>
    </xf>
    <xf numFmtId="172" fontId="4" fillId="0" borderId="1" xfId="3" applyNumberFormat="1" applyFont="1" applyBorder="1"/>
    <xf numFmtId="0" fontId="0" fillId="0" borderId="1" xfId="0" applyBorder="1" applyAlignment="1">
      <alignment horizontal="left"/>
    </xf>
    <xf numFmtId="167" fontId="0" fillId="0" borderId="1" xfId="3" applyNumberFormat="1" applyFont="1" applyBorder="1" applyAlignment="1">
      <alignment horizontal="left"/>
    </xf>
    <xf numFmtId="0" fontId="3" fillId="0" borderId="1" xfId="0" applyFont="1" applyBorder="1" applyAlignment="1">
      <alignment horizontal="left"/>
    </xf>
    <xf numFmtId="0" fontId="0" fillId="0" borderId="0" xfId="0" applyAlignment="1">
      <alignment horizontal="left"/>
    </xf>
    <xf numFmtId="167" fontId="0" fillId="0" borderId="1" xfId="3" applyNumberFormat="1" applyFont="1" applyFill="1" applyBorder="1"/>
    <xf numFmtId="9" fontId="0" fillId="5" borderId="1" xfId="1" applyNumberFormat="1" applyFont="1" applyFill="1" applyBorder="1"/>
    <xf numFmtId="0" fontId="36" fillId="0" borderId="1" xfId="0" applyFont="1" applyBorder="1"/>
    <xf numFmtId="164" fontId="0" fillId="5" borderId="1" xfId="1" applyNumberFormat="1" applyFont="1" applyFill="1" applyBorder="1"/>
    <xf numFmtId="0" fontId="7" fillId="0" borderId="0" xfId="0" applyFont="1"/>
    <xf numFmtId="0" fontId="7" fillId="0" borderId="1" xfId="0" applyFont="1" applyBorder="1" applyAlignment="1">
      <alignment horizontal="left"/>
    </xf>
    <xf numFmtId="166" fontId="7" fillId="5" borderId="1" xfId="2" applyNumberFormat="1" applyFont="1" applyFill="1" applyBorder="1"/>
    <xf numFmtId="172" fontId="7" fillId="5" borderId="1" xfId="3" applyNumberFormat="1" applyFont="1" applyFill="1" applyBorder="1" applyAlignment="1">
      <alignment wrapText="1"/>
    </xf>
    <xf numFmtId="0" fontId="21" fillId="0" borderId="1" xfId="0" quotePrefix="1" applyFont="1" applyBorder="1" applyAlignment="1">
      <alignment horizontal="left" vertical="center"/>
    </xf>
    <xf numFmtId="0" fontId="7" fillId="0" borderId="1" xfId="0" applyFont="1" applyBorder="1" applyAlignment="1">
      <alignment horizontal="left" vertical="center"/>
    </xf>
    <xf numFmtId="165" fontId="0" fillId="2" borderId="1" xfId="0" applyNumberFormat="1" applyFill="1" applyBorder="1"/>
    <xf numFmtId="0" fontId="7" fillId="0" borderId="5" xfId="0" applyFont="1" applyBorder="1" applyAlignment="1">
      <alignment horizontal="left" wrapText="1"/>
    </xf>
    <xf numFmtId="0" fontId="7" fillId="0" borderId="6" xfId="0" applyFont="1" applyBorder="1" applyAlignment="1">
      <alignment horizontal="left" wrapText="1"/>
    </xf>
    <xf numFmtId="0" fontId="0" fillId="3" borderId="0" xfId="0" applyFill="1"/>
    <xf numFmtId="164" fontId="0" fillId="3" borderId="0" xfId="1" applyNumberFormat="1" applyFont="1" applyFill="1"/>
    <xf numFmtId="0" fontId="7" fillId="3" borderId="0" xfId="0" applyFont="1" applyFill="1"/>
    <xf numFmtId="0" fontId="4" fillId="0" borderId="1" xfId="0" applyFont="1" applyBorder="1" applyAlignment="1">
      <alignment horizontal="right" vertical="center"/>
    </xf>
    <xf numFmtId="6" fontId="4" fillId="0" borderId="1" xfId="1" applyNumberFormat="1" applyFont="1" applyFill="1" applyBorder="1" applyAlignment="1">
      <alignment horizontal="right" vertical="center"/>
    </xf>
    <xf numFmtId="0" fontId="0" fillId="2" borderId="0" xfId="0" applyFill="1"/>
    <xf numFmtId="0" fontId="15" fillId="2" borderId="0" xfId="0" applyFont="1" applyFill="1"/>
    <xf numFmtId="0" fontId="3" fillId="2" borderId="0" xfId="0" applyFont="1" applyFill="1"/>
    <xf numFmtId="0" fontId="16" fillId="2" borderId="0" xfId="0" applyFont="1" applyFill="1"/>
    <xf numFmtId="0" fontId="7" fillId="2" borderId="0" xfId="0" quotePrefix="1" applyFont="1" applyFill="1"/>
    <xf numFmtId="0" fontId="21" fillId="2" borderId="0" xfId="0" applyFont="1" applyFill="1"/>
    <xf numFmtId="0" fontId="15" fillId="2" borderId="0" xfId="0" applyFont="1" applyFill="1" applyAlignment="1">
      <alignment horizontal="right"/>
    </xf>
    <xf numFmtId="0" fontId="15" fillId="2" borderId="0" xfId="0" applyFont="1" applyFill="1" applyAlignment="1">
      <alignment horizontal="left"/>
    </xf>
    <xf numFmtId="0" fontId="4" fillId="2" borderId="0" xfId="0" applyFont="1" applyFill="1"/>
    <xf numFmtId="43" fontId="0" fillId="2" borderId="0" xfId="1" applyFont="1" applyFill="1"/>
    <xf numFmtId="177" fontId="0" fillId="2" borderId="0" xfId="0" applyNumberFormat="1" applyFill="1"/>
    <xf numFmtId="177" fontId="0" fillId="2" borderId="0" xfId="1" applyNumberFormat="1" applyFont="1" applyFill="1"/>
    <xf numFmtId="177" fontId="5" fillId="2" borderId="0" xfId="0" applyNumberFormat="1" applyFont="1" applyFill="1"/>
    <xf numFmtId="0" fontId="7" fillId="2" borderId="0" xfId="0" applyFont="1" applyFill="1"/>
    <xf numFmtId="164" fontId="7" fillId="2" borderId="0" xfId="1" applyNumberFormat="1" applyFont="1" applyFill="1"/>
    <xf numFmtId="0" fontId="5" fillId="2" borderId="0" xfId="0" applyFont="1" applyFill="1"/>
    <xf numFmtId="0" fontId="0" fillId="2" borderId="0" xfId="0" applyFill="1" applyAlignment="1">
      <alignment horizontal="center" vertical="center"/>
    </xf>
    <xf numFmtId="177" fontId="0" fillId="2" borderId="0" xfId="15" applyNumberFormat="1" applyFont="1" applyFill="1"/>
    <xf numFmtId="164" fontId="0" fillId="2" borderId="0" xfId="1" applyNumberFormat="1" applyFont="1" applyFill="1"/>
    <xf numFmtId="164" fontId="0" fillId="2" borderId="0" xfId="0" applyNumberFormat="1" applyFill="1"/>
    <xf numFmtId="167" fontId="4" fillId="0" borderId="1" xfId="3" applyNumberFormat="1" applyFont="1" applyFill="1" applyBorder="1" applyAlignment="1">
      <alignment horizontal="center"/>
    </xf>
    <xf numFmtId="166" fontId="0" fillId="7" borderId="0" xfId="0" applyNumberFormat="1" applyFill="1"/>
    <xf numFmtId="165" fontId="0" fillId="5" borderId="1" xfId="3" applyFont="1" applyFill="1" applyBorder="1"/>
    <xf numFmtId="10" fontId="0" fillId="10" borderId="1" xfId="2" applyNumberFormat="1" applyFont="1" applyFill="1" applyBorder="1"/>
    <xf numFmtId="179" fontId="0" fillId="10" borderId="1" xfId="0" applyNumberFormat="1" applyFill="1" applyBorder="1"/>
    <xf numFmtId="183" fontId="0" fillId="0" borderId="1" xfId="0" applyNumberFormat="1" applyBorder="1"/>
    <xf numFmtId="0" fontId="0" fillId="4" borderId="0" xfId="0" applyFill="1"/>
    <xf numFmtId="0" fontId="10" fillId="0" borderId="4" xfId="0" applyFont="1" applyBorder="1"/>
    <xf numFmtId="0" fontId="15" fillId="0" borderId="4" xfId="0" applyFont="1" applyBorder="1"/>
    <xf numFmtId="10" fontId="0" fillId="0" borderId="4" xfId="2" applyNumberFormat="1" applyFont="1" applyBorder="1"/>
    <xf numFmtId="0" fontId="0" fillId="2" borderId="4" xfId="0" applyFill="1" applyBorder="1"/>
    <xf numFmtId="0" fontId="0" fillId="0" borderId="7" xfId="0" applyBorder="1"/>
    <xf numFmtId="0" fontId="10" fillId="0" borderId="7" xfId="0" applyFont="1" applyBorder="1"/>
    <xf numFmtId="0" fontId="15" fillId="0" borderId="7" xfId="0" applyFont="1" applyBorder="1"/>
    <xf numFmtId="10" fontId="0" fillId="0" borderId="7" xfId="2" applyNumberFormat="1" applyFont="1" applyBorder="1"/>
    <xf numFmtId="0" fontId="0" fillId="2" borderId="7" xfId="0" applyFill="1" applyBorder="1"/>
    <xf numFmtId="0" fontId="3" fillId="0" borderId="7" xfId="0" applyFont="1" applyBorder="1"/>
    <xf numFmtId="0" fontId="0" fillId="0" borderId="7" xfId="0" applyBorder="1" applyAlignment="1">
      <alignment horizontal="center"/>
    </xf>
    <xf numFmtId="0" fontId="0" fillId="0" borderId="4" xfId="0" applyBorder="1" applyAlignment="1">
      <alignment horizontal="center"/>
    </xf>
    <xf numFmtId="169" fontId="0" fillId="0" borderId="7" xfId="3" applyNumberFormat="1" applyFont="1" applyFill="1" applyBorder="1"/>
    <xf numFmtId="169" fontId="0" fillId="0" borderId="4" xfId="3" applyNumberFormat="1" applyFont="1" applyFill="1" applyBorder="1"/>
    <xf numFmtId="0" fontId="32" fillId="0" borderId="4" xfId="0" applyFont="1" applyBorder="1"/>
    <xf numFmtId="0" fontId="34" fillId="0" borderId="4" xfId="0" applyFont="1" applyBorder="1"/>
    <xf numFmtId="0" fontId="32" fillId="0" borderId="4" xfId="0" applyFont="1" applyBorder="1" applyAlignment="1">
      <alignment horizontal="center"/>
    </xf>
    <xf numFmtId="0" fontId="9" fillId="0" borderId="7" xfId="0" applyFont="1" applyBorder="1"/>
    <xf numFmtId="0" fontId="3" fillId="0" borderId="4" xfId="0" applyFont="1" applyBorder="1"/>
    <xf numFmtId="0" fontId="10" fillId="2" borderId="4" xfId="0" applyFont="1" applyFill="1" applyBorder="1"/>
    <xf numFmtId="0" fontId="15" fillId="2" borderId="4" xfId="0" applyFont="1" applyFill="1" applyBorder="1"/>
    <xf numFmtId="165" fontId="0" fillId="2" borderId="1" xfId="3" applyFont="1" applyFill="1" applyBorder="1"/>
    <xf numFmtId="165" fontId="7" fillId="5" borderId="1" xfId="3" applyFont="1" applyFill="1" applyBorder="1"/>
    <xf numFmtId="165" fontId="0" fillId="0" borderId="1" xfId="0" applyNumberFormat="1" applyBorder="1"/>
    <xf numFmtId="43" fontId="7" fillId="5" borderId="1" xfId="1" applyFont="1" applyFill="1" applyBorder="1"/>
    <xf numFmtId="9" fontId="0" fillId="0" borderId="1" xfId="1" applyNumberFormat="1" applyFont="1" applyFill="1" applyBorder="1"/>
    <xf numFmtId="165" fontId="0" fillId="0" borderId="1" xfId="3" applyFont="1" applyFill="1" applyBorder="1"/>
    <xf numFmtId="173" fontId="0" fillId="5" borderId="1" xfId="3" applyNumberFormat="1" applyFont="1" applyFill="1" applyBorder="1"/>
    <xf numFmtId="173" fontId="0" fillId="0" borderId="1" xfId="3" applyNumberFormat="1" applyFont="1" applyFill="1" applyBorder="1"/>
    <xf numFmtId="9" fontId="0" fillId="0" borderId="7" xfId="1" applyNumberFormat="1" applyFont="1" applyFill="1" applyBorder="1"/>
    <xf numFmtId="181" fontId="0" fillId="0" borderId="1" xfId="1" applyNumberFormat="1" applyFont="1" applyFill="1" applyBorder="1"/>
    <xf numFmtId="180" fontId="0" fillId="0" borderId="1" xfId="1" applyNumberFormat="1" applyFont="1" applyFill="1" applyBorder="1"/>
    <xf numFmtId="10" fontId="4" fillId="0" borderId="1" xfId="0" applyNumberFormat="1" applyFont="1" applyBorder="1" applyAlignment="1">
      <alignment horizontal="left"/>
    </xf>
    <xf numFmtId="164" fontId="0" fillId="3" borderId="1" xfId="1" applyNumberFormat="1" applyFont="1" applyFill="1" applyBorder="1"/>
    <xf numFmtId="164" fontId="7" fillId="0" borderId="1" xfId="1" applyNumberFormat="1" applyFont="1" applyBorder="1"/>
    <xf numFmtId="0" fontId="25" fillId="0" borderId="1" xfId="0" applyFont="1" applyBorder="1" applyAlignment="1">
      <alignment horizontal="center"/>
    </xf>
    <xf numFmtId="164" fontId="25" fillId="0" borderId="1" xfId="1" applyNumberFormat="1" applyFont="1" applyFill="1" applyBorder="1" applyAlignment="1">
      <alignment horizontal="center"/>
    </xf>
    <xf numFmtId="0" fontId="0" fillId="2" borderId="0" xfId="0" applyFill="1" applyAlignment="1">
      <alignment horizontal="center"/>
    </xf>
    <xf numFmtId="164" fontId="7" fillId="0" borderId="1" xfId="1" applyNumberFormat="1" applyFont="1" applyFill="1" applyBorder="1" applyAlignment="1">
      <alignment horizontal="center"/>
    </xf>
    <xf numFmtId="9" fontId="0" fillId="3" borderId="0" xfId="0" applyNumberFormat="1" applyFill="1"/>
    <xf numFmtId="9" fontId="0" fillId="2" borderId="0" xfId="0" applyNumberFormat="1" applyFill="1"/>
    <xf numFmtId="0" fontId="15" fillId="2" borderId="0" xfId="0" applyFont="1" applyFill="1" applyAlignment="1">
      <alignment horizontal="center"/>
    </xf>
    <xf numFmtId="0" fontId="5" fillId="2" borderId="0" xfId="0" applyFont="1" applyFill="1" applyAlignment="1">
      <alignment horizontal="center"/>
    </xf>
    <xf numFmtId="164" fontId="4" fillId="0" borderId="1" xfId="1" applyNumberFormat="1" applyFont="1" applyFill="1" applyBorder="1"/>
    <xf numFmtId="178" fontId="0" fillId="2" borderId="1" xfId="0" applyNumberFormat="1" applyFill="1" applyBorder="1" applyAlignment="1">
      <alignment vertical="center"/>
    </xf>
    <xf numFmtId="0" fontId="0" fillId="0" borderId="1" xfId="0" applyBorder="1" applyAlignment="1">
      <alignment horizontal="left" vertical="center"/>
    </xf>
    <xf numFmtId="0" fontId="17" fillId="2" borderId="0" xfId="0" applyFont="1" applyFill="1"/>
    <xf numFmtId="0" fontId="7" fillId="0" borderId="1" xfId="0" applyFont="1" applyBorder="1" applyAlignment="1">
      <alignment vertical="center"/>
    </xf>
    <xf numFmtId="0" fontId="0" fillId="2" borderId="8" xfId="0" applyFill="1" applyBorder="1"/>
    <xf numFmtId="0" fontId="10" fillId="2" borderId="8" xfId="0" applyFont="1" applyFill="1" applyBorder="1"/>
    <xf numFmtId="0" fontId="15" fillId="2" borderId="8" xfId="0" applyFont="1" applyFill="1" applyBorder="1"/>
    <xf numFmtId="0" fontId="0" fillId="2" borderId="8" xfId="0" applyFill="1" applyBorder="1" applyAlignment="1">
      <alignment horizontal="center"/>
    </xf>
    <xf numFmtId="166" fontId="0" fillId="5" borderId="1" xfId="3" applyNumberFormat="1" applyFont="1" applyFill="1" applyBorder="1"/>
    <xf numFmtId="166" fontId="0" fillId="0" borderId="1" xfId="3" applyNumberFormat="1" applyFont="1" applyFill="1" applyBorder="1"/>
    <xf numFmtId="0" fontId="0" fillId="2" borderId="4" xfId="0" applyFill="1" applyBorder="1" applyAlignment="1">
      <alignment horizontal="center"/>
    </xf>
    <xf numFmtId="178" fontId="0" fillId="2" borderId="1" xfId="0" applyNumberFormat="1" applyFill="1" applyBorder="1" applyAlignment="1">
      <alignment horizontal="center" vertical="center"/>
    </xf>
    <xf numFmtId="0" fontId="30" fillId="2" borderId="1" xfId="0" applyFont="1" applyFill="1" applyBorder="1"/>
    <xf numFmtId="0" fontId="0" fillId="2" borderId="0" xfId="0" applyFill="1" applyAlignment="1">
      <alignment horizontal="right"/>
    </xf>
    <xf numFmtId="0" fontId="0" fillId="3" borderId="0" xfId="0" applyFill="1" applyAlignment="1">
      <alignment horizontal="right"/>
    </xf>
    <xf numFmtId="0" fontId="7" fillId="0" borderId="1" xfId="0" applyFont="1" applyBorder="1" applyAlignment="1">
      <alignment horizontal="right"/>
    </xf>
    <xf numFmtId="164" fontId="5" fillId="0" borderId="1" xfId="1" applyNumberFormat="1" applyFont="1" applyBorder="1"/>
    <xf numFmtId="0" fontId="3" fillId="2" borderId="4" xfId="0" applyFont="1" applyFill="1" applyBorder="1"/>
    <xf numFmtId="0" fontId="10" fillId="2" borderId="0" xfId="0" applyFont="1" applyFill="1"/>
    <xf numFmtId="185" fontId="5" fillId="0" borderId="1" xfId="1" applyNumberFormat="1" applyFont="1" applyFill="1" applyBorder="1"/>
    <xf numFmtId="0" fontId="0" fillId="0" borderId="1" xfId="1" applyNumberFormat="1" applyFont="1" applyFill="1" applyBorder="1"/>
    <xf numFmtId="164" fontId="3" fillId="0" borderId="1" xfId="1" applyNumberFormat="1" applyFont="1" applyBorder="1"/>
    <xf numFmtId="0" fontId="0" fillId="0" borderId="0" xfId="0" applyAlignment="1">
      <alignment horizontal="center"/>
    </xf>
    <xf numFmtId="0" fontId="0" fillId="7" borderId="0" xfId="1" applyNumberFormat="1" applyFont="1" applyFill="1"/>
    <xf numFmtId="43" fontId="42" fillId="0" borderId="1" xfId="1" applyFont="1" applyBorder="1" applyAlignment="1">
      <alignment horizontal="center"/>
    </xf>
    <xf numFmtId="0" fontId="42" fillId="0" borderId="1" xfId="0" applyFont="1" applyBorder="1" applyAlignment="1">
      <alignment horizontal="center"/>
    </xf>
    <xf numFmtId="177" fontId="0" fillId="0" borderId="1" xfId="15" applyNumberFormat="1" applyFont="1" applyBorder="1"/>
    <xf numFmtId="177" fontId="7" fillId="0" borderId="1" xfId="15" applyNumberFormat="1" applyFont="1" applyBorder="1"/>
    <xf numFmtId="177" fontId="0" fillId="0" borderId="1" xfId="1" applyNumberFormat="1" applyFont="1" applyBorder="1"/>
    <xf numFmtId="177" fontId="7" fillId="0" borderId="1" xfId="2" applyNumberFormat="1" applyFont="1" applyBorder="1"/>
    <xf numFmtId="0" fontId="29" fillId="2" borderId="1" xfId="0" applyFont="1" applyFill="1" applyBorder="1"/>
    <xf numFmtId="172" fontId="0" fillId="0" borderId="4" xfId="3" applyNumberFormat="1" applyFont="1" applyFill="1" applyBorder="1"/>
    <xf numFmtId="172" fontId="0" fillId="0" borderId="7" xfId="3" applyNumberFormat="1" applyFont="1" applyFill="1" applyBorder="1"/>
    <xf numFmtId="166" fontId="4" fillId="0" borderId="1" xfId="2" applyNumberFormat="1" applyFont="1" applyFill="1" applyBorder="1"/>
    <xf numFmtId="0" fontId="0" fillId="2" borderId="9" xfId="0" applyFill="1" applyBorder="1"/>
    <xf numFmtId="0" fontId="0" fillId="17" borderId="1" xfId="0" applyFill="1" applyBorder="1"/>
    <xf numFmtId="0" fontId="47" fillId="13" borderId="1" xfId="0" applyFont="1" applyFill="1" applyBorder="1"/>
    <xf numFmtId="0" fontId="0" fillId="14" borderId="1" xfId="0" applyFill="1" applyBorder="1"/>
    <xf numFmtId="0" fontId="0" fillId="16" borderId="1" xfId="0" applyFill="1" applyBorder="1"/>
    <xf numFmtId="9" fontId="0" fillId="0" borderId="1" xfId="2" applyFont="1" applyBorder="1" applyAlignment="1">
      <alignment horizontal="center"/>
    </xf>
    <xf numFmtId="10" fontId="36" fillId="0" borderId="1" xfId="0" applyNumberFormat="1" applyFont="1" applyBorder="1"/>
    <xf numFmtId="0" fontId="10" fillId="2" borderId="7" xfId="0" applyFont="1" applyFill="1" applyBorder="1"/>
    <xf numFmtId="39" fontId="0" fillId="5" borderId="1" xfId="1" applyNumberFormat="1" applyFont="1" applyFill="1" applyBorder="1"/>
    <xf numFmtId="39" fontId="0" fillId="5" borderId="4" xfId="1" applyNumberFormat="1" applyFont="1" applyFill="1" applyBorder="1"/>
    <xf numFmtId="39" fontId="0" fillId="2" borderId="4" xfId="0" applyNumberFormat="1" applyFill="1" applyBorder="1"/>
    <xf numFmtId="39" fontId="0" fillId="2" borderId="7" xfId="0" applyNumberFormat="1" applyFill="1" applyBorder="1"/>
    <xf numFmtId="39" fontId="0" fillId="0" borderId="7" xfId="0" applyNumberFormat="1" applyBorder="1"/>
    <xf numFmtId="39" fontId="0" fillId="2" borderId="4" xfId="1" applyNumberFormat="1" applyFont="1" applyFill="1" applyBorder="1"/>
    <xf numFmtId="39" fontId="0" fillId="0" borderId="7" xfId="1" applyNumberFormat="1" applyFont="1" applyBorder="1"/>
    <xf numFmtId="39" fontId="0" fillId="2" borderId="7" xfId="1" applyNumberFormat="1" applyFont="1" applyFill="1" applyBorder="1"/>
    <xf numFmtId="179" fontId="48" fillId="20" borderId="41" xfId="0" applyNumberFormat="1" applyFont="1" applyFill="1" applyBorder="1"/>
    <xf numFmtId="9" fontId="0" fillId="5" borderId="1" xfId="2" applyFont="1" applyFill="1" applyBorder="1"/>
    <xf numFmtId="9" fontId="0" fillId="5" borderId="1" xfId="3" applyNumberFormat="1" applyFont="1" applyFill="1" applyBorder="1"/>
    <xf numFmtId="0" fontId="0" fillId="2" borderId="1" xfId="0" applyFill="1" applyBorder="1" applyAlignment="1">
      <alignment horizontal="center"/>
    </xf>
    <xf numFmtId="8" fontId="0" fillId="2" borderId="1" xfId="0" applyNumberFormat="1" applyFill="1" applyBorder="1" applyAlignment="1">
      <alignment horizontal="center"/>
    </xf>
    <xf numFmtId="0" fontId="0" fillId="2" borderId="7" xfId="0" applyFill="1" applyBorder="1" applyAlignment="1">
      <alignment horizontal="center"/>
    </xf>
    <xf numFmtId="167" fontId="7" fillId="0" borderId="1" xfId="0" applyNumberFormat="1" applyFont="1" applyBorder="1" applyAlignment="1">
      <alignment horizontal="right"/>
    </xf>
    <xf numFmtId="0" fontId="0" fillId="0" borderId="1" xfId="0" applyBorder="1" applyAlignment="1">
      <alignment vertical="center"/>
    </xf>
    <xf numFmtId="0" fontId="0" fillId="0" borderId="16" xfId="0" applyBorder="1" applyAlignment="1">
      <alignment vertical="center"/>
    </xf>
    <xf numFmtId="0" fontId="0" fillId="0" borderId="2" xfId="0" applyBorder="1" applyAlignment="1">
      <alignment vertical="center"/>
    </xf>
    <xf numFmtId="0" fontId="0" fillId="0" borderId="17" xfId="0"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30"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18" xfId="0" applyBorder="1" applyAlignment="1">
      <alignment vertical="center"/>
    </xf>
    <xf numFmtId="0" fontId="0" fillId="2" borderId="36" xfId="0" applyFill="1" applyBorder="1" applyAlignment="1">
      <alignment vertical="center"/>
    </xf>
    <xf numFmtId="0" fontId="0" fillId="0" borderId="27" xfId="0" applyBorder="1" applyAlignment="1">
      <alignment vertical="center"/>
    </xf>
    <xf numFmtId="0" fontId="0" fillId="2" borderId="28" xfId="0"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2" borderId="8" xfId="0" applyFill="1" applyBorder="1" applyAlignment="1">
      <alignment vertical="center"/>
    </xf>
    <xf numFmtId="0" fontId="0" fillId="2" borderId="33" xfId="0" applyFill="1" applyBorder="1" applyAlignment="1">
      <alignment vertical="center"/>
    </xf>
    <xf numFmtId="0" fontId="0" fillId="0" borderId="13" xfId="0" applyBorder="1" applyAlignment="1">
      <alignment vertical="center"/>
    </xf>
    <xf numFmtId="0" fontId="0" fillId="2" borderId="34" xfId="0" applyFill="1" applyBorder="1" applyAlignment="1">
      <alignment vertical="center"/>
    </xf>
    <xf numFmtId="0" fontId="0" fillId="2" borderId="13" xfId="0" applyFill="1" applyBorder="1" applyAlignment="1">
      <alignment vertical="center"/>
    </xf>
    <xf numFmtId="0" fontId="0" fillId="0" borderId="25" xfId="0" applyBorder="1" applyAlignment="1">
      <alignment vertical="center"/>
    </xf>
    <xf numFmtId="0" fontId="0" fillId="2" borderId="20" xfId="0" applyFill="1" applyBorder="1" applyAlignment="1">
      <alignment vertical="center"/>
    </xf>
    <xf numFmtId="0" fontId="0" fillId="2" borderId="24" xfId="0" applyFill="1" applyBorder="1" applyAlignment="1">
      <alignment vertical="center"/>
    </xf>
    <xf numFmtId="0" fontId="0" fillId="2" borderId="26" xfId="0" applyFill="1" applyBorder="1" applyAlignment="1">
      <alignment vertical="center"/>
    </xf>
    <xf numFmtId="0" fontId="0" fillId="2" borderId="29" xfId="0" applyFill="1" applyBorder="1" applyAlignment="1">
      <alignment vertical="center"/>
    </xf>
    <xf numFmtId="0" fontId="3" fillId="0" borderId="18" xfId="0" applyFont="1" applyBorder="1" applyAlignment="1">
      <alignment vertical="center"/>
    </xf>
    <xf numFmtId="0" fontId="0" fillId="0" borderId="35" xfId="0" applyBorder="1" applyAlignment="1">
      <alignment vertical="center"/>
    </xf>
    <xf numFmtId="0" fontId="0" fillId="0" borderId="40" xfId="0" applyBorder="1" applyAlignment="1">
      <alignment vertical="center"/>
    </xf>
    <xf numFmtId="0" fontId="0" fillId="0" borderId="45" xfId="0" applyBorder="1" applyAlignment="1">
      <alignment vertical="center"/>
    </xf>
    <xf numFmtId="0" fontId="0" fillId="2" borderId="21" xfId="0" applyFill="1" applyBorder="1" applyAlignment="1">
      <alignment vertical="center"/>
    </xf>
    <xf numFmtId="0" fontId="0" fillId="2" borderId="32" xfId="0" applyFill="1" applyBorder="1" applyAlignment="1">
      <alignment vertical="center"/>
    </xf>
    <xf numFmtId="0" fontId="0" fillId="2" borderId="23" xfId="0" applyFill="1" applyBorder="1" applyAlignment="1">
      <alignment vertical="center"/>
    </xf>
    <xf numFmtId="0" fontId="0" fillId="2" borderId="42" xfId="0" applyFill="1" applyBorder="1" applyAlignment="1">
      <alignment vertical="center"/>
    </xf>
    <xf numFmtId="0" fontId="0" fillId="2" borderId="11" xfId="0" applyFill="1" applyBorder="1" applyAlignment="1">
      <alignment vertical="center"/>
    </xf>
    <xf numFmtId="0" fontId="0" fillId="2" borderId="43" xfId="0" applyFill="1" applyBorder="1" applyAlignment="1">
      <alignment vertical="center"/>
    </xf>
    <xf numFmtId="0" fontId="0" fillId="2" borderId="38" xfId="0" applyFill="1" applyBorder="1" applyAlignment="1">
      <alignment vertical="center"/>
    </xf>
    <xf numFmtId="0" fontId="0" fillId="2" borderId="15" xfId="0" applyFill="1" applyBorder="1" applyAlignment="1">
      <alignment vertical="center"/>
    </xf>
    <xf numFmtId="0" fontId="0" fillId="2" borderId="44" xfId="0" applyFill="1" applyBorder="1" applyAlignment="1">
      <alignment vertical="center"/>
    </xf>
    <xf numFmtId="0" fontId="0" fillId="2" borderId="39" xfId="0" applyFill="1" applyBorder="1" applyAlignment="1">
      <alignment vertical="center"/>
    </xf>
    <xf numFmtId="0" fontId="0" fillId="2" borderId="25" xfId="0" applyFill="1" applyBorder="1" applyAlignment="1">
      <alignment vertical="center"/>
    </xf>
    <xf numFmtId="0" fontId="0" fillId="2" borderId="31" xfId="0" applyFill="1" applyBorder="1" applyAlignment="1">
      <alignment vertical="center"/>
    </xf>
    <xf numFmtId="0" fontId="0" fillId="2" borderId="14" xfId="0" applyFill="1" applyBorder="1" applyAlignment="1">
      <alignment vertical="center"/>
    </xf>
    <xf numFmtId="0" fontId="0" fillId="2" borderId="7" xfId="0" applyFill="1" applyBorder="1" applyAlignment="1">
      <alignment vertical="center"/>
    </xf>
    <xf numFmtId="0" fontId="0" fillId="2" borderId="22" xfId="0" applyFill="1" applyBorder="1" applyAlignment="1">
      <alignment vertical="center"/>
    </xf>
    <xf numFmtId="0" fontId="0" fillId="0" borderId="1" xfId="0"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0" fillId="2" borderId="8" xfId="0" applyFill="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35" xfId="0" applyBorder="1" applyAlignment="1">
      <alignment vertical="center" wrapText="1"/>
    </xf>
    <xf numFmtId="0" fontId="0" fillId="0" borderId="6" xfId="0" applyBorder="1" applyAlignment="1">
      <alignment wrapText="1"/>
    </xf>
    <xf numFmtId="0" fontId="0" fillId="0" borderId="5" xfId="0" applyBorder="1"/>
    <xf numFmtId="0" fontId="45" fillId="13" borderId="5" xfId="0" applyFont="1" applyFill="1" applyBorder="1" applyAlignment="1">
      <alignment horizontal="left"/>
    </xf>
    <xf numFmtId="0" fontId="45" fillId="13" borderId="6" xfId="0" applyFont="1" applyFill="1" applyBorder="1" applyAlignment="1">
      <alignment horizontal="left"/>
    </xf>
    <xf numFmtId="0" fontId="45" fillId="13" borderId="11" xfId="0" applyFont="1" applyFill="1" applyBorder="1" applyAlignment="1">
      <alignment horizontal="left"/>
    </xf>
    <xf numFmtId="0" fontId="45" fillId="12" borderId="5" xfId="0" applyFont="1" applyFill="1" applyBorder="1" applyAlignment="1">
      <alignment horizontal="left"/>
    </xf>
    <xf numFmtId="0" fontId="45" fillId="12" borderId="6" xfId="0" applyFont="1" applyFill="1" applyBorder="1" applyAlignment="1">
      <alignment horizontal="left"/>
    </xf>
    <xf numFmtId="0" fontId="45" fillId="12" borderId="2" xfId="0" applyFont="1" applyFill="1" applyBorder="1" applyAlignment="1">
      <alignment horizontal="left"/>
    </xf>
    <xf numFmtId="0" fontId="45" fillId="12" borderId="0" xfId="0" applyFont="1" applyFill="1" applyAlignment="1">
      <alignment horizontal="left"/>
    </xf>
    <xf numFmtId="0" fontId="45" fillId="8" borderId="5" xfId="0" applyFont="1" applyFill="1" applyBorder="1" applyAlignment="1">
      <alignment horizontal="left"/>
    </xf>
    <xf numFmtId="0" fontId="45" fillId="8" borderId="6" xfId="0" applyFont="1" applyFill="1" applyBorder="1" applyAlignment="1">
      <alignment horizontal="left"/>
    </xf>
    <xf numFmtId="0" fontId="45" fillId="8" borderId="2" xfId="0" applyFont="1" applyFill="1" applyBorder="1" applyAlignment="1">
      <alignment horizontal="left"/>
    </xf>
    <xf numFmtId="0" fontId="46" fillId="14" borderId="5" xfId="0" applyFont="1" applyFill="1" applyBorder="1" applyAlignment="1">
      <alignment horizontal="left"/>
    </xf>
    <xf numFmtId="0" fontId="46" fillId="14" borderId="6" xfId="0" applyFont="1" applyFill="1" applyBorder="1" applyAlignment="1">
      <alignment horizontal="left"/>
    </xf>
    <xf numFmtId="0" fontId="19" fillId="14" borderId="5" xfId="0" applyFont="1" applyFill="1" applyBorder="1" applyAlignment="1">
      <alignment horizontal="left"/>
    </xf>
    <xf numFmtId="0" fontId="19" fillId="14" borderId="6" xfId="0" applyFont="1" applyFill="1" applyBorder="1" applyAlignment="1">
      <alignment horizontal="left"/>
    </xf>
    <xf numFmtId="0" fontId="46" fillId="15" borderId="5" xfId="0" applyFont="1" applyFill="1" applyBorder="1" applyAlignment="1">
      <alignment horizontal="left"/>
    </xf>
    <xf numFmtId="0" fontId="46" fillId="15" borderId="6" xfId="0" applyFont="1" applyFill="1" applyBorder="1" applyAlignment="1">
      <alignment horizontal="left"/>
    </xf>
    <xf numFmtId="0" fontId="46" fillId="15" borderId="2" xfId="0" applyFont="1" applyFill="1" applyBorder="1" applyAlignment="1">
      <alignment horizontal="left"/>
    </xf>
    <xf numFmtId="0" fontId="43" fillId="16" borderId="5" xfId="0" applyFont="1" applyFill="1" applyBorder="1" applyAlignment="1">
      <alignment horizontal="left"/>
    </xf>
    <xf numFmtId="0" fontId="43" fillId="16" borderId="6" xfId="0" applyFont="1" applyFill="1" applyBorder="1" applyAlignment="1">
      <alignment horizontal="left"/>
    </xf>
    <xf numFmtId="0" fontId="44" fillId="16" borderId="5" xfId="0" applyFont="1" applyFill="1" applyBorder="1" applyAlignment="1">
      <alignment horizontal="left"/>
    </xf>
    <xf numFmtId="0" fontId="44" fillId="16" borderId="6" xfId="0" applyFont="1" applyFill="1" applyBorder="1" applyAlignment="1">
      <alignment horizontal="left"/>
    </xf>
    <xf numFmtId="0" fontId="44" fillId="16" borderId="1" xfId="0" applyFont="1" applyFill="1" applyBorder="1" applyAlignment="1">
      <alignment horizontal="left"/>
    </xf>
    <xf numFmtId="0" fontId="19" fillId="14" borderId="1" xfId="0" applyFont="1" applyFill="1" applyBorder="1" applyAlignment="1">
      <alignment horizontal="left"/>
    </xf>
    <xf numFmtId="0" fontId="46" fillId="14" borderId="1" xfId="0" applyFont="1" applyFill="1" applyBorder="1" applyAlignment="1">
      <alignment horizontal="left"/>
    </xf>
    <xf numFmtId="0" fontId="7" fillId="12" borderId="1" xfId="0" applyFont="1" applyFill="1" applyBorder="1" applyAlignment="1">
      <alignment horizontal="left"/>
    </xf>
    <xf numFmtId="0" fontId="7" fillId="12" borderId="0" xfId="0" applyFont="1" applyFill="1" applyAlignment="1">
      <alignment horizontal="left"/>
    </xf>
    <xf numFmtId="0" fontId="7" fillId="13" borderId="0" xfId="0" applyFont="1" applyFill="1" applyAlignment="1">
      <alignment horizontal="left"/>
    </xf>
    <xf numFmtId="0" fontId="45" fillId="12" borderId="11" xfId="0" applyFont="1" applyFill="1" applyBorder="1"/>
    <xf numFmtId="9" fontId="7" fillId="0" borderId="1" xfId="1" applyNumberFormat="1" applyFont="1" applyBorder="1"/>
    <xf numFmtId="43" fontId="0" fillId="3" borderId="0" xfId="1" applyFont="1" applyFill="1" applyAlignment="1">
      <alignment horizontal="right"/>
    </xf>
    <xf numFmtId="0" fontId="0" fillId="2" borderId="9" xfId="0" applyFill="1" applyBorder="1" applyAlignment="1">
      <alignment horizontal="center" vertical="center"/>
    </xf>
    <xf numFmtId="18" fontId="49" fillId="2" borderId="9" xfId="0" applyNumberFormat="1" applyFont="1" applyFill="1" applyBorder="1" applyAlignment="1">
      <alignment horizontal="right" vertical="center"/>
    </xf>
    <xf numFmtId="10" fontId="0" fillId="2" borderId="9" xfId="0" applyNumberFormat="1" applyFill="1" applyBorder="1"/>
    <xf numFmtId="43" fontId="0" fillId="2" borderId="9" xfId="1" applyFont="1" applyFill="1" applyBorder="1"/>
    <xf numFmtId="0" fontId="0" fillId="2" borderId="60" xfId="0" applyFill="1" applyBorder="1"/>
    <xf numFmtId="164" fontId="0" fillId="2" borderId="60" xfId="1" applyNumberFormat="1" applyFont="1" applyFill="1" applyBorder="1"/>
    <xf numFmtId="43" fontId="0" fillId="2" borderId="60" xfId="1" applyFont="1" applyFill="1" applyBorder="1"/>
    <xf numFmtId="0" fontId="0" fillId="2" borderId="61" xfId="0" applyFill="1" applyBorder="1"/>
    <xf numFmtId="43" fontId="0" fillId="2" borderId="61" xfId="1" applyFont="1" applyFill="1" applyBorder="1"/>
    <xf numFmtId="164" fontId="0" fillId="2" borderId="61" xfId="1" applyNumberFormat="1" applyFont="1" applyFill="1" applyBorder="1"/>
    <xf numFmtId="164" fontId="0" fillId="2" borderId="0" xfId="1" applyNumberFormat="1" applyFont="1" applyFill="1" applyBorder="1"/>
    <xf numFmtId="164" fontId="0" fillId="2" borderId="47" xfId="1" applyNumberFormat="1" applyFont="1" applyFill="1" applyBorder="1"/>
    <xf numFmtId="164" fontId="0" fillId="2" borderId="48" xfId="1" applyNumberFormat="1" applyFont="1" applyFill="1" applyBorder="1"/>
    <xf numFmtId="164" fontId="0" fillId="2" borderId="49" xfId="1" applyNumberFormat="1" applyFont="1" applyFill="1" applyBorder="1"/>
    <xf numFmtId="164" fontId="0" fillId="2" borderId="50" xfId="1" applyNumberFormat="1" applyFont="1" applyFill="1" applyBorder="1"/>
    <xf numFmtId="164" fontId="0" fillId="2" borderId="51" xfId="1" applyNumberFormat="1" applyFont="1" applyFill="1" applyBorder="1"/>
    <xf numFmtId="164" fontId="0" fillId="2" borderId="52" xfId="1" applyNumberFormat="1" applyFont="1" applyFill="1" applyBorder="1"/>
    <xf numFmtId="164" fontId="0" fillId="2" borderId="53" xfId="1" applyNumberFormat="1" applyFont="1" applyFill="1" applyBorder="1"/>
    <xf numFmtId="164" fontId="0" fillId="2" borderId="54" xfId="1" applyNumberFormat="1" applyFont="1" applyFill="1" applyBorder="1"/>
    <xf numFmtId="164" fontId="0" fillId="2" borderId="55" xfId="1" applyNumberFormat="1" applyFont="1" applyFill="1" applyBorder="1"/>
    <xf numFmtId="164" fontId="0" fillId="2" borderId="9" xfId="1" applyNumberFormat="1" applyFont="1" applyFill="1" applyBorder="1"/>
    <xf numFmtId="0" fontId="17" fillId="2" borderId="0" xfId="0" applyFont="1" applyFill="1" applyAlignment="1">
      <alignment horizontal="left"/>
    </xf>
    <xf numFmtId="0" fontId="17" fillId="2" borderId="0" xfId="0" applyFont="1" applyFill="1" applyAlignment="1">
      <alignment horizontal="right"/>
    </xf>
    <xf numFmtId="0" fontId="45" fillId="12" borderId="11" xfId="0" applyFont="1" applyFill="1" applyBorder="1" applyAlignment="1">
      <alignment horizontal="center"/>
    </xf>
    <xf numFmtId="0" fontId="45" fillId="12" borderId="6" xfId="0" applyFont="1" applyFill="1" applyBorder="1" applyAlignment="1">
      <alignment horizontal="center"/>
    </xf>
    <xf numFmtId="0" fontId="3" fillId="2" borderId="9" xfId="0" applyFont="1" applyFill="1" applyBorder="1" applyAlignment="1">
      <alignment horizontal="center"/>
    </xf>
    <xf numFmtId="10" fontId="0" fillId="2" borderId="9" xfId="2" applyNumberFormat="1" applyFont="1" applyFill="1" applyBorder="1"/>
    <xf numFmtId="10" fontId="0" fillId="2" borderId="61" xfId="2" applyNumberFormat="1" applyFont="1" applyFill="1" applyBorder="1"/>
    <xf numFmtId="0" fontId="3" fillId="2" borderId="9" xfId="0" applyFont="1" applyFill="1" applyBorder="1"/>
    <xf numFmtId="0" fontId="0" fillId="2" borderId="57" xfId="0" applyFill="1" applyBorder="1"/>
    <xf numFmtId="0" fontId="0" fillId="2" borderId="62" xfId="0" applyFill="1" applyBorder="1"/>
    <xf numFmtId="166" fontId="0" fillId="2" borderId="9" xfId="2" applyNumberFormat="1" applyFont="1" applyFill="1" applyBorder="1"/>
    <xf numFmtId="43" fontId="4" fillId="0" borderId="1" xfId="1" applyFont="1" applyFill="1" applyBorder="1" applyAlignment="1">
      <alignment horizontal="center"/>
    </xf>
    <xf numFmtId="1" fontId="4" fillId="2" borderId="9" xfId="1" applyNumberFormat="1" applyFont="1" applyFill="1" applyBorder="1"/>
    <xf numFmtId="164" fontId="4" fillId="2" borderId="9" xfId="1" applyNumberFormat="1" applyFont="1" applyFill="1" applyBorder="1"/>
    <xf numFmtId="10" fontId="4" fillId="2" borderId="9" xfId="0" applyNumberFormat="1" applyFont="1" applyFill="1" applyBorder="1"/>
    <xf numFmtId="19" fontId="0" fillId="0" borderId="0" xfId="0" applyNumberFormat="1"/>
    <xf numFmtId="0" fontId="45" fillId="13" borderId="11" xfId="0" applyFont="1" applyFill="1" applyBorder="1" applyAlignment="1">
      <alignment horizontal="center"/>
    </xf>
    <xf numFmtId="0" fontId="36" fillId="0" borderId="1" xfId="0" applyFont="1" applyBorder="1" applyAlignment="1">
      <alignment horizontal="center"/>
    </xf>
    <xf numFmtId="0" fontId="7" fillId="0" borderId="2" xfId="0" applyFont="1" applyBorder="1" applyAlignment="1">
      <alignment horizontal="center" wrapText="1"/>
    </xf>
    <xf numFmtId="0" fontId="45" fillId="13" borderId="6" xfId="0" applyFont="1" applyFill="1" applyBorder="1" applyAlignment="1">
      <alignment horizontal="right"/>
    </xf>
    <xf numFmtId="0" fontId="0" fillId="0" borderId="4" xfId="0" applyBorder="1" applyAlignment="1">
      <alignment horizontal="right"/>
    </xf>
    <xf numFmtId="0" fontId="0" fillId="0" borderId="7" xfId="0" applyBorder="1" applyAlignment="1">
      <alignment horizontal="right"/>
    </xf>
    <xf numFmtId="10" fontId="3" fillId="19" borderId="1" xfId="0" applyNumberFormat="1" applyFont="1" applyFill="1" applyBorder="1" applyAlignment="1">
      <alignment horizontal="right"/>
    </xf>
    <xf numFmtId="1" fontId="0" fillId="5" borderId="1" xfId="0" applyNumberFormat="1" applyFill="1" applyBorder="1" applyAlignment="1">
      <alignment horizontal="right"/>
    </xf>
    <xf numFmtId="0" fontId="0" fillId="5" borderId="1" xfId="0" applyFill="1" applyBorder="1" applyAlignment="1">
      <alignment horizontal="right"/>
    </xf>
    <xf numFmtId="182" fontId="0" fillId="0" borderId="1" xfId="0" applyNumberFormat="1" applyBorder="1" applyAlignment="1">
      <alignment horizontal="right"/>
    </xf>
    <xf numFmtId="8" fontId="0" fillId="0" borderId="1" xfId="0" applyNumberFormat="1" applyBorder="1" applyAlignment="1">
      <alignment horizontal="right"/>
    </xf>
    <xf numFmtId="184" fontId="0" fillId="5" borderId="1" xfId="3" applyNumberFormat="1" applyFont="1" applyFill="1" applyBorder="1" applyAlignment="1">
      <alignment horizontal="right"/>
    </xf>
    <xf numFmtId="176" fontId="0" fillId="5" borderId="1" xfId="3" applyNumberFormat="1" applyFont="1" applyFill="1" applyBorder="1" applyAlignment="1">
      <alignment horizontal="right"/>
    </xf>
    <xf numFmtId="10" fontId="0" fillId="0" borderId="1" xfId="2" applyNumberFormat="1" applyFont="1" applyFill="1" applyBorder="1" applyAlignment="1">
      <alignment horizontal="right"/>
    </xf>
    <xf numFmtId="2" fontId="0" fillId="0" borderId="1" xfId="0" applyNumberFormat="1" applyBorder="1" applyAlignment="1">
      <alignment horizontal="right"/>
    </xf>
    <xf numFmtId="10" fontId="11" fillId="0" borderId="7" xfId="0" applyNumberFormat="1" applyFont="1" applyBorder="1" applyAlignment="1">
      <alignment horizontal="right"/>
    </xf>
    <xf numFmtId="0" fontId="0" fillId="0" borderId="1" xfId="1" applyNumberFormat="1" applyFont="1" applyFill="1" applyBorder="1" applyAlignment="1">
      <alignment horizontal="right"/>
    </xf>
    <xf numFmtId="10" fontId="11" fillId="0" borderId="1" xfId="0" applyNumberFormat="1" applyFont="1" applyBorder="1" applyAlignment="1">
      <alignment horizontal="right"/>
    </xf>
    <xf numFmtId="166" fontId="1" fillId="0" borderId="1" xfId="2" applyNumberFormat="1" applyFont="1" applyFill="1" applyBorder="1" applyAlignment="1">
      <alignment horizontal="right"/>
    </xf>
    <xf numFmtId="166" fontId="7" fillId="0" borderId="1" xfId="2" applyNumberFormat="1" applyFont="1" applyFill="1" applyBorder="1" applyAlignment="1">
      <alignment horizontal="right"/>
    </xf>
    <xf numFmtId="2" fontId="7" fillId="0" borderId="1" xfId="0" applyNumberFormat="1" applyFont="1" applyBorder="1" applyAlignment="1">
      <alignment horizontal="right"/>
    </xf>
    <xf numFmtId="0" fontId="32" fillId="0" borderId="4" xfId="0" applyFont="1" applyBorder="1" applyAlignment="1">
      <alignment horizontal="right"/>
    </xf>
    <xf numFmtId="9" fontId="0" fillId="0" borderId="1" xfId="1" applyNumberFormat="1" applyFont="1" applyFill="1" applyBorder="1" applyAlignment="1">
      <alignment horizontal="right"/>
    </xf>
    <xf numFmtId="164" fontId="0" fillId="0" borderId="1" xfId="1" applyNumberFormat="1" applyFont="1" applyBorder="1" applyAlignment="1">
      <alignment horizontal="right"/>
    </xf>
    <xf numFmtId="9" fontId="0" fillId="0" borderId="1" xfId="0" applyNumberFormat="1" applyBorder="1" applyAlignment="1">
      <alignment horizontal="right"/>
    </xf>
    <xf numFmtId="9" fontId="0" fillId="0" borderId="7" xfId="0" applyNumberFormat="1" applyBorder="1" applyAlignment="1">
      <alignment horizontal="right"/>
    </xf>
    <xf numFmtId="1" fontId="0" fillId="0" borderId="1" xfId="0" applyNumberFormat="1" applyBorder="1" applyAlignment="1">
      <alignment horizontal="right"/>
    </xf>
    <xf numFmtId="179" fontId="0" fillId="0" borderId="1" xfId="0" applyNumberFormat="1" applyBorder="1" applyAlignment="1">
      <alignment horizontal="right"/>
    </xf>
    <xf numFmtId="170" fontId="0" fillId="0" borderId="1" xfId="1" applyNumberFormat="1" applyFont="1" applyFill="1" applyBorder="1" applyAlignment="1">
      <alignment horizontal="right"/>
    </xf>
    <xf numFmtId="43" fontId="7" fillId="0" borderId="1" xfId="1" applyFont="1" applyFill="1" applyBorder="1" applyAlignment="1">
      <alignment horizontal="right"/>
    </xf>
    <xf numFmtId="180" fontId="0" fillId="0" borderId="1" xfId="0" applyNumberFormat="1" applyBorder="1" applyAlignment="1">
      <alignment horizontal="right"/>
    </xf>
    <xf numFmtId="169" fontId="0" fillId="0" borderId="4" xfId="3" applyNumberFormat="1" applyFont="1" applyFill="1" applyBorder="1" applyAlignment="1">
      <alignment horizontal="right"/>
    </xf>
    <xf numFmtId="39" fontId="0" fillId="0" borderId="1" xfId="1" applyNumberFormat="1" applyFont="1" applyBorder="1" applyAlignment="1">
      <alignment horizontal="right"/>
    </xf>
    <xf numFmtId="39" fontId="0" fillId="2" borderId="4" xfId="1" applyNumberFormat="1" applyFont="1" applyFill="1" applyBorder="1" applyAlignment="1">
      <alignment horizontal="right"/>
    </xf>
    <xf numFmtId="39" fontId="0" fillId="2" borderId="7" xfId="1" applyNumberFormat="1" applyFont="1" applyFill="1" applyBorder="1" applyAlignment="1">
      <alignment horizontal="right"/>
    </xf>
    <xf numFmtId="39" fontId="0" fillId="0" borderId="7" xfId="1" applyNumberFormat="1" applyFont="1" applyBorder="1" applyAlignment="1">
      <alignment horizontal="right"/>
    </xf>
    <xf numFmtId="39" fontId="0" fillId="2" borderId="4" xfId="3" applyNumberFormat="1" applyFont="1" applyFill="1" applyBorder="1" applyAlignment="1">
      <alignment horizontal="right"/>
    </xf>
    <xf numFmtId="39" fontId="0" fillId="2" borderId="7" xfId="0" applyNumberFormat="1" applyFill="1" applyBorder="1" applyAlignment="1">
      <alignment horizontal="right"/>
    </xf>
    <xf numFmtId="39" fontId="0" fillId="0" borderId="7" xfId="0" applyNumberFormat="1" applyBorder="1" applyAlignment="1">
      <alignment horizontal="right"/>
    </xf>
    <xf numFmtId="169" fontId="0" fillId="0" borderId="7" xfId="3" applyNumberFormat="1" applyFont="1" applyFill="1" applyBorder="1" applyAlignment="1">
      <alignment horizontal="right"/>
    </xf>
    <xf numFmtId="169" fontId="0" fillId="0" borderId="1" xfId="3" applyNumberFormat="1" applyFont="1" applyFill="1" applyBorder="1" applyAlignment="1">
      <alignment horizontal="right"/>
    </xf>
    <xf numFmtId="180" fontId="15" fillId="0" borderId="1" xfId="0" applyNumberFormat="1" applyFont="1" applyBorder="1" applyAlignment="1">
      <alignment horizontal="right"/>
    </xf>
    <xf numFmtId="2" fontId="0" fillId="0" borderId="1" xfId="1" applyNumberFormat="1" applyFont="1" applyBorder="1" applyAlignment="1">
      <alignment horizontal="right"/>
    </xf>
    <xf numFmtId="0" fontId="0" fillId="2" borderId="4" xfId="0" applyFill="1" applyBorder="1" applyAlignment="1">
      <alignment horizontal="right"/>
    </xf>
    <xf numFmtId="9" fontId="0" fillId="0" borderId="1" xfId="1" applyNumberFormat="1" applyFont="1" applyBorder="1" applyAlignment="1">
      <alignment horizontal="right"/>
    </xf>
    <xf numFmtId="0" fontId="0" fillId="2" borderId="8" xfId="0" applyFill="1" applyBorder="1" applyAlignment="1">
      <alignment horizontal="right"/>
    </xf>
    <xf numFmtId="9" fontId="0" fillId="0" borderId="1" xfId="2" applyFont="1" applyBorder="1" applyAlignment="1">
      <alignment horizontal="right"/>
    </xf>
    <xf numFmtId="166" fontId="0" fillId="0" borderId="1" xfId="0" applyNumberFormat="1" applyBorder="1" applyAlignment="1">
      <alignment horizontal="right"/>
    </xf>
    <xf numFmtId="177" fontId="0" fillId="0" borderId="1" xfId="15" applyNumberFormat="1" applyFont="1" applyFill="1" applyBorder="1" applyAlignment="1">
      <alignment horizontal="right"/>
    </xf>
    <xf numFmtId="10" fontId="0" fillId="0" borderId="4" xfId="2" applyNumberFormat="1" applyFont="1" applyFill="1" applyBorder="1" applyAlignment="1">
      <alignment horizontal="right"/>
    </xf>
    <xf numFmtId="10" fontId="0" fillId="0" borderId="7" xfId="2" applyNumberFormat="1" applyFont="1" applyFill="1" applyBorder="1" applyAlignment="1">
      <alignment horizontal="right"/>
    </xf>
    <xf numFmtId="0" fontId="3" fillId="2" borderId="9" xfId="0" applyFont="1" applyFill="1" applyBorder="1" applyAlignment="1">
      <alignment horizontal="center" vertical="center"/>
    </xf>
    <xf numFmtId="0" fontId="0" fillId="2" borderId="9" xfId="0" applyFill="1" applyBorder="1" applyAlignment="1">
      <alignment horizontal="center"/>
    </xf>
    <xf numFmtId="0" fontId="3" fillId="2" borderId="69" xfId="0" applyFont="1" applyFill="1" applyBorder="1" applyAlignment="1">
      <alignment horizontal="center"/>
    </xf>
    <xf numFmtId="43" fontId="0" fillId="2" borderId="0" xfId="1" applyFont="1" applyFill="1" applyBorder="1" applyAlignment="1">
      <alignment horizontal="right"/>
    </xf>
    <xf numFmtId="43" fontId="0" fillId="2" borderId="37" xfId="1" applyFont="1" applyFill="1" applyBorder="1"/>
    <xf numFmtId="0" fontId="0" fillId="2" borderId="78" xfId="0" applyFill="1" applyBorder="1"/>
    <xf numFmtId="43" fontId="0" fillId="2" borderId="9" xfId="1" applyFont="1" applyFill="1" applyBorder="1" applyAlignment="1">
      <alignment horizontal="right"/>
    </xf>
    <xf numFmtId="1" fontId="0" fillId="2" borderId="59" xfId="0" applyNumberFormat="1" applyFill="1" applyBorder="1"/>
    <xf numFmtId="1" fontId="0" fillId="2" borderId="60" xfId="0" applyNumberFormat="1" applyFill="1" applyBorder="1"/>
    <xf numFmtId="0" fontId="0" fillId="2" borderId="79" xfId="0" applyFill="1" applyBorder="1"/>
    <xf numFmtId="0" fontId="0" fillId="2" borderId="80" xfId="0" applyFill="1" applyBorder="1"/>
    <xf numFmtId="0" fontId="0" fillId="2" borderId="81" xfId="0" applyFill="1" applyBorder="1"/>
    <xf numFmtId="0" fontId="0" fillId="2" borderId="82" xfId="0" applyFill="1" applyBorder="1"/>
    <xf numFmtId="0" fontId="0" fillId="2" borderId="83" xfId="0" applyFill="1" applyBorder="1"/>
    <xf numFmtId="0" fontId="0" fillId="2" borderId="84" xfId="0" applyFill="1" applyBorder="1"/>
    <xf numFmtId="0" fontId="0" fillId="2" borderId="85" xfId="0" applyFill="1" applyBorder="1"/>
    <xf numFmtId="0" fontId="0" fillId="2" borderId="86" xfId="0" applyFill="1" applyBorder="1"/>
    <xf numFmtId="0" fontId="0" fillId="2" borderId="57" xfId="0" applyFill="1" applyBorder="1" applyAlignment="1">
      <alignment horizontal="left"/>
    </xf>
    <xf numFmtId="0" fontId="19" fillId="21" borderId="5" xfId="0" applyFont="1" applyFill="1" applyBorder="1"/>
    <xf numFmtId="0" fontId="19" fillId="21" borderId="6" xfId="0" applyFont="1" applyFill="1" applyBorder="1"/>
    <xf numFmtId="0" fontId="0" fillId="21" borderId="0" xfId="0" applyFill="1"/>
    <xf numFmtId="0" fontId="19" fillId="2" borderId="1" xfId="0" applyFont="1" applyFill="1" applyBorder="1"/>
    <xf numFmtId="0" fontId="17" fillId="0" borderId="0" xfId="0" applyFont="1"/>
    <xf numFmtId="0" fontId="3" fillId="0" borderId="0" xfId="0" applyFont="1"/>
    <xf numFmtId="43" fontId="0" fillId="0" borderId="0" xfId="0" applyNumberFormat="1"/>
    <xf numFmtId="43" fontId="0" fillId="0" borderId="9" xfId="0" applyNumberFormat="1" applyBorder="1"/>
    <xf numFmtId="0" fontId="0" fillId="0" borderId="9" xfId="0" applyBorder="1"/>
    <xf numFmtId="185" fontId="0" fillId="0" borderId="9" xfId="0" applyNumberFormat="1" applyBorder="1"/>
    <xf numFmtId="185" fontId="0" fillId="0" borderId="9" xfId="0" applyNumberFormat="1" applyBorder="1" applyAlignment="1">
      <alignment horizontal="right"/>
    </xf>
    <xf numFmtId="0" fontId="19" fillId="21" borderId="5" xfId="0" applyFont="1" applyFill="1" applyBorder="1" applyAlignment="1">
      <alignment horizontal="left"/>
    </xf>
    <xf numFmtId="0" fontId="19" fillId="21" borderId="6" xfId="0" applyFont="1" applyFill="1" applyBorder="1" applyAlignment="1">
      <alignment horizontal="left"/>
    </xf>
    <xf numFmtId="0" fontId="0" fillId="21" borderId="1" xfId="0" applyFill="1" applyBorder="1" applyAlignment="1">
      <alignment horizontal="left"/>
    </xf>
    <xf numFmtId="0" fontId="20" fillId="2" borderId="1" xfId="0" applyFont="1" applyFill="1" applyBorder="1"/>
    <xf numFmtId="0" fontId="26" fillId="2" borderId="1" xfId="0" applyFont="1" applyFill="1" applyBorder="1"/>
    <xf numFmtId="0" fontId="25" fillId="2" borderId="1" xfId="0" applyFont="1" applyFill="1" applyBorder="1"/>
    <xf numFmtId="164" fontId="5" fillId="2" borderId="0" xfId="1" applyNumberFormat="1" applyFont="1" applyFill="1"/>
    <xf numFmtId="165" fontId="41" fillId="2" borderId="1" xfId="3" applyFont="1" applyFill="1" applyBorder="1"/>
    <xf numFmtId="164" fontId="25" fillId="2" borderId="1" xfId="1" applyNumberFormat="1" applyFont="1" applyFill="1" applyBorder="1" applyAlignment="1">
      <alignment horizontal="center"/>
    </xf>
    <xf numFmtId="164" fontId="25" fillId="2" borderId="1" xfId="0" applyNumberFormat="1" applyFont="1" applyFill="1" applyBorder="1"/>
    <xf numFmtId="43" fontId="25" fillId="2" borderId="1" xfId="0" applyNumberFormat="1" applyFont="1" applyFill="1" applyBorder="1"/>
    <xf numFmtId="0" fontId="0" fillId="2" borderId="37" xfId="0" applyFill="1" applyBorder="1" applyAlignment="1">
      <alignment vertical="center"/>
    </xf>
    <xf numFmtId="0" fontId="0" fillId="0" borderId="29" xfId="0" applyBorder="1" applyAlignment="1">
      <alignment vertical="center"/>
    </xf>
    <xf numFmtId="0" fontId="0" fillId="0" borderId="23" xfId="0" applyBorder="1" applyAlignment="1">
      <alignment vertical="center" wrapText="1"/>
    </xf>
    <xf numFmtId="164" fontId="0" fillId="2" borderId="57" xfId="0" applyNumberFormat="1" applyFill="1" applyBorder="1"/>
    <xf numFmtId="164" fontId="0" fillId="2" borderId="9" xfId="0" applyNumberFormat="1" applyFill="1" applyBorder="1"/>
    <xf numFmtId="164" fontId="0" fillId="2" borderId="59" xfId="0" applyNumberFormat="1" applyFill="1" applyBorder="1"/>
    <xf numFmtId="0" fontId="38" fillId="2" borderId="0" xfId="0" applyFont="1" applyFill="1"/>
    <xf numFmtId="0" fontId="39" fillId="2" borderId="0" xfId="0" applyFont="1" applyFill="1"/>
    <xf numFmtId="0" fontId="40" fillId="2" borderId="0" xfId="0" applyFont="1" applyFill="1"/>
    <xf numFmtId="178" fontId="0" fillId="2" borderId="0" xfId="0" quotePrefix="1" applyNumberFormat="1" applyFill="1"/>
    <xf numFmtId="43" fontId="0" fillId="2" borderId="71" xfId="1" applyFont="1" applyFill="1" applyBorder="1" applyAlignment="1">
      <alignment horizontal="right"/>
    </xf>
    <xf numFmtId="43" fontId="0" fillId="2" borderId="72" xfId="1" applyFont="1" applyFill="1" applyBorder="1"/>
    <xf numFmtId="43" fontId="0" fillId="2" borderId="69" xfId="1" applyFont="1" applyFill="1" applyBorder="1"/>
    <xf numFmtId="43" fontId="0" fillId="2" borderId="73" xfId="1" applyFont="1" applyFill="1" applyBorder="1" applyAlignment="1">
      <alignment horizontal="right"/>
    </xf>
    <xf numFmtId="43" fontId="0" fillId="2" borderId="71" xfId="1" applyFont="1" applyFill="1" applyBorder="1"/>
    <xf numFmtId="43" fontId="0" fillId="2" borderId="73" xfId="1" applyFont="1" applyFill="1" applyBorder="1"/>
    <xf numFmtId="43" fontId="0" fillId="2" borderId="74" xfId="1" applyFont="1" applyFill="1" applyBorder="1" applyAlignment="1">
      <alignment horizontal="right"/>
    </xf>
    <xf numFmtId="43" fontId="0" fillId="2" borderId="75" xfId="1" applyFont="1" applyFill="1" applyBorder="1"/>
    <xf numFmtId="43" fontId="0" fillId="2" borderId="76" xfId="1" applyFont="1" applyFill="1" applyBorder="1"/>
    <xf numFmtId="43" fontId="0" fillId="2" borderId="77" xfId="1" applyFont="1" applyFill="1" applyBorder="1" applyAlignment="1">
      <alignment horizontal="right"/>
    </xf>
    <xf numFmtId="0" fontId="0" fillId="2" borderId="1" xfId="0" applyFill="1" applyBorder="1" applyAlignment="1">
      <alignment vertical="center" wrapText="1"/>
    </xf>
    <xf numFmtId="0" fontId="0" fillId="2" borderId="1" xfId="0" applyFill="1" applyBorder="1" applyAlignment="1">
      <alignment wrapText="1"/>
    </xf>
    <xf numFmtId="0" fontId="0" fillId="2" borderId="87" xfId="0" applyFill="1" applyBorder="1" applyAlignment="1">
      <alignment vertical="center"/>
    </xf>
    <xf numFmtId="0" fontId="0" fillId="2" borderId="35" xfId="0" applyFill="1" applyBorder="1" applyAlignment="1">
      <alignment vertical="center"/>
    </xf>
    <xf numFmtId="0" fontId="0" fillId="0" borderId="37" xfId="0" applyBorder="1"/>
    <xf numFmtId="0" fontId="0" fillId="2" borderId="17" xfId="0" applyFill="1" applyBorder="1" applyAlignment="1">
      <alignment vertical="center"/>
    </xf>
    <xf numFmtId="0" fontId="0" fillId="2" borderId="88" xfId="0" applyFill="1" applyBorder="1"/>
    <xf numFmtId="0" fontId="0" fillId="2" borderId="37" xfId="0" applyFill="1" applyBorder="1"/>
    <xf numFmtId="0" fontId="0" fillId="2" borderId="2" xfId="0" applyFill="1" applyBorder="1" applyAlignment="1">
      <alignment vertical="center"/>
    </xf>
    <xf numFmtId="0" fontId="0" fillId="2" borderId="11" xfId="0" applyFill="1" applyBorder="1"/>
    <xf numFmtId="0" fontId="0" fillId="0" borderId="89" xfId="0" applyBorder="1" applyAlignment="1">
      <alignment vertical="center"/>
    </xf>
    <xf numFmtId="0" fontId="0" fillId="2" borderId="90" xfId="0" applyFill="1" applyBorder="1" applyAlignment="1">
      <alignment vertical="center"/>
    </xf>
    <xf numFmtId="164" fontId="15" fillId="2" borderId="0" xfId="0" applyNumberFormat="1" applyFont="1" applyFill="1"/>
    <xf numFmtId="177" fontId="0" fillId="3" borderId="0" xfId="0" applyNumberFormat="1" applyFill="1"/>
    <xf numFmtId="177" fontId="7" fillId="2" borderId="0" xfId="0" applyNumberFormat="1" applyFont="1" applyFill="1"/>
    <xf numFmtId="164" fontId="0" fillId="0" borderId="0" xfId="1" applyNumberFormat="1" applyFont="1"/>
    <xf numFmtId="1" fontId="3" fillId="2" borderId="0" xfId="0" applyNumberFormat="1" applyFont="1" applyFill="1"/>
    <xf numFmtId="186" fontId="5" fillId="0" borderId="1" xfId="15" applyNumberFormat="1" applyFont="1" applyBorder="1"/>
    <xf numFmtId="6" fontId="7" fillId="2" borderId="0" xfId="0" applyNumberFormat="1" applyFont="1" applyFill="1"/>
    <xf numFmtId="0" fontId="1" fillId="2" borderId="1" xfId="4" applyFont="1" applyFill="1" applyBorder="1" applyAlignment="1" applyProtection="1"/>
    <xf numFmtId="182" fontId="0" fillId="2" borderId="1" xfId="0" applyNumberFormat="1" applyFill="1" applyBorder="1"/>
    <xf numFmtId="182" fontId="0" fillId="0" borderId="1" xfId="0" applyNumberFormat="1" applyBorder="1"/>
    <xf numFmtId="182" fontId="0" fillId="5" borderId="1" xfId="0" applyNumberFormat="1" applyFill="1" applyBorder="1"/>
    <xf numFmtId="6" fontId="0" fillId="5" borderId="1" xfId="1" applyNumberFormat="1" applyFont="1" applyFill="1" applyBorder="1"/>
    <xf numFmtId="164" fontId="7" fillId="7" borderId="0" xfId="1" applyNumberFormat="1" applyFont="1" applyFill="1"/>
    <xf numFmtId="166" fontId="7" fillId="3" borderId="1" xfId="2" applyNumberFormat="1" applyFont="1" applyFill="1" applyBorder="1" applyAlignment="1">
      <alignment horizontal="right"/>
    </xf>
    <xf numFmtId="43" fontId="0" fillId="2" borderId="0" xfId="0" applyNumberFormat="1" applyFill="1"/>
    <xf numFmtId="166" fontId="0" fillId="0" borderId="0" xfId="0" applyNumberFormat="1"/>
    <xf numFmtId="43" fontId="0" fillId="2" borderId="1" xfId="1" applyFont="1" applyFill="1" applyBorder="1"/>
    <xf numFmtId="43" fontId="36" fillId="0" borderId="1" xfId="1" applyFont="1" applyBorder="1"/>
    <xf numFmtId="180" fontId="0" fillId="5" borderId="1" xfId="0" applyNumberFormat="1" applyFill="1" applyBorder="1"/>
    <xf numFmtId="0" fontId="48" fillId="0" borderId="0" xfId="0" applyFont="1"/>
    <xf numFmtId="14" fontId="48" fillId="0" borderId="0" xfId="0" applyNumberFormat="1" applyFont="1"/>
    <xf numFmtId="1" fontId="50" fillId="3" borderId="9" xfId="0" applyNumberFormat="1" applyFont="1" applyFill="1" applyBorder="1" applyAlignment="1">
      <alignment horizontal="right" vertical="center"/>
    </xf>
    <xf numFmtId="43" fontId="0" fillId="2" borderId="49" xfId="1" applyFont="1" applyFill="1" applyBorder="1"/>
    <xf numFmtId="0" fontId="51" fillId="2" borderId="0" xfId="0" applyFont="1" applyFill="1"/>
    <xf numFmtId="3" fontId="48" fillId="0" borderId="0" xfId="0" applyNumberFormat="1" applyFont="1"/>
    <xf numFmtId="20" fontId="48" fillId="0" borderId="0" xfId="0" applyNumberFormat="1" applyFont="1"/>
    <xf numFmtId="170" fontId="0" fillId="3" borderId="1" xfId="1" applyNumberFormat="1" applyFont="1" applyFill="1" applyBorder="1"/>
    <xf numFmtId="170" fontId="0" fillId="2" borderId="0" xfId="0" applyNumberFormat="1" applyFill="1"/>
    <xf numFmtId="166" fontId="0" fillId="2" borderId="0" xfId="2" applyNumberFormat="1" applyFont="1" applyFill="1"/>
    <xf numFmtId="0" fontId="3" fillId="0" borderId="92" xfId="0" applyFont="1" applyBorder="1" applyAlignment="1">
      <alignment horizontal="center"/>
    </xf>
    <xf numFmtId="0" fontId="0" fillId="0" borderId="0" xfId="0"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0" fillId="23" borderId="9" xfId="0" applyFill="1" applyBorder="1"/>
    <xf numFmtId="0" fontId="0" fillId="0" borderId="9" xfId="0" applyBorder="1" applyAlignment="1">
      <alignment horizontal="center"/>
    </xf>
    <xf numFmtId="0" fontId="54" fillId="22" borderId="93" xfId="18" applyFont="1" applyBorder="1" applyAlignment="1">
      <alignment horizontal="center" vertical="center"/>
    </xf>
    <xf numFmtId="0" fontId="3" fillId="0" borderId="9" xfId="0" applyFont="1" applyBorder="1"/>
    <xf numFmtId="0" fontId="0" fillId="24" borderId="9" xfId="0" applyFill="1" applyBorder="1"/>
    <xf numFmtId="0" fontId="3" fillId="28" borderId="93" xfId="0" applyFont="1" applyFill="1" applyBorder="1" applyAlignment="1">
      <alignment horizontal="center"/>
    </xf>
    <xf numFmtId="0" fontId="0" fillId="25" borderId="9" xfId="0" applyFill="1" applyBorder="1"/>
    <xf numFmtId="0" fontId="3" fillId="19" borderId="93" xfId="0" applyFont="1" applyFill="1" applyBorder="1" applyAlignment="1">
      <alignment horizontal="center"/>
    </xf>
    <xf numFmtId="0" fontId="3" fillId="0" borderId="59" xfId="0" applyFont="1" applyBorder="1" applyAlignment="1">
      <alignment horizontal="center" vertical="center"/>
    </xf>
    <xf numFmtId="9" fontId="0" fillId="0" borderId="9" xfId="2" applyFont="1" applyBorder="1" applyAlignment="1">
      <alignment horizontal="center"/>
    </xf>
    <xf numFmtId="0" fontId="3" fillId="29" borderId="61" xfId="0" applyFont="1" applyFill="1" applyBorder="1" applyAlignment="1">
      <alignment horizontal="center" vertical="center"/>
    </xf>
    <xf numFmtId="0" fontId="3" fillId="29" borderId="9" xfId="0" applyFont="1" applyFill="1" applyBorder="1" applyAlignment="1">
      <alignment horizontal="center" vertical="center" wrapText="1"/>
    </xf>
    <xf numFmtId="0" fontId="0" fillId="26" borderId="9" xfId="0" applyFill="1" applyBorder="1"/>
    <xf numFmtId="0" fontId="3" fillId="0" borderId="0" xfId="0" applyFont="1" applyAlignment="1">
      <alignment horizontal="center"/>
    </xf>
    <xf numFmtId="0" fontId="3" fillId="30" borderId="93" xfId="0" applyFont="1" applyFill="1" applyBorder="1" applyAlignment="1">
      <alignment horizontal="center"/>
    </xf>
    <xf numFmtId="0" fontId="3" fillId="0" borderId="61" xfId="0" applyFont="1" applyBorder="1" applyAlignment="1">
      <alignment horizontal="center" vertical="center"/>
    </xf>
    <xf numFmtId="166" fontId="0" fillId="0" borderId="9" xfId="2" applyNumberFormat="1" applyFont="1" applyBorder="1" applyAlignment="1">
      <alignment horizontal="center"/>
    </xf>
    <xf numFmtId="0" fontId="3" fillId="0" borderId="61" xfId="0" applyFont="1" applyBorder="1" applyAlignment="1">
      <alignment vertical="center"/>
    </xf>
    <xf numFmtId="0" fontId="0" fillId="0" borderId="0" xfId="0" applyAlignment="1">
      <alignment horizontal="right"/>
    </xf>
    <xf numFmtId="187" fontId="0" fillId="0" borderId="0" xfId="0" applyNumberFormat="1" applyAlignment="1">
      <alignment horizontal="center"/>
    </xf>
    <xf numFmtId="0" fontId="3" fillId="31" borderId="94" xfId="0" applyFont="1" applyFill="1" applyBorder="1" applyAlignment="1">
      <alignment horizontal="center"/>
    </xf>
    <xf numFmtId="0" fontId="3" fillId="0" borderId="61" xfId="0" applyFont="1" applyBorder="1" applyAlignment="1">
      <alignment horizontal="center"/>
    </xf>
    <xf numFmtId="1" fontId="0" fillId="0" borderId="0" xfId="0" applyNumberFormat="1" applyAlignment="1">
      <alignment horizontal="center"/>
    </xf>
    <xf numFmtId="0" fontId="3" fillId="0" borderId="9" xfId="0" applyFont="1" applyBorder="1" applyAlignment="1">
      <alignment horizontal="center"/>
    </xf>
    <xf numFmtId="9" fontId="0" fillId="0" borderId="0" xfId="2" applyFont="1" applyAlignment="1">
      <alignment horizontal="center"/>
    </xf>
    <xf numFmtId="0" fontId="3" fillId="0" borderId="95" xfId="0" applyFont="1" applyBorder="1" applyAlignment="1">
      <alignment horizontal="right"/>
    </xf>
    <xf numFmtId="180" fontId="0" fillId="0" borderId="96" xfId="0" applyNumberFormat="1" applyBorder="1" applyAlignment="1">
      <alignment horizontal="center"/>
    </xf>
    <xf numFmtId="0" fontId="26" fillId="0" borderId="68" xfId="0" applyFont="1" applyBorder="1"/>
    <xf numFmtId="9" fontId="20" fillId="32" borderId="95" xfId="2" applyFont="1" applyFill="1" applyBorder="1" applyAlignment="1">
      <alignment horizontal="center"/>
    </xf>
    <xf numFmtId="0" fontId="17" fillId="0" borderId="79" xfId="0" applyFont="1" applyBorder="1"/>
    <xf numFmtId="0" fontId="0" fillId="0" borderId="80" xfId="0" applyBorder="1"/>
    <xf numFmtId="0" fontId="0" fillId="0" borderId="81" xfId="0" applyBorder="1"/>
    <xf numFmtId="0" fontId="3" fillId="0" borderId="97" xfId="0" applyFont="1" applyBorder="1" applyAlignment="1">
      <alignment horizontal="right"/>
    </xf>
    <xf numFmtId="180" fontId="0" fillId="0" borderId="69" xfId="0" applyNumberFormat="1" applyBorder="1" applyAlignment="1">
      <alignment horizontal="center"/>
    </xf>
    <xf numFmtId="0" fontId="3" fillId="0" borderId="70" xfId="0" applyFont="1" applyBorder="1"/>
    <xf numFmtId="180" fontId="0" fillId="32" borderId="97" xfId="0" applyNumberFormat="1" applyFill="1" applyBorder="1" applyAlignment="1">
      <alignment horizontal="center"/>
    </xf>
    <xf numFmtId="0" fontId="0" fillId="0" borderId="82" xfId="0" applyBorder="1"/>
    <xf numFmtId="0" fontId="0" fillId="0" borderId="83" xfId="0" applyBorder="1"/>
    <xf numFmtId="9" fontId="0" fillId="0" borderId="69" xfId="0" applyNumberFormat="1" applyBorder="1" applyAlignment="1">
      <alignment horizontal="center"/>
    </xf>
    <xf numFmtId="0" fontId="20" fillId="0" borderId="0" xfId="0" applyFont="1"/>
    <xf numFmtId="0" fontId="0" fillId="0" borderId="69" xfId="0" applyBorder="1" applyAlignment="1">
      <alignment horizontal="center"/>
    </xf>
    <xf numFmtId="187" fontId="0" fillId="32" borderId="97" xfId="0" applyNumberFormat="1" applyFill="1" applyBorder="1" applyAlignment="1">
      <alignment horizontal="center"/>
    </xf>
    <xf numFmtId="0" fontId="20" fillId="0" borderId="0" xfId="0" applyFont="1" applyAlignment="1">
      <alignment horizontal="center" vertical="center" wrapText="1"/>
    </xf>
    <xf numFmtId="0" fontId="0" fillId="0" borderId="84" xfId="0" applyBorder="1"/>
    <xf numFmtId="0" fontId="0" fillId="0" borderId="85" xfId="0" applyBorder="1"/>
    <xf numFmtId="9" fontId="20" fillId="0" borderId="86" xfId="0" applyNumberFormat="1" applyFont="1" applyBorder="1"/>
    <xf numFmtId="9" fontId="20" fillId="0" borderId="0" xfId="0" applyNumberFormat="1" applyFont="1"/>
    <xf numFmtId="9" fontId="20" fillId="0" borderId="0" xfId="2" applyFont="1" applyBorder="1"/>
    <xf numFmtId="0" fontId="3" fillId="0" borderId="97" xfId="0" applyFont="1" applyBorder="1" applyAlignment="1">
      <alignment horizontal="right" vertical="center" wrapText="1"/>
    </xf>
    <xf numFmtId="166" fontId="0" fillId="0" borderId="69" xfId="0" applyNumberFormat="1" applyBorder="1" applyAlignment="1">
      <alignment vertical="center"/>
    </xf>
    <xf numFmtId="0" fontId="3" fillId="0" borderId="98" xfId="0" applyFont="1" applyBorder="1" applyAlignment="1">
      <alignment vertical="center" wrapText="1"/>
    </xf>
    <xf numFmtId="166" fontId="0" fillId="0" borderId="76" xfId="0" applyNumberFormat="1" applyBorder="1" applyAlignment="1">
      <alignment vertical="center"/>
    </xf>
    <xf numFmtId="0" fontId="3" fillId="0" borderId="99" xfId="0" applyFont="1" applyBorder="1"/>
    <xf numFmtId="1" fontId="0" fillId="32" borderId="100" xfId="0" applyNumberFormat="1" applyFill="1" applyBorder="1" applyAlignment="1">
      <alignment horizontal="center"/>
    </xf>
    <xf numFmtId="0" fontId="3" fillId="33" borderId="9" xfId="0" applyFont="1" applyFill="1" applyBorder="1" applyAlignment="1">
      <alignment horizontal="center" vertical="center" wrapText="1"/>
    </xf>
    <xf numFmtId="1" fontId="0" fillId="33" borderId="9" xfId="0" applyNumberFormat="1" applyFill="1" applyBorder="1" applyAlignment="1">
      <alignment horizontal="center"/>
    </xf>
    <xf numFmtId="0" fontId="3" fillId="34" borderId="9" xfId="0" applyFont="1" applyFill="1" applyBorder="1" applyAlignment="1">
      <alignment horizontal="center" vertical="center" wrapText="1"/>
    </xf>
    <xf numFmtId="1" fontId="0" fillId="34" borderId="9" xfId="0" applyNumberFormat="1" applyFill="1" applyBorder="1" applyAlignment="1">
      <alignment horizontal="center"/>
    </xf>
    <xf numFmtId="0" fontId="3" fillId="25" borderId="9" xfId="0" applyFont="1" applyFill="1" applyBorder="1" applyAlignment="1">
      <alignment horizontal="center" vertical="center" wrapText="1"/>
    </xf>
    <xf numFmtId="1" fontId="0" fillId="25" borderId="9" xfId="0" applyNumberFormat="1" applyFill="1" applyBorder="1" applyAlignment="1">
      <alignment horizontal="center"/>
    </xf>
    <xf numFmtId="1" fontId="0" fillId="0" borderId="0" xfId="0" applyNumberFormat="1"/>
    <xf numFmtId="164" fontId="0" fillId="0" borderId="0" xfId="0" applyNumberFormat="1"/>
    <xf numFmtId="166" fontId="0" fillId="0" borderId="0" xfId="2" applyNumberFormat="1" applyFont="1"/>
    <xf numFmtId="164" fontId="0" fillId="0" borderId="61" xfId="1" applyNumberFormat="1" applyFont="1" applyBorder="1" applyAlignment="1">
      <alignment horizontal="center"/>
    </xf>
    <xf numFmtId="0" fontId="51" fillId="0" borderId="0" xfId="0" applyFont="1"/>
    <xf numFmtId="187" fontId="0" fillId="32" borderId="70" xfId="0" applyNumberFormat="1" applyFill="1" applyBorder="1" applyAlignment="1">
      <alignment horizontal="center"/>
    </xf>
    <xf numFmtId="180" fontId="0" fillId="32" borderId="70" xfId="0" applyNumberFormat="1" applyFill="1" applyBorder="1" applyAlignment="1">
      <alignment horizontal="center"/>
    </xf>
    <xf numFmtId="164" fontId="36" fillId="2" borderId="9" xfId="1" applyNumberFormat="1" applyFont="1" applyFill="1" applyBorder="1"/>
    <xf numFmtId="0" fontId="0" fillId="17" borderId="4" xfId="0" applyFill="1" applyBorder="1" applyAlignment="1">
      <alignment horizontal="center" vertical="center" wrapText="1"/>
    </xf>
    <xf numFmtId="0" fontId="0" fillId="17" borderId="7" xfId="0" applyFill="1" applyBorder="1" applyAlignment="1">
      <alignment horizontal="center" vertical="center" wrapText="1"/>
    </xf>
    <xf numFmtId="0" fontId="0" fillId="14" borderId="4" xfId="0" applyFill="1" applyBorder="1" applyAlignment="1">
      <alignment horizontal="center" vertical="center" wrapText="1"/>
    </xf>
    <xf numFmtId="0" fontId="0" fillId="14" borderId="7" xfId="0" applyFill="1" applyBorder="1" applyAlignment="1">
      <alignment horizontal="center" vertical="center" wrapText="1"/>
    </xf>
    <xf numFmtId="0" fontId="0" fillId="18" borderId="4" xfId="0" applyFill="1" applyBorder="1" applyAlignment="1">
      <alignment horizontal="center" vertical="center" wrapText="1"/>
    </xf>
    <xf numFmtId="0" fontId="0" fillId="18" borderId="7" xfId="0" applyFill="1" applyBorder="1" applyAlignment="1">
      <alignment horizontal="center" vertical="center" wrapText="1"/>
    </xf>
    <xf numFmtId="0" fontId="0" fillId="13" borderId="4" xfId="0" applyFill="1" applyBorder="1" applyAlignment="1">
      <alignment horizontal="center" vertical="center" wrapText="1"/>
    </xf>
    <xf numFmtId="0" fontId="0" fillId="13" borderId="7" xfId="0" applyFill="1" applyBorder="1" applyAlignment="1">
      <alignment horizontal="center" vertical="center" wrapText="1"/>
    </xf>
    <xf numFmtId="0" fontId="0" fillId="14" borderId="33" xfId="0" applyFill="1" applyBorder="1" applyAlignment="1">
      <alignment horizontal="center" vertical="center" wrapText="1"/>
    </xf>
    <xf numFmtId="0" fontId="0" fillId="14" borderId="19" xfId="0" applyFill="1" applyBorder="1" applyAlignment="1">
      <alignment horizontal="center" vertical="center" wrapText="1"/>
    </xf>
    <xf numFmtId="0" fontId="0" fillId="18" borderId="46" xfId="0" applyFill="1" applyBorder="1" applyAlignment="1">
      <alignment horizontal="center" vertical="center" wrapText="1"/>
    </xf>
    <xf numFmtId="0" fontId="0" fillId="18" borderId="14" xfId="0" applyFill="1" applyBorder="1" applyAlignment="1">
      <alignment horizontal="center" vertical="center" wrapText="1"/>
    </xf>
    <xf numFmtId="0" fontId="0" fillId="16" borderId="4" xfId="0" applyFill="1" applyBorder="1" applyAlignment="1">
      <alignment horizontal="center" vertical="center" wrapText="1"/>
    </xf>
    <xf numFmtId="0" fontId="0" fillId="16" borderId="7" xfId="0" applyFill="1" applyBorder="1" applyAlignment="1">
      <alignment horizontal="center" vertical="center" wrapText="1"/>
    </xf>
    <xf numFmtId="0" fontId="0" fillId="16" borderId="33" xfId="0" applyFill="1" applyBorder="1" applyAlignment="1">
      <alignment horizontal="center" vertical="center" wrapText="1"/>
    </xf>
    <xf numFmtId="0" fontId="0" fillId="16" borderId="19" xfId="0" applyFill="1" applyBorder="1" applyAlignment="1">
      <alignment horizontal="center" vertical="center" wrapText="1"/>
    </xf>
    <xf numFmtId="0" fontId="0" fillId="8" borderId="4" xfId="0" applyFill="1" applyBorder="1" applyAlignment="1">
      <alignment horizontal="center" vertical="center" wrapText="1"/>
    </xf>
    <xf numFmtId="0" fontId="0" fillId="8" borderId="7" xfId="0" applyFill="1" applyBorder="1" applyAlignment="1">
      <alignment horizontal="center" vertical="center" wrapText="1"/>
    </xf>
    <xf numFmtId="186" fontId="0" fillId="0" borderId="0" xfId="15" applyNumberFormat="1" applyFont="1" applyFill="1" applyAlignment="1">
      <alignment horizontal="left"/>
    </xf>
    <xf numFmtId="0" fontId="3" fillId="11" borderId="9" xfId="0" applyFont="1" applyFill="1" applyBorder="1" applyAlignment="1">
      <alignment horizontal="left"/>
    </xf>
    <xf numFmtId="0" fontId="3" fillId="11" borderId="56" xfId="0" applyFont="1" applyFill="1" applyBorder="1" applyAlignment="1">
      <alignment horizontal="left"/>
    </xf>
    <xf numFmtId="0" fontId="3" fillId="11" borderId="57" xfId="0" applyFont="1" applyFill="1" applyBorder="1" applyAlignment="1">
      <alignment horizontal="left"/>
    </xf>
    <xf numFmtId="0" fontId="3" fillId="11" borderId="58" xfId="0" applyFont="1" applyFill="1" applyBorder="1" applyAlignment="1">
      <alignment horizontal="left"/>
    </xf>
    <xf numFmtId="0" fontId="7" fillId="0" borderId="5" xfId="0" applyFont="1" applyBorder="1" applyAlignment="1">
      <alignment horizontal="left" wrapText="1"/>
    </xf>
    <xf numFmtId="0" fontId="7" fillId="0" borderId="6" xfId="0" applyFont="1" applyBorder="1" applyAlignment="1">
      <alignment horizontal="left" wrapText="1"/>
    </xf>
    <xf numFmtId="0" fontId="7" fillId="0" borderId="2" xfId="0" applyFont="1" applyBorder="1" applyAlignment="1">
      <alignment horizontal="left" wrapText="1"/>
    </xf>
    <xf numFmtId="0" fontId="3" fillId="2" borderId="9" xfId="0" applyFont="1" applyFill="1" applyBorder="1" applyAlignment="1">
      <alignment horizontal="left"/>
    </xf>
    <xf numFmtId="0" fontId="3" fillId="2" borderId="9" xfId="0" applyFont="1" applyFill="1" applyBorder="1"/>
    <xf numFmtId="0" fontId="0" fillId="2" borderId="9" xfId="0" applyFill="1" applyBorder="1"/>
    <xf numFmtId="0" fontId="3" fillId="2" borderId="56" xfId="0" applyFont="1" applyFill="1" applyBorder="1" applyAlignment="1">
      <alignment horizontal="center"/>
    </xf>
    <xf numFmtId="0" fontId="3" fillId="2" borderId="58" xfId="0" applyFont="1" applyFill="1" applyBorder="1" applyAlignment="1">
      <alignment horizontal="center"/>
    </xf>
    <xf numFmtId="0" fontId="3" fillId="2" borderId="57" xfId="0" applyFont="1" applyFill="1" applyBorder="1" applyAlignment="1">
      <alignment horizontal="center"/>
    </xf>
    <xf numFmtId="0" fontId="0" fillId="2" borderId="9" xfId="0" applyFill="1" applyBorder="1" applyAlignment="1">
      <alignment horizontal="left"/>
    </xf>
    <xf numFmtId="0" fontId="3" fillId="2" borderId="9" xfId="0" applyFont="1" applyFill="1" applyBorder="1" applyAlignment="1">
      <alignment horizontal="center" vertical="center"/>
    </xf>
    <xf numFmtId="0" fontId="3" fillId="2" borderId="68" xfId="0" applyFont="1" applyFill="1" applyBorder="1" applyAlignment="1">
      <alignment horizontal="center"/>
    </xf>
    <xf numFmtId="0" fontId="3" fillId="2" borderId="66" xfId="0" applyFont="1" applyFill="1" applyBorder="1" applyAlignment="1">
      <alignment horizontal="center"/>
    </xf>
    <xf numFmtId="0" fontId="3" fillId="2" borderId="67" xfId="0" applyFont="1" applyFill="1" applyBorder="1" applyAlignment="1">
      <alignment horizontal="center"/>
    </xf>
    <xf numFmtId="0" fontId="3" fillId="2" borderId="70" xfId="0" applyFont="1" applyFill="1" applyBorder="1" applyAlignment="1">
      <alignment horizontal="center"/>
    </xf>
    <xf numFmtId="0" fontId="3" fillId="2" borderId="59" xfId="0" applyFont="1" applyFill="1" applyBorder="1" applyAlignment="1">
      <alignment horizontal="center" vertical="center"/>
    </xf>
    <xf numFmtId="0" fontId="0" fillId="2" borderId="43" xfId="0" applyFill="1" applyBorder="1" applyAlignment="1">
      <alignment horizontal="left"/>
    </xf>
    <xf numFmtId="0" fontId="0" fillId="2" borderId="26" xfId="0" applyFill="1" applyBorder="1" applyAlignment="1">
      <alignment horizontal="left"/>
    </xf>
    <xf numFmtId="0" fontId="0" fillId="2" borderId="63" xfId="0" applyFill="1" applyBorder="1" applyAlignment="1">
      <alignment horizontal="left"/>
    </xf>
    <xf numFmtId="0" fontId="0" fillId="2" borderId="56" xfId="0" applyFill="1" applyBorder="1" applyAlignment="1">
      <alignment horizontal="left"/>
    </xf>
    <xf numFmtId="0" fontId="0" fillId="2" borderId="57" xfId="0" applyFill="1" applyBorder="1" applyAlignment="1">
      <alignment horizontal="left"/>
    </xf>
    <xf numFmtId="0" fontId="0" fillId="2" borderId="58" xfId="0" applyFill="1" applyBorder="1" applyAlignment="1">
      <alignment horizontal="left"/>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0" fillId="2" borderId="56" xfId="0" applyFill="1" applyBorder="1" applyAlignment="1">
      <alignment horizontal="center"/>
    </xf>
    <xf numFmtId="0" fontId="0" fillId="2" borderId="58" xfId="0" applyFill="1" applyBorder="1" applyAlignment="1">
      <alignment horizontal="center"/>
    </xf>
    <xf numFmtId="0" fontId="0" fillId="2" borderId="56" xfId="0" applyFill="1" applyBorder="1"/>
    <xf numFmtId="0" fontId="0" fillId="2" borderId="64" xfId="0" applyFill="1" applyBorder="1" applyAlignment="1">
      <alignment horizontal="left"/>
    </xf>
    <xf numFmtId="0" fontId="0" fillId="2" borderId="62" xfId="0" applyFill="1" applyBorder="1" applyAlignment="1">
      <alignment horizontal="left"/>
    </xf>
    <xf numFmtId="0" fontId="0" fillId="2" borderId="65" xfId="0" applyFill="1" applyBorder="1" applyAlignment="1">
      <alignment horizontal="left"/>
    </xf>
    <xf numFmtId="0" fontId="0" fillId="7" borderId="9" xfId="0" applyFill="1" applyBorder="1"/>
    <xf numFmtId="0" fontId="3" fillId="2" borderId="61" xfId="0" applyFont="1" applyFill="1" applyBorder="1" applyAlignment="1">
      <alignment horizontal="center" vertical="center"/>
    </xf>
    <xf numFmtId="0" fontId="3" fillId="0" borderId="9" xfId="0" applyFont="1" applyBorder="1" applyAlignment="1">
      <alignment horizontal="center" vertical="center"/>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53" fillId="0" borderId="91" xfId="0" applyFont="1" applyBorder="1" applyAlignment="1">
      <alignment horizontal="center" vertical="center" wrapText="1"/>
    </xf>
    <xf numFmtId="0" fontId="3" fillId="33" borderId="59" xfId="0" applyFont="1" applyFill="1" applyBorder="1" applyAlignment="1">
      <alignment horizontal="center" vertical="center" wrapText="1"/>
    </xf>
    <xf numFmtId="0" fontId="3" fillId="33" borderId="60" xfId="0" applyFont="1" applyFill="1" applyBorder="1" applyAlignment="1">
      <alignment horizontal="center" vertical="center" wrapText="1"/>
    </xf>
    <xf numFmtId="0" fontId="3" fillId="33" borderId="61" xfId="0" applyFont="1" applyFill="1" applyBorder="1" applyAlignment="1">
      <alignment horizontal="center" vertical="center" wrapText="1"/>
    </xf>
    <xf numFmtId="0" fontId="3" fillId="34" borderId="9" xfId="0" applyFont="1" applyFill="1" applyBorder="1" applyAlignment="1">
      <alignment horizontal="center" vertical="center" wrapText="1"/>
    </xf>
    <xf numFmtId="0" fontId="3" fillId="25" borderId="9" xfId="0" applyFont="1" applyFill="1" applyBorder="1" applyAlignment="1">
      <alignment horizontal="center" vertical="center" wrapText="1"/>
    </xf>
    <xf numFmtId="0" fontId="0" fillId="0" borderId="9" xfId="0" applyBorder="1" applyAlignment="1">
      <alignment horizontal="center" vertical="center"/>
    </xf>
    <xf numFmtId="0" fontId="20" fillId="0" borderId="0" xfId="0" applyFont="1" applyAlignment="1">
      <alignment horizontal="center"/>
    </xf>
    <xf numFmtId="0" fontId="0" fillId="25" borderId="62" xfId="0" applyFill="1" applyBorder="1" applyAlignment="1">
      <alignment horizontal="center"/>
    </xf>
    <xf numFmtId="0" fontId="3" fillId="0" borderId="64" xfId="0" applyFont="1" applyBorder="1" applyAlignment="1">
      <alignment horizontal="center"/>
    </xf>
    <xf numFmtId="0" fontId="3" fillId="0" borderId="62" xfId="0" applyFont="1" applyBorder="1" applyAlignment="1">
      <alignment horizontal="center"/>
    </xf>
    <xf numFmtId="0" fontId="0" fillId="0" borderId="9" xfId="0" applyBorder="1"/>
    <xf numFmtId="0" fontId="3" fillId="27" borderId="9" xfId="0" applyFont="1" applyFill="1" applyBorder="1" applyAlignment="1">
      <alignment horizontal="center" vertical="center" wrapText="1"/>
    </xf>
    <xf numFmtId="0" fontId="0" fillId="0" borderId="78" xfId="0" applyBorder="1"/>
    <xf numFmtId="0" fontId="0" fillId="0" borderId="0" xfId="0"/>
  </cellXfs>
  <cellStyles count="19">
    <cellStyle name="Body: normal cell" xfId="16" xr:uid="{00000000-0005-0000-0000-000000000000}"/>
    <cellStyle name="Comma" xfId="1" builtinId="3"/>
    <cellStyle name="Comma 3" xfId="6" xr:uid="{00000000-0005-0000-0000-000002000000}"/>
    <cellStyle name="Currency" xfId="15" builtinId="4"/>
    <cellStyle name="DateLong" xfId="5" xr:uid="{00000000-0005-0000-0000-000004000000}"/>
    <cellStyle name="DateShort" xfId="7" xr:uid="{00000000-0005-0000-0000-000005000000}"/>
    <cellStyle name="Factor" xfId="3" xr:uid="{00000000-0005-0000-0000-000006000000}"/>
    <cellStyle name="Good" xfId="18" builtinId="26"/>
    <cellStyle name="Hyperlink" xfId="4" builtinId="8"/>
    <cellStyle name="Normal" xfId="0" builtinId="0"/>
    <cellStyle name="Normal 12" xfId="8" xr:uid="{00000000-0005-0000-0000-000009000000}"/>
    <cellStyle name="Normal 13" xfId="9" xr:uid="{00000000-0005-0000-0000-00000A000000}"/>
    <cellStyle name="Normal 14" xfId="10" xr:uid="{00000000-0005-0000-0000-00000B000000}"/>
    <cellStyle name="Normal 16" xfId="11" xr:uid="{00000000-0005-0000-0000-00000C000000}"/>
    <cellStyle name="Normal 2" xfId="12" xr:uid="{00000000-0005-0000-0000-00000D000000}"/>
    <cellStyle name="Normal 2 2" xfId="17" xr:uid="{D8912890-7627-47D6-A3A6-855738D5653F}"/>
    <cellStyle name="Normal 3" xfId="13" xr:uid="{00000000-0005-0000-0000-00000E000000}"/>
    <cellStyle name="Normal 9" xfId="14" xr:uid="{00000000-0005-0000-0000-00000F000000}"/>
    <cellStyle name="Percent" xfId="2" builtinId="5"/>
  </cellStyles>
  <dxfs count="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0000FF"/>
      <color rgb="FFFFFF99"/>
      <color rgb="FF9BC2E6"/>
      <color rgb="FF000000"/>
      <color rgb="FFFF7C80"/>
      <color rgb="FFCC99FF"/>
      <color rgb="FF66CCFF"/>
      <color rgb="FFDBDB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5699514833373"/>
          <c:y val="4.3335526477014025E-2"/>
          <c:w val="0.86792078262944405"/>
          <c:h val="0.76221844128063021"/>
        </c:manualLayout>
      </c:layout>
      <c:lineChart>
        <c:grouping val="standard"/>
        <c:varyColors val="0"/>
        <c:ser>
          <c:idx val="1"/>
          <c:order val="0"/>
          <c:tx>
            <c:strRef>
              <c:f>Dashboard_Data!$E$5</c:f>
              <c:strCache>
                <c:ptCount val="1"/>
                <c:pt idx="0">
                  <c:v>Cumulative Discounted Costs</c:v>
                </c:pt>
              </c:strCache>
            </c:strRef>
          </c:tx>
          <c:spPr>
            <a:ln w="28575" cap="rnd">
              <a:solidFill>
                <a:srgbClr val="FF7C80"/>
              </a:solidFill>
              <a:round/>
            </a:ln>
            <a:effectLst/>
          </c:spPr>
          <c:marker>
            <c:symbol val="none"/>
          </c:marker>
          <c:cat>
            <c:numRef>
              <c:extLst>
                <c:ext xmlns:c15="http://schemas.microsoft.com/office/drawing/2012/chart" uri="{02D57815-91ED-43cb-92C2-25804820EDAC}">
                  <c15:fullRef>
                    <c15:sqref>Dashboard_Data!$I$4:$AX$4</c15:sqref>
                  </c15:fullRef>
                </c:ext>
              </c:extLst>
              <c:f>Dashboard_Data!$J$4:$AH$4</c:f>
              <c:numCache>
                <c:formatCode>General</c:formatCode>
                <c:ptCount val="25"/>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numCache>
            </c:numRef>
          </c:cat>
          <c:val>
            <c:numRef>
              <c:extLst>
                <c:ext xmlns:c15="http://schemas.microsoft.com/office/drawing/2012/chart" uri="{02D57815-91ED-43cb-92C2-25804820EDAC}">
                  <c15:fullRef>
                    <c15:sqref>Dashboard_Data!$I$5:$AX$5</c15:sqref>
                  </c15:fullRef>
                </c:ext>
              </c:extLst>
              <c:f>Dashboard_Data!$J$5:$AH$5</c:f>
              <c:numCache>
                <c:formatCode>General</c:formatCode>
                <c:ptCount val="25"/>
                <c:pt idx="0">
                  <c:v>705230.39320374734</c:v>
                </c:pt>
                <c:pt idx="1">
                  <c:v>1043940.9152358011</c:v>
                </c:pt>
                <c:pt idx="2">
                  <c:v>1348317.7323027076</c:v>
                </c:pt>
                <c:pt idx="3">
                  <c:v>23821103.318659697</c:v>
                </c:pt>
                <c:pt idx="4">
                  <c:v>29873401.657455102</c:v>
                </c:pt>
                <c:pt idx="5">
                  <c:v>29873401.657455102</c:v>
                </c:pt>
                <c:pt idx="6">
                  <c:v>29873401.657455102</c:v>
                </c:pt>
                <c:pt idx="7">
                  <c:v>29873401.657455102</c:v>
                </c:pt>
                <c:pt idx="8">
                  <c:v>29873401.657455102</c:v>
                </c:pt>
                <c:pt idx="9">
                  <c:v>29873401.657455102</c:v>
                </c:pt>
                <c:pt idx="10">
                  <c:v>29873401.657455102</c:v>
                </c:pt>
                <c:pt idx="11">
                  <c:v>29873401.657455102</c:v>
                </c:pt>
                <c:pt idx="12">
                  <c:v>29873401.657455102</c:v>
                </c:pt>
                <c:pt idx="13">
                  <c:v>29873401.657455102</c:v>
                </c:pt>
                <c:pt idx="14">
                  <c:v>29873401.657455102</c:v>
                </c:pt>
                <c:pt idx="15">
                  <c:v>29873401.657455102</c:v>
                </c:pt>
                <c:pt idx="16">
                  <c:v>29873401.657455102</c:v>
                </c:pt>
                <c:pt idx="17">
                  <c:v>29873401.657455102</c:v>
                </c:pt>
                <c:pt idx="18">
                  <c:v>29873401.657455102</c:v>
                </c:pt>
                <c:pt idx="19">
                  <c:v>29873401.657455102</c:v>
                </c:pt>
                <c:pt idx="20">
                  <c:v>29873401.657455102</c:v>
                </c:pt>
                <c:pt idx="21">
                  <c:v>29873401.657455102</c:v>
                </c:pt>
                <c:pt idx="22">
                  <c:v>29873401.657455102</c:v>
                </c:pt>
                <c:pt idx="23">
                  <c:v>29873401.657455102</c:v>
                </c:pt>
                <c:pt idx="24">
                  <c:v>29873401.657455102</c:v>
                </c:pt>
              </c:numCache>
            </c:numRef>
          </c:val>
          <c:smooth val="0"/>
          <c:extLst>
            <c:ext xmlns:c16="http://schemas.microsoft.com/office/drawing/2014/chart" uri="{C3380CC4-5D6E-409C-BE32-E72D297353CC}">
              <c16:uniqueId val="{00000001-3E45-493B-B043-8D59B4ED612A}"/>
            </c:ext>
          </c:extLst>
        </c:ser>
        <c:ser>
          <c:idx val="2"/>
          <c:order val="1"/>
          <c:tx>
            <c:strRef>
              <c:f>Dashboard_Data!$E$6</c:f>
              <c:strCache>
                <c:ptCount val="1"/>
                <c:pt idx="0">
                  <c:v>Cumulative Discounted Benefits</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Dashboard_Data!$I$4:$AX$4</c15:sqref>
                  </c15:fullRef>
                </c:ext>
              </c:extLst>
              <c:f>Dashboard_Data!$J$4:$AH$4</c:f>
              <c:numCache>
                <c:formatCode>General</c:formatCode>
                <c:ptCount val="25"/>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numCache>
            </c:numRef>
          </c:cat>
          <c:val>
            <c:numRef>
              <c:extLst>
                <c:ext xmlns:c15="http://schemas.microsoft.com/office/drawing/2012/chart" uri="{02D57815-91ED-43cb-92C2-25804820EDAC}">
                  <c15:fullRef>
                    <c15:sqref>Dashboard_Data!$I$6:$AX$6</c15:sqref>
                  </c15:fullRef>
                </c:ext>
              </c:extLst>
              <c:f>Dashboard_Data!$J$6:$AH$6</c:f>
              <c:numCache>
                <c:formatCode>General</c:formatCode>
                <c:ptCount val="25"/>
                <c:pt idx="0">
                  <c:v>0</c:v>
                </c:pt>
                <c:pt idx="1">
                  <c:v>0</c:v>
                </c:pt>
                <c:pt idx="2">
                  <c:v>1708286.5232690291</c:v>
                </c:pt>
                <c:pt idx="3">
                  <c:v>1708286.5232690291</c:v>
                </c:pt>
                <c:pt idx="4">
                  <c:v>1708286.5232690291</c:v>
                </c:pt>
                <c:pt idx="5">
                  <c:v>5003473.8014244856</c:v>
                </c:pt>
                <c:pt idx="6">
                  <c:v>8093457.9657744449</c:v>
                </c:pt>
                <c:pt idx="7">
                  <c:v>10991237.093884874</c:v>
                </c:pt>
                <c:pt idx="8">
                  <c:v>13708976.457040865</c:v>
                </c:pt>
                <c:pt idx="9">
                  <c:v>16258062.281825144</c:v>
                </c:pt>
                <c:pt idx="10">
                  <c:v>19643390.333983995</c:v>
                </c:pt>
                <c:pt idx="11">
                  <c:v>21886459.693022959</c:v>
                </c:pt>
                <c:pt idx="12">
                  <c:v>23990846.575893644</c:v>
                </c:pt>
                <c:pt idx="13">
                  <c:v>25965292.213111527</c:v>
                </c:pt>
                <c:pt idx="14">
                  <c:v>27817979.608908847</c:v>
                </c:pt>
                <c:pt idx="15">
                  <c:v>29556569.500228431</c:v>
                </c:pt>
                <c:pt idx="16">
                  <c:v>31188233.986307889</c:v>
                </c:pt>
                <c:pt idx="17">
                  <c:v>32719687.980297655</c:v>
                </c:pt>
                <c:pt idx="18">
                  <c:v>34157218.624487862</c:v>
                </c:pt>
                <c:pt idx="19">
                  <c:v>35269643.913561799</c:v>
                </c:pt>
                <c:pt idx="20">
                  <c:v>37235413.297330648</c:v>
                </c:pt>
                <c:pt idx="21">
                  <c:v>39095084.785996199</c:v>
                </c:pt>
                <c:pt idx="22">
                  <c:v>40854673.971787207</c:v>
                </c:pt>
                <c:pt idx="23">
                  <c:v>42519840.957000419</c:v>
                </c:pt>
                <c:pt idx="24">
                  <c:v>46424577.298795462</c:v>
                </c:pt>
              </c:numCache>
            </c:numRef>
          </c:val>
          <c:smooth val="0"/>
          <c:extLst>
            <c:ext xmlns:c16="http://schemas.microsoft.com/office/drawing/2014/chart" uri="{C3380CC4-5D6E-409C-BE32-E72D297353CC}">
              <c16:uniqueId val="{00000002-3E45-493B-B043-8D59B4ED612A}"/>
            </c:ext>
          </c:extLst>
        </c:ser>
        <c:dLbls>
          <c:showLegendKey val="0"/>
          <c:showVal val="0"/>
          <c:showCatName val="0"/>
          <c:showSerName val="0"/>
          <c:showPercent val="0"/>
          <c:showBubbleSize val="0"/>
        </c:dLbls>
        <c:smooth val="0"/>
        <c:axId val="902148160"/>
        <c:axId val="902149600"/>
      </c:lineChart>
      <c:catAx>
        <c:axId val="90214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02149600"/>
        <c:crosses val="autoZero"/>
        <c:auto val="1"/>
        <c:lblAlgn val="ctr"/>
        <c:lblOffset val="100"/>
        <c:noMultiLvlLbl val="0"/>
      </c:catAx>
      <c:valAx>
        <c:axId val="902149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Cumulative Value</a:t>
                </a:r>
              </a:p>
            </c:rich>
          </c:tx>
          <c:layout>
            <c:manualLayout>
              <c:xMode val="edge"/>
              <c:yMode val="edge"/>
              <c:x val="2.4656645192078264E-2"/>
              <c:y val="0.3034101057703254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02148160"/>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chemeClr val="tx1"/>
      </a:solid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5699514833373"/>
          <c:y val="4.3335526477014025E-2"/>
          <c:w val="0.86792078262944405"/>
          <c:h val="0.76221844128063021"/>
        </c:manualLayout>
      </c:layout>
      <c:lineChart>
        <c:grouping val="standard"/>
        <c:varyColors val="0"/>
        <c:ser>
          <c:idx val="1"/>
          <c:order val="0"/>
          <c:tx>
            <c:strRef>
              <c:f>Dashboard_Data!$E$11</c:f>
              <c:strCache>
                <c:ptCount val="1"/>
                <c:pt idx="0">
                  <c:v>Cumulative Undiscounted Costs</c:v>
                </c:pt>
              </c:strCache>
            </c:strRef>
          </c:tx>
          <c:spPr>
            <a:ln w="28575" cap="rnd">
              <a:solidFill>
                <a:srgbClr val="FF7C80"/>
              </a:solidFill>
              <a:round/>
            </a:ln>
            <a:effectLst/>
          </c:spPr>
          <c:marker>
            <c:symbol val="none"/>
          </c:marker>
          <c:cat>
            <c:numRef>
              <c:extLst>
                <c:ext xmlns:c15="http://schemas.microsoft.com/office/drawing/2012/chart" uri="{02D57815-91ED-43cb-92C2-25804820EDAC}">
                  <c15:fullRef>
                    <c15:sqref>Dashboard_Data!$I$10:$AX$10</c15:sqref>
                  </c15:fullRef>
                </c:ext>
              </c:extLst>
              <c:f>Dashboard_Data!$J$10:$AH$10</c:f>
              <c:numCache>
                <c:formatCode>General</c:formatCode>
                <c:ptCount val="25"/>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numCache>
            </c:numRef>
          </c:cat>
          <c:val>
            <c:numRef>
              <c:extLst>
                <c:ext xmlns:c15="http://schemas.microsoft.com/office/drawing/2012/chart" uri="{02D57815-91ED-43cb-92C2-25804820EDAC}">
                  <c15:fullRef>
                    <c15:sqref>Dashboard_Data!$I$11:$AX$11</c15:sqref>
                  </c15:fullRef>
                </c:ext>
              </c:extLst>
              <c:f>Dashboard_Data!$J$11:$AH$11</c:f>
              <c:numCache>
                <c:formatCode>_(* #,##0_);_(* \(#,##0\);_(* "-"??_);_(@_)</c:formatCode>
                <c:ptCount val="25"/>
                <c:pt idx="0">
                  <c:v>705230.39320374734</c:v>
                </c:pt>
                <c:pt idx="1">
                  <c:v>1067650.6517780449</c:v>
                </c:pt>
                <c:pt idx="2">
                  <c:v>1416131.6696379462</c:v>
                </c:pt>
                <c:pt idx="3">
                  <c:v>28946260.342705477</c:v>
                </c:pt>
                <c:pt idx="4">
                  <c:v>36879588.856528126</c:v>
                </c:pt>
                <c:pt idx="5">
                  <c:v>36879588.856528126</c:v>
                </c:pt>
                <c:pt idx="6">
                  <c:v>36879588.856528126</c:v>
                </c:pt>
                <c:pt idx="7">
                  <c:v>36879588.856528126</c:v>
                </c:pt>
                <c:pt idx="8">
                  <c:v>36879588.856528126</c:v>
                </c:pt>
                <c:pt idx="9">
                  <c:v>36879588.856528126</c:v>
                </c:pt>
                <c:pt idx="10">
                  <c:v>36879588.856528126</c:v>
                </c:pt>
                <c:pt idx="11">
                  <c:v>36879588.856528126</c:v>
                </c:pt>
                <c:pt idx="12">
                  <c:v>36879588.856528126</c:v>
                </c:pt>
                <c:pt idx="13">
                  <c:v>36879588.856528126</c:v>
                </c:pt>
                <c:pt idx="14">
                  <c:v>36879588.856528126</c:v>
                </c:pt>
                <c:pt idx="15">
                  <c:v>36879588.856528126</c:v>
                </c:pt>
                <c:pt idx="16">
                  <c:v>36879588.856528126</c:v>
                </c:pt>
                <c:pt idx="17">
                  <c:v>36879588.856528126</c:v>
                </c:pt>
                <c:pt idx="18">
                  <c:v>36879588.856528126</c:v>
                </c:pt>
                <c:pt idx="19">
                  <c:v>36879588.856528126</c:v>
                </c:pt>
                <c:pt idx="20">
                  <c:v>36879588.856528126</c:v>
                </c:pt>
                <c:pt idx="21">
                  <c:v>36879588.856528126</c:v>
                </c:pt>
                <c:pt idx="22">
                  <c:v>36879588.856528126</c:v>
                </c:pt>
                <c:pt idx="23">
                  <c:v>36879588.856528126</c:v>
                </c:pt>
                <c:pt idx="24">
                  <c:v>36879588.856528126</c:v>
                </c:pt>
              </c:numCache>
            </c:numRef>
          </c:val>
          <c:smooth val="0"/>
          <c:extLst>
            <c:ext xmlns:c16="http://schemas.microsoft.com/office/drawing/2014/chart" uri="{C3380CC4-5D6E-409C-BE32-E72D297353CC}">
              <c16:uniqueId val="{00000000-EBD6-46F3-BC06-5104C3EEC62F}"/>
            </c:ext>
          </c:extLst>
        </c:ser>
        <c:ser>
          <c:idx val="2"/>
          <c:order val="1"/>
          <c:tx>
            <c:strRef>
              <c:f>Dashboard_Data!$E$12</c:f>
              <c:strCache>
                <c:ptCount val="1"/>
                <c:pt idx="0">
                  <c:v>Cumulative Undiscounted Benefits</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Dashboard_Data!$I$10:$AX$10</c15:sqref>
                  </c15:fullRef>
                </c:ext>
              </c:extLst>
              <c:f>Dashboard_Data!$J$10:$AH$10</c:f>
              <c:numCache>
                <c:formatCode>General</c:formatCode>
                <c:ptCount val="25"/>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numCache>
            </c:numRef>
          </c:cat>
          <c:val>
            <c:numRef>
              <c:extLst>
                <c:ext xmlns:c15="http://schemas.microsoft.com/office/drawing/2012/chart" uri="{02D57815-91ED-43cb-92C2-25804820EDAC}">
                  <c15:fullRef>
                    <c15:sqref>Dashboard_Data!$I$12:$AX$12</c15:sqref>
                  </c15:fullRef>
                </c:ext>
              </c:extLst>
              <c:f>Dashboard_Data!$J$12:$AH$12</c:f>
              <c:numCache>
                <c:formatCode>_(* #,##0_);_(* \(#,##0\);_(* "-"??_);_(@_)</c:formatCode>
                <c:ptCount val="25"/>
                <c:pt idx="0">
                  <c:v>0</c:v>
                </c:pt>
                <c:pt idx="1">
                  <c:v>0</c:v>
                </c:pt>
                <c:pt idx="2">
                  <c:v>1955817.2404907115</c:v>
                </c:pt>
                <c:pt idx="3">
                  <c:v>1955817.2404907115</c:v>
                </c:pt>
                <c:pt idx="4">
                  <c:v>1955817.2404907115</c:v>
                </c:pt>
                <c:pt idx="5">
                  <c:v>6577487.8604482692</c:v>
                </c:pt>
                <c:pt idx="6">
                  <c:v>11214720.882621022</c:v>
                </c:pt>
                <c:pt idx="7">
                  <c:v>15867920.929466566</c:v>
                </c:pt>
                <c:pt idx="8">
                  <c:v>20537503.143626396</c:v>
                </c:pt>
                <c:pt idx="9">
                  <c:v>25223893.461450681</c:v>
                </c:pt>
                <c:pt idx="10">
                  <c:v>31883346.134125408</c:v>
                </c:pt>
                <c:pt idx="11">
                  <c:v>36604675.053642511</c:v>
                </c:pt>
                <c:pt idx="12">
                  <c:v>41344157.491163358</c:v>
                </c:pt>
                <c:pt idx="13">
                  <c:v>46102265.438156046</c:v>
                </c:pt>
                <c:pt idx="14">
                  <c:v>50879483.157866843</c:v>
                </c:pt>
                <c:pt idx="15">
                  <c:v>55676307.504386418</c:v>
                </c:pt>
                <c:pt idx="16">
                  <c:v>60493248.250011802</c:v>
                </c:pt>
                <c:pt idx="17">
                  <c:v>65330828.42111975</c:v>
                </c:pt>
                <c:pt idx="18">
                  <c:v>70189584.642772809</c:v>
                </c:pt>
                <c:pt idx="19">
                  <c:v>74212701.331376657</c:v>
                </c:pt>
                <c:pt idx="20">
                  <c:v>81819608.572577983</c:v>
                </c:pt>
                <c:pt idx="21">
                  <c:v>89519694.368146852</c:v>
                </c:pt>
                <c:pt idx="22">
                  <c:v>97315381.360496819</c:v>
                </c:pt>
                <c:pt idx="23">
                  <c:v>105209155.18074419</c:v>
                </c:pt>
                <c:pt idx="24">
                  <c:v>125015410.76255022</c:v>
                </c:pt>
              </c:numCache>
            </c:numRef>
          </c:val>
          <c:smooth val="0"/>
          <c:extLst>
            <c:ext xmlns:c16="http://schemas.microsoft.com/office/drawing/2014/chart" uri="{C3380CC4-5D6E-409C-BE32-E72D297353CC}">
              <c16:uniqueId val="{00000001-EBD6-46F3-BC06-5104C3EEC62F}"/>
            </c:ext>
          </c:extLst>
        </c:ser>
        <c:dLbls>
          <c:showLegendKey val="0"/>
          <c:showVal val="0"/>
          <c:showCatName val="0"/>
          <c:showSerName val="0"/>
          <c:showPercent val="0"/>
          <c:showBubbleSize val="0"/>
        </c:dLbls>
        <c:smooth val="0"/>
        <c:axId val="902148160"/>
        <c:axId val="902149600"/>
      </c:lineChart>
      <c:catAx>
        <c:axId val="90214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02149600"/>
        <c:crosses val="autoZero"/>
        <c:auto val="1"/>
        <c:lblAlgn val="ctr"/>
        <c:lblOffset val="100"/>
        <c:noMultiLvlLbl val="0"/>
      </c:catAx>
      <c:valAx>
        <c:axId val="902149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Cumulative Value</a:t>
                </a:r>
              </a:p>
            </c:rich>
          </c:tx>
          <c:layout>
            <c:manualLayout>
              <c:xMode val="edge"/>
              <c:yMode val="edge"/>
              <c:x val="2.4656645192078264E-2"/>
              <c:y val="0.3034101057703254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02148160"/>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tx1"/>
      </a:solid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5699514833373"/>
          <c:y val="4.3335526477014025E-2"/>
          <c:w val="0.86792078262944405"/>
          <c:h val="0.68560973932514324"/>
        </c:manualLayout>
      </c:layout>
      <c:barChart>
        <c:barDir val="col"/>
        <c:grouping val="clustered"/>
        <c:varyColors val="0"/>
        <c:ser>
          <c:idx val="3"/>
          <c:order val="0"/>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97F1-44A5-9F83-4C452B7DD70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25F9-462B-8D5C-3A6AAFCD3712}"/>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7-25F9-462B-8D5C-3A6AAFCD3712}"/>
              </c:ext>
            </c:extLst>
          </c:dPt>
          <c:dLbls>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Dashboard_Data!$E$16:$E$19</c:f>
              <c:strCache>
                <c:ptCount val="4"/>
                <c:pt idx="0">
                  <c:v> Residual Value </c:v>
                </c:pt>
                <c:pt idx="1">
                  <c:v> Change in O&amp;M Costs </c:v>
                </c:pt>
                <c:pt idx="2">
                  <c:v> Vehicle Travel Time Savings </c:v>
                </c:pt>
                <c:pt idx="3">
                  <c:v> Safety Benefits </c:v>
                </c:pt>
              </c:strCache>
            </c:strRef>
          </c:cat>
          <c:val>
            <c:numRef>
              <c:f>Dashboard_Data!$H$16:$H$19</c:f>
              <c:numCache>
                <c:formatCode>0.0%</c:formatCode>
                <c:ptCount val="4"/>
                <c:pt idx="0">
                  <c:v>5.0160182143883646E-2</c:v>
                </c:pt>
                <c:pt idx="1">
                  <c:v>5.8213235106558098E-2</c:v>
                </c:pt>
                <c:pt idx="2">
                  <c:v>0.19123629847116747</c:v>
                </c:pt>
                <c:pt idx="3">
                  <c:v>0.70039028427839078</c:v>
                </c:pt>
              </c:numCache>
            </c:numRef>
          </c:val>
          <c:extLst>
            <c:ext xmlns:c16="http://schemas.microsoft.com/office/drawing/2014/chart" uri="{C3380CC4-5D6E-409C-BE32-E72D297353CC}">
              <c16:uniqueId val="{00000005-80DD-4C8A-970C-0B6B68C5918B}"/>
            </c:ext>
          </c:extLst>
        </c:ser>
        <c:dLbls>
          <c:showLegendKey val="0"/>
          <c:showVal val="0"/>
          <c:showCatName val="0"/>
          <c:showSerName val="0"/>
          <c:showPercent val="0"/>
          <c:showBubbleSize val="0"/>
        </c:dLbls>
        <c:gapWidth val="100"/>
        <c:axId val="439007312"/>
        <c:axId val="439005152"/>
      </c:barChart>
      <c:catAx>
        <c:axId val="43900731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439005152"/>
        <c:crosses val="autoZero"/>
        <c:auto val="1"/>
        <c:lblAlgn val="ctr"/>
        <c:lblOffset val="100"/>
        <c:noMultiLvlLbl val="0"/>
      </c:catAx>
      <c:valAx>
        <c:axId val="4390051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439007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chemeClr val="tx1"/>
      </a:solid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63211128125834"/>
          <c:y val="8.5801804105987908E-2"/>
          <c:w val="0.55479016213673582"/>
          <c:h val="0.91237165017668265"/>
        </c:manualLayout>
      </c:layout>
      <c:doughnutChart>
        <c:varyColors val="1"/>
        <c:ser>
          <c:idx val="0"/>
          <c:order val="0"/>
          <c:tx>
            <c:v>Category</c:v>
          </c:tx>
          <c:dPt>
            <c:idx val="0"/>
            <c:bubble3D val="0"/>
            <c:spPr>
              <a:solidFill>
                <a:srgbClr val="FF0000"/>
              </a:solidFill>
              <a:ln>
                <a:noFill/>
              </a:ln>
              <a:effectLst/>
            </c:spPr>
            <c:extLst>
              <c:ext xmlns:c16="http://schemas.microsoft.com/office/drawing/2014/chart" uri="{C3380CC4-5D6E-409C-BE32-E72D297353CC}">
                <c16:uniqueId val="{0000001C-8927-4EFE-9804-EE62D0422642}"/>
              </c:ext>
            </c:extLst>
          </c:dPt>
          <c:dPt>
            <c:idx val="1"/>
            <c:bubble3D val="0"/>
            <c:spPr>
              <a:solidFill>
                <a:srgbClr val="FFFF00"/>
              </a:solidFill>
              <a:ln>
                <a:noFill/>
              </a:ln>
              <a:effectLst/>
            </c:spPr>
            <c:extLst>
              <c:ext xmlns:c16="http://schemas.microsoft.com/office/drawing/2014/chart" uri="{C3380CC4-5D6E-409C-BE32-E72D297353CC}">
                <c16:uniqueId val="{0000001D-8927-4EFE-9804-EE62D0422642}"/>
              </c:ext>
            </c:extLst>
          </c:dPt>
          <c:dPt>
            <c:idx val="2"/>
            <c:bubble3D val="0"/>
            <c:spPr>
              <a:solidFill>
                <a:schemeClr val="accent6"/>
              </a:solidFill>
              <a:ln>
                <a:noFill/>
              </a:ln>
              <a:effectLst/>
            </c:spPr>
            <c:extLst>
              <c:ext xmlns:c16="http://schemas.microsoft.com/office/drawing/2014/chart" uri="{C3380CC4-5D6E-409C-BE32-E72D297353CC}">
                <c16:uniqueId val="{0000001E-8927-4EFE-9804-EE62D0422642}"/>
              </c:ext>
            </c:extLst>
          </c:dPt>
          <c:dPt>
            <c:idx val="3"/>
            <c:bubble3D val="0"/>
            <c:spPr>
              <a:noFill/>
              <a:ln>
                <a:noFill/>
              </a:ln>
              <a:effectLst/>
            </c:spPr>
            <c:extLst>
              <c:ext xmlns:c16="http://schemas.microsoft.com/office/drawing/2014/chart" uri="{C3380CC4-5D6E-409C-BE32-E72D297353CC}">
                <c16:uniqueId val="{0000001B-8927-4EFE-9804-EE62D0422642}"/>
              </c:ext>
            </c:extLst>
          </c:dPt>
          <c:cat>
            <c:strRef>
              <c:f>Dashboard_Data!$E$24:$E$27</c:f>
              <c:strCache>
                <c:ptCount val="4"/>
                <c:pt idx="0">
                  <c:v> Below Requirements </c:v>
                </c:pt>
                <c:pt idx="1">
                  <c:v> Competitive </c:v>
                </c:pt>
                <c:pt idx="2">
                  <c:v> Excellent </c:v>
                </c:pt>
                <c:pt idx="3">
                  <c:v> Total </c:v>
                </c:pt>
              </c:strCache>
            </c:strRef>
          </c:cat>
          <c:val>
            <c:numRef>
              <c:f>Dashboard_Data!$F$24:$F$27</c:f>
              <c:numCache>
                <c:formatCode>General</c:formatCode>
                <c:ptCount val="4"/>
                <c:pt idx="0">
                  <c:v>1</c:v>
                </c:pt>
                <c:pt idx="1">
                  <c:v>0.5</c:v>
                </c:pt>
                <c:pt idx="2">
                  <c:v>3.5</c:v>
                </c:pt>
                <c:pt idx="3">
                  <c:v>5</c:v>
                </c:pt>
              </c:numCache>
            </c:numRef>
          </c:val>
          <c:extLst>
            <c:ext xmlns:c16="http://schemas.microsoft.com/office/drawing/2014/chart" uri="{C3380CC4-5D6E-409C-BE32-E72D297353CC}">
              <c16:uniqueId val="{00000013-8927-4EFE-9804-EE62D0422642}"/>
            </c:ext>
          </c:extLst>
        </c:ser>
        <c:ser>
          <c:idx val="1"/>
          <c:order val="1"/>
          <c:tx>
            <c:v>Label</c:v>
          </c:tx>
          <c:dPt>
            <c:idx val="0"/>
            <c:bubble3D val="0"/>
            <c:spPr>
              <a:solidFill>
                <a:schemeClr val="bg2">
                  <a:lumMod val="90000"/>
                </a:schemeClr>
              </a:solidFill>
              <a:ln>
                <a:noFill/>
              </a:ln>
              <a:effectLst/>
            </c:spPr>
            <c:extLst>
              <c:ext xmlns:c16="http://schemas.microsoft.com/office/drawing/2014/chart" uri="{C3380CC4-5D6E-409C-BE32-E72D297353CC}">
                <c16:uniqueId val="{0000001F-8927-4EFE-9804-EE62D0422642}"/>
              </c:ext>
            </c:extLst>
          </c:dPt>
          <c:dPt>
            <c:idx val="1"/>
            <c:bubble3D val="0"/>
            <c:spPr>
              <a:solidFill>
                <a:schemeClr val="bg1">
                  <a:lumMod val="95000"/>
                </a:schemeClr>
              </a:solidFill>
              <a:ln>
                <a:noFill/>
              </a:ln>
              <a:effectLst/>
            </c:spPr>
            <c:extLst>
              <c:ext xmlns:c16="http://schemas.microsoft.com/office/drawing/2014/chart" uri="{C3380CC4-5D6E-409C-BE32-E72D297353CC}">
                <c16:uniqueId val="{0000000B-F44D-4BED-A38E-02892F9598A0}"/>
              </c:ext>
            </c:extLst>
          </c:dPt>
          <c:dPt>
            <c:idx val="2"/>
            <c:bubble3D val="0"/>
            <c:spPr>
              <a:solidFill>
                <a:schemeClr val="bg2">
                  <a:lumMod val="90000"/>
                </a:schemeClr>
              </a:solidFill>
              <a:ln>
                <a:noFill/>
              </a:ln>
              <a:effectLst/>
            </c:spPr>
            <c:extLst>
              <c:ext xmlns:c16="http://schemas.microsoft.com/office/drawing/2014/chart" uri="{C3380CC4-5D6E-409C-BE32-E72D297353CC}">
                <c16:uniqueId val="{00000020-8927-4EFE-9804-EE62D0422642}"/>
              </c:ext>
            </c:extLst>
          </c:dPt>
          <c:dPt>
            <c:idx val="3"/>
            <c:bubble3D val="0"/>
            <c:spPr>
              <a:solidFill>
                <a:schemeClr val="bg1">
                  <a:lumMod val="95000"/>
                </a:schemeClr>
              </a:solidFill>
              <a:ln>
                <a:noFill/>
              </a:ln>
              <a:effectLst/>
            </c:spPr>
            <c:extLst>
              <c:ext xmlns:c16="http://schemas.microsoft.com/office/drawing/2014/chart" uri="{C3380CC4-5D6E-409C-BE32-E72D297353CC}">
                <c16:uniqueId val="{0000000F-F44D-4BED-A38E-02892F9598A0}"/>
              </c:ext>
            </c:extLst>
          </c:dPt>
          <c:dPt>
            <c:idx val="4"/>
            <c:bubble3D val="0"/>
            <c:spPr>
              <a:solidFill>
                <a:schemeClr val="bg2">
                  <a:lumMod val="90000"/>
                </a:schemeClr>
              </a:solidFill>
              <a:ln>
                <a:noFill/>
              </a:ln>
              <a:effectLst/>
            </c:spPr>
            <c:extLst>
              <c:ext xmlns:c16="http://schemas.microsoft.com/office/drawing/2014/chart" uri="{C3380CC4-5D6E-409C-BE32-E72D297353CC}">
                <c16:uniqueId val="{0000001D-F44D-4BED-A38E-02892F9598A0}"/>
              </c:ext>
            </c:extLst>
          </c:dPt>
          <c:dPt>
            <c:idx val="5"/>
            <c:bubble3D val="0"/>
            <c:spPr>
              <a:solidFill>
                <a:schemeClr val="bg1">
                  <a:lumMod val="95000"/>
                </a:schemeClr>
              </a:solidFill>
              <a:ln>
                <a:noFill/>
              </a:ln>
              <a:effectLst/>
            </c:spPr>
            <c:extLst>
              <c:ext xmlns:c16="http://schemas.microsoft.com/office/drawing/2014/chart" uri="{C3380CC4-5D6E-409C-BE32-E72D297353CC}">
                <c16:uniqueId val="{00000021-8927-4EFE-9804-EE62D0422642}"/>
              </c:ext>
            </c:extLst>
          </c:dPt>
          <c:dPt>
            <c:idx val="6"/>
            <c:bubble3D val="0"/>
            <c:spPr>
              <a:solidFill>
                <a:schemeClr val="bg2">
                  <a:lumMod val="90000"/>
                </a:schemeClr>
              </a:solidFill>
              <a:ln>
                <a:noFill/>
              </a:ln>
              <a:effectLst/>
            </c:spPr>
            <c:extLst>
              <c:ext xmlns:c16="http://schemas.microsoft.com/office/drawing/2014/chart" uri="{C3380CC4-5D6E-409C-BE32-E72D297353CC}">
                <c16:uniqueId val="{00000013-F44D-4BED-A38E-02892F9598A0}"/>
              </c:ext>
            </c:extLst>
          </c:dPt>
          <c:dPt>
            <c:idx val="7"/>
            <c:bubble3D val="0"/>
            <c:spPr>
              <a:solidFill>
                <a:schemeClr val="bg1">
                  <a:lumMod val="95000"/>
                </a:schemeClr>
              </a:solidFill>
              <a:ln>
                <a:noFill/>
              </a:ln>
              <a:effectLst/>
            </c:spPr>
            <c:extLst>
              <c:ext xmlns:c16="http://schemas.microsoft.com/office/drawing/2014/chart" uri="{C3380CC4-5D6E-409C-BE32-E72D297353CC}">
                <c16:uniqueId val="{00000022-8927-4EFE-9804-EE62D0422642}"/>
              </c:ext>
            </c:extLst>
          </c:dPt>
          <c:dPt>
            <c:idx val="8"/>
            <c:bubble3D val="0"/>
            <c:spPr>
              <a:solidFill>
                <a:schemeClr val="bg2">
                  <a:lumMod val="90000"/>
                </a:schemeClr>
              </a:solidFill>
              <a:ln>
                <a:noFill/>
              </a:ln>
              <a:effectLst/>
            </c:spPr>
            <c:extLst>
              <c:ext xmlns:c16="http://schemas.microsoft.com/office/drawing/2014/chart" uri="{C3380CC4-5D6E-409C-BE32-E72D297353CC}">
                <c16:uniqueId val="{00000017-F44D-4BED-A38E-02892F9598A0}"/>
              </c:ext>
            </c:extLst>
          </c:dPt>
          <c:dPt>
            <c:idx val="9"/>
            <c:bubble3D val="0"/>
            <c:spPr>
              <a:solidFill>
                <a:schemeClr val="bg1">
                  <a:lumMod val="95000"/>
                </a:schemeClr>
              </a:solidFill>
              <a:ln>
                <a:noFill/>
              </a:ln>
              <a:effectLst/>
            </c:spPr>
            <c:extLst>
              <c:ext xmlns:c16="http://schemas.microsoft.com/office/drawing/2014/chart" uri="{C3380CC4-5D6E-409C-BE32-E72D297353CC}">
                <c16:uniqueId val="{00000019-F44D-4BED-A38E-02892F9598A0}"/>
              </c:ext>
            </c:extLst>
          </c:dPt>
          <c:dPt>
            <c:idx val="10"/>
            <c:bubble3D val="0"/>
            <c:spPr>
              <a:noFill/>
              <a:ln>
                <a:noFill/>
              </a:ln>
              <a:effectLst/>
            </c:spPr>
            <c:extLst>
              <c:ext xmlns:c16="http://schemas.microsoft.com/office/drawing/2014/chart" uri="{C3380CC4-5D6E-409C-BE32-E72D297353CC}">
                <c16:uniqueId val="{00000016-8927-4EFE-9804-EE62D0422642}"/>
              </c:ext>
            </c:extLst>
          </c:dPt>
          <c:dLbls>
            <c:dLbl>
              <c:idx val="0"/>
              <c:layout>
                <c:manualLayout>
                  <c:x val="-3.167701708431471E-2"/>
                  <c:y val="-0.10112355483920003"/>
                </c:manualLayout>
              </c:layout>
              <c:tx>
                <c:rich>
                  <a:bodyPr/>
                  <a:lstStyle/>
                  <a:p>
                    <a:fld id="{A2822699-0626-4B52-9B95-5E0BD1C03BF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8927-4EFE-9804-EE62D0422642}"/>
                </c:ext>
              </c:extLst>
            </c:dLbl>
            <c:dLbl>
              <c:idx val="1"/>
              <c:layout>
                <c:manualLayout>
                  <c:x val="-7.4534157845446381E-3"/>
                  <c:y val="-0.11031660527912729"/>
                </c:manualLayout>
              </c:layout>
              <c:tx>
                <c:rich>
                  <a:bodyPr/>
                  <a:lstStyle/>
                  <a:p>
                    <a:fld id="{A511CBB9-0C6F-4CA3-B601-AF4E84A6C21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44D-4BED-A38E-02892F9598A0}"/>
                </c:ext>
              </c:extLst>
            </c:dLbl>
            <c:dLbl>
              <c:idx val="2"/>
              <c:layout>
                <c:manualLayout>
                  <c:x val="9.3167697306807979E-3"/>
                  <c:y val="-0.10418790498584246"/>
                </c:manualLayout>
              </c:layout>
              <c:tx>
                <c:rich>
                  <a:bodyPr/>
                  <a:lstStyle/>
                  <a:p>
                    <a:fld id="{F883FE85-7AF5-4397-A7D7-D9054D62C41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8927-4EFE-9804-EE62D0422642}"/>
                </c:ext>
              </c:extLst>
            </c:dLbl>
            <c:dLbl>
              <c:idx val="3"/>
              <c:layout>
                <c:manualLayout>
                  <c:x val="2.9813663138178483E-2"/>
                  <c:y val="-8.8866154252630336E-2"/>
                </c:manualLayout>
              </c:layout>
              <c:tx>
                <c:rich>
                  <a:bodyPr/>
                  <a:lstStyle/>
                  <a:p>
                    <a:fld id="{ECF97319-8BE7-4735-B3D3-46FF7E9D2F4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44D-4BED-A38E-02892F9598A0}"/>
                </c:ext>
              </c:extLst>
            </c:dLbl>
            <c:dLbl>
              <c:idx val="4"/>
              <c:layout>
                <c:manualLayout>
                  <c:x val="4.2857140761131667E-2"/>
                  <c:y val="-6.7415703226133356E-2"/>
                </c:manualLayout>
              </c:layout>
              <c:tx>
                <c:rich>
                  <a:bodyPr/>
                  <a:lstStyle/>
                  <a:p>
                    <a:fld id="{F4AF961A-24F8-4405-9109-1EB60AB8ECC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F44D-4BED-A38E-02892F9598A0}"/>
                </c:ext>
              </c:extLst>
            </c:dLbl>
            <c:dLbl>
              <c:idx val="5"/>
              <c:layout>
                <c:manualLayout>
                  <c:x val="5.5900618384084853E-2"/>
                  <c:y val="-3.9836551906351533E-2"/>
                </c:manualLayout>
              </c:layout>
              <c:tx>
                <c:rich>
                  <a:bodyPr/>
                  <a:lstStyle/>
                  <a:p>
                    <a:fld id="{87668EA2-EEA9-41BF-BA47-B5D2DFB28D7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8927-4EFE-9804-EE62D0422642}"/>
                </c:ext>
              </c:extLst>
            </c:dLbl>
            <c:dLbl>
              <c:idx val="6"/>
              <c:layout>
                <c:manualLayout>
                  <c:x val="6.1490680222493266E-2"/>
                  <c:y val="-1.8386100879854567E-2"/>
                </c:manualLayout>
              </c:layout>
              <c:tx>
                <c:rich>
                  <a:bodyPr/>
                  <a:lstStyle/>
                  <a:p>
                    <a:fld id="{10BDC3EB-411B-452A-A45B-D356F599D68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44D-4BED-A38E-02892F9598A0}"/>
                </c:ext>
              </c:extLst>
            </c:dLbl>
            <c:dLbl>
              <c:idx val="7"/>
              <c:layout>
                <c:manualLayout>
                  <c:x val="6.5217388114765587E-2"/>
                  <c:y val="1.2257400586569701E-2"/>
                </c:manualLayout>
              </c:layout>
              <c:tx>
                <c:rich>
                  <a:bodyPr/>
                  <a:lstStyle/>
                  <a:p>
                    <a:fld id="{BFE8ED42-5923-4E20-91F9-001FC3B77B4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8927-4EFE-9804-EE62D0422642}"/>
                </c:ext>
              </c:extLst>
            </c:dLbl>
            <c:dLbl>
              <c:idx val="8"/>
              <c:layout>
                <c:manualLayout>
                  <c:x val="5.5900618384084784E-2"/>
                  <c:y val="2.7579151319781829E-2"/>
                </c:manualLayout>
              </c:layout>
              <c:tx>
                <c:rich>
                  <a:bodyPr/>
                  <a:lstStyle/>
                  <a:p>
                    <a:fld id="{7EB33F67-6F7B-485B-93BE-0F3BB98AABB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F44D-4BED-A38E-02892F9598A0}"/>
                </c:ext>
              </c:extLst>
            </c:dLbl>
            <c:dLbl>
              <c:idx val="9"/>
              <c:layout>
                <c:manualLayout>
                  <c:x val="4.844720259954001E-2"/>
                  <c:y val="4.2900902052993899E-2"/>
                </c:manualLayout>
              </c:layout>
              <c:tx>
                <c:rich>
                  <a:bodyPr/>
                  <a:lstStyle/>
                  <a:p>
                    <a:fld id="{9F32F488-C3C9-4EB2-969B-7CE093BDB92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F44D-4BED-A38E-02892F9598A0}"/>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8927-4EFE-9804-EE62D042264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Dashboard_Data!$I$24:$I$34</c:f>
              <c:numCache>
                <c:formatCode>_(* #,##0.00_);_(* \(#,##0.00\);_(* "-"??_);_(@_)</c:formatCode>
                <c:ptCount val="11"/>
                <c:pt idx="0">
                  <c:v>0.5</c:v>
                </c:pt>
                <c:pt idx="1">
                  <c:v>0.5</c:v>
                </c:pt>
                <c:pt idx="2">
                  <c:v>0.5</c:v>
                </c:pt>
                <c:pt idx="3">
                  <c:v>0.5</c:v>
                </c:pt>
                <c:pt idx="4">
                  <c:v>0.5</c:v>
                </c:pt>
                <c:pt idx="5">
                  <c:v>0.5</c:v>
                </c:pt>
                <c:pt idx="6">
                  <c:v>0.5</c:v>
                </c:pt>
                <c:pt idx="7">
                  <c:v>0.5</c:v>
                </c:pt>
                <c:pt idx="8">
                  <c:v>0.5</c:v>
                </c:pt>
                <c:pt idx="9">
                  <c:v>0.5</c:v>
                </c:pt>
                <c:pt idx="10">
                  <c:v>5</c:v>
                </c:pt>
              </c:numCache>
            </c:numRef>
          </c:val>
          <c:extLst>
            <c:ext xmlns:c15="http://schemas.microsoft.com/office/drawing/2012/chart" uri="{02D57815-91ED-43cb-92C2-25804820EDAC}">
              <c15:datalabelsRange>
                <c15:f>Dashboard_Data!$H$24:$H$33</c15:f>
                <c15:dlblRangeCache>
                  <c:ptCount val="10"/>
                  <c:pt idx="0">
                    <c:v> 0.5 </c:v>
                  </c:pt>
                  <c:pt idx="1">
                    <c:v> 1.0 </c:v>
                  </c:pt>
                  <c:pt idx="2">
                    <c:v> 1.5 </c:v>
                  </c:pt>
                  <c:pt idx="3">
                    <c:v> 2.0 </c:v>
                  </c:pt>
                  <c:pt idx="4">
                    <c:v> 2.5 </c:v>
                  </c:pt>
                  <c:pt idx="5">
                    <c:v> 3.0 </c:v>
                  </c:pt>
                  <c:pt idx="6">
                    <c:v> 3.5 </c:v>
                  </c:pt>
                  <c:pt idx="7">
                    <c:v> 4.0 </c:v>
                  </c:pt>
                  <c:pt idx="8">
                    <c:v> 4.5 </c:v>
                  </c:pt>
                  <c:pt idx="9">
                    <c:v> 5.0+ </c:v>
                  </c:pt>
                </c15:dlblRangeCache>
              </c15:datalabelsRange>
            </c:ext>
            <c:ext xmlns:c16="http://schemas.microsoft.com/office/drawing/2014/chart" uri="{C3380CC4-5D6E-409C-BE32-E72D297353CC}">
              <c16:uniqueId val="{00000015-8927-4EFE-9804-EE62D0422642}"/>
            </c:ext>
          </c:extLst>
        </c:ser>
        <c:dLbls>
          <c:showLegendKey val="0"/>
          <c:showVal val="0"/>
          <c:showCatName val="0"/>
          <c:showSerName val="0"/>
          <c:showPercent val="0"/>
          <c:showBubbleSize val="0"/>
          <c:showLeaderLines val="1"/>
        </c:dLbls>
        <c:firstSliceAng val="270"/>
        <c:holeSize val="65"/>
      </c:doughnutChart>
      <c:pieChart>
        <c:varyColors val="1"/>
        <c:ser>
          <c:idx val="2"/>
          <c:order val="2"/>
          <c:tx>
            <c:v>Pointer</c:v>
          </c:tx>
          <c:explosion val="5"/>
          <c:dPt>
            <c:idx val="0"/>
            <c:bubble3D val="0"/>
            <c:explosion val="0"/>
            <c:spPr>
              <a:noFill/>
              <a:ln>
                <a:noFill/>
              </a:ln>
              <a:effectLst/>
            </c:spPr>
            <c:extLst>
              <c:ext xmlns:c16="http://schemas.microsoft.com/office/drawing/2014/chart" uri="{C3380CC4-5D6E-409C-BE32-E72D297353CC}">
                <c16:uniqueId val="{00000022-F44D-4BED-A38E-02892F9598A0}"/>
              </c:ext>
            </c:extLst>
          </c:dPt>
          <c:dPt>
            <c:idx val="1"/>
            <c:bubble3D val="0"/>
            <c:spPr>
              <a:solidFill>
                <a:schemeClr val="tx1">
                  <a:lumMod val="65000"/>
                  <a:lumOff val="35000"/>
                </a:schemeClr>
              </a:solidFill>
              <a:ln>
                <a:noFill/>
              </a:ln>
              <a:effectLst/>
            </c:spPr>
            <c:extLst>
              <c:ext xmlns:c16="http://schemas.microsoft.com/office/drawing/2014/chart" uri="{C3380CC4-5D6E-409C-BE32-E72D297353CC}">
                <c16:uniqueId val="{00000024-F44D-4BED-A38E-02892F9598A0}"/>
              </c:ext>
            </c:extLst>
          </c:dPt>
          <c:dPt>
            <c:idx val="2"/>
            <c:bubble3D val="0"/>
            <c:spPr>
              <a:noFill/>
              <a:ln>
                <a:noFill/>
              </a:ln>
              <a:effectLst/>
            </c:spPr>
            <c:extLst>
              <c:ext xmlns:c16="http://schemas.microsoft.com/office/drawing/2014/chart" uri="{C3380CC4-5D6E-409C-BE32-E72D297353CC}">
                <c16:uniqueId val="{00000023-F44D-4BED-A38E-02892F9598A0}"/>
              </c:ext>
            </c:extLst>
          </c:dPt>
          <c:val>
            <c:numRef>
              <c:f>Dashboard_Data!$L$24:$L$26</c:f>
              <c:numCache>
                <c:formatCode>General</c:formatCode>
                <c:ptCount val="3"/>
                <c:pt idx="0" formatCode="_(* #,##0.00_);_(* \(#,##0.00\);_(* &quot;-&quot;??_);_(@_)">
                  <c:v>55.945580015309595</c:v>
                </c:pt>
                <c:pt idx="1">
                  <c:v>1</c:v>
                </c:pt>
                <c:pt idx="2" formatCode="_(* #,##0.00_);_(* \(#,##0.00\);_(* &quot;-&quot;??_);_(@_)">
                  <c:v>303.05441998469041</c:v>
                </c:pt>
              </c:numCache>
            </c:numRef>
          </c:val>
          <c:extLst>
            <c:ext xmlns:c16="http://schemas.microsoft.com/office/drawing/2014/chart" uri="{C3380CC4-5D6E-409C-BE32-E72D297353CC}">
              <c16:uniqueId val="{00000021-F44D-4BED-A38E-02892F9598A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chemeClr val="tx1"/>
      </a:solid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36576</xdr:colOff>
      <xdr:row>8</xdr:row>
      <xdr:rowOff>80467</xdr:rowOff>
    </xdr:from>
    <xdr:to>
      <xdr:col>15</xdr:col>
      <xdr:colOff>329184</xdr:colOff>
      <xdr:row>8</xdr:row>
      <xdr:rowOff>102413</xdr:rowOff>
    </xdr:to>
    <xdr:cxnSp macro="">
      <xdr:nvCxnSpPr>
        <xdr:cNvPr id="2" name="Straight Connector 1">
          <a:extLst>
            <a:ext uri="{FF2B5EF4-FFF2-40B4-BE49-F238E27FC236}">
              <a16:creationId xmlns:a16="http://schemas.microsoft.com/office/drawing/2014/main" id="{2B6EF316-5967-4E29-827C-D0E5B3D2C896}"/>
            </a:ext>
          </a:extLst>
        </xdr:cNvPr>
        <xdr:cNvCxnSpPr/>
      </xdr:nvCxnSpPr>
      <xdr:spPr>
        <a:xfrm>
          <a:off x="322326" y="1223467"/>
          <a:ext cx="7341108" cy="21946"/>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21</xdr:row>
      <xdr:rowOff>0</xdr:rowOff>
    </xdr:from>
    <xdr:to>
      <xdr:col>15</xdr:col>
      <xdr:colOff>292608</xdr:colOff>
      <xdr:row>21</xdr:row>
      <xdr:rowOff>21946</xdr:rowOff>
    </xdr:to>
    <xdr:cxnSp macro="">
      <xdr:nvCxnSpPr>
        <xdr:cNvPr id="3" name="Straight Connector 2">
          <a:extLst>
            <a:ext uri="{FF2B5EF4-FFF2-40B4-BE49-F238E27FC236}">
              <a16:creationId xmlns:a16="http://schemas.microsoft.com/office/drawing/2014/main" id="{50F14EB9-2E7A-4E92-A724-38242CB4E897}"/>
            </a:ext>
          </a:extLst>
        </xdr:cNvPr>
        <xdr:cNvCxnSpPr/>
      </xdr:nvCxnSpPr>
      <xdr:spPr>
        <a:xfrm>
          <a:off x="285750" y="3943350"/>
          <a:ext cx="7341108" cy="21946"/>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16934</xdr:colOff>
      <xdr:row>2</xdr:row>
      <xdr:rowOff>96062</xdr:rowOff>
    </xdr:from>
    <xdr:to>
      <xdr:col>14</xdr:col>
      <xdr:colOff>331612</xdr:colOff>
      <xdr:row>6</xdr:row>
      <xdr:rowOff>168438</xdr:rowOff>
    </xdr:to>
    <xdr:pic>
      <xdr:nvPicPr>
        <xdr:cNvPr id="6" name="Picture 5">
          <a:extLst>
            <a:ext uri="{FF2B5EF4-FFF2-40B4-BE49-F238E27FC236}">
              <a16:creationId xmlns:a16="http://schemas.microsoft.com/office/drawing/2014/main" id="{3F4B2971-0B2F-9830-D970-665C4C0B2E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398" r="15528"/>
        <a:stretch>
          <a:fillRect/>
        </a:stretch>
      </xdr:blipFill>
      <xdr:spPr bwMode="auto">
        <a:xfrm>
          <a:off x="5063067" y="375462"/>
          <a:ext cx="2753078" cy="817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42332</xdr:colOff>
      <xdr:row>7</xdr:row>
      <xdr:rowOff>131232</xdr:rowOff>
    </xdr:from>
    <xdr:to>
      <xdr:col>14</xdr:col>
      <xdr:colOff>148166</xdr:colOff>
      <xdr:row>29</xdr:row>
      <xdr:rowOff>84667</xdr:rowOff>
    </xdr:to>
    <xdr:graphicFrame macro="">
      <xdr:nvGraphicFramePr>
        <xdr:cNvPr id="2" name="Chart 1">
          <a:extLst>
            <a:ext uri="{FF2B5EF4-FFF2-40B4-BE49-F238E27FC236}">
              <a16:creationId xmlns:a16="http://schemas.microsoft.com/office/drawing/2014/main" id="{5C2B4B50-3D00-1B75-5385-8E599B546C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21167</xdr:colOff>
      <xdr:row>7</xdr:row>
      <xdr:rowOff>125487</xdr:rowOff>
    </xdr:from>
    <xdr:to>
      <xdr:col>26</xdr:col>
      <xdr:colOff>317501</xdr:colOff>
      <xdr:row>29</xdr:row>
      <xdr:rowOff>78922</xdr:rowOff>
    </xdr:to>
    <xdr:graphicFrame macro="">
      <xdr:nvGraphicFramePr>
        <xdr:cNvPr id="3" name="Chart 2">
          <a:extLst>
            <a:ext uri="{FF2B5EF4-FFF2-40B4-BE49-F238E27FC236}">
              <a16:creationId xmlns:a16="http://schemas.microsoft.com/office/drawing/2014/main" id="{AF60A121-22B0-4D28-9FB4-E12CD161E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32</xdr:row>
      <xdr:rowOff>137583</xdr:rowOff>
    </xdr:from>
    <xdr:to>
      <xdr:col>14</xdr:col>
      <xdr:colOff>105834</xdr:colOff>
      <xdr:row>54</xdr:row>
      <xdr:rowOff>91018</xdr:rowOff>
    </xdr:to>
    <xdr:graphicFrame macro="">
      <xdr:nvGraphicFramePr>
        <xdr:cNvPr id="4" name="Chart 3">
          <a:extLst>
            <a:ext uri="{FF2B5EF4-FFF2-40B4-BE49-F238E27FC236}">
              <a16:creationId xmlns:a16="http://schemas.microsoft.com/office/drawing/2014/main" id="{0426C724-E064-4C13-8DE7-15EF9B646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31749</xdr:colOff>
      <xdr:row>32</xdr:row>
      <xdr:rowOff>127000</xdr:rowOff>
    </xdr:from>
    <xdr:to>
      <xdr:col>26</xdr:col>
      <xdr:colOff>328083</xdr:colOff>
      <xdr:row>54</xdr:row>
      <xdr:rowOff>80435</xdr:rowOff>
    </xdr:to>
    <xdr:graphicFrame macro="">
      <xdr:nvGraphicFramePr>
        <xdr:cNvPr id="12" name="Chart 4">
          <a:extLst>
            <a:ext uri="{FF2B5EF4-FFF2-40B4-BE49-F238E27FC236}">
              <a16:creationId xmlns:a16="http://schemas.microsoft.com/office/drawing/2014/main" id="{3575B977-5942-4145-910F-BC57E3F45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222250</xdr:colOff>
      <xdr:row>33</xdr:row>
      <xdr:rowOff>158750</xdr:rowOff>
    </xdr:from>
    <xdr:to>
      <xdr:col>17</xdr:col>
      <xdr:colOff>486833</xdr:colOff>
      <xdr:row>35</xdr:row>
      <xdr:rowOff>0</xdr:rowOff>
    </xdr:to>
    <xdr:sp macro="" textlink="">
      <xdr:nvSpPr>
        <xdr:cNvPr id="13" name="TextBox 12">
          <a:extLst>
            <a:ext uri="{FF2B5EF4-FFF2-40B4-BE49-F238E27FC236}">
              <a16:creationId xmlns:a16="http://schemas.microsoft.com/office/drawing/2014/main" id="{726E96AD-9F30-3441-5098-C6FF933F20A1}"/>
            </a:ext>
          </a:extLst>
        </xdr:cNvPr>
        <xdr:cNvSpPr txBox="1"/>
      </xdr:nvSpPr>
      <xdr:spPr>
        <a:xfrm>
          <a:off x="8212667" y="6000750"/>
          <a:ext cx="1449916" cy="2222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t>Below Requirements</a:t>
          </a:r>
        </a:p>
      </xdr:txBody>
    </xdr:sp>
    <xdr:clientData/>
  </xdr:twoCellAnchor>
  <xdr:twoCellAnchor>
    <xdr:from>
      <xdr:col>15</xdr:col>
      <xdr:colOff>226483</xdr:colOff>
      <xdr:row>35</xdr:row>
      <xdr:rowOff>4234</xdr:rowOff>
    </xdr:from>
    <xdr:to>
      <xdr:col>17</xdr:col>
      <xdr:colOff>491066</xdr:colOff>
      <xdr:row>36</xdr:row>
      <xdr:rowOff>35984</xdr:rowOff>
    </xdr:to>
    <xdr:sp macro="" textlink="">
      <xdr:nvSpPr>
        <xdr:cNvPr id="14" name="TextBox 13">
          <a:extLst>
            <a:ext uri="{FF2B5EF4-FFF2-40B4-BE49-F238E27FC236}">
              <a16:creationId xmlns:a16="http://schemas.microsoft.com/office/drawing/2014/main" id="{EEDFBDC6-D9CE-4DC6-B19B-4FBCE7555211}"/>
            </a:ext>
          </a:extLst>
        </xdr:cNvPr>
        <xdr:cNvSpPr txBox="1"/>
      </xdr:nvSpPr>
      <xdr:spPr>
        <a:xfrm>
          <a:off x="8216900" y="6227234"/>
          <a:ext cx="1449916" cy="222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t>Above Minimum</a:t>
          </a:r>
        </a:p>
      </xdr:txBody>
    </xdr:sp>
    <xdr:clientData/>
  </xdr:twoCellAnchor>
  <xdr:twoCellAnchor>
    <xdr:from>
      <xdr:col>15</xdr:col>
      <xdr:colOff>220133</xdr:colOff>
      <xdr:row>36</xdr:row>
      <xdr:rowOff>29634</xdr:rowOff>
    </xdr:from>
    <xdr:to>
      <xdr:col>17</xdr:col>
      <xdr:colOff>484716</xdr:colOff>
      <xdr:row>37</xdr:row>
      <xdr:rowOff>61384</xdr:rowOff>
    </xdr:to>
    <xdr:sp macro="" textlink="">
      <xdr:nvSpPr>
        <xdr:cNvPr id="15" name="TextBox 14">
          <a:extLst>
            <a:ext uri="{FF2B5EF4-FFF2-40B4-BE49-F238E27FC236}">
              <a16:creationId xmlns:a16="http://schemas.microsoft.com/office/drawing/2014/main" id="{DCA193AF-C57F-4754-BE59-7BB8BFEC2EEC}"/>
            </a:ext>
          </a:extLst>
        </xdr:cNvPr>
        <xdr:cNvSpPr txBox="1"/>
      </xdr:nvSpPr>
      <xdr:spPr>
        <a:xfrm>
          <a:off x="8210550" y="6443134"/>
          <a:ext cx="1449916" cy="2222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t>Highly Competitive</a:t>
          </a:r>
        </a:p>
      </xdr:txBody>
    </xdr:sp>
    <xdr:clientData/>
  </xdr:twoCellAnchor>
  <xdr:twoCellAnchor>
    <xdr:from>
      <xdr:col>20</xdr:col>
      <xdr:colOff>169332</xdr:colOff>
      <xdr:row>43</xdr:row>
      <xdr:rowOff>75595</xdr:rowOff>
    </xdr:from>
    <xdr:to>
      <xdr:col>21</xdr:col>
      <xdr:colOff>386521</xdr:colOff>
      <xdr:row>46</xdr:row>
      <xdr:rowOff>41413</xdr:rowOff>
    </xdr:to>
    <xdr:sp macro="" textlink="'Discounted Summary'!$F$34">
      <xdr:nvSpPr>
        <xdr:cNvPr id="5" name="TextBox 4">
          <a:extLst>
            <a:ext uri="{FF2B5EF4-FFF2-40B4-BE49-F238E27FC236}">
              <a16:creationId xmlns:a16="http://schemas.microsoft.com/office/drawing/2014/main" id="{7E4D5DB9-8B9C-B66D-205A-5C1EFBAC1C38}"/>
            </a:ext>
          </a:extLst>
        </xdr:cNvPr>
        <xdr:cNvSpPr txBox="1"/>
      </xdr:nvSpPr>
      <xdr:spPr>
        <a:xfrm>
          <a:off x="10550202" y="8137334"/>
          <a:ext cx="810776" cy="545601"/>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B07B52F-74B6-4AD5-8077-E63AD89B3A4A}" type="TxLink">
            <a:rPr lang="en-US" sz="2000" b="1" i="0" u="none" strike="noStrike">
              <a:solidFill>
                <a:srgbClr val="000000"/>
              </a:solidFill>
              <a:latin typeface="Calibri"/>
              <a:cs typeface="Calibri"/>
            </a:rPr>
            <a:pPr algn="ctr"/>
            <a:t> 1.55 </a:t>
          </a:fld>
          <a:endParaRPr lang="en-US" sz="20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31492-9F07-4C6D-9911-47D1AEE619EB}">
  <sheetPr>
    <tabColor rgb="FF00B0F0"/>
  </sheetPr>
  <dimension ref="A1:Q23"/>
  <sheetViews>
    <sheetView zoomScale="90" zoomScaleNormal="90" workbookViewId="0">
      <pane xSplit="17" topLeftCell="R1" activePane="topRight" state="frozen"/>
      <selection pane="topRight"/>
    </sheetView>
  </sheetViews>
  <sheetFormatPr defaultColWidth="0" defaultRowHeight="14.5" zeroHeight="1" x14ac:dyDescent="0.35"/>
  <cols>
    <col min="1" max="2" width="1.453125" style="204" customWidth="1"/>
    <col min="3" max="3" width="8.453125" style="204" customWidth="1"/>
    <col min="4" max="15" width="8.81640625" style="204" customWidth="1"/>
    <col min="16" max="16" width="6.1796875" style="204" customWidth="1"/>
    <col min="17" max="17" width="1.453125" style="204" customWidth="1"/>
    <col min="18" max="16384" width="8.81640625" style="204" hidden="1"/>
  </cols>
  <sheetData>
    <row r="1" spans="2:16" ht="7.5" customHeight="1" thickBot="1" x14ac:dyDescent="0.4"/>
    <row r="2" spans="2:16" x14ac:dyDescent="0.35">
      <c r="B2" s="488"/>
      <c r="C2" s="489"/>
      <c r="D2" s="489"/>
      <c r="E2" s="489"/>
      <c r="F2" s="489"/>
      <c r="G2" s="489"/>
      <c r="H2" s="489"/>
      <c r="I2" s="489"/>
      <c r="J2" s="489"/>
      <c r="K2" s="489"/>
      <c r="L2" s="489"/>
      <c r="M2" s="489"/>
      <c r="N2" s="489"/>
      <c r="O2" s="489"/>
      <c r="P2" s="490"/>
    </row>
    <row r="3" spans="2:16" x14ac:dyDescent="0.35">
      <c r="B3" s="491"/>
      <c r="C3" s="178"/>
      <c r="D3" s="178"/>
      <c r="E3" s="178"/>
      <c r="F3" s="178"/>
      <c r="G3" s="178"/>
      <c r="H3" s="178"/>
      <c r="I3" s="178"/>
      <c r="J3" s="178"/>
      <c r="K3" s="178"/>
      <c r="L3" s="178"/>
      <c r="M3" s="178"/>
      <c r="N3" s="178"/>
      <c r="O3" s="178"/>
      <c r="P3" s="492"/>
    </row>
    <row r="4" spans="2:16" x14ac:dyDescent="0.35">
      <c r="B4" s="491"/>
      <c r="C4" s="178"/>
      <c r="D4" s="178"/>
      <c r="E4" s="178"/>
      <c r="F4" s="178"/>
      <c r="G4" s="178"/>
      <c r="H4" s="178"/>
      <c r="I4" s="178"/>
      <c r="J4" s="178"/>
      <c r="K4" s="178"/>
      <c r="L4" s="178"/>
      <c r="M4" s="178"/>
      <c r="N4" s="178"/>
      <c r="O4" s="178"/>
      <c r="P4" s="492"/>
    </row>
    <row r="5" spans="2:16" x14ac:dyDescent="0.35">
      <c r="B5" s="491"/>
      <c r="C5" s="178"/>
      <c r="D5" s="178"/>
      <c r="E5" s="178"/>
      <c r="F5" s="178"/>
      <c r="G5" s="178"/>
      <c r="H5" s="178"/>
      <c r="I5" s="178"/>
      <c r="J5" s="178"/>
      <c r="K5" s="178"/>
      <c r="L5" s="178"/>
      <c r="M5" s="178"/>
      <c r="N5" s="178"/>
      <c r="O5" s="178"/>
      <c r="P5" s="492"/>
    </row>
    <row r="6" spans="2:16" x14ac:dyDescent="0.35">
      <c r="B6" s="491"/>
      <c r="C6" s="178"/>
      <c r="D6" s="178"/>
      <c r="E6" s="178"/>
      <c r="F6" s="178"/>
      <c r="G6" s="178"/>
      <c r="H6" s="178"/>
      <c r="I6" s="178"/>
      <c r="J6" s="178"/>
      <c r="K6" s="178"/>
      <c r="L6" s="178"/>
      <c r="M6" s="178"/>
      <c r="N6" s="178"/>
      <c r="O6" s="178"/>
      <c r="P6" s="492"/>
    </row>
    <row r="7" spans="2:16" x14ac:dyDescent="0.35">
      <c r="B7" s="491"/>
      <c r="C7" s="178"/>
      <c r="D7" s="178"/>
      <c r="E7" s="178"/>
      <c r="F7" s="178"/>
      <c r="G7" s="178"/>
      <c r="H7" s="178"/>
      <c r="I7" s="178"/>
      <c r="J7" s="178"/>
      <c r="K7" s="178"/>
      <c r="L7" s="178"/>
      <c r="M7" s="178"/>
      <c r="N7" s="178"/>
      <c r="O7" s="178"/>
      <c r="P7" s="492"/>
    </row>
    <row r="8" spans="2:16" x14ac:dyDescent="0.35">
      <c r="B8" s="491"/>
      <c r="C8" s="178"/>
      <c r="D8" s="178"/>
      <c r="E8" s="178"/>
      <c r="F8" s="178"/>
      <c r="G8" s="178"/>
      <c r="H8" s="178"/>
      <c r="I8" s="178"/>
      <c r="J8" s="178"/>
      <c r="K8" s="178"/>
      <c r="L8" s="178"/>
      <c r="M8" s="178"/>
      <c r="N8" s="178"/>
      <c r="O8" s="178"/>
      <c r="P8" s="492"/>
    </row>
    <row r="9" spans="2:16" x14ac:dyDescent="0.35">
      <c r="B9" s="491"/>
      <c r="C9" s="178"/>
      <c r="D9" s="178"/>
      <c r="E9" s="178"/>
      <c r="F9" s="178"/>
      <c r="G9" s="178"/>
      <c r="H9" s="178"/>
      <c r="I9" s="178"/>
      <c r="J9" s="178"/>
      <c r="K9" s="178"/>
      <c r="L9" s="178"/>
      <c r="M9" s="178"/>
      <c r="N9" s="178"/>
      <c r="O9" s="178"/>
      <c r="P9" s="492"/>
    </row>
    <row r="10" spans="2:16" x14ac:dyDescent="0.35">
      <c r="B10" s="491"/>
      <c r="C10" s="178"/>
      <c r="D10" s="178"/>
      <c r="E10" s="178"/>
      <c r="F10" s="178"/>
      <c r="G10" s="178"/>
      <c r="H10" s="178"/>
      <c r="I10" s="178"/>
      <c r="J10" s="178"/>
      <c r="K10" s="178"/>
      <c r="L10" s="178"/>
      <c r="M10" s="178"/>
      <c r="N10" s="178"/>
      <c r="O10" s="178"/>
      <c r="P10" s="492"/>
    </row>
    <row r="11" spans="2:16" ht="25" x14ac:dyDescent="0.5">
      <c r="B11" s="491"/>
      <c r="C11" s="525" t="s">
        <v>0</v>
      </c>
      <c r="D11" s="178"/>
      <c r="E11" s="178"/>
      <c r="F11" s="178"/>
      <c r="G11" s="178"/>
      <c r="H11" s="178"/>
      <c r="I11" s="178"/>
      <c r="J11" s="178"/>
      <c r="K11" s="178"/>
      <c r="L11" s="178"/>
      <c r="M11" s="178"/>
      <c r="N11" s="178"/>
      <c r="O11" s="178"/>
      <c r="P11" s="492"/>
    </row>
    <row r="12" spans="2:16" ht="13" customHeight="1" x14ac:dyDescent="0.5">
      <c r="B12" s="491"/>
      <c r="C12" s="526"/>
      <c r="D12" s="178"/>
      <c r="E12" s="178"/>
      <c r="F12" s="178"/>
      <c r="G12" s="178"/>
      <c r="H12" s="178"/>
      <c r="I12" s="178"/>
      <c r="J12" s="178"/>
      <c r="K12" s="178"/>
      <c r="L12" s="178"/>
      <c r="M12" s="178"/>
      <c r="N12" s="178"/>
      <c r="O12" s="178"/>
      <c r="P12" s="492"/>
    </row>
    <row r="13" spans="2:16" ht="26.5" customHeight="1" x14ac:dyDescent="0.45">
      <c r="B13" s="491"/>
      <c r="C13" s="527" t="s">
        <v>1</v>
      </c>
      <c r="D13" s="178"/>
      <c r="E13" s="178"/>
      <c r="F13" s="178"/>
      <c r="G13" s="178"/>
      <c r="H13" s="178"/>
      <c r="I13" s="178"/>
      <c r="J13" s="178"/>
      <c r="K13" s="178"/>
      <c r="L13"/>
      <c r="M13" s="178"/>
      <c r="N13" s="178"/>
      <c r="O13" s="178"/>
      <c r="P13" s="492"/>
    </row>
    <row r="14" spans="2:16" ht="11.15" customHeight="1" x14ac:dyDescent="0.45">
      <c r="B14" s="491"/>
      <c r="C14" s="527"/>
      <c r="D14" s="178"/>
      <c r="E14" s="178"/>
      <c r="F14" s="178"/>
      <c r="G14" s="178"/>
      <c r="H14" s="178"/>
      <c r="I14" s="178"/>
      <c r="J14" s="178"/>
      <c r="K14" s="178"/>
      <c r="L14" s="178"/>
      <c r="M14" s="178"/>
      <c r="N14" s="178"/>
      <c r="O14" s="178"/>
      <c r="P14" s="492"/>
    </row>
    <row r="15" spans="2:16" ht="22.5" x14ac:dyDescent="0.45">
      <c r="B15" s="491"/>
      <c r="C15" s="527" t="s">
        <v>2</v>
      </c>
      <c r="D15" s="178"/>
      <c r="E15" s="178"/>
      <c r="F15" s="178"/>
      <c r="G15" s="178"/>
      <c r="H15" s="178"/>
      <c r="I15" s="178"/>
      <c r="J15" s="178"/>
      <c r="K15" s="178"/>
      <c r="L15" s="178"/>
      <c r="M15" s="178"/>
      <c r="N15" s="178"/>
      <c r="O15" s="178"/>
      <c r="P15" s="492"/>
    </row>
    <row r="16" spans="2:16" x14ac:dyDescent="0.35">
      <c r="B16" s="491"/>
      <c r="C16" s="178"/>
      <c r="D16" s="178"/>
      <c r="E16" s="178"/>
      <c r="F16" s="178"/>
      <c r="G16" s="178"/>
      <c r="H16" s="178"/>
      <c r="I16" s="178"/>
      <c r="J16" s="178"/>
      <c r="K16" s="178"/>
      <c r="L16" s="178"/>
      <c r="M16" s="178"/>
      <c r="N16" s="178"/>
      <c r="O16" s="178"/>
      <c r="P16" s="492"/>
    </row>
    <row r="17" spans="2:16" x14ac:dyDescent="0.35">
      <c r="B17" s="491"/>
      <c r="C17" s="178"/>
      <c r="D17" s="178"/>
      <c r="E17" s="178"/>
      <c r="F17" s="178"/>
      <c r="G17" s="178"/>
      <c r="H17" s="178"/>
      <c r="I17" s="178"/>
      <c r="J17" s="178"/>
      <c r="K17" s="178"/>
      <c r="L17" s="178"/>
      <c r="M17" s="178"/>
      <c r="N17" s="178"/>
      <c r="O17" s="178"/>
      <c r="P17" s="492"/>
    </row>
    <row r="18" spans="2:16" x14ac:dyDescent="0.35">
      <c r="B18" s="491"/>
      <c r="C18" s="178" t="s">
        <v>1137</v>
      </c>
      <c r="D18" s="178"/>
      <c r="E18" s="178"/>
      <c r="F18" s="178"/>
      <c r="G18" s="178"/>
      <c r="H18" s="178"/>
      <c r="I18" s="178"/>
      <c r="J18" s="178"/>
      <c r="K18" s="178"/>
      <c r="L18" s="178"/>
      <c r="M18" s="178"/>
      <c r="N18" s="178"/>
      <c r="O18" s="178"/>
      <c r="P18" s="492"/>
    </row>
    <row r="19" spans="2:16" x14ac:dyDescent="0.35">
      <c r="B19" s="491"/>
      <c r="C19" s="528" t="s">
        <v>3</v>
      </c>
      <c r="D19" s="178"/>
      <c r="E19" s="178"/>
      <c r="F19" s="178"/>
      <c r="G19" s="178"/>
      <c r="H19" s="178"/>
      <c r="I19" s="178"/>
      <c r="J19" s="178"/>
      <c r="K19" s="178"/>
      <c r="L19" s="178"/>
      <c r="M19" s="178"/>
      <c r="N19" s="178"/>
      <c r="O19" s="178"/>
      <c r="P19" s="492"/>
    </row>
    <row r="20" spans="2:16" x14ac:dyDescent="0.35">
      <c r="B20" s="491"/>
      <c r="C20" s="178"/>
      <c r="D20" s="178"/>
      <c r="E20" s="178"/>
      <c r="F20" s="178"/>
      <c r="G20" s="178"/>
      <c r="H20" s="178"/>
      <c r="I20" s="178"/>
      <c r="J20" s="178"/>
      <c r="K20" s="178"/>
      <c r="L20" s="178"/>
      <c r="M20" s="178"/>
      <c r="N20" s="178"/>
      <c r="O20" s="178"/>
      <c r="P20" s="492"/>
    </row>
    <row r="21" spans="2:16" x14ac:dyDescent="0.35">
      <c r="B21" s="491"/>
      <c r="C21" s="178"/>
      <c r="D21" s="178"/>
      <c r="E21" s="178"/>
      <c r="F21" s="178"/>
      <c r="G21" s="178"/>
      <c r="H21" s="178"/>
      <c r="I21" s="178"/>
      <c r="J21" s="178"/>
      <c r="K21" s="178"/>
      <c r="L21" s="178"/>
      <c r="M21" s="178"/>
      <c r="N21" s="178"/>
      <c r="O21" s="178"/>
      <c r="P21" s="492"/>
    </row>
    <row r="22" spans="2:16" ht="15" thickBot="1" x14ac:dyDescent="0.4">
      <c r="B22" s="493"/>
      <c r="C22" s="494"/>
      <c r="D22" s="494"/>
      <c r="E22" s="494"/>
      <c r="F22" s="494"/>
      <c r="G22" s="494"/>
      <c r="H22" s="494"/>
      <c r="I22" s="494"/>
      <c r="J22" s="494"/>
      <c r="K22" s="494"/>
      <c r="L22" s="494"/>
      <c r="M22" s="494"/>
      <c r="N22" s="494"/>
      <c r="O22" s="494"/>
      <c r="P22" s="495"/>
    </row>
    <row r="23" spans="2:16" ht="7.5" customHeight="1" x14ac:dyDescent="0.35"/>
  </sheetData>
  <pageMargins left="0.7" right="0.7" top="0.75" bottom="0.75" header="0.3" footer="0.3"/>
  <pageSetup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I34"/>
  <sheetViews>
    <sheetView zoomScale="90" zoomScaleNormal="90" workbookViewId="0">
      <selection activeCell="H13" sqref="H13"/>
    </sheetView>
  </sheetViews>
  <sheetFormatPr defaultColWidth="0" defaultRowHeight="0" customHeight="1" zeroHeight="1" x14ac:dyDescent="0.35"/>
  <cols>
    <col min="1" max="1" width="1.453125" style="4" customWidth="1"/>
    <col min="2" max="2" width="1.453125" style="2" customWidth="1"/>
    <col min="3" max="3" width="1.453125" style="3" customWidth="1"/>
    <col min="4" max="4" width="1.453125" style="4" customWidth="1"/>
    <col min="5" max="5" width="53.81640625" style="4" customWidth="1"/>
    <col min="6" max="6" width="23.453125" style="4" customWidth="1"/>
    <col min="7" max="7" width="24.453125" style="4" bestFit="1" customWidth="1"/>
    <col min="8" max="8" width="12.54296875" style="4" bestFit="1" customWidth="1"/>
    <col min="9" max="9" width="9.1796875" style="4" customWidth="1"/>
    <col min="10" max="16384" width="9.1796875" style="4" hidden="1"/>
  </cols>
  <sheetData>
    <row r="1" spans="1:8" s="385" customFormat="1" ht="15.5" x14ac:dyDescent="0.35">
      <c r="A1" s="364" t="s">
        <v>713</v>
      </c>
      <c r="B1" s="365"/>
      <c r="C1" s="365"/>
      <c r="D1" s="365"/>
      <c r="E1" s="365"/>
      <c r="F1" s="365"/>
      <c r="G1" s="365"/>
      <c r="H1" s="365"/>
    </row>
    <row r="2" spans="1:8" s="178" customFormat="1" ht="5.5" customHeight="1" x14ac:dyDescent="0.35">
      <c r="G2" s="179"/>
    </row>
    <row r="3" spans="1:8" s="178" customFormat="1" ht="14.5" x14ac:dyDescent="0.35">
      <c r="E3" s="180" t="s">
        <v>714</v>
      </c>
      <c r="G3" s="179"/>
    </row>
    <row r="4" spans="1:8" s="178" customFormat="1" ht="14.5" x14ac:dyDescent="0.35">
      <c r="E4" s="178" t="str">
        <f>'Guide for Reviewers'!B3</f>
        <v>I-35 McClain County</v>
      </c>
      <c r="G4" s="179"/>
    </row>
    <row r="5" spans="1:8" s="178" customFormat="1" ht="14.5" x14ac:dyDescent="0.35">
      <c r="E5" s="178" t="str">
        <f>'Guide for Reviewers'!B4</f>
        <v>Oklahoma Department of Transportation</v>
      </c>
      <c r="G5" s="179"/>
    </row>
    <row r="6" spans="1:8" s="1" customFormat="1" ht="29" x14ac:dyDescent="0.35">
      <c r="B6" s="5"/>
      <c r="C6" s="6"/>
      <c r="E6" s="1" t="s">
        <v>92</v>
      </c>
      <c r="F6" s="1" t="s">
        <v>112</v>
      </c>
      <c r="G6" s="1" t="s">
        <v>113</v>
      </c>
      <c r="H6" s="94" t="s">
        <v>114</v>
      </c>
    </row>
    <row r="7" spans="1:8" s="178" customFormat="1" ht="5.5" customHeight="1" x14ac:dyDescent="0.35">
      <c r="G7" s="179"/>
    </row>
    <row r="8" spans="1:8" ht="14.5" x14ac:dyDescent="0.35">
      <c r="A8" s="5" t="s">
        <v>715</v>
      </c>
    </row>
    <row r="9" spans="1:8" s="178" customFormat="1" ht="5.5" customHeight="1" x14ac:dyDescent="0.35">
      <c r="G9" s="179"/>
    </row>
    <row r="10" spans="1:8" ht="14.5" x14ac:dyDescent="0.35">
      <c r="A10" s="10"/>
      <c r="D10" s="10"/>
      <c r="E10" s="10" t="s">
        <v>1140</v>
      </c>
      <c r="F10" s="10"/>
      <c r="G10" s="4" t="s">
        <v>77</v>
      </c>
      <c r="H10" s="134">
        <v>7.0000000000000007E-2</v>
      </c>
    </row>
    <row r="11" spans="1:8" s="178" customFormat="1" ht="5.5" customHeight="1" x14ac:dyDescent="0.35">
      <c r="G11" s="179"/>
    </row>
    <row r="12" spans="1:8" ht="14.5" x14ac:dyDescent="0.35">
      <c r="A12" s="10"/>
      <c r="D12" s="10"/>
      <c r="E12" s="10" t="s">
        <v>716</v>
      </c>
      <c r="F12" s="10" t="s">
        <v>717</v>
      </c>
      <c r="G12" s="4" t="s">
        <v>121</v>
      </c>
      <c r="H12" s="31">
        <v>2023</v>
      </c>
    </row>
    <row r="13" spans="1:8" ht="14.5" x14ac:dyDescent="0.35">
      <c r="A13" s="10"/>
      <c r="D13" s="10"/>
      <c r="E13" s="10" t="s">
        <v>718</v>
      </c>
      <c r="F13" s="10" t="s">
        <v>717</v>
      </c>
      <c r="G13" s="4" t="s">
        <v>121</v>
      </c>
      <c r="H13" s="31">
        <v>2028</v>
      </c>
    </row>
    <row r="14" spans="1:8" ht="14.5" x14ac:dyDescent="0.35">
      <c r="A14" s="10"/>
      <c r="D14" s="10"/>
      <c r="E14" s="10" t="s">
        <v>719</v>
      </c>
      <c r="F14" s="10" t="s">
        <v>717</v>
      </c>
      <c r="G14" s="4" t="s">
        <v>95</v>
      </c>
      <c r="H14" s="43">
        <f>H13-H12+1</f>
        <v>6</v>
      </c>
    </row>
    <row r="15" spans="1:8" ht="14.5" x14ac:dyDescent="0.35">
      <c r="A15" s="10"/>
      <c r="D15" s="10"/>
      <c r="E15" s="10" t="s">
        <v>720</v>
      </c>
      <c r="F15" s="10" t="s">
        <v>717</v>
      </c>
      <c r="G15" s="4" t="s">
        <v>121</v>
      </c>
      <c r="H15" s="31">
        <v>2029</v>
      </c>
    </row>
    <row r="16" spans="1:8" ht="14.5" x14ac:dyDescent="0.35">
      <c r="A16" s="10"/>
      <c r="D16" s="10"/>
      <c r="E16" s="10" t="s">
        <v>721</v>
      </c>
      <c r="F16" s="10" t="s">
        <v>717</v>
      </c>
      <c r="G16" s="4" t="s">
        <v>121</v>
      </c>
      <c r="H16" s="31">
        <v>2048</v>
      </c>
    </row>
    <row r="17" spans="1:8" ht="14.5" x14ac:dyDescent="0.35">
      <c r="A17" s="10"/>
      <c r="D17" s="10"/>
      <c r="E17" s="10" t="s">
        <v>722</v>
      </c>
      <c r="F17" s="10" t="s">
        <v>717</v>
      </c>
      <c r="G17" s="10" t="s">
        <v>723</v>
      </c>
      <c r="H17" s="112"/>
    </row>
    <row r="18" spans="1:8" ht="14.5" x14ac:dyDescent="0.35">
      <c r="A18" s="10"/>
      <c r="D18" s="10"/>
      <c r="E18" s="4" t="s">
        <v>724</v>
      </c>
      <c r="F18" s="10" t="s">
        <v>725</v>
      </c>
      <c r="G18" s="4" t="s">
        <v>95</v>
      </c>
      <c r="H18" s="43">
        <f>H16-H15+1</f>
        <v>20</v>
      </c>
    </row>
    <row r="19" spans="1:8" ht="14.5" x14ac:dyDescent="0.35">
      <c r="A19" s="10"/>
      <c r="D19" s="10"/>
      <c r="E19" s="10" t="s">
        <v>726</v>
      </c>
      <c r="F19" s="10" t="s">
        <v>725</v>
      </c>
      <c r="G19" s="4" t="s">
        <v>95</v>
      </c>
      <c r="H19" s="43">
        <f>H18+H14</f>
        <v>26</v>
      </c>
    </row>
    <row r="20" spans="1:8" s="178" customFormat="1" ht="5.5" customHeight="1" x14ac:dyDescent="0.35">
      <c r="G20" s="179"/>
    </row>
    <row r="21" spans="1:8" ht="14.5" x14ac:dyDescent="0.35">
      <c r="A21" s="10"/>
      <c r="D21" s="10"/>
      <c r="E21" s="10" t="s">
        <v>727</v>
      </c>
      <c r="F21" s="10" t="s">
        <v>717</v>
      </c>
      <c r="G21" s="4" t="s">
        <v>77</v>
      </c>
      <c r="H21" s="113">
        <v>1</v>
      </c>
    </row>
    <row r="22" spans="1:8" ht="14.5" x14ac:dyDescent="0.35">
      <c r="A22" s="10"/>
      <c r="D22" s="10"/>
      <c r="E22" s="10" t="s">
        <v>728</v>
      </c>
      <c r="F22" s="10" t="s">
        <v>717</v>
      </c>
      <c r="G22" s="4" t="s">
        <v>77</v>
      </c>
      <c r="H22" s="288">
        <f>1-H21</f>
        <v>0</v>
      </c>
    </row>
    <row r="23" spans="1:8" s="178" customFormat="1" ht="5.5" customHeight="1" x14ac:dyDescent="0.35">
      <c r="G23" s="179"/>
    </row>
    <row r="24" spans="1:8" ht="14.5" x14ac:dyDescent="0.35">
      <c r="A24" s="10"/>
      <c r="D24" s="10"/>
      <c r="E24" s="10" t="s">
        <v>729</v>
      </c>
      <c r="F24" s="10" t="s">
        <v>717</v>
      </c>
      <c r="G24" s="4" t="s">
        <v>730</v>
      </c>
      <c r="H24" s="114" t="s">
        <v>444</v>
      </c>
    </row>
    <row r="25" spans="1:8" s="178" customFormat="1" ht="5.5" customHeight="1" x14ac:dyDescent="0.35">
      <c r="G25" s="179"/>
    </row>
    <row r="26" spans="1:8" s="10" customFormat="1" ht="14.5" x14ac:dyDescent="0.35">
      <c r="A26" s="84" t="s">
        <v>731</v>
      </c>
      <c r="B26" s="13"/>
      <c r="C26" s="14"/>
      <c r="E26" s="4"/>
      <c r="F26" s="4"/>
      <c r="G26" s="4"/>
      <c r="H26" s="4"/>
    </row>
    <row r="27" spans="1:8" s="178" customFormat="1" ht="5.5" customHeight="1" x14ac:dyDescent="0.35">
      <c r="G27" s="179"/>
    </row>
    <row r="28" spans="1:8" s="10" customFormat="1" ht="14.5" x14ac:dyDescent="0.35">
      <c r="B28" s="13"/>
      <c r="C28" s="14"/>
      <c r="D28" s="108" t="s">
        <v>732</v>
      </c>
      <c r="E28" s="4"/>
      <c r="F28" s="4"/>
      <c r="G28" s="4"/>
      <c r="H28" s="4"/>
    </row>
    <row r="29" spans="1:8" s="10" customFormat="1" ht="14.5" x14ac:dyDescent="0.35">
      <c r="B29" s="13"/>
      <c r="C29" s="14"/>
      <c r="D29" s="108"/>
      <c r="E29" s="4" t="s">
        <v>733</v>
      </c>
      <c r="F29" s="4"/>
      <c r="G29" s="4" t="s">
        <v>734</v>
      </c>
      <c r="H29" s="176" t="str">
        <f>'Project Costs'!H150</f>
        <v>I-35 Segment</v>
      </c>
    </row>
    <row r="30" spans="1:8" s="10" customFormat="1" ht="14.5" x14ac:dyDescent="0.35">
      <c r="B30" s="13"/>
      <c r="C30" s="14"/>
      <c r="E30" s="78" t="s">
        <v>735</v>
      </c>
      <c r="G30" s="78" t="s">
        <v>95</v>
      </c>
      <c r="H30" s="176">
        <f>'Project Costs'!H151</f>
        <v>30</v>
      </c>
    </row>
    <row r="31" spans="1:8" s="10" customFormat="1" ht="14.5" x14ac:dyDescent="0.35">
      <c r="B31" s="13"/>
      <c r="C31" s="14"/>
      <c r="E31" s="78" t="s">
        <v>736</v>
      </c>
      <c r="G31" s="78" t="s">
        <v>121</v>
      </c>
      <c r="H31" s="176">
        <f>'Project Costs'!H152</f>
        <v>2028</v>
      </c>
    </row>
    <row r="32" spans="1:8" ht="14.5" x14ac:dyDescent="0.35">
      <c r="E32" s="78" t="s">
        <v>737</v>
      </c>
      <c r="G32" s="78" t="s">
        <v>121</v>
      </c>
      <c r="H32" s="176">
        <f>'Project Costs'!H153</f>
        <v>2048</v>
      </c>
    </row>
    <row r="33" spans="5:8" ht="14.5" x14ac:dyDescent="0.35">
      <c r="E33" s="78" t="s">
        <v>738</v>
      </c>
      <c r="G33" s="78" t="str">
        <f>'Project Costs'!G154</f>
        <v>$2024</v>
      </c>
      <c r="H33" s="177">
        <f>'Project Costs'!H154</f>
        <v>35435534.028407812</v>
      </c>
    </row>
    <row r="34" spans="5:8" s="178" customFormat="1" ht="5.5" customHeight="1" x14ac:dyDescent="0.35">
      <c r="G34" s="1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76F55-317F-4E79-9C95-743D3CA13D1B}">
  <sheetPr>
    <tabColor theme="9" tint="0.59999389629810485"/>
  </sheetPr>
  <dimension ref="A1:BD155"/>
  <sheetViews>
    <sheetView zoomScale="90" zoomScaleNormal="90" workbookViewId="0">
      <pane xSplit="8" ySplit="7" topLeftCell="R89" activePane="bottomRight" state="frozen"/>
      <selection pane="topRight" sqref="A1:XFD1"/>
      <selection pane="bottomLeft" sqref="A1:XFD1"/>
      <selection pane="bottomRight" activeCell="H64" sqref="H64:H66"/>
    </sheetView>
  </sheetViews>
  <sheetFormatPr defaultColWidth="0" defaultRowHeight="14.5" zeroHeight="1" x14ac:dyDescent="0.35"/>
  <cols>
    <col min="1" max="4" width="1.453125" style="178" customWidth="1"/>
    <col min="5" max="5" width="55.1796875" style="178" bestFit="1" customWidth="1"/>
    <col min="6" max="6" width="36.453125" style="178" customWidth="1"/>
    <col min="7" max="7" width="11.453125" style="179" bestFit="1" customWidth="1"/>
    <col min="8" max="8" width="19.6328125" customWidth="1"/>
    <col min="9" max="9" width="10" bestFit="1" customWidth="1"/>
    <col min="10" max="11" width="11.54296875" bestFit="1" customWidth="1"/>
    <col min="12" max="12" width="12.54296875" customWidth="1"/>
    <col min="13" max="13" width="12.54296875" bestFit="1" customWidth="1"/>
    <col min="14" max="14" width="14.54296875" customWidth="1"/>
    <col min="15" max="15" width="11.54296875" bestFit="1" customWidth="1"/>
    <col min="16" max="17" width="5.54296875" bestFit="1" customWidth="1"/>
    <col min="18" max="18" width="16.54296875" customWidth="1"/>
    <col min="19" max="19" width="5.54296875" bestFit="1" customWidth="1"/>
    <col min="20" max="20" width="8.81640625" bestFit="1" customWidth="1"/>
    <col min="21" max="22" width="5.54296875" bestFit="1" customWidth="1"/>
    <col min="23" max="54" width="8.81640625" customWidth="1"/>
    <col min="55" max="16384" width="8.81640625" hidden="1"/>
  </cols>
  <sheetData>
    <row r="1" spans="1:56" s="386" customFormat="1" ht="15.5" x14ac:dyDescent="0.35">
      <c r="A1" s="367" t="s">
        <v>713</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67"/>
      <c r="AX1" s="367"/>
      <c r="AY1" s="367"/>
      <c r="AZ1" s="367"/>
      <c r="BA1" s="367"/>
    </row>
    <row r="2" spans="1:56" s="178" customFormat="1" ht="5.5" customHeight="1" x14ac:dyDescent="0.35">
      <c r="G2" s="179"/>
    </row>
    <row r="3" spans="1:56" s="178" customFormat="1" x14ac:dyDescent="0.35">
      <c r="E3" s="180" t="s">
        <v>739</v>
      </c>
      <c r="F3" s="180"/>
      <c r="G3" s="181"/>
    </row>
    <row r="4" spans="1:56" s="178" customFormat="1" x14ac:dyDescent="0.35">
      <c r="E4" s="178" t="str">
        <f>'Guide for Reviewers'!B3</f>
        <v>I-35 McClain County</v>
      </c>
      <c r="G4" s="179"/>
    </row>
    <row r="5" spans="1:56" s="178" customFormat="1" x14ac:dyDescent="0.35">
      <c r="E5" s="178" t="str">
        <f>'Guide for Reviewers'!B4</f>
        <v>Oklahoma Department of Transportation</v>
      </c>
      <c r="G5" s="1" t="s">
        <v>575</v>
      </c>
      <c r="I5" s="555">
        <f>StockValueC!$H$12</f>
        <v>2023</v>
      </c>
      <c r="J5" s="180">
        <f>I5+1</f>
        <v>2024</v>
      </c>
      <c r="K5" s="180">
        <f t="shared" ref="K5:BA5" si="0">J5+1</f>
        <v>2025</v>
      </c>
      <c r="L5" s="180">
        <f t="shared" si="0"/>
        <v>2026</v>
      </c>
      <c r="M5" s="180">
        <f t="shared" si="0"/>
        <v>2027</v>
      </c>
      <c r="N5" s="180">
        <f t="shared" si="0"/>
        <v>2028</v>
      </c>
      <c r="O5" s="180">
        <f t="shared" si="0"/>
        <v>2029</v>
      </c>
      <c r="P5" s="180">
        <f t="shared" si="0"/>
        <v>2030</v>
      </c>
      <c r="Q5" s="180">
        <f t="shared" si="0"/>
        <v>2031</v>
      </c>
      <c r="R5" s="180">
        <f t="shared" si="0"/>
        <v>2032</v>
      </c>
      <c r="S5" s="180">
        <f t="shared" si="0"/>
        <v>2033</v>
      </c>
      <c r="T5" s="180">
        <f t="shared" si="0"/>
        <v>2034</v>
      </c>
      <c r="U5" s="180">
        <f t="shared" si="0"/>
        <v>2035</v>
      </c>
      <c r="V5" s="180">
        <f t="shared" si="0"/>
        <v>2036</v>
      </c>
      <c r="W5" s="180">
        <f t="shared" si="0"/>
        <v>2037</v>
      </c>
      <c r="X5" s="180">
        <f t="shared" si="0"/>
        <v>2038</v>
      </c>
      <c r="Y5" s="180">
        <f t="shared" si="0"/>
        <v>2039</v>
      </c>
      <c r="Z5" s="180">
        <f t="shared" si="0"/>
        <v>2040</v>
      </c>
      <c r="AA5" s="180">
        <f t="shared" si="0"/>
        <v>2041</v>
      </c>
      <c r="AB5" s="180">
        <f t="shared" si="0"/>
        <v>2042</v>
      </c>
      <c r="AC5" s="180">
        <f t="shared" si="0"/>
        <v>2043</v>
      </c>
      <c r="AD5" s="180">
        <f t="shared" si="0"/>
        <v>2044</v>
      </c>
      <c r="AE5" s="180">
        <f t="shared" si="0"/>
        <v>2045</v>
      </c>
      <c r="AF5" s="180">
        <f t="shared" si="0"/>
        <v>2046</v>
      </c>
      <c r="AG5" s="180">
        <f t="shared" si="0"/>
        <v>2047</v>
      </c>
      <c r="AH5" s="180">
        <f t="shared" si="0"/>
        <v>2048</v>
      </c>
      <c r="AI5" s="180">
        <f t="shared" si="0"/>
        <v>2049</v>
      </c>
      <c r="AJ5" s="180">
        <f t="shared" si="0"/>
        <v>2050</v>
      </c>
      <c r="AK5" s="180">
        <f t="shared" si="0"/>
        <v>2051</v>
      </c>
      <c r="AL5" s="180">
        <f t="shared" si="0"/>
        <v>2052</v>
      </c>
      <c r="AM5" s="180">
        <f t="shared" si="0"/>
        <v>2053</v>
      </c>
      <c r="AN5" s="180">
        <f t="shared" si="0"/>
        <v>2054</v>
      </c>
      <c r="AO5" s="180">
        <f t="shared" si="0"/>
        <v>2055</v>
      </c>
      <c r="AP5" s="180">
        <f t="shared" si="0"/>
        <v>2056</v>
      </c>
      <c r="AQ5" s="180">
        <f t="shared" si="0"/>
        <v>2057</v>
      </c>
      <c r="AR5" s="180">
        <f t="shared" si="0"/>
        <v>2058</v>
      </c>
      <c r="AS5" s="180">
        <f t="shared" si="0"/>
        <v>2059</v>
      </c>
      <c r="AT5" s="180">
        <f t="shared" si="0"/>
        <v>2060</v>
      </c>
      <c r="AU5" s="180">
        <f t="shared" si="0"/>
        <v>2061</v>
      </c>
      <c r="AV5" s="180">
        <f t="shared" si="0"/>
        <v>2062</v>
      </c>
      <c r="AW5" s="180">
        <f t="shared" si="0"/>
        <v>2063</v>
      </c>
      <c r="AX5" s="180">
        <f t="shared" si="0"/>
        <v>2064</v>
      </c>
      <c r="AY5" s="180">
        <f t="shared" si="0"/>
        <v>2065</v>
      </c>
      <c r="AZ5" s="180">
        <f t="shared" si="0"/>
        <v>2066</v>
      </c>
      <c r="BA5" s="180">
        <f t="shared" si="0"/>
        <v>2067</v>
      </c>
      <c r="BB5" s="180"/>
    </row>
    <row r="6" spans="1:56" s="178" customFormat="1" x14ac:dyDescent="0.35">
      <c r="E6" s="178" t="str">
        <f>'Discount Calc'!E27</f>
        <v>Operations period flag</v>
      </c>
      <c r="G6" s="178" t="str">
        <f>'Discount Calc'!G27</f>
        <v>Factor</v>
      </c>
      <c r="H6" s="196">
        <f>'Discount Calc'!H27</f>
        <v>20</v>
      </c>
      <c r="I6" s="196">
        <f>'Discount Calc'!I27</f>
        <v>0</v>
      </c>
      <c r="J6" s="196">
        <f>'Discount Calc'!J27</f>
        <v>0</v>
      </c>
      <c r="K6" s="196">
        <f>'Discount Calc'!K27</f>
        <v>0</v>
      </c>
      <c r="L6" s="196">
        <f>'Discount Calc'!L27</f>
        <v>0</v>
      </c>
      <c r="M6" s="196">
        <f>'Discount Calc'!M27</f>
        <v>0</v>
      </c>
      <c r="N6" s="196">
        <f>'Discount Calc'!N27</f>
        <v>0</v>
      </c>
      <c r="O6" s="196">
        <f>'Discount Calc'!O27</f>
        <v>1</v>
      </c>
      <c r="P6" s="196">
        <f>'Discount Calc'!P27</f>
        <v>1</v>
      </c>
      <c r="Q6" s="196">
        <f>'Discount Calc'!Q27</f>
        <v>1</v>
      </c>
      <c r="R6" s="196">
        <f>'Discount Calc'!R27</f>
        <v>1</v>
      </c>
      <c r="S6" s="196">
        <f>'Discount Calc'!S27</f>
        <v>1</v>
      </c>
      <c r="T6" s="196">
        <f>'Discount Calc'!T27</f>
        <v>1</v>
      </c>
      <c r="U6" s="196">
        <f>'Discount Calc'!U27</f>
        <v>1</v>
      </c>
      <c r="V6" s="196">
        <f>'Discount Calc'!V27</f>
        <v>1</v>
      </c>
      <c r="W6" s="196">
        <f>'Discount Calc'!W27</f>
        <v>1</v>
      </c>
      <c r="X6" s="196">
        <f>'Discount Calc'!X27</f>
        <v>1</v>
      </c>
      <c r="Y6" s="196">
        <f>'Discount Calc'!Y27</f>
        <v>1</v>
      </c>
      <c r="Z6" s="196">
        <f>'Discount Calc'!Z27</f>
        <v>1</v>
      </c>
      <c r="AA6" s="196">
        <f>'Discount Calc'!AA27</f>
        <v>1</v>
      </c>
      <c r="AB6" s="196">
        <f>'Discount Calc'!AB27</f>
        <v>1</v>
      </c>
      <c r="AC6" s="196">
        <f>'Discount Calc'!AC27</f>
        <v>1</v>
      </c>
      <c r="AD6" s="196">
        <f>'Discount Calc'!AD27</f>
        <v>1</v>
      </c>
      <c r="AE6" s="196">
        <f>'Discount Calc'!AE27</f>
        <v>1</v>
      </c>
      <c r="AF6" s="196">
        <f>'Discount Calc'!AF27</f>
        <v>1</v>
      </c>
      <c r="AG6" s="196">
        <f>'Discount Calc'!AG27</f>
        <v>1</v>
      </c>
      <c r="AH6" s="196">
        <f>'Discount Calc'!AH27</f>
        <v>1</v>
      </c>
      <c r="AI6" s="196">
        <f>'Discount Calc'!AI27</f>
        <v>0</v>
      </c>
      <c r="AJ6" s="196">
        <f>'Discount Calc'!AJ27</f>
        <v>0</v>
      </c>
      <c r="AK6" s="196">
        <f>'Discount Calc'!AK27</f>
        <v>0</v>
      </c>
      <c r="AL6" s="196">
        <f>'Discount Calc'!AL27</f>
        <v>0</v>
      </c>
      <c r="AM6" s="196">
        <f>'Discount Calc'!AM27</f>
        <v>0</v>
      </c>
      <c r="AN6" s="196">
        <f>'Discount Calc'!AN27</f>
        <v>0</v>
      </c>
      <c r="AO6" s="196">
        <f>'Discount Calc'!AO27</f>
        <v>0</v>
      </c>
      <c r="AP6" s="196">
        <f>'Discount Calc'!AP27</f>
        <v>0</v>
      </c>
      <c r="AQ6" s="196">
        <f>'Discount Calc'!AQ27</f>
        <v>0</v>
      </c>
      <c r="AR6" s="196">
        <f>'Discount Calc'!AR27</f>
        <v>0</v>
      </c>
      <c r="AS6" s="196">
        <f>'Discount Calc'!AS27</f>
        <v>0</v>
      </c>
      <c r="AT6" s="196">
        <f>'Discount Calc'!AT27</f>
        <v>0</v>
      </c>
      <c r="AU6" s="196">
        <f>'Discount Calc'!AU27</f>
        <v>0</v>
      </c>
      <c r="AV6" s="196">
        <f>'Discount Calc'!AV27</f>
        <v>0</v>
      </c>
      <c r="AW6" s="196">
        <f>'Discount Calc'!AW27</f>
        <v>0</v>
      </c>
      <c r="AX6" s="196">
        <f>'Discount Calc'!AX27</f>
        <v>0</v>
      </c>
      <c r="AY6" s="196">
        <f>'Discount Calc'!AY27</f>
        <v>0</v>
      </c>
      <c r="AZ6" s="196">
        <f>'Discount Calc'!AZ27</f>
        <v>0</v>
      </c>
      <c r="BA6" s="196">
        <f>'Discount Calc'!BA27</f>
        <v>0</v>
      </c>
      <c r="BB6" s="196"/>
    </row>
    <row r="7" spans="1:56" s="178" customFormat="1" x14ac:dyDescent="0.35">
      <c r="C7" s="180" t="s">
        <v>740</v>
      </c>
      <c r="F7" s="180" t="s">
        <v>741</v>
      </c>
      <c r="G7" s="180" t="s">
        <v>742</v>
      </c>
      <c r="H7" s="180" t="s">
        <v>743</v>
      </c>
      <c r="BC7" s="180">
        <v>2062</v>
      </c>
      <c r="BD7" s="180">
        <v>2063</v>
      </c>
    </row>
    <row r="8" spans="1:56" s="178" customFormat="1" ht="5.5" customHeight="1" x14ac:dyDescent="0.35">
      <c r="G8" s="179"/>
    </row>
    <row r="9" spans="1:56" s="178" customFormat="1" x14ac:dyDescent="0.35">
      <c r="E9" s="178" t="s">
        <v>744</v>
      </c>
      <c r="F9" s="178" t="s">
        <v>745</v>
      </c>
      <c r="G9" s="179" t="s">
        <v>121</v>
      </c>
      <c r="H9" s="186">
        <f>'Project InputsC'!H12</f>
        <v>2023</v>
      </c>
    </row>
    <row r="10" spans="1:56" s="178" customFormat="1" x14ac:dyDescent="0.35">
      <c r="E10" s="178" t="s">
        <v>746</v>
      </c>
      <c r="F10" s="178" t="s">
        <v>745</v>
      </c>
      <c r="G10" s="179" t="s">
        <v>121</v>
      </c>
      <c r="H10" s="186">
        <f>'Project InputsC'!H13</f>
        <v>2028</v>
      </c>
    </row>
    <row r="11" spans="1:56" s="178" customFormat="1" ht="5.5" customHeight="1" x14ac:dyDescent="0.35">
      <c r="G11" s="179"/>
    </row>
    <row r="12" spans="1:56" s="178" customFormat="1" x14ac:dyDescent="0.35">
      <c r="E12" s="178" t="s">
        <v>747</v>
      </c>
      <c r="F12" s="178" t="s">
        <v>745</v>
      </c>
      <c r="G12" s="179" t="s">
        <v>121</v>
      </c>
      <c r="H12" s="186">
        <f>'Project InputsC'!H15</f>
        <v>2029</v>
      </c>
    </row>
    <row r="13" spans="1:56" s="178" customFormat="1" x14ac:dyDescent="0.35">
      <c r="E13" s="178" t="s">
        <v>748</v>
      </c>
      <c r="F13" s="178" t="s">
        <v>745</v>
      </c>
      <c r="G13" s="179" t="s">
        <v>121</v>
      </c>
      <c r="H13" s="186">
        <f>'Project InputsC'!H16</f>
        <v>2048</v>
      </c>
    </row>
    <row r="14" spans="1:56" s="178" customFormat="1" ht="5.5" customHeight="1" x14ac:dyDescent="0.35">
      <c r="G14" s="179"/>
    </row>
    <row r="15" spans="1:56" s="178" customFormat="1" x14ac:dyDescent="0.35">
      <c r="E15" s="178" t="s">
        <v>749</v>
      </c>
      <c r="F15" s="178" t="s">
        <v>745</v>
      </c>
      <c r="G15" s="179" t="s">
        <v>95</v>
      </c>
      <c r="H15" s="186">
        <f>'Project InputsC'!H18</f>
        <v>20</v>
      </c>
    </row>
    <row r="16" spans="1:56" s="178" customFormat="1" x14ac:dyDescent="0.35">
      <c r="E16" s="179" t="s">
        <v>750</v>
      </c>
      <c r="F16" s="179"/>
      <c r="G16" s="179"/>
    </row>
    <row r="17" spans="3:54" s="178" customFormat="1" ht="5.5" customHeight="1" x14ac:dyDescent="0.35">
      <c r="G17" s="179"/>
    </row>
    <row r="18" spans="3:54" s="178" customFormat="1" x14ac:dyDescent="0.35">
      <c r="C18" s="180" t="s">
        <v>751</v>
      </c>
      <c r="G18" s="179"/>
    </row>
    <row r="19" spans="3:54" s="178" customFormat="1" ht="5.5" customHeight="1" x14ac:dyDescent="0.35">
      <c r="G19" s="179"/>
    </row>
    <row r="20" spans="3:54" s="178" customFormat="1" x14ac:dyDescent="0.35">
      <c r="D20" s="180" t="s">
        <v>752</v>
      </c>
      <c r="G20" s="179"/>
    </row>
    <row r="21" spans="3:54" s="178" customFormat="1" ht="5.5" customHeight="1" x14ac:dyDescent="0.35">
      <c r="G21" s="179"/>
    </row>
    <row r="22" spans="3:54" x14ac:dyDescent="0.35">
      <c r="E22" s="178" t="s">
        <v>753</v>
      </c>
      <c r="F22" s="173" t="s">
        <v>754</v>
      </c>
      <c r="G22" s="179" t="s">
        <v>121</v>
      </c>
      <c r="H22" s="175">
        <v>2025</v>
      </c>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row>
    <row r="23" spans="3:54" ht="5.5" customHeight="1" x14ac:dyDescent="0.35">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row>
    <row r="24" spans="3:54" x14ac:dyDescent="0.35">
      <c r="E24" s="178" t="s">
        <v>755</v>
      </c>
      <c r="F24" s="178" t="s">
        <v>756</v>
      </c>
      <c r="G24" s="179" t="s">
        <v>121</v>
      </c>
      <c r="H24" s="175">
        <v>2024</v>
      </c>
      <c r="I24" s="178"/>
      <c r="J24" s="197"/>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row>
    <row r="25" spans="3:54" s="178" customFormat="1" ht="5.5" customHeight="1" x14ac:dyDescent="0.35">
      <c r="G25" s="179"/>
    </row>
    <row r="26" spans="3:54" s="178" customFormat="1" x14ac:dyDescent="0.35">
      <c r="D26" s="180" t="s">
        <v>757</v>
      </c>
      <c r="G26" s="179"/>
    </row>
    <row r="27" spans="3:54" s="178" customFormat="1" ht="5.5" customHeight="1" x14ac:dyDescent="0.35">
      <c r="G27" s="179"/>
    </row>
    <row r="28" spans="3:54" x14ac:dyDescent="0.35">
      <c r="E28" s="178" t="s">
        <v>758</v>
      </c>
      <c r="F28" s="178" t="s">
        <v>745</v>
      </c>
      <c r="G28" s="179" t="s">
        <v>69</v>
      </c>
      <c r="H28" s="272">
        <v>2025</v>
      </c>
      <c r="I28" s="188"/>
      <c r="J28" s="188"/>
      <c r="K28" s="188"/>
      <c r="L28" s="188"/>
      <c r="M28" s="188"/>
      <c r="N28" s="188"/>
      <c r="O28" s="188"/>
      <c r="P28" s="188"/>
      <c r="Q28" s="188"/>
      <c r="R28" s="188"/>
      <c r="S28" s="188"/>
      <c r="T28" s="188"/>
      <c r="U28" s="188"/>
      <c r="V28" s="18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row>
    <row r="29" spans="3:54" x14ac:dyDescent="0.35">
      <c r="E29" s="178" t="s">
        <v>759</v>
      </c>
      <c r="F29" s="178" t="s">
        <v>745</v>
      </c>
      <c r="G29" s="179" t="s">
        <v>200</v>
      </c>
      <c r="H29" s="199">
        <v>0.04</v>
      </c>
      <c r="I29" s="188"/>
      <c r="J29" s="188"/>
      <c r="K29" s="188"/>
      <c r="L29" s="188"/>
      <c r="M29" s="188"/>
      <c r="N29" s="188"/>
      <c r="O29" s="188"/>
      <c r="P29" s="188"/>
      <c r="Q29" s="188"/>
      <c r="R29" s="188"/>
      <c r="S29" s="188"/>
      <c r="T29" s="188"/>
      <c r="U29" s="188"/>
      <c r="V29" s="18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row>
    <row r="30" spans="3:54" s="178" customFormat="1" x14ac:dyDescent="0.35">
      <c r="E30" s="178" t="str">
        <f>"Cost Escalation Adjustment Factor By Year (YOE$ to "&amp;$H$24&amp;"$)"</f>
        <v>Cost Escalation Adjustment Factor By Year (YOE$ to 2024$)</v>
      </c>
      <c r="F30" s="178" t="s">
        <v>219</v>
      </c>
      <c r="G30" s="179" t="s">
        <v>245</v>
      </c>
      <c r="I30" s="187">
        <f>IF(I$5=$H$28,1,IF(I$5&gt;$H$28,H$30*(1+$H$29),IF(I$5&lt;$H$28,J$30*(1-$H$29))))</f>
        <v>0.92159999999999997</v>
      </c>
      <c r="J30" s="187">
        <f t="shared" ref="J30:V30" si="1">IF(J$5=$H$28,1,IF(J$5&gt;$H$28,I$30*(1+$H$29),IF(J$5&lt;$H$28,K$30*(1-$H$29))))</f>
        <v>0.96</v>
      </c>
      <c r="K30" s="187">
        <f t="shared" si="1"/>
        <v>1</v>
      </c>
      <c r="L30" s="187">
        <f t="shared" si="1"/>
        <v>1.04</v>
      </c>
      <c r="M30" s="187">
        <f t="shared" si="1"/>
        <v>1.0816000000000001</v>
      </c>
      <c r="N30" s="187">
        <f t="shared" si="1"/>
        <v>1.1248640000000001</v>
      </c>
      <c r="O30" s="187">
        <f t="shared" si="1"/>
        <v>1.1698585600000002</v>
      </c>
      <c r="P30" s="187">
        <f t="shared" si="1"/>
        <v>1.2166529024000003</v>
      </c>
      <c r="Q30" s="187">
        <f t="shared" si="1"/>
        <v>1.2653190184960004</v>
      </c>
      <c r="R30" s="187">
        <f t="shared" si="1"/>
        <v>1.3159317792358405</v>
      </c>
      <c r="S30" s="187">
        <f t="shared" si="1"/>
        <v>1.3685690504052741</v>
      </c>
      <c r="T30" s="187">
        <f t="shared" si="1"/>
        <v>1.4233118124214852</v>
      </c>
      <c r="U30" s="187">
        <f t="shared" si="1"/>
        <v>1.4802442849183446</v>
      </c>
      <c r="V30" s="187">
        <f t="shared" si="1"/>
        <v>1.5394540563150785</v>
      </c>
    </row>
    <row r="31" spans="3:54" s="178" customFormat="1" ht="5.5" customHeight="1" x14ac:dyDescent="0.35">
      <c r="G31" s="179"/>
    </row>
    <row r="32" spans="3:54" s="178" customFormat="1" x14ac:dyDescent="0.35">
      <c r="E32" s="179" t="s">
        <v>760</v>
      </c>
      <c r="G32" s="179"/>
    </row>
    <row r="33" spans="5:54" s="178" customFormat="1" ht="5.5" customHeight="1" x14ac:dyDescent="0.35">
      <c r="G33" s="179"/>
    </row>
    <row r="34" spans="5:54" x14ac:dyDescent="0.35">
      <c r="E34" s="178" t="s">
        <v>761</v>
      </c>
      <c r="F34" s="173" t="s">
        <v>754</v>
      </c>
      <c r="G34" s="179" t="s">
        <v>762</v>
      </c>
      <c r="H34" s="196">
        <f>SUM(I34:V34)</f>
        <v>47</v>
      </c>
      <c r="I34" s="563">
        <v>10</v>
      </c>
      <c r="J34" s="174">
        <v>12</v>
      </c>
      <c r="K34" s="174">
        <v>12</v>
      </c>
      <c r="L34" s="174">
        <v>12</v>
      </c>
      <c r="M34" s="174">
        <v>1</v>
      </c>
      <c r="N34" s="174"/>
      <c r="O34" s="563"/>
      <c r="P34" s="563"/>
      <c r="Q34" s="563"/>
      <c r="R34" s="563"/>
      <c r="S34" s="563"/>
      <c r="T34" s="563"/>
      <c r="U34" s="563"/>
      <c r="V34" s="563"/>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row>
    <row r="35" spans="5:54" x14ac:dyDescent="0.35">
      <c r="E35" s="178" t="s">
        <v>763</v>
      </c>
      <c r="F35" s="173" t="s">
        <v>754</v>
      </c>
      <c r="G35" s="179" t="s">
        <v>762</v>
      </c>
      <c r="H35" s="196">
        <f>SUM(I35:V35)</f>
        <v>0</v>
      </c>
      <c r="I35" s="563"/>
      <c r="J35" s="174"/>
      <c r="K35" s="174"/>
      <c r="L35" s="174"/>
      <c r="M35" s="174"/>
      <c r="N35" s="174"/>
      <c r="O35" s="563"/>
      <c r="P35" s="563"/>
      <c r="Q35" s="563"/>
      <c r="R35" s="563"/>
      <c r="S35" s="563"/>
      <c r="T35" s="563"/>
      <c r="U35" s="563"/>
      <c r="V35" s="563"/>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row>
    <row r="36" spans="5:54" x14ac:dyDescent="0.35">
      <c r="E36" s="178" t="s">
        <v>764</v>
      </c>
      <c r="F36" s="173" t="s">
        <v>754</v>
      </c>
      <c r="G36" s="179" t="s">
        <v>762</v>
      </c>
      <c r="H36" s="196">
        <f>SUM(I36:V36)</f>
        <v>13</v>
      </c>
      <c r="I36" s="563"/>
      <c r="J36" s="174"/>
      <c r="K36" s="174"/>
      <c r="L36" s="174"/>
      <c r="M36" s="174">
        <v>10</v>
      </c>
      <c r="N36" s="174">
        <v>3</v>
      </c>
      <c r="O36" s="174"/>
      <c r="P36" s="174"/>
      <c r="Q36" s="563"/>
      <c r="R36" s="563"/>
      <c r="S36" s="563"/>
      <c r="T36" s="563"/>
      <c r="U36" s="563"/>
      <c r="V36" s="563"/>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row>
    <row r="37" spans="5:54" s="178" customFormat="1" ht="5.5" customHeight="1" x14ac:dyDescent="0.35">
      <c r="G37" s="179"/>
    </row>
    <row r="38" spans="5:54" s="178" customFormat="1" x14ac:dyDescent="0.35">
      <c r="E38" s="179" t="s">
        <v>765</v>
      </c>
      <c r="G38" s="179"/>
    </row>
    <row r="39" spans="5:54" s="178" customFormat="1" ht="5.5" customHeight="1" x14ac:dyDescent="0.35">
      <c r="G39" s="179"/>
    </row>
    <row r="40" spans="5:54" x14ac:dyDescent="0.35">
      <c r="E40" s="178" t="s">
        <v>761</v>
      </c>
      <c r="F40" s="173" t="s">
        <v>754</v>
      </c>
      <c r="G40" s="179" t="s">
        <v>766</v>
      </c>
      <c r="H40" s="552">
        <v>1451546</v>
      </c>
      <c r="I40" s="553"/>
      <c r="J40" s="189"/>
      <c r="K40" s="189"/>
      <c r="L40" s="189"/>
      <c r="M40" s="189"/>
      <c r="N40" s="189"/>
      <c r="O40" s="553"/>
      <c r="P40" s="553"/>
      <c r="Q40" s="553"/>
      <c r="R40" s="553"/>
      <c r="S40" s="553"/>
      <c r="T40" s="553"/>
      <c r="U40" s="553"/>
      <c r="V40" s="553"/>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row>
    <row r="41" spans="5:54" x14ac:dyDescent="0.35">
      <c r="E41" s="178" t="s">
        <v>763</v>
      </c>
      <c r="F41" s="173" t="s">
        <v>754</v>
      </c>
      <c r="G41" s="179" t="s">
        <v>766</v>
      </c>
      <c r="H41" s="552"/>
      <c r="I41" s="553"/>
      <c r="J41" s="189"/>
      <c r="K41" s="189"/>
      <c r="L41" s="189"/>
      <c r="M41" s="189"/>
      <c r="N41" s="189"/>
      <c r="O41" s="553"/>
      <c r="P41" s="553"/>
      <c r="Q41" s="553"/>
      <c r="R41" s="553"/>
      <c r="S41" s="553"/>
      <c r="T41" s="553"/>
      <c r="U41" s="553"/>
      <c r="V41" s="553"/>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row>
    <row r="42" spans="5:54" x14ac:dyDescent="0.35">
      <c r="E42" s="178" t="s">
        <v>764</v>
      </c>
      <c r="F42" s="173" t="s">
        <v>754</v>
      </c>
      <c r="G42" s="179" t="s">
        <v>766</v>
      </c>
      <c r="H42" s="552">
        <v>39543880</v>
      </c>
      <c r="I42" s="553"/>
      <c r="J42" s="189"/>
      <c r="K42" s="189"/>
      <c r="L42" s="189"/>
      <c r="M42" s="189"/>
      <c r="N42" s="189"/>
      <c r="O42" s="189"/>
      <c r="P42" s="189"/>
      <c r="Q42" s="553"/>
      <c r="R42" s="553"/>
      <c r="S42" s="553"/>
      <c r="T42" s="553"/>
      <c r="U42" s="553"/>
      <c r="V42" s="553"/>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row>
    <row r="43" spans="5:54" s="178" customFormat="1" ht="5.5" customHeight="1" x14ac:dyDescent="0.35">
      <c r="G43" s="179"/>
    </row>
    <row r="44" spans="5:54" s="178" customFormat="1" x14ac:dyDescent="0.35">
      <c r="E44" s="179" t="s">
        <v>767</v>
      </c>
      <c r="G44" s="179"/>
      <c r="H44" s="189"/>
    </row>
    <row r="45" spans="5:54" s="178" customFormat="1" ht="5.5" customHeight="1" x14ac:dyDescent="0.35">
      <c r="G45" s="179"/>
    </row>
    <row r="46" spans="5:54" x14ac:dyDescent="0.35">
      <c r="E46" s="178" t="s">
        <v>761</v>
      </c>
      <c r="F46" s="178" t="s">
        <v>219</v>
      </c>
      <c r="G46" s="179" t="s">
        <v>766</v>
      </c>
      <c r="H46" s="188">
        <f>SUM(I46:V46)</f>
        <v>1451546</v>
      </c>
      <c r="I46" s="557">
        <f t="shared" ref="I46:N48" si="2">IF($H40&gt;0,$H40*(I34/SUM($I34:$V34)),0)</f>
        <v>308839.57446808513</v>
      </c>
      <c r="J46" s="557">
        <f t="shared" si="2"/>
        <v>370607.48936170212</v>
      </c>
      <c r="K46" s="557">
        <f t="shared" si="2"/>
        <v>370607.48936170212</v>
      </c>
      <c r="L46" s="557">
        <f t="shared" si="2"/>
        <v>370607.48936170212</v>
      </c>
      <c r="M46" s="557">
        <f t="shared" si="2"/>
        <v>30883.957446808508</v>
      </c>
      <c r="N46" s="557">
        <f t="shared" si="2"/>
        <v>0</v>
      </c>
      <c r="O46" s="557">
        <f t="shared" ref="O46:V46" si="3">IF($H40&gt;0,$H40*(O34/SUM($I34:$V34)),0)</f>
        <v>0</v>
      </c>
      <c r="P46" s="557">
        <f t="shared" si="3"/>
        <v>0</v>
      </c>
      <c r="Q46" s="557">
        <f t="shared" si="3"/>
        <v>0</v>
      </c>
      <c r="R46" s="557">
        <f t="shared" si="3"/>
        <v>0</v>
      </c>
      <c r="S46" s="557">
        <f t="shared" si="3"/>
        <v>0</v>
      </c>
      <c r="T46" s="557">
        <f t="shared" si="3"/>
        <v>0</v>
      </c>
      <c r="U46" s="557">
        <f t="shared" si="3"/>
        <v>0</v>
      </c>
      <c r="V46" s="557">
        <f t="shared" si="3"/>
        <v>0</v>
      </c>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row>
    <row r="47" spans="5:54" x14ac:dyDescent="0.35">
      <c r="E47" s="178" t="s">
        <v>763</v>
      </c>
      <c r="F47" s="178" t="s">
        <v>219</v>
      </c>
      <c r="G47" s="179" t="s">
        <v>766</v>
      </c>
      <c r="H47" s="188">
        <f>SUM(I47:V47)</f>
        <v>0</v>
      </c>
      <c r="I47" s="557">
        <f t="shared" si="2"/>
        <v>0</v>
      </c>
      <c r="J47" s="557">
        <f t="shared" si="2"/>
        <v>0</v>
      </c>
      <c r="K47" s="557">
        <f t="shared" si="2"/>
        <v>0</v>
      </c>
      <c r="L47" s="557">
        <f t="shared" si="2"/>
        <v>0</v>
      </c>
      <c r="M47" s="557">
        <f t="shared" si="2"/>
        <v>0</v>
      </c>
      <c r="N47" s="557">
        <f t="shared" si="2"/>
        <v>0</v>
      </c>
      <c r="O47" s="557">
        <f t="shared" ref="O47:V47" si="4">IF($H41&gt;0,$H41*(O35/SUM($I35:$V35)),0)</f>
        <v>0</v>
      </c>
      <c r="P47" s="557">
        <f t="shared" si="4"/>
        <v>0</v>
      </c>
      <c r="Q47" s="557">
        <f t="shared" si="4"/>
        <v>0</v>
      </c>
      <c r="R47" s="557">
        <f t="shared" si="4"/>
        <v>0</v>
      </c>
      <c r="S47" s="557">
        <f t="shared" si="4"/>
        <v>0</v>
      </c>
      <c r="T47" s="557">
        <f t="shared" si="4"/>
        <v>0</v>
      </c>
      <c r="U47" s="557">
        <f t="shared" si="4"/>
        <v>0</v>
      </c>
      <c r="V47" s="557">
        <f t="shared" si="4"/>
        <v>0</v>
      </c>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row>
    <row r="48" spans="5:54" x14ac:dyDescent="0.35">
      <c r="E48" s="178" t="s">
        <v>764</v>
      </c>
      <c r="F48" s="178" t="s">
        <v>219</v>
      </c>
      <c r="G48" s="179" t="s">
        <v>766</v>
      </c>
      <c r="H48" s="188">
        <f>SUM(I48:V48)</f>
        <v>39543880</v>
      </c>
      <c r="I48" s="557">
        <f t="shared" si="2"/>
        <v>0</v>
      </c>
      <c r="J48" s="557">
        <f t="shared" si="2"/>
        <v>0</v>
      </c>
      <c r="K48" s="557">
        <f t="shared" si="2"/>
        <v>0</v>
      </c>
      <c r="L48" s="557">
        <f t="shared" si="2"/>
        <v>0</v>
      </c>
      <c r="M48" s="557">
        <f t="shared" si="2"/>
        <v>30418369.230769232</v>
      </c>
      <c r="N48" s="557">
        <f t="shared" si="2"/>
        <v>9125510.7692307699</v>
      </c>
      <c r="O48" s="557">
        <f t="shared" ref="O48:V48" si="5">IF($H42&gt;0,$H42*(O36/SUM($I36:$V36)),0)</f>
        <v>0</v>
      </c>
      <c r="P48" s="557">
        <f t="shared" si="5"/>
        <v>0</v>
      </c>
      <c r="Q48" s="557">
        <f t="shared" si="5"/>
        <v>0</v>
      </c>
      <c r="R48" s="557">
        <f t="shared" si="5"/>
        <v>0</v>
      </c>
      <c r="S48" s="557">
        <f t="shared" si="5"/>
        <v>0</v>
      </c>
      <c r="T48" s="557">
        <f t="shared" si="5"/>
        <v>0</v>
      </c>
      <c r="U48" s="557">
        <f t="shared" si="5"/>
        <v>0</v>
      </c>
      <c r="V48" s="557">
        <f t="shared" si="5"/>
        <v>0</v>
      </c>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row>
    <row r="49" spans="5:22" s="178" customFormat="1" ht="5.5" customHeight="1" x14ac:dyDescent="0.35">
      <c r="G49" s="179"/>
    </row>
    <row r="50" spans="5:22" s="178" customFormat="1" x14ac:dyDescent="0.35">
      <c r="E50" s="179" t="s">
        <v>768</v>
      </c>
      <c r="F50" s="179"/>
      <c r="G50" s="179"/>
      <c r="I50" s="180"/>
      <c r="J50" s="180"/>
      <c r="K50" s="180"/>
      <c r="L50" s="180"/>
      <c r="M50" s="180"/>
      <c r="N50" s="180"/>
      <c r="O50" s="180"/>
      <c r="P50" s="180"/>
      <c r="Q50" s="180"/>
      <c r="R50" s="180"/>
      <c r="S50" s="180"/>
      <c r="T50" s="180"/>
      <c r="U50" s="180"/>
      <c r="V50" s="180"/>
    </row>
    <row r="51" spans="5:22" s="178" customFormat="1" ht="5.5" customHeight="1" x14ac:dyDescent="0.35">
      <c r="G51" s="179"/>
    </row>
    <row r="52" spans="5:22" s="178" customFormat="1" x14ac:dyDescent="0.35">
      <c r="E52" s="178" t="s">
        <v>761</v>
      </c>
      <c r="F52" s="178" t="s">
        <v>219</v>
      </c>
      <c r="G52" s="179" t="str">
        <f>$H$28&amp;"$"</f>
        <v>2025$</v>
      </c>
      <c r="H52" s="188">
        <f>SUM(I52:V52)</f>
        <v>1476676.6528328576</v>
      </c>
      <c r="I52" s="189">
        <f>I46/I$30</f>
        <v>335112.38549054379</v>
      </c>
      <c r="J52" s="189">
        <f t="shared" ref="J52:V52" si="6">J46/J$30</f>
        <v>386049.4680851064</v>
      </c>
      <c r="K52" s="189">
        <f t="shared" si="6"/>
        <v>370607.48936170212</v>
      </c>
      <c r="L52" s="189">
        <f t="shared" si="6"/>
        <v>356353.35515548277</v>
      </c>
      <c r="M52" s="189">
        <f t="shared" si="6"/>
        <v>28553.954740022655</v>
      </c>
      <c r="N52" s="189">
        <f t="shared" si="6"/>
        <v>0</v>
      </c>
      <c r="O52" s="189">
        <f t="shared" si="6"/>
        <v>0</v>
      </c>
      <c r="P52" s="189">
        <f t="shared" si="6"/>
        <v>0</v>
      </c>
      <c r="Q52" s="189">
        <f t="shared" si="6"/>
        <v>0</v>
      </c>
      <c r="R52" s="189">
        <f t="shared" si="6"/>
        <v>0</v>
      </c>
      <c r="S52" s="189">
        <f t="shared" si="6"/>
        <v>0</v>
      </c>
      <c r="T52" s="189">
        <f t="shared" si="6"/>
        <v>0</v>
      </c>
      <c r="U52" s="189">
        <f t="shared" si="6"/>
        <v>0</v>
      </c>
      <c r="V52" s="189">
        <f t="shared" si="6"/>
        <v>0</v>
      </c>
    </row>
    <row r="53" spans="5:22" s="178" customFormat="1" x14ac:dyDescent="0.35">
      <c r="E53" s="178" t="s">
        <v>763</v>
      </c>
      <c r="F53" s="178" t="s">
        <v>219</v>
      </c>
      <c r="G53" s="179" t="str">
        <f>$H$28&amp;"$"</f>
        <v>2025$</v>
      </c>
      <c r="H53" s="188">
        <f>SUM(I53:V53)</f>
        <v>0</v>
      </c>
      <c r="I53" s="189">
        <f t="shared" ref="I53:V53" si="7">I47/I$30</f>
        <v>0</v>
      </c>
      <c r="J53" s="189">
        <f t="shared" si="7"/>
        <v>0</v>
      </c>
      <c r="K53" s="189">
        <f t="shared" si="7"/>
        <v>0</v>
      </c>
      <c r="L53" s="189">
        <f t="shared" si="7"/>
        <v>0</v>
      </c>
      <c r="M53" s="189">
        <f t="shared" si="7"/>
        <v>0</v>
      </c>
      <c r="N53" s="189">
        <f t="shared" si="7"/>
        <v>0</v>
      </c>
      <c r="O53" s="189">
        <f t="shared" si="7"/>
        <v>0</v>
      </c>
      <c r="P53" s="189">
        <f t="shared" si="7"/>
        <v>0</v>
      </c>
      <c r="Q53" s="189">
        <f t="shared" si="7"/>
        <v>0</v>
      </c>
      <c r="R53" s="189">
        <f t="shared" si="7"/>
        <v>0</v>
      </c>
      <c r="S53" s="189">
        <f t="shared" si="7"/>
        <v>0</v>
      </c>
      <c r="T53" s="189">
        <f t="shared" si="7"/>
        <v>0</v>
      </c>
      <c r="U53" s="189">
        <f t="shared" si="7"/>
        <v>0</v>
      </c>
      <c r="V53" s="189">
        <f t="shared" si="7"/>
        <v>0</v>
      </c>
    </row>
    <row r="54" spans="5:22" s="178" customFormat="1" x14ac:dyDescent="0.35">
      <c r="E54" s="178" t="s">
        <v>764</v>
      </c>
      <c r="F54" s="178" t="s">
        <v>219</v>
      </c>
      <c r="G54" s="179" t="str">
        <f>$H$28&amp;"$"</f>
        <v>2025$</v>
      </c>
      <c r="H54" s="188">
        <f>SUM(I54:V54)</f>
        <v>36236038.107034065</v>
      </c>
      <c r="I54" s="189">
        <f t="shared" ref="I54:V54" si="8">I48/I$30</f>
        <v>0</v>
      </c>
      <c r="J54" s="189">
        <f t="shared" si="8"/>
        <v>0</v>
      </c>
      <c r="K54" s="189">
        <f t="shared" si="8"/>
        <v>0</v>
      </c>
      <c r="L54" s="189">
        <f t="shared" si="8"/>
        <v>0</v>
      </c>
      <c r="M54" s="189">
        <f t="shared" si="8"/>
        <v>28123492.26217569</v>
      </c>
      <c r="N54" s="189">
        <f t="shared" si="8"/>
        <v>8112545.8448583735</v>
      </c>
      <c r="O54" s="189">
        <f t="shared" si="8"/>
        <v>0</v>
      </c>
      <c r="P54" s="189">
        <f t="shared" si="8"/>
        <v>0</v>
      </c>
      <c r="Q54" s="189">
        <f t="shared" si="8"/>
        <v>0</v>
      </c>
      <c r="R54" s="189">
        <f t="shared" si="8"/>
        <v>0</v>
      </c>
      <c r="S54" s="189">
        <f t="shared" si="8"/>
        <v>0</v>
      </c>
      <c r="T54" s="189">
        <f t="shared" si="8"/>
        <v>0</v>
      </c>
      <c r="U54" s="189">
        <f t="shared" si="8"/>
        <v>0</v>
      </c>
      <c r="V54" s="189">
        <f t="shared" si="8"/>
        <v>0</v>
      </c>
    </row>
    <row r="55" spans="5:22" s="178" customFormat="1" ht="5.5" customHeight="1" x14ac:dyDescent="0.35">
      <c r="G55" s="179"/>
    </row>
    <row r="56" spans="5:22" s="178" customFormat="1" x14ac:dyDescent="0.35">
      <c r="E56" s="182" t="str">
        <f>"Cost Conversion Factor ("&amp;$H$28&amp;"$ to "&amp;$H$24&amp;"$)"</f>
        <v>Cost Conversion Factor (2025$ to 2024$)</v>
      </c>
      <c r="F56" s="178" t="s">
        <v>219</v>
      </c>
      <c r="G56" s="183" t="s">
        <v>245</v>
      </c>
      <c r="H56" s="186">
        <f>INDEX('Inflation Adjustment Chart'!$C$8:$C$32,MATCH(H28,'Inflation Adjustment Chart'!$B$8:$B$32,0))</f>
        <v>0.97790862024535574</v>
      </c>
    </row>
    <row r="57" spans="5:22" s="178" customFormat="1" ht="5.5" customHeight="1" x14ac:dyDescent="0.35">
      <c r="G57" s="179"/>
    </row>
    <row r="58" spans="5:22" s="178" customFormat="1" x14ac:dyDescent="0.35">
      <c r="E58" s="178" t="s">
        <v>761</v>
      </c>
      <c r="F58" s="178" t="s">
        <v>219</v>
      </c>
      <c r="G58" s="179" t="str">
        <f>$H$24&amp;"$"</f>
        <v>2024$</v>
      </c>
      <c r="H58" s="188">
        <f>SUM(I58:V58)</f>
        <v>1444054.8281203101</v>
      </c>
      <c r="I58" s="188">
        <f>I52*$H$56</f>
        <v>327709.29052218742</v>
      </c>
      <c r="J58" s="188">
        <f t="shared" ref="J58:V58" si="9">J52*$H$56</f>
        <v>377521.10268155992</v>
      </c>
      <c r="K58" s="188">
        <f t="shared" si="9"/>
        <v>362420.25857429748</v>
      </c>
      <c r="L58" s="188">
        <f t="shared" si="9"/>
        <v>348481.01785990136</v>
      </c>
      <c r="M58" s="188">
        <f t="shared" si="9"/>
        <v>27923.158482363891</v>
      </c>
      <c r="N58" s="188">
        <f t="shared" si="9"/>
        <v>0</v>
      </c>
      <c r="O58" s="188">
        <f t="shared" si="9"/>
        <v>0</v>
      </c>
      <c r="P58" s="188">
        <f t="shared" si="9"/>
        <v>0</v>
      </c>
      <c r="Q58" s="188">
        <f t="shared" si="9"/>
        <v>0</v>
      </c>
      <c r="R58" s="188">
        <f t="shared" si="9"/>
        <v>0</v>
      </c>
      <c r="S58" s="188">
        <f t="shared" si="9"/>
        <v>0</v>
      </c>
      <c r="T58" s="188">
        <f t="shared" si="9"/>
        <v>0</v>
      </c>
      <c r="U58" s="188">
        <f t="shared" si="9"/>
        <v>0</v>
      </c>
      <c r="V58" s="188">
        <f t="shared" si="9"/>
        <v>0</v>
      </c>
    </row>
    <row r="59" spans="5:22" s="178" customFormat="1" x14ac:dyDescent="0.35">
      <c r="E59" s="178" t="s">
        <v>763</v>
      </c>
      <c r="F59" s="178" t="s">
        <v>219</v>
      </c>
      <c r="G59" s="179" t="str">
        <f>$H$24&amp;"$"</f>
        <v>2024$</v>
      </c>
      <c r="H59" s="188">
        <f>SUM(I59:V59)</f>
        <v>0</v>
      </c>
      <c r="I59" s="188">
        <f t="shared" ref="I59:V59" si="10">I53*$H$56</f>
        <v>0</v>
      </c>
      <c r="J59" s="188">
        <f t="shared" si="10"/>
        <v>0</v>
      </c>
      <c r="K59" s="188">
        <f t="shared" si="10"/>
        <v>0</v>
      </c>
      <c r="L59" s="188">
        <f t="shared" si="10"/>
        <v>0</v>
      </c>
      <c r="M59" s="188">
        <f t="shared" si="10"/>
        <v>0</v>
      </c>
      <c r="N59" s="188">
        <f t="shared" si="10"/>
        <v>0</v>
      </c>
      <c r="O59" s="188">
        <f t="shared" si="10"/>
        <v>0</v>
      </c>
      <c r="P59" s="188">
        <f t="shared" si="10"/>
        <v>0</v>
      </c>
      <c r="Q59" s="188">
        <f t="shared" si="10"/>
        <v>0</v>
      </c>
      <c r="R59" s="188">
        <f t="shared" si="10"/>
        <v>0</v>
      </c>
      <c r="S59" s="188">
        <f t="shared" si="10"/>
        <v>0</v>
      </c>
      <c r="T59" s="188">
        <f t="shared" si="10"/>
        <v>0</v>
      </c>
      <c r="U59" s="188">
        <f t="shared" si="10"/>
        <v>0</v>
      </c>
      <c r="V59" s="188">
        <f t="shared" si="10"/>
        <v>0</v>
      </c>
    </row>
    <row r="60" spans="5:22" s="178" customFormat="1" x14ac:dyDescent="0.35">
      <c r="E60" s="178" t="s">
        <v>764</v>
      </c>
      <c r="F60" s="178" t="s">
        <v>219</v>
      </c>
      <c r="G60" s="179" t="str">
        <f>$H$24&amp;"$"</f>
        <v>2024$</v>
      </c>
      <c r="H60" s="188">
        <f>SUM(I60:V60)</f>
        <v>35435534.028407812</v>
      </c>
      <c r="I60" s="188">
        <f t="shared" ref="I60:V60" si="11">I54*$H$56</f>
        <v>0</v>
      </c>
      <c r="J60" s="188">
        <f t="shared" si="11"/>
        <v>0</v>
      </c>
      <c r="K60" s="188">
        <f t="shared" si="11"/>
        <v>0</v>
      </c>
      <c r="L60" s="188">
        <f t="shared" si="11"/>
        <v>0</v>
      </c>
      <c r="M60" s="188">
        <f t="shared" si="11"/>
        <v>27502205.514585167</v>
      </c>
      <c r="N60" s="188">
        <f t="shared" si="11"/>
        <v>7933328.5138226459</v>
      </c>
      <c r="O60" s="188">
        <f t="shared" si="11"/>
        <v>0</v>
      </c>
      <c r="P60" s="188">
        <f t="shared" si="11"/>
        <v>0</v>
      </c>
      <c r="Q60" s="188">
        <f t="shared" si="11"/>
        <v>0</v>
      </c>
      <c r="R60" s="188">
        <f t="shared" si="11"/>
        <v>0</v>
      </c>
      <c r="S60" s="188">
        <f t="shared" si="11"/>
        <v>0</v>
      </c>
      <c r="T60" s="188">
        <f t="shared" si="11"/>
        <v>0</v>
      </c>
      <c r="U60" s="188">
        <f t="shared" si="11"/>
        <v>0</v>
      </c>
      <c r="V60" s="188">
        <f t="shared" si="11"/>
        <v>0</v>
      </c>
    </row>
    <row r="61" spans="5:22" s="178" customFormat="1" ht="5.5" customHeight="1" x14ac:dyDescent="0.35">
      <c r="G61" s="179"/>
    </row>
    <row r="62" spans="5:22" s="178" customFormat="1" x14ac:dyDescent="0.35">
      <c r="E62" s="179" t="s">
        <v>769</v>
      </c>
      <c r="F62" s="179"/>
      <c r="G62" s="179"/>
      <c r="I62" s="180"/>
      <c r="J62" s="180"/>
      <c r="K62" s="180"/>
      <c r="L62" s="180"/>
      <c r="M62" s="180"/>
      <c r="N62" s="180"/>
      <c r="O62" s="180"/>
      <c r="P62" s="180"/>
      <c r="Q62" s="180"/>
      <c r="R62" s="180"/>
      <c r="S62" s="180"/>
      <c r="T62" s="180"/>
      <c r="U62" s="180"/>
      <c r="V62" s="180"/>
    </row>
    <row r="63" spans="5:22" s="178" customFormat="1" ht="5.5" customHeight="1" x14ac:dyDescent="0.35">
      <c r="G63" s="179"/>
    </row>
    <row r="64" spans="5:22" s="178" customFormat="1" x14ac:dyDescent="0.35">
      <c r="E64" s="178" t="s">
        <v>761</v>
      </c>
      <c r="F64" s="178" t="s">
        <v>219</v>
      </c>
      <c r="G64" s="179" t="str">
        <f>G58</f>
        <v>2024$</v>
      </c>
      <c r="H64" s="188">
        <f>SUM(I64:V64)</f>
        <v>1444054.8281203101</v>
      </c>
      <c r="I64" s="190">
        <f>_xlfn.IFNA(I58,0)</f>
        <v>327709.29052218742</v>
      </c>
      <c r="J64" s="190">
        <f t="shared" ref="J64:V64" si="12">_xlfn.IFNA(J58,0)</f>
        <v>377521.10268155992</v>
      </c>
      <c r="K64" s="190">
        <f t="shared" si="12"/>
        <v>362420.25857429748</v>
      </c>
      <c r="L64" s="190">
        <f t="shared" si="12"/>
        <v>348481.01785990136</v>
      </c>
      <c r="M64" s="190">
        <f t="shared" si="12"/>
        <v>27923.158482363891</v>
      </c>
      <c r="N64" s="190">
        <f t="shared" si="12"/>
        <v>0</v>
      </c>
      <c r="O64" s="190">
        <f t="shared" si="12"/>
        <v>0</v>
      </c>
      <c r="P64" s="190">
        <f t="shared" si="12"/>
        <v>0</v>
      </c>
      <c r="Q64" s="190">
        <f t="shared" si="12"/>
        <v>0</v>
      </c>
      <c r="R64" s="190">
        <f t="shared" si="12"/>
        <v>0</v>
      </c>
      <c r="S64" s="190">
        <f t="shared" si="12"/>
        <v>0</v>
      </c>
      <c r="T64" s="190">
        <f t="shared" si="12"/>
        <v>0</v>
      </c>
      <c r="U64" s="190">
        <f t="shared" si="12"/>
        <v>0</v>
      </c>
      <c r="V64" s="190">
        <f t="shared" si="12"/>
        <v>0</v>
      </c>
    </row>
    <row r="65" spans="4:53" s="178" customFormat="1" x14ac:dyDescent="0.35">
      <c r="E65" s="178" t="s">
        <v>763</v>
      </c>
      <c r="F65" s="178" t="s">
        <v>219</v>
      </c>
      <c r="G65" s="179" t="str">
        <f>G59</f>
        <v>2024$</v>
      </c>
      <c r="H65" s="188">
        <f>SUM(I65:V65)</f>
        <v>0</v>
      </c>
      <c r="I65" s="190">
        <f t="shared" ref="I65:V65" si="13">_xlfn.IFNA(I59,0)</f>
        <v>0</v>
      </c>
      <c r="J65" s="190">
        <f t="shared" si="13"/>
        <v>0</v>
      </c>
      <c r="K65" s="190">
        <f t="shared" si="13"/>
        <v>0</v>
      </c>
      <c r="L65" s="190">
        <f t="shared" si="13"/>
        <v>0</v>
      </c>
      <c r="M65" s="190">
        <f t="shared" si="13"/>
        <v>0</v>
      </c>
      <c r="N65" s="190">
        <f t="shared" si="13"/>
        <v>0</v>
      </c>
      <c r="O65" s="190">
        <f t="shared" si="13"/>
        <v>0</v>
      </c>
      <c r="P65" s="190">
        <f t="shared" si="13"/>
        <v>0</v>
      </c>
      <c r="Q65" s="190">
        <f t="shared" si="13"/>
        <v>0</v>
      </c>
      <c r="R65" s="190">
        <f t="shared" si="13"/>
        <v>0</v>
      </c>
      <c r="S65" s="190">
        <f t="shared" si="13"/>
        <v>0</v>
      </c>
      <c r="T65" s="190">
        <f t="shared" si="13"/>
        <v>0</v>
      </c>
      <c r="U65" s="190">
        <f t="shared" si="13"/>
        <v>0</v>
      </c>
      <c r="V65" s="190">
        <f t="shared" si="13"/>
        <v>0</v>
      </c>
    </row>
    <row r="66" spans="4:53" s="178" customFormat="1" x14ac:dyDescent="0.35">
      <c r="E66" s="178" t="s">
        <v>764</v>
      </c>
      <c r="F66" s="178" t="s">
        <v>219</v>
      </c>
      <c r="G66" s="179" t="str">
        <f>G60</f>
        <v>2024$</v>
      </c>
      <c r="H66" s="188">
        <f>SUM(I66:V66)</f>
        <v>35435534.028407812</v>
      </c>
      <c r="I66" s="190">
        <f t="shared" ref="I66:V66" si="14">_xlfn.IFNA(I60,0)</f>
        <v>0</v>
      </c>
      <c r="J66" s="190">
        <f t="shared" si="14"/>
        <v>0</v>
      </c>
      <c r="K66" s="190">
        <f t="shared" si="14"/>
        <v>0</v>
      </c>
      <c r="L66" s="190">
        <f t="shared" si="14"/>
        <v>0</v>
      </c>
      <c r="M66" s="190">
        <f t="shared" si="14"/>
        <v>27502205.514585167</v>
      </c>
      <c r="N66" s="190">
        <f t="shared" si="14"/>
        <v>7933328.5138226459</v>
      </c>
      <c r="O66" s="190">
        <f t="shared" si="14"/>
        <v>0</v>
      </c>
      <c r="P66" s="190">
        <f t="shared" si="14"/>
        <v>0</v>
      </c>
      <c r="Q66" s="190">
        <f t="shared" si="14"/>
        <v>0</v>
      </c>
      <c r="R66" s="190">
        <f t="shared" si="14"/>
        <v>0</v>
      </c>
      <c r="S66" s="190">
        <f t="shared" si="14"/>
        <v>0</v>
      </c>
      <c r="T66" s="190">
        <f t="shared" si="14"/>
        <v>0</v>
      </c>
      <c r="U66" s="190">
        <f t="shared" si="14"/>
        <v>0</v>
      </c>
      <c r="V66" s="190">
        <f t="shared" si="14"/>
        <v>0</v>
      </c>
    </row>
    <row r="67" spans="4:53" s="178" customFormat="1" ht="5.5" customHeight="1" x14ac:dyDescent="0.35">
      <c r="G67" s="179"/>
    </row>
    <row r="68" spans="4:53" s="178" customFormat="1" x14ac:dyDescent="0.35">
      <c r="D68" s="180" t="s">
        <v>770</v>
      </c>
      <c r="G68" s="179"/>
    </row>
    <row r="69" spans="4:53" s="178" customFormat="1" ht="5.5" customHeight="1" x14ac:dyDescent="0.35">
      <c r="G69" s="179"/>
    </row>
    <row r="70" spans="4:53" s="178" customFormat="1" x14ac:dyDescent="0.35">
      <c r="E70" s="179" t="s">
        <v>771</v>
      </c>
      <c r="F70" s="184"/>
      <c r="G70" s="179"/>
      <c r="I70" s="551">
        <f>I$6</f>
        <v>0</v>
      </c>
      <c r="J70" s="179">
        <f t="shared" ref="J70:Y70" si="15">J$6</f>
        <v>0</v>
      </c>
      <c r="K70" s="179">
        <f t="shared" si="15"/>
        <v>0</v>
      </c>
      <c r="L70" s="179">
        <f t="shared" si="15"/>
        <v>0</v>
      </c>
      <c r="M70" s="179">
        <f t="shared" si="15"/>
        <v>0</v>
      </c>
      <c r="N70" s="179">
        <f t="shared" si="15"/>
        <v>0</v>
      </c>
      <c r="O70" s="179">
        <f t="shared" si="15"/>
        <v>1</v>
      </c>
      <c r="P70" s="179">
        <f t="shared" si="15"/>
        <v>1</v>
      </c>
      <c r="Q70" s="179">
        <f t="shared" si="15"/>
        <v>1</v>
      </c>
      <c r="R70" s="179">
        <f t="shared" si="15"/>
        <v>1</v>
      </c>
      <c r="S70" s="179">
        <f t="shared" si="15"/>
        <v>1</v>
      </c>
      <c r="T70" s="179">
        <f t="shared" si="15"/>
        <v>1</v>
      </c>
      <c r="U70" s="179">
        <f t="shared" si="15"/>
        <v>1</v>
      </c>
      <c r="V70" s="179">
        <f t="shared" si="15"/>
        <v>1</v>
      </c>
      <c r="W70" s="179">
        <f t="shared" si="15"/>
        <v>1</v>
      </c>
      <c r="X70" s="179">
        <f t="shared" si="15"/>
        <v>1</v>
      </c>
      <c r="Y70" s="179">
        <f t="shared" si="15"/>
        <v>1</v>
      </c>
      <c r="Z70" s="179">
        <f t="shared" ref="Z70:AO70" si="16">Z$6</f>
        <v>1</v>
      </c>
      <c r="AA70" s="179">
        <f t="shared" si="16"/>
        <v>1</v>
      </c>
      <c r="AB70" s="179">
        <f t="shared" si="16"/>
        <v>1</v>
      </c>
      <c r="AC70" s="179">
        <f t="shared" si="16"/>
        <v>1</v>
      </c>
      <c r="AD70" s="179">
        <f t="shared" si="16"/>
        <v>1</v>
      </c>
      <c r="AE70" s="179">
        <f t="shared" si="16"/>
        <v>1</v>
      </c>
      <c r="AF70" s="179">
        <f t="shared" si="16"/>
        <v>1</v>
      </c>
      <c r="AG70" s="179">
        <f t="shared" si="16"/>
        <v>1</v>
      </c>
      <c r="AH70" s="179">
        <f t="shared" si="16"/>
        <v>1</v>
      </c>
      <c r="AI70" s="179">
        <f t="shared" si="16"/>
        <v>0</v>
      </c>
      <c r="AJ70" s="179">
        <f t="shared" si="16"/>
        <v>0</v>
      </c>
      <c r="AK70" s="179">
        <f t="shared" si="16"/>
        <v>0</v>
      </c>
      <c r="AL70" s="179">
        <f t="shared" si="16"/>
        <v>0</v>
      </c>
      <c r="AM70" s="179">
        <f t="shared" si="16"/>
        <v>0</v>
      </c>
      <c r="AN70" s="179">
        <f t="shared" si="16"/>
        <v>0</v>
      </c>
      <c r="AO70" s="179">
        <f t="shared" si="16"/>
        <v>0</v>
      </c>
      <c r="AP70" s="179">
        <f t="shared" ref="AP70:BA70" si="17">AP$6</f>
        <v>0</v>
      </c>
      <c r="AQ70" s="179">
        <f t="shared" si="17"/>
        <v>0</v>
      </c>
      <c r="AR70" s="179">
        <f t="shared" si="17"/>
        <v>0</v>
      </c>
      <c r="AS70" s="179">
        <f t="shared" si="17"/>
        <v>0</v>
      </c>
      <c r="AT70" s="179">
        <f t="shared" si="17"/>
        <v>0</v>
      </c>
      <c r="AU70" s="179">
        <f t="shared" si="17"/>
        <v>0</v>
      </c>
      <c r="AV70" s="179">
        <f t="shared" si="17"/>
        <v>0</v>
      </c>
      <c r="AW70" s="179">
        <f t="shared" si="17"/>
        <v>0</v>
      </c>
      <c r="AX70" s="179">
        <f t="shared" si="17"/>
        <v>0</v>
      </c>
      <c r="AY70" s="179">
        <f t="shared" si="17"/>
        <v>0</v>
      </c>
      <c r="AZ70" s="179">
        <f t="shared" si="17"/>
        <v>0</v>
      </c>
      <c r="BA70" s="179">
        <f t="shared" si="17"/>
        <v>0</v>
      </c>
    </row>
    <row r="71" spans="4:53" s="178" customFormat="1" x14ac:dyDescent="0.35">
      <c r="E71" s="184"/>
      <c r="F71" s="184"/>
      <c r="G71" s="179"/>
      <c r="I71" s="179"/>
      <c r="J71" s="179"/>
      <c r="K71" s="179"/>
      <c r="L71" s="179"/>
      <c r="M71" s="179"/>
      <c r="N71" s="179"/>
      <c r="O71" s="179"/>
      <c r="P71" s="179"/>
      <c r="Q71" s="179"/>
      <c r="R71" s="179"/>
      <c r="S71" s="179"/>
      <c r="T71" s="179"/>
      <c r="U71" s="179"/>
      <c r="V71" s="179"/>
    </row>
    <row r="72" spans="4:53" s="178" customFormat="1" ht="5.5" customHeight="1" x14ac:dyDescent="0.35">
      <c r="G72" s="179"/>
    </row>
    <row r="73" spans="4:53" s="178" customFormat="1" x14ac:dyDescent="0.35">
      <c r="E73" s="178" t="s">
        <v>772</v>
      </c>
      <c r="F73" s="178" t="s">
        <v>745</v>
      </c>
      <c r="G73" s="179" t="s">
        <v>121</v>
      </c>
      <c r="H73" s="191">
        <f>$H$22</f>
        <v>2025</v>
      </c>
    </row>
    <row r="74" spans="4:53" s="178" customFormat="1" ht="5.5" customHeight="1" x14ac:dyDescent="0.35">
      <c r="G74" s="179"/>
    </row>
    <row r="75" spans="4:53" x14ac:dyDescent="0.35">
      <c r="E75" s="178" t="s">
        <v>773</v>
      </c>
      <c r="F75" s="173"/>
      <c r="G75" s="179" t="str">
        <f>$H$22&amp;"$"</f>
        <v>2025$</v>
      </c>
      <c r="H75" s="174"/>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row>
    <row r="76" spans="4:53" s="178" customFormat="1" ht="5.5" customHeight="1" x14ac:dyDescent="0.35">
      <c r="G76" s="179"/>
    </row>
    <row r="77" spans="4:53" s="178" customFormat="1" x14ac:dyDescent="0.35">
      <c r="E77" s="191" t="str">
        <f>E$24</f>
        <v>Target Year of Dollars</v>
      </c>
      <c r="F77" s="191" t="str">
        <f>F$24</f>
        <v>USDOT BCA Guidance Nov 2024</v>
      </c>
      <c r="G77" s="191" t="str">
        <f>G$24</f>
        <v>year</v>
      </c>
      <c r="H77" s="191">
        <f>H$24</f>
        <v>2024</v>
      </c>
    </row>
    <row r="78" spans="4:53" s="178" customFormat="1" ht="5.5" customHeight="1" x14ac:dyDescent="0.35">
      <c r="G78" s="179"/>
    </row>
    <row r="79" spans="4:53" s="178" customFormat="1" x14ac:dyDescent="0.35">
      <c r="E79" s="178" t="s">
        <v>773</v>
      </c>
      <c r="F79" s="178" t="s">
        <v>219</v>
      </c>
      <c r="G79" s="179" t="str">
        <f>$H$24&amp;"$"</f>
        <v>2024$</v>
      </c>
      <c r="H79" s="192">
        <f>H75*$H$56</f>
        <v>0</v>
      </c>
    </row>
    <row r="80" spans="4:53" s="178" customFormat="1" ht="5.5" customHeight="1" x14ac:dyDescent="0.35">
      <c r="G80" s="179"/>
    </row>
    <row r="81" spans="4:54" s="178" customFormat="1" x14ac:dyDescent="0.35">
      <c r="E81" s="178" t="s">
        <v>774</v>
      </c>
      <c r="F81" s="178" t="s">
        <v>745</v>
      </c>
      <c r="G81" s="179" t="s">
        <v>121</v>
      </c>
      <c r="H81" s="191">
        <f>$H$22</f>
        <v>2025</v>
      </c>
    </row>
    <row r="82" spans="4:54" s="178" customFormat="1" ht="5.5" customHeight="1" x14ac:dyDescent="0.35">
      <c r="G82" s="179"/>
    </row>
    <row r="83" spans="4:54" x14ac:dyDescent="0.35">
      <c r="E83" s="178" t="s">
        <v>775</v>
      </c>
      <c r="F83" s="173"/>
      <c r="G83" s="179" t="str">
        <f>$H$22&amp;"$"</f>
        <v>2025$</v>
      </c>
      <c r="H83" s="174"/>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row>
    <row r="84" spans="4:54" s="178" customFormat="1" ht="5.5" customHeight="1" x14ac:dyDescent="0.35">
      <c r="G84" s="179"/>
    </row>
    <row r="85" spans="4:54" s="178" customFormat="1" x14ac:dyDescent="0.35">
      <c r="E85" s="191" t="str">
        <f>E$24</f>
        <v>Target Year of Dollars</v>
      </c>
      <c r="F85" s="191" t="str">
        <f>F$24</f>
        <v>USDOT BCA Guidance Nov 2024</v>
      </c>
      <c r="G85" s="191" t="str">
        <f>G$24</f>
        <v>year</v>
      </c>
      <c r="H85" s="191">
        <f>H$24</f>
        <v>2024</v>
      </c>
    </row>
    <row r="86" spans="4:54" s="178" customFormat="1" ht="5.5" customHeight="1" x14ac:dyDescent="0.35">
      <c r="G86" s="179"/>
    </row>
    <row r="87" spans="4:54" s="178" customFormat="1" x14ac:dyDescent="0.35">
      <c r="E87" s="178" t="s">
        <v>775</v>
      </c>
      <c r="F87" s="178" t="s">
        <v>219</v>
      </c>
      <c r="G87" s="179" t="str">
        <f>$H$24&amp;"$"</f>
        <v>2024$</v>
      </c>
      <c r="H87" s="192">
        <f>H83*$H$56</f>
        <v>0</v>
      </c>
    </row>
    <row r="88" spans="4:54" s="178" customFormat="1" ht="5.5" customHeight="1" x14ac:dyDescent="0.35">
      <c r="G88" s="179"/>
    </row>
    <row r="89" spans="4:54" s="178" customFormat="1" x14ac:dyDescent="0.35">
      <c r="E89" s="179" t="s">
        <v>776</v>
      </c>
      <c r="F89" s="179"/>
      <c r="G89" s="179"/>
    </row>
    <row r="90" spans="4:54" s="178" customFormat="1" ht="5.5" customHeight="1" x14ac:dyDescent="0.35">
      <c r="G90" s="179"/>
    </row>
    <row r="91" spans="4:54" s="178" customFormat="1" x14ac:dyDescent="0.35">
      <c r="E91" s="178" t="s">
        <v>777</v>
      </c>
      <c r="G91" s="179"/>
      <c r="I91" s="190">
        <f>_xlfn.IFNA($H$79*I$70,0)</f>
        <v>0</v>
      </c>
      <c r="J91" s="190">
        <f t="shared" ref="J91:Y91" si="18">_xlfn.IFNA($H$79*J$70,0)</f>
        <v>0</v>
      </c>
      <c r="K91" s="190">
        <f t="shared" si="18"/>
        <v>0</v>
      </c>
      <c r="L91" s="190">
        <f t="shared" si="18"/>
        <v>0</v>
      </c>
      <c r="M91" s="190">
        <f t="shared" si="18"/>
        <v>0</v>
      </c>
      <c r="N91" s="190">
        <f t="shared" si="18"/>
        <v>0</v>
      </c>
      <c r="O91" s="190">
        <f t="shared" si="18"/>
        <v>0</v>
      </c>
      <c r="P91" s="190">
        <f t="shared" si="18"/>
        <v>0</v>
      </c>
      <c r="Q91" s="190">
        <f t="shared" si="18"/>
        <v>0</v>
      </c>
      <c r="R91" s="190">
        <f t="shared" si="18"/>
        <v>0</v>
      </c>
      <c r="S91" s="190">
        <f t="shared" si="18"/>
        <v>0</v>
      </c>
      <c r="T91" s="190">
        <f t="shared" si="18"/>
        <v>0</v>
      </c>
      <c r="U91" s="190">
        <f t="shared" si="18"/>
        <v>0</v>
      </c>
      <c r="V91" s="190">
        <f t="shared" si="18"/>
        <v>0</v>
      </c>
      <c r="W91" s="190">
        <f t="shared" si="18"/>
        <v>0</v>
      </c>
      <c r="X91" s="190">
        <f t="shared" si="18"/>
        <v>0</v>
      </c>
      <c r="Y91" s="190">
        <f t="shared" si="18"/>
        <v>0</v>
      </c>
      <c r="Z91" s="190">
        <f t="shared" ref="Z91:AO91" si="19">_xlfn.IFNA($H$79*Z$70,0)</f>
        <v>0</v>
      </c>
      <c r="AA91" s="190">
        <f t="shared" si="19"/>
        <v>0</v>
      </c>
      <c r="AB91" s="190">
        <f t="shared" si="19"/>
        <v>0</v>
      </c>
      <c r="AC91" s="190">
        <f t="shared" si="19"/>
        <v>0</v>
      </c>
      <c r="AD91" s="190">
        <f t="shared" si="19"/>
        <v>0</v>
      </c>
      <c r="AE91" s="190">
        <f t="shared" si="19"/>
        <v>0</v>
      </c>
      <c r="AF91" s="190">
        <f t="shared" si="19"/>
        <v>0</v>
      </c>
      <c r="AG91" s="190">
        <f t="shared" si="19"/>
        <v>0</v>
      </c>
      <c r="AH91" s="190">
        <f t="shared" si="19"/>
        <v>0</v>
      </c>
      <c r="AI91" s="190">
        <f t="shared" si="19"/>
        <v>0</v>
      </c>
      <c r="AJ91" s="190">
        <f t="shared" si="19"/>
        <v>0</v>
      </c>
      <c r="AK91" s="190">
        <f t="shared" si="19"/>
        <v>0</v>
      </c>
      <c r="AL91" s="190">
        <f t="shared" si="19"/>
        <v>0</v>
      </c>
      <c r="AM91" s="190">
        <f t="shared" si="19"/>
        <v>0</v>
      </c>
      <c r="AN91" s="190">
        <f t="shared" si="19"/>
        <v>0</v>
      </c>
      <c r="AO91" s="190">
        <f t="shared" si="19"/>
        <v>0</v>
      </c>
      <c r="AP91" s="190">
        <f t="shared" ref="AP91:BA91" si="20">_xlfn.IFNA($H$79*AP$70,0)</f>
        <v>0</v>
      </c>
      <c r="AQ91" s="190">
        <f t="shared" si="20"/>
        <v>0</v>
      </c>
      <c r="AR91" s="190">
        <f t="shared" si="20"/>
        <v>0</v>
      </c>
      <c r="AS91" s="190">
        <f t="shared" si="20"/>
        <v>0</v>
      </c>
      <c r="AT91" s="190">
        <f t="shared" si="20"/>
        <v>0</v>
      </c>
      <c r="AU91" s="190">
        <f t="shared" si="20"/>
        <v>0</v>
      </c>
      <c r="AV91" s="190">
        <f t="shared" si="20"/>
        <v>0</v>
      </c>
      <c r="AW91" s="190">
        <f t="shared" si="20"/>
        <v>0</v>
      </c>
      <c r="AX91" s="190">
        <f t="shared" si="20"/>
        <v>0</v>
      </c>
      <c r="AY91" s="190">
        <f t="shared" si="20"/>
        <v>0</v>
      </c>
      <c r="AZ91" s="190">
        <f t="shared" si="20"/>
        <v>0</v>
      </c>
      <c r="BA91" s="190">
        <f t="shared" si="20"/>
        <v>0</v>
      </c>
    </row>
    <row r="92" spans="4:54" s="178" customFormat="1" x14ac:dyDescent="0.35">
      <c r="E92" s="178" t="s">
        <v>778</v>
      </c>
      <c r="G92" s="179"/>
      <c r="I92" s="190">
        <f>_xlfn.IFNA($H$87*I$70,0)</f>
        <v>0</v>
      </c>
      <c r="J92" s="190">
        <f t="shared" ref="J92:BA92" si="21">_xlfn.IFNA($H$87*J$70,0)</f>
        <v>0</v>
      </c>
      <c r="K92" s="190">
        <f t="shared" si="21"/>
        <v>0</v>
      </c>
      <c r="L92" s="190">
        <f t="shared" si="21"/>
        <v>0</v>
      </c>
      <c r="M92" s="190">
        <f t="shared" si="21"/>
        <v>0</v>
      </c>
      <c r="N92" s="190">
        <f t="shared" si="21"/>
        <v>0</v>
      </c>
      <c r="O92" s="190">
        <f t="shared" si="21"/>
        <v>0</v>
      </c>
      <c r="P92" s="190">
        <f t="shared" si="21"/>
        <v>0</v>
      </c>
      <c r="Q92" s="190">
        <f t="shared" si="21"/>
        <v>0</v>
      </c>
      <c r="R92" s="190">
        <f t="shared" si="21"/>
        <v>0</v>
      </c>
      <c r="S92" s="190">
        <f t="shared" si="21"/>
        <v>0</v>
      </c>
      <c r="T92" s="190">
        <f t="shared" si="21"/>
        <v>0</v>
      </c>
      <c r="U92" s="190">
        <f t="shared" si="21"/>
        <v>0</v>
      </c>
      <c r="V92" s="190">
        <f t="shared" si="21"/>
        <v>0</v>
      </c>
      <c r="W92" s="190">
        <f t="shared" si="21"/>
        <v>0</v>
      </c>
      <c r="X92" s="190">
        <f t="shared" si="21"/>
        <v>0</v>
      </c>
      <c r="Y92" s="190">
        <f t="shared" si="21"/>
        <v>0</v>
      </c>
      <c r="Z92" s="190">
        <f t="shared" si="21"/>
        <v>0</v>
      </c>
      <c r="AA92" s="190">
        <f t="shared" si="21"/>
        <v>0</v>
      </c>
      <c r="AB92" s="190">
        <f t="shared" si="21"/>
        <v>0</v>
      </c>
      <c r="AC92" s="190">
        <f t="shared" si="21"/>
        <v>0</v>
      </c>
      <c r="AD92" s="190">
        <f t="shared" si="21"/>
        <v>0</v>
      </c>
      <c r="AE92" s="190">
        <f t="shared" si="21"/>
        <v>0</v>
      </c>
      <c r="AF92" s="190">
        <f t="shared" si="21"/>
        <v>0</v>
      </c>
      <c r="AG92" s="190">
        <f t="shared" si="21"/>
        <v>0</v>
      </c>
      <c r="AH92" s="190">
        <f t="shared" si="21"/>
        <v>0</v>
      </c>
      <c r="AI92" s="190">
        <f t="shared" si="21"/>
        <v>0</v>
      </c>
      <c r="AJ92" s="190">
        <f t="shared" si="21"/>
        <v>0</v>
      </c>
      <c r="AK92" s="190">
        <f t="shared" si="21"/>
        <v>0</v>
      </c>
      <c r="AL92" s="190">
        <f t="shared" si="21"/>
        <v>0</v>
      </c>
      <c r="AM92" s="190">
        <f t="shared" si="21"/>
        <v>0</v>
      </c>
      <c r="AN92" s="190">
        <f t="shared" si="21"/>
        <v>0</v>
      </c>
      <c r="AO92" s="190">
        <f t="shared" si="21"/>
        <v>0</v>
      </c>
      <c r="AP92" s="190">
        <f t="shared" si="21"/>
        <v>0</v>
      </c>
      <c r="AQ92" s="190">
        <f t="shared" si="21"/>
        <v>0</v>
      </c>
      <c r="AR92" s="190">
        <f t="shared" si="21"/>
        <v>0</v>
      </c>
      <c r="AS92" s="190">
        <f t="shared" si="21"/>
        <v>0</v>
      </c>
      <c r="AT92" s="190">
        <f t="shared" si="21"/>
        <v>0</v>
      </c>
      <c r="AU92" s="190">
        <f t="shared" si="21"/>
        <v>0</v>
      </c>
      <c r="AV92" s="190">
        <f t="shared" si="21"/>
        <v>0</v>
      </c>
      <c r="AW92" s="190">
        <f t="shared" si="21"/>
        <v>0</v>
      </c>
      <c r="AX92" s="190">
        <f t="shared" si="21"/>
        <v>0</v>
      </c>
      <c r="AY92" s="190">
        <f t="shared" si="21"/>
        <v>0</v>
      </c>
      <c r="AZ92" s="190">
        <f t="shared" si="21"/>
        <v>0</v>
      </c>
      <c r="BA92" s="190">
        <f t="shared" si="21"/>
        <v>0</v>
      </c>
    </row>
    <row r="93" spans="4:54" s="178" customFormat="1" ht="5.5" customHeight="1" x14ac:dyDescent="0.35">
      <c r="G93" s="179"/>
    </row>
    <row r="94" spans="4:54" s="178" customFormat="1" x14ac:dyDescent="0.35">
      <c r="D94" s="180" t="s">
        <v>779</v>
      </c>
      <c r="G94" s="179"/>
    </row>
    <row r="95" spans="4:54" s="178" customFormat="1" ht="5.5" customHeight="1" x14ac:dyDescent="0.35">
      <c r="G95" s="179"/>
    </row>
    <row r="96" spans="4:54" x14ac:dyDescent="0.35">
      <c r="E96" s="178" t="s">
        <v>780</v>
      </c>
      <c r="F96" s="178" t="s">
        <v>745</v>
      </c>
      <c r="H96" s="194"/>
      <c r="I96" s="173"/>
      <c r="J96" s="173"/>
      <c r="K96" s="173"/>
      <c r="L96" s="173"/>
      <c r="M96" s="173"/>
      <c r="N96" s="173"/>
      <c r="O96" s="173"/>
      <c r="P96" s="173"/>
      <c r="Q96" s="173"/>
      <c r="R96" s="173"/>
      <c r="S96" s="173"/>
      <c r="T96" s="173"/>
      <c r="U96" s="173"/>
      <c r="V96" s="173"/>
      <c r="W96" s="173"/>
      <c r="X96" s="173"/>
      <c r="Y96" s="173"/>
      <c r="Z96" s="173"/>
      <c r="AA96" s="173"/>
      <c r="AB96" s="173">
        <v>1</v>
      </c>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8"/>
    </row>
    <row r="97" spans="5:54" x14ac:dyDescent="0.35">
      <c r="E97" s="178" t="s">
        <v>781</v>
      </c>
      <c r="F97" s="178" t="s">
        <v>745</v>
      </c>
      <c r="H97" s="194"/>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8"/>
    </row>
    <row r="98" spans="5:54" x14ac:dyDescent="0.35">
      <c r="E98" s="178" t="s">
        <v>782</v>
      </c>
      <c r="F98" s="178" t="s">
        <v>745</v>
      </c>
      <c r="H98" s="194"/>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8"/>
    </row>
    <row r="99" spans="5:54" x14ac:dyDescent="0.35">
      <c r="E99" s="178" t="s">
        <v>783</v>
      </c>
      <c r="F99" s="178" t="s">
        <v>745</v>
      </c>
      <c r="H99" s="194"/>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8"/>
    </row>
    <row r="100" spans="5:54" s="178" customFormat="1" ht="5.5" customHeight="1" x14ac:dyDescent="0.35">
      <c r="G100" s="179"/>
    </row>
    <row r="101" spans="5:54" s="178" customFormat="1" x14ac:dyDescent="0.35">
      <c r="E101" s="185" t="s">
        <v>784</v>
      </c>
      <c r="F101" s="185"/>
      <c r="G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c r="AQ101" s="179"/>
      <c r="AR101" s="179"/>
      <c r="AS101" s="179"/>
      <c r="AT101" s="179"/>
      <c r="AU101" s="179"/>
      <c r="AV101" s="179"/>
      <c r="AW101" s="179"/>
      <c r="AX101" s="179"/>
      <c r="AY101" s="179"/>
      <c r="AZ101" s="179"/>
      <c r="BA101" s="179"/>
    </row>
    <row r="102" spans="5:54" s="178" customFormat="1" ht="5.5" customHeight="1" x14ac:dyDescent="0.35">
      <c r="G102" s="179"/>
    </row>
    <row r="103" spans="5:54" s="178" customFormat="1" x14ac:dyDescent="0.35">
      <c r="E103" s="178" t="s">
        <v>753</v>
      </c>
      <c r="F103" s="178" t="s">
        <v>745</v>
      </c>
      <c r="G103" s="179" t="s">
        <v>121</v>
      </c>
      <c r="H103" s="191">
        <f>$H$22</f>
        <v>2025</v>
      </c>
      <c r="J103" s="180"/>
      <c r="K103" s="180"/>
      <c r="L103" s="180"/>
    </row>
    <row r="104" spans="5:54" ht="5.5" customHeight="1" x14ac:dyDescent="0.35">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c r="AZ104" s="178"/>
      <c r="BA104" s="178"/>
      <c r="BB104" s="178"/>
    </row>
    <row r="105" spans="5:54" x14ac:dyDescent="0.35">
      <c r="E105" s="178" t="s">
        <v>785</v>
      </c>
      <c r="F105" s="173" t="s">
        <v>786</v>
      </c>
      <c r="G105" s="179" t="str">
        <f>$H$22&amp;"$"</f>
        <v>2025$</v>
      </c>
      <c r="H105" s="174">
        <v>2000000</v>
      </c>
      <c r="I105" s="178"/>
      <c r="J105" s="196"/>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8"/>
      <c r="BB105" s="178"/>
    </row>
    <row r="106" spans="5:54" x14ac:dyDescent="0.35">
      <c r="E106" s="178" t="s">
        <v>787</v>
      </c>
      <c r="F106" s="173"/>
      <c r="G106" s="179" t="str">
        <f>$H$22&amp;"$"</f>
        <v>2025$</v>
      </c>
      <c r="H106" s="173"/>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8"/>
      <c r="BB106" s="178"/>
    </row>
    <row r="107" spans="5:54" x14ac:dyDescent="0.35">
      <c r="E107" s="178" t="s">
        <v>788</v>
      </c>
      <c r="F107" s="173"/>
      <c r="G107" s="179" t="str">
        <f>$H$22&amp;"$"</f>
        <v>2025$</v>
      </c>
      <c r="H107" s="173"/>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c r="AL107" s="178"/>
      <c r="AM107" s="178"/>
      <c r="AN107" s="178"/>
      <c r="AO107" s="178"/>
      <c r="AP107" s="178"/>
      <c r="AQ107" s="178"/>
      <c r="AR107" s="178"/>
      <c r="AS107" s="178"/>
      <c r="AT107" s="178"/>
      <c r="AU107" s="178"/>
      <c r="AV107" s="178"/>
      <c r="AW107" s="178"/>
      <c r="AX107" s="178"/>
      <c r="AY107" s="178"/>
      <c r="AZ107" s="178"/>
      <c r="BA107" s="178"/>
      <c r="BB107" s="178"/>
    </row>
    <row r="108" spans="5:54" x14ac:dyDescent="0.35">
      <c r="E108" s="178" t="s">
        <v>789</v>
      </c>
      <c r="F108" s="173"/>
      <c r="G108" s="179" t="str">
        <f>$H$22&amp;"$"</f>
        <v>2025$</v>
      </c>
      <c r="H108" s="173"/>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row>
    <row r="109" spans="5:54" s="178" customFormat="1" ht="5.5" customHeight="1" x14ac:dyDescent="0.35">
      <c r="G109" s="179"/>
    </row>
    <row r="110" spans="5:54" s="178" customFormat="1" x14ac:dyDescent="0.35">
      <c r="E110" s="191" t="str">
        <f>E$24</f>
        <v>Target Year of Dollars</v>
      </c>
      <c r="F110" s="191" t="str">
        <f>F$24</f>
        <v>USDOT BCA Guidance Nov 2024</v>
      </c>
      <c r="G110" s="191" t="str">
        <f>G$24</f>
        <v>year</v>
      </c>
      <c r="H110" s="191">
        <f>H$24</f>
        <v>2024</v>
      </c>
    </row>
    <row r="111" spans="5:54" s="178" customFormat="1" ht="5.5" customHeight="1" x14ac:dyDescent="0.35">
      <c r="G111" s="179"/>
    </row>
    <row r="112" spans="5:54" s="178" customFormat="1" ht="5.5" customHeight="1" x14ac:dyDescent="0.35">
      <c r="G112" s="179"/>
    </row>
    <row r="113" spans="5:54" s="178" customFormat="1" x14ac:dyDescent="0.35">
      <c r="E113" s="178" t="s">
        <v>785</v>
      </c>
      <c r="F113" s="178" t="s">
        <v>219</v>
      </c>
      <c r="G113" s="179" t="str">
        <f>$H$110&amp;"$"</f>
        <v>2024$</v>
      </c>
      <c r="H113" s="188"/>
      <c r="I113" s="195">
        <f>_xlfn.IFNA(I96*$H105*$H$56,0)</f>
        <v>0</v>
      </c>
      <c r="J113" s="195">
        <f t="shared" ref="J113:BA116" si="22">_xlfn.IFNA(J96*$H105*$H$56,0)</f>
        <v>0</v>
      </c>
      <c r="K113" s="195">
        <f t="shared" si="22"/>
        <v>0</v>
      </c>
      <c r="L113" s="195">
        <f t="shared" si="22"/>
        <v>0</v>
      </c>
      <c r="M113" s="195">
        <f t="shared" si="22"/>
        <v>0</v>
      </c>
      <c r="N113" s="195">
        <f t="shared" si="22"/>
        <v>0</v>
      </c>
      <c r="O113" s="195">
        <f t="shared" si="22"/>
        <v>0</v>
      </c>
      <c r="P113" s="195">
        <f t="shared" si="22"/>
        <v>0</v>
      </c>
      <c r="Q113" s="195">
        <f t="shared" si="22"/>
        <v>0</v>
      </c>
      <c r="R113" s="195">
        <f t="shared" si="22"/>
        <v>0</v>
      </c>
      <c r="S113" s="195">
        <f t="shared" si="22"/>
        <v>0</v>
      </c>
      <c r="T113" s="195">
        <f t="shared" si="22"/>
        <v>0</v>
      </c>
      <c r="U113" s="195">
        <f t="shared" si="22"/>
        <v>0</v>
      </c>
      <c r="V113" s="195">
        <f t="shared" si="22"/>
        <v>0</v>
      </c>
      <c r="W113" s="195">
        <f t="shared" si="22"/>
        <v>0</v>
      </c>
      <c r="X113" s="195">
        <f t="shared" si="22"/>
        <v>0</v>
      </c>
      <c r="Y113" s="195">
        <f t="shared" si="22"/>
        <v>0</v>
      </c>
      <c r="Z113" s="195">
        <f t="shared" si="22"/>
        <v>0</v>
      </c>
      <c r="AA113" s="195">
        <f t="shared" si="22"/>
        <v>0</v>
      </c>
      <c r="AB113" s="195">
        <f t="shared" si="22"/>
        <v>1955817.2404907115</v>
      </c>
      <c r="AC113" s="195">
        <f t="shared" si="22"/>
        <v>0</v>
      </c>
      <c r="AD113" s="195">
        <f t="shared" si="22"/>
        <v>0</v>
      </c>
      <c r="AE113" s="195">
        <f t="shared" si="22"/>
        <v>0</v>
      </c>
      <c r="AF113" s="195">
        <f t="shared" si="22"/>
        <v>0</v>
      </c>
      <c r="AG113" s="195">
        <f t="shared" si="22"/>
        <v>0</v>
      </c>
      <c r="AH113" s="195">
        <f t="shared" si="22"/>
        <v>0</v>
      </c>
      <c r="AI113" s="195">
        <f t="shared" si="22"/>
        <v>0</v>
      </c>
      <c r="AJ113" s="195">
        <f t="shared" si="22"/>
        <v>0</v>
      </c>
      <c r="AK113" s="195">
        <f t="shared" si="22"/>
        <v>0</v>
      </c>
      <c r="AL113" s="195">
        <f t="shared" si="22"/>
        <v>0</v>
      </c>
      <c r="AM113" s="195">
        <f t="shared" si="22"/>
        <v>0</v>
      </c>
      <c r="AN113" s="195">
        <f t="shared" si="22"/>
        <v>0</v>
      </c>
      <c r="AO113" s="195">
        <f t="shared" si="22"/>
        <v>0</v>
      </c>
      <c r="AP113" s="195">
        <f t="shared" si="22"/>
        <v>0</v>
      </c>
      <c r="AQ113" s="195">
        <f t="shared" si="22"/>
        <v>0</v>
      </c>
      <c r="AR113" s="195">
        <f t="shared" si="22"/>
        <v>0</v>
      </c>
      <c r="AS113" s="195">
        <f t="shared" si="22"/>
        <v>0</v>
      </c>
      <c r="AT113" s="195">
        <f t="shared" si="22"/>
        <v>0</v>
      </c>
      <c r="AU113" s="195">
        <f t="shared" si="22"/>
        <v>0</v>
      </c>
      <c r="AV113" s="195">
        <f t="shared" si="22"/>
        <v>0</v>
      </c>
      <c r="AW113" s="195">
        <f t="shared" si="22"/>
        <v>0</v>
      </c>
      <c r="AX113" s="195">
        <f t="shared" si="22"/>
        <v>0</v>
      </c>
      <c r="AY113" s="195">
        <f t="shared" si="22"/>
        <v>0</v>
      </c>
      <c r="AZ113" s="195">
        <f t="shared" si="22"/>
        <v>0</v>
      </c>
      <c r="BA113" s="195">
        <f t="shared" si="22"/>
        <v>0</v>
      </c>
    </row>
    <row r="114" spans="5:54" s="178" customFormat="1" x14ac:dyDescent="0.35">
      <c r="E114" s="178" t="s">
        <v>787</v>
      </c>
      <c r="F114" s="178" t="s">
        <v>219</v>
      </c>
      <c r="G114" s="179" t="str">
        <f>$H$110&amp;"$"</f>
        <v>2024$</v>
      </c>
      <c r="H114" s="188"/>
      <c r="I114" s="195">
        <f>_xlfn.IFNA(I97*$H106*$H$56,0)</f>
        <v>0</v>
      </c>
      <c r="J114" s="195">
        <f t="shared" si="22"/>
        <v>0</v>
      </c>
      <c r="K114" s="195">
        <f t="shared" si="22"/>
        <v>0</v>
      </c>
      <c r="L114" s="195">
        <f t="shared" si="22"/>
        <v>0</v>
      </c>
      <c r="M114" s="195">
        <f t="shared" si="22"/>
        <v>0</v>
      </c>
      <c r="N114" s="195">
        <f t="shared" si="22"/>
        <v>0</v>
      </c>
      <c r="O114" s="195">
        <f t="shared" si="22"/>
        <v>0</v>
      </c>
      <c r="P114" s="195">
        <f t="shared" si="22"/>
        <v>0</v>
      </c>
      <c r="Q114" s="195">
        <f t="shared" si="22"/>
        <v>0</v>
      </c>
      <c r="R114" s="195">
        <f t="shared" si="22"/>
        <v>0</v>
      </c>
      <c r="S114" s="195">
        <f t="shared" si="22"/>
        <v>0</v>
      </c>
      <c r="T114" s="195">
        <f t="shared" si="22"/>
        <v>0</v>
      </c>
      <c r="U114" s="195">
        <f t="shared" si="22"/>
        <v>0</v>
      </c>
      <c r="V114" s="195">
        <f t="shared" si="22"/>
        <v>0</v>
      </c>
      <c r="W114" s="195">
        <f t="shared" si="22"/>
        <v>0</v>
      </c>
      <c r="X114" s="195">
        <f t="shared" si="22"/>
        <v>0</v>
      </c>
      <c r="Y114" s="195">
        <f t="shared" si="22"/>
        <v>0</v>
      </c>
      <c r="Z114" s="195">
        <f t="shared" si="22"/>
        <v>0</v>
      </c>
      <c r="AA114" s="195">
        <f t="shared" si="22"/>
        <v>0</v>
      </c>
      <c r="AB114" s="195">
        <f t="shared" si="22"/>
        <v>0</v>
      </c>
      <c r="AC114" s="195">
        <f t="shared" si="22"/>
        <v>0</v>
      </c>
      <c r="AD114" s="195">
        <f t="shared" si="22"/>
        <v>0</v>
      </c>
      <c r="AE114" s="195">
        <f t="shared" si="22"/>
        <v>0</v>
      </c>
      <c r="AF114" s="195">
        <f t="shared" si="22"/>
        <v>0</v>
      </c>
      <c r="AG114" s="195">
        <f t="shared" si="22"/>
        <v>0</v>
      </c>
      <c r="AH114" s="195">
        <f t="shared" si="22"/>
        <v>0</v>
      </c>
      <c r="AI114" s="195">
        <f t="shared" si="22"/>
        <v>0</v>
      </c>
      <c r="AJ114" s="195">
        <f t="shared" si="22"/>
        <v>0</v>
      </c>
      <c r="AK114" s="195">
        <f t="shared" si="22"/>
        <v>0</v>
      </c>
      <c r="AL114" s="195">
        <f t="shared" si="22"/>
        <v>0</v>
      </c>
      <c r="AM114" s="195">
        <f t="shared" si="22"/>
        <v>0</v>
      </c>
      <c r="AN114" s="195">
        <f t="shared" si="22"/>
        <v>0</v>
      </c>
      <c r="AO114" s="195">
        <f t="shared" si="22"/>
        <v>0</v>
      </c>
      <c r="AP114" s="195">
        <f t="shared" si="22"/>
        <v>0</v>
      </c>
      <c r="AQ114" s="195">
        <f t="shared" si="22"/>
        <v>0</v>
      </c>
      <c r="AR114" s="195">
        <f t="shared" si="22"/>
        <v>0</v>
      </c>
      <c r="AS114" s="195">
        <f t="shared" si="22"/>
        <v>0</v>
      </c>
      <c r="AT114" s="195">
        <f t="shared" si="22"/>
        <v>0</v>
      </c>
      <c r="AU114" s="195">
        <f t="shared" si="22"/>
        <v>0</v>
      </c>
      <c r="AV114" s="195">
        <f t="shared" si="22"/>
        <v>0</v>
      </c>
      <c r="AW114" s="195">
        <f t="shared" si="22"/>
        <v>0</v>
      </c>
      <c r="AX114" s="195">
        <f t="shared" si="22"/>
        <v>0</v>
      </c>
      <c r="AY114" s="195">
        <f t="shared" si="22"/>
        <v>0</v>
      </c>
      <c r="AZ114" s="195">
        <f t="shared" si="22"/>
        <v>0</v>
      </c>
      <c r="BA114" s="195">
        <f t="shared" si="22"/>
        <v>0</v>
      </c>
    </row>
    <row r="115" spans="5:54" s="178" customFormat="1" x14ac:dyDescent="0.35">
      <c r="E115" s="178" t="s">
        <v>788</v>
      </c>
      <c r="F115" s="178" t="s">
        <v>219</v>
      </c>
      <c r="G115" s="179" t="str">
        <f>$H$110&amp;"$"</f>
        <v>2024$</v>
      </c>
      <c r="H115" s="188"/>
      <c r="I115" s="195">
        <f>_xlfn.IFNA(I98*$H107*$H$56,0)</f>
        <v>0</v>
      </c>
      <c r="J115" s="195">
        <f t="shared" si="22"/>
        <v>0</v>
      </c>
      <c r="K115" s="195">
        <f t="shared" si="22"/>
        <v>0</v>
      </c>
      <c r="L115" s="195">
        <f t="shared" si="22"/>
        <v>0</v>
      </c>
      <c r="M115" s="195">
        <f t="shared" si="22"/>
        <v>0</v>
      </c>
      <c r="N115" s="195">
        <f t="shared" si="22"/>
        <v>0</v>
      </c>
      <c r="O115" s="195">
        <f t="shared" si="22"/>
        <v>0</v>
      </c>
      <c r="P115" s="195">
        <f t="shared" si="22"/>
        <v>0</v>
      </c>
      <c r="Q115" s="195">
        <f t="shared" si="22"/>
        <v>0</v>
      </c>
      <c r="R115" s="195">
        <f t="shared" si="22"/>
        <v>0</v>
      </c>
      <c r="S115" s="195">
        <f t="shared" si="22"/>
        <v>0</v>
      </c>
      <c r="T115" s="195">
        <f t="shared" si="22"/>
        <v>0</v>
      </c>
      <c r="U115" s="195">
        <f t="shared" si="22"/>
        <v>0</v>
      </c>
      <c r="V115" s="195">
        <f t="shared" si="22"/>
        <v>0</v>
      </c>
      <c r="W115" s="195">
        <f t="shared" si="22"/>
        <v>0</v>
      </c>
      <c r="X115" s="195">
        <f t="shared" si="22"/>
        <v>0</v>
      </c>
      <c r="Y115" s="195">
        <f t="shared" si="22"/>
        <v>0</v>
      </c>
      <c r="Z115" s="195">
        <f t="shared" si="22"/>
        <v>0</v>
      </c>
      <c r="AA115" s="195">
        <f t="shared" si="22"/>
        <v>0</v>
      </c>
      <c r="AB115" s="195">
        <f t="shared" si="22"/>
        <v>0</v>
      </c>
      <c r="AC115" s="195">
        <f t="shared" si="22"/>
        <v>0</v>
      </c>
      <c r="AD115" s="195">
        <f t="shared" si="22"/>
        <v>0</v>
      </c>
      <c r="AE115" s="195">
        <f t="shared" si="22"/>
        <v>0</v>
      </c>
      <c r="AF115" s="195">
        <f t="shared" si="22"/>
        <v>0</v>
      </c>
      <c r="AG115" s="195">
        <f t="shared" si="22"/>
        <v>0</v>
      </c>
      <c r="AH115" s="195">
        <f t="shared" si="22"/>
        <v>0</v>
      </c>
      <c r="AI115" s="195">
        <f t="shared" si="22"/>
        <v>0</v>
      </c>
      <c r="AJ115" s="195">
        <f t="shared" si="22"/>
        <v>0</v>
      </c>
      <c r="AK115" s="195">
        <f t="shared" si="22"/>
        <v>0</v>
      </c>
      <c r="AL115" s="195">
        <f t="shared" si="22"/>
        <v>0</v>
      </c>
      <c r="AM115" s="195">
        <f t="shared" si="22"/>
        <v>0</v>
      </c>
      <c r="AN115" s="195">
        <f t="shared" si="22"/>
        <v>0</v>
      </c>
      <c r="AO115" s="195">
        <f t="shared" si="22"/>
        <v>0</v>
      </c>
      <c r="AP115" s="195">
        <f t="shared" si="22"/>
        <v>0</v>
      </c>
      <c r="AQ115" s="195">
        <f t="shared" si="22"/>
        <v>0</v>
      </c>
      <c r="AR115" s="195">
        <f t="shared" si="22"/>
        <v>0</v>
      </c>
      <c r="AS115" s="195">
        <f t="shared" si="22"/>
        <v>0</v>
      </c>
      <c r="AT115" s="195">
        <f t="shared" si="22"/>
        <v>0</v>
      </c>
      <c r="AU115" s="195">
        <f t="shared" si="22"/>
        <v>0</v>
      </c>
      <c r="AV115" s="195">
        <f t="shared" si="22"/>
        <v>0</v>
      </c>
      <c r="AW115" s="195">
        <f t="shared" si="22"/>
        <v>0</v>
      </c>
      <c r="AX115" s="195">
        <f t="shared" si="22"/>
        <v>0</v>
      </c>
      <c r="AY115" s="195">
        <f t="shared" si="22"/>
        <v>0</v>
      </c>
      <c r="AZ115" s="195">
        <f t="shared" si="22"/>
        <v>0</v>
      </c>
      <c r="BA115" s="195">
        <f t="shared" si="22"/>
        <v>0</v>
      </c>
    </row>
    <row r="116" spans="5:54" s="178" customFormat="1" x14ac:dyDescent="0.35">
      <c r="E116" s="178" t="s">
        <v>789</v>
      </c>
      <c r="F116" s="178" t="s">
        <v>219</v>
      </c>
      <c r="G116" s="179" t="str">
        <f>$H$110&amp;"$"</f>
        <v>2024$</v>
      </c>
      <c r="H116" s="188"/>
      <c r="I116" s="195">
        <f>_xlfn.IFNA(I99*$H108*$H$56,0)</f>
        <v>0</v>
      </c>
      <c r="J116" s="195">
        <f t="shared" si="22"/>
        <v>0</v>
      </c>
      <c r="K116" s="195">
        <f t="shared" si="22"/>
        <v>0</v>
      </c>
      <c r="L116" s="195">
        <f t="shared" si="22"/>
        <v>0</v>
      </c>
      <c r="M116" s="195">
        <f t="shared" si="22"/>
        <v>0</v>
      </c>
      <c r="N116" s="195">
        <f t="shared" si="22"/>
        <v>0</v>
      </c>
      <c r="O116" s="195">
        <f t="shared" si="22"/>
        <v>0</v>
      </c>
      <c r="P116" s="195">
        <f t="shared" si="22"/>
        <v>0</v>
      </c>
      <c r="Q116" s="195">
        <f t="shared" si="22"/>
        <v>0</v>
      </c>
      <c r="R116" s="195">
        <f t="shared" si="22"/>
        <v>0</v>
      </c>
      <c r="S116" s="195">
        <f t="shared" si="22"/>
        <v>0</v>
      </c>
      <c r="T116" s="195">
        <f t="shared" si="22"/>
        <v>0</v>
      </c>
      <c r="U116" s="195">
        <f t="shared" si="22"/>
        <v>0</v>
      </c>
      <c r="V116" s="195">
        <f t="shared" si="22"/>
        <v>0</v>
      </c>
      <c r="W116" s="195">
        <f t="shared" si="22"/>
        <v>0</v>
      </c>
      <c r="X116" s="195">
        <f t="shared" si="22"/>
        <v>0</v>
      </c>
      <c r="Y116" s="195">
        <f t="shared" si="22"/>
        <v>0</v>
      </c>
      <c r="Z116" s="195">
        <f t="shared" si="22"/>
        <v>0</v>
      </c>
      <c r="AA116" s="195">
        <f t="shared" si="22"/>
        <v>0</v>
      </c>
      <c r="AB116" s="195">
        <f t="shared" si="22"/>
        <v>0</v>
      </c>
      <c r="AC116" s="195">
        <f t="shared" si="22"/>
        <v>0</v>
      </c>
      <c r="AD116" s="195">
        <f t="shared" si="22"/>
        <v>0</v>
      </c>
      <c r="AE116" s="195">
        <f t="shared" si="22"/>
        <v>0</v>
      </c>
      <c r="AF116" s="195">
        <f t="shared" si="22"/>
        <v>0</v>
      </c>
      <c r="AG116" s="195">
        <f t="shared" si="22"/>
        <v>0</v>
      </c>
      <c r="AH116" s="195">
        <f t="shared" si="22"/>
        <v>0</v>
      </c>
      <c r="AI116" s="195">
        <f t="shared" si="22"/>
        <v>0</v>
      </c>
      <c r="AJ116" s="195">
        <f t="shared" si="22"/>
        <v>0</v>
      </c>
      <c r="AK116" s="195">
        <f t="shared" si="22"/>
        <v>0</v>
      </c>
      <c r="AL116" s="195">
        <f t="shared" si="22"/>
        <v>0</v>
      </c>
      <c r="AM116" s="195">
        <f t="shared" si="22"/>
        <v>0</v>
      </c>
      <c r="AN116" s="195">
        <f t="shared" si="22"/>
        <v>0</v>
      </c>
      <c r="AO116" s="195">
        <f t="shared" si="22"/>
        <v>0</v>
      </c>
      <c r="AP116" s="195">
        <f t="shared" si="22"/>
        <v>0</v>
      </c>
      <c r="AQ116" s="195">
        <f t="shared" si="22"/>
        <v>0</v>
      </c>
      <c r="AR116" s="195">
        <f t="shared" si="22"/>
        <v>0</v>
      </c>
      <c r="AS116" s="195">
        <f t="shared" si="22"/>
        <v>0</v>
      </c>
      <c r="AT116" s="195">
        <f t="shared" si="22"/>
        <v>0</v>
      </c>
      <c r="AU116" s="195">
        <f t="shared" si="22"/>
        <v>0</v>
      </c>
      <c r="AV116" s="195">
        <f t="shared" si="22"/>
        <v>0</v>
      </c>
      <c r="AW116" s="195">
        <f t="shared" si="22"/>
        <v>0</v>
      </c>
      <c r="AX116" s="195">
        <f t="shared" si="22"/>
        <v>0</v>
      </c>
      <c r="AY116" s="195">
        <f t="shared" si="22"/>
        <v>0</v>
      </c>
      <c r="AZ116" s="195">
        <f t="shared" si="22"/>
        <v>0</v>
      </c>
      <c r="BA116" s="195">
        <f t="shared" si="22"/>
        <v>0</v>
      </c>
    </row>
    <row r="117" spans="5:54" s="178" customFormat="1" ht="5.5" customHeight="1" x14ac:dyDescent="0.35">
      <c r="G117" s="179"/>
    </row>
    <row r="118" spans="5:54" s="178" customFormat="1" x14ac:dyDescent="0.35">
      <c r="E118" s="185" t="s">
        <v>790</v>
      </c>
      <c r="F118" s="185"/>
      <c r="G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9"/>
    </row>
    <row r="119" spans="5:54" s="178" customFormat="1" ht="5.5" customHeight="1" x14ac:dyDescent="0.35">
      <c r="G119" s="179"/>
    </row>
    <row r="120" spans="5:54" x14ac:dyDescent="0.35">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8"/>
      <c r="BA120" s="178"/>
      <c r="BB120" s="178"/>
    </row>
    <row r="121" spans="5:54" x14ac:dyDescent="0.35">
      <c r="E121" s="178" t="s">
        <v>791</v>
      </c>
      <c r="F121" s="178" t="s">
        <v>745</v>
      </c>
      <c r="H121" s="194"/>
      <c r="I121" s="173"/>
      <c r="J121" s="173"/>
      <c r="K121" s="173"/>
      <c r="L121" s="173">
        <v>1</v>
      </c>
      <c r="M121" s="173"/>
      <c r="N121" s="173"/>
      <c r="O121" s="173"/>
      <c r="P121" s="173"/>
      <c r="Q121" s="173"/>
      <c r="R121" s="173"/>
      <c r="S121" s="173"/>
      <c r="T121" s="173">
        <v>1</v>
      </c>
      <c r="U121" s="173"/>
      <c r="V121" s="173"/>
      <c r="W121" s="173"/>
      <c r="X121" s="173"/>
      <c r="Y121" s="173"/>
      <c r="Z121" s="173"/>
      <c r="AA121" s="173"/>
      <c r="AB121" s="173">
        <v>1</v>
      </c>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8"/>
    </row>
    <row r="122" spans="5:54" x14ac:dyDescent="0.35">
      <c r="E122" s="178" t="s">
        <v>792</v>
      </c>
      <c r="F122" s="178" t="s">
        <v>745</v>
      </c>
      <c r="H122" s="194"/>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c r="AK122" s="173"/>
      <c r="AL122" s="173"/>
      <c r="AM122" s="173"/>
      <c r="AN122" s="173"/>
      <c r="AO122" s="173"/>
      <c r="AP122" s="173"/>
      <c r="AQ122" s="173"/>
      <c r="AR122" s="173"/>
      <c r="AS122" s="173"/>
      <c r="AT122" s="173"/>
      <c r="AU122" s="173"/>
      <c r="AV122" s="173"/>
      <c r="AW122" s="173"/>
      <c r="AX122" s="173"/>
      <c r="AY122" s="173"/>
      <c r="AZ122" s="173"/>
      <c r="BA122" s="173"/>
      <c r="BB122" s="178"/>
    </row>
    <row r="123" spans="5:54" x14ac:dyDescent="0.35">
      <c r="E123" s="178" t="s">
        <v>793</v>
      </c>
      <c r="F123" s="178" t="s">
        <v>745</v>
      </c>
      <c r="H123" s="194"/>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8"/>
    </row>
    <row r="124" spans="5:54" x14ac:dyDescent="0.35">
      <c r="E124" s="178" t="s">
        <v>794</v>
      </c>
      <c r="F124" s="178" t="s">
        <v>745</v>
      </c>
      <c r="H124" s="194"/>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8"/>
    </row>
    <row r="125" spans="5:54" ht="5.5" customHeight="1" x14ac:dyDescent="0.35">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8"/>
      <c r="BB125" s="178"/>
    </row>
    <row r="126" spans="5:54" x14ac:dyDescent="0.35">
      <c r="E126" s="178" t="s">
        <v>753</v>
      </c>
      <c r="F126" s="178" t="s">
        <v>745</v>
      </c>
      <c r="G126" s="179" t="s">
        <v>121</v>
      </c>
      <c r="H126" s="191">
        <f>$H$22</f>
        <v>2025</v>
      </c>
      <c r="I126" s="178"/>
      <c r="J126" s="180"/>
      <c r="K126" s="180"/>
      <c r="L126" s="180"/>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8"/>
      <c r="BA126" s="178"/>
      <c r="BB126" s="178"/>
    </row>
    <row r="127" spans="5:54" s="178" customFormat="1" ht="5.5" customHeight="1" x14ac:dyDescent="0.35">
      <c r="G127" s="179"/>
    </row>
    <row r="128" spans="5:54" x14ac:dyDescent="0.35">
      <c r="E128" s="178" t="s">
        <v>795</v>
      </c>
      <c r="F128" s="173" t="s">
        <v>796</v>
      </c>
      <c r="G128" s="179" t="str">
        <f>$H$22&amp;"$"</f>
        <v>2025$</v>
      </c>
      <c r="H128" s="174">
        <v>2000000</v>
      </c>
      <c r="I128" s="178"/>
      <c r="J128" s="196"/>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8"/>
      <c r="BA128" s="178"/>
      <c r="BB128" s="178"/>
    </row>
    <row r="129" spans="5:54" x14ac:dyDescent="0.35">
      <c r="E129" s="178" t="s">
        <v>797</v>
      </c>
      <c r="F129" s="173"/>
      <c r="G129" s="179" t="str">
        <f>$H$22&amp;"$"</f>
        <v>2025$</v>
      </c>
      <c r="H129" s="173"/>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c r="BA129" s="178"/>
      <c r="BB129" s="178"/>
    </row>
    <row r="130" spans="5:54" x14ac:dyDescent="0.35">
      <c r="E130" s="178" t="s">
        <v>798</v>
      </c>
      <c r="F130" s="173"/>
      <c r="G130" s="179" t="str">
        <f>$H$22&amp;"$"</f>
        <v>2025$</v>
      </c>
      <c r="H130" s="173"/>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c r="BA130" s="178"/>
      <c r="BB130" s="178"/>
    </row>
    <row r="131" spans="5:54" x14ac:dyDescent="0.35">
      <c r="E131" s="178" t="s">
        <v>799</v>
      </c>
      <c r="F131" s="173"/>
      <c r="G131" s="179" t="str">
        <f>$H$22&amp;"$"</f>
        <v>2025$</v>
      </c>
      <c r="H131" s="173"/>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8"/>
      <c r="BA131" s="178"/>
      <c r="BB131" s="178"/>
    </row>
    <row r="132" spans="5:54" ht="5.5" customHeight="1" x14ac:dyDescent="0.35">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c r="BA132" s="178"/>
      <c r="BB132" s="178"/>
    </row>
    <row r="133" spans="5:54" x14ac:dyDescent="0.35">
      <c r="E133" s="191" t="str">
        <f>E$24</f>
        <v>Target Year of Dollars</v>
      </c>
      <c r="F133" s="191" t="str">
        <f>F$24</f>
        <v>USDOT BCA Guidance Nov 2024</v>
      </c>
      <c r="G133" s="191" t="str">
        <f>G$24</f>
        <v>year</v>
      </c>
      <c r="H133" s="191">
        <f>H$24</f>
        <v>2024</v>
      </c>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8"/>
      <c r="BA133" s="178"/>
      <c r="BB133" s="178"/>
    </row>
    <row r="134" spans="5:54" ht="5.5" customHeight="1" x14ac:dyDescent="0.35">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c r="AZ134" s="178"/>
      <c r="BA134" s="178"/>
      <c r="BB134" s="178"/>
    </row>
    <row r="135" spans="5:54" hidden="1" x14ac:dyDescent="0.35">
      <c r="BB135" s="178"/>
    </row>
    <row r="136" spans="5:54" x14ac:dyDescent="0.35">
      <c r="E136" s="178" t="s">
        <v>795</v>
      </c>
      <c r="F136" s="178" t="s">
        <v>219</v>
      </c>
      <c r="G136" s="179" t="str">
        <f>$H$133&amp;"$"</f>
        <v>2024$</v>
      </c>
      <c r="H136" s="188"/>
      <c r="I136" s="195">
        <f>_xlfn.IFNA(I121*$H128*$H$56,0)</f>
        <v>0</v>
      </c>
      <c r="J136" s="195">
        <f t="shared" ref="J136:BA136" si="23">_xlfn.IFNA(J121*$H128*$H$56,0)</f>
        <v>0</v>
      </c>
      <c r="K136" s="195">
        <f t="shared" si="23"/>
        <v>0</v>
      </c>
      <c r="L136" s="195">
        <f t="shared" si="23"/>
        <v>1955817.2404907115</v>
      </c>
      <c r="M136" s="195">
        <f t="shared" si="23"/>
        <v>0</v>
      </c>
      <c r="N136" s="195">
        <f t="shared" si="23"/>
        <v>0</v>
      </c>
      <c r="O136" s="195">
        <f t="shared" si="23"/>
        <v>0</v>
      </c>
      <c r="P136" s="195">
        <f t="shared" si="23"/>
        <v>0</v>
      </c>
      <c r="Q136" s="195">
        <f t="shared" si="23"/>
        <v>0</v>
      </c>
      <c r="R136" s="195">
        <f t="shared" si="23"/>
        <v>0</v>
      </c>
      <c r="S136" s="195">
        <f t="shared" si="23"/>
        <v>0</v>
      </c>
      <c r="T136" s="195">
        <f t="shared" si="23"/>
        <v>1955817.2404907115</v>
      </c>
      <c r="U136" s="195">
        <f t="shared" si="23"/>
        <v>0</v>
      </c>
      <c r="V136" s="195">
        <f t="shared" si="23"/>
        <v>0</v>
      </c>
      <c r="W136" s="195">
        <f t="shared" si="23"/>
        <v>0</v>
      </c>
      <c r="X136" s="195">
        <f t="shared" si="23"/>
        <v>0</v>
      </c>
      <c r="Y136" s="195">
        <f t="shared" si="23"/>
        <v>0</v>
      </c>
      <c r="Z136" s="195">
        <f t="shared" si="23"/>
        <v>0</v>
      </c>
      <c r="AA136" s="195">
        <f t="shared" si="23"/>
        <v>0</v>
      </c>
      <c r="AB136" s="195">
        <f t="shared" si="23"/>
        <v>1955817.2404907115</v>
      </c>
      <c r="AC136" s="195">
        <f t="shared" si="23"/>
        <v>0</v>
      </c>
      <c r="AD136" s="195">
        <f t="shared" si="23"/>
        <v>0</v>
      </c>
      <c r="AE136" s="195">
        <f t="shared" si="23"/>
        <v>0</v>
      </c>
      <c r="AF136" s="195">
        <f t="shared" si="23"/>
        <v>0</v>
      </c>
      <c r="AG136" s="195">
        <f t="shared" si="23"/>
        <v>0</v>
      </c>
      <c r="AH136" s="195">
        <f t="shared" si="23"/>
        <v>0</v>
      </c>
      <c r="AI136" s="195">
        <f t="shared" si="23"/>
        <v>0</v>
      </c>
      <c r="AJ136" s="195">
        <f t="shared" si="23"/>
        <v>0</v>
      </c>
      <c r="AK136" s="195">
        <f t="shared" si="23"/>
        <v>0</v>
      </c>
      <c r="AL136" s="195">
        <f t="shared" si="23"/>
        <v>0</v>
      </c>
      <c r="AM136" s="195">
        <f t="shared" si="23"/>
        <v>0</v>
      </c>
      <c r="AN136" s="195">
        <f t="shared" si="23"/>
        <v>0</v>
      </c>
      <c r="AO136" s="195">
        <f t="shared" si="23"/>
        <v>0</v>
      </c>
      <c r="AP136" s="195">
        <f t="shared" si="23"/>
        <v>0</v>
      </c>
      <c r="AQ136" s="195">
        <f t="shared" si="23"/>
        <v>0</v>
      </c>
      <c r="AR136" s="195">
        <f t="shared" si="23"/>
        <v>0</v>
      </c>
      <c r="AS136" s="195">
        <f t="shared" si="23"/>
        <v>0</v>
      </c>
      <c r="AT136" s="195">
        <f t="shared" si="23"/>
        <v>0</v>
      </c>
      <c r="AU136" s="195">
        <f t="shared" si="23"/>
        <v>0</v>
      </c>
      <c r="AV136" s="195">
        <f t="shared" si="23"/>
        <v>0</v>
      </c>
      <c r="AW136" s="195">
        <f t="shared" si="23"/>
        <v>0</v>
      </c>
      <c r="AX136" s="195">
        <f t="shared" si="23"/>
        <v>0</v>
      </c>
      <c r="AY136" s="195">
        <f t="shared" si="23"/>
        <v>0</v>
      </c>
      <c r="AZ136" s="195">
        <f t="shared" si="23"/>
        <v>0</v>
      </c>
      <c r="BA136" s="195">
        <f t="shared" si="23"/>
        <v>0</v>
      </c>
      <c r="BB136" s="178"/>
    </row>
    <row r="137" spans="5:54" x14ac:dyDescent="0.35">
      <c r="E137" s="178" t="s">
        <v>797</v>
      </c>
      <c r="F137" s="178" t="s">
        <v>219</v>
      </c>
      <c r="G137" s="179" t="str">
        <f>$H$133&amp;"$"</f>
        <v>2024$</v>
      </c>
      <c r="H137" s="188"/>
      <c r="I137" s="195">
        <f t="shared" ref="I137:BA137" si="24">_xlfn.IFNA(I122*$H129*$H$56,0)</f>
        <v>0</v>
      </c>
      <c r="J137" s="195">
        <f t="shared" si="24"/>
        <v>0</v>
      </c>
      <c r="K137" s="195">
        <f t="shared" si="24"/>
        <v>0</v>
      </c>
      <c r="L137" s="195">
        <f t="shared" si="24"/>
        <v>0</v>
      </c>
      <c r="M137" s="195">
        <f t="shared" si="24"/>
        <v>0</v>
      </c>
      <c r="N137" s="195">
        <f t="shared" si="24"/>
        <v>0</v>
      </c>
      <c r="O137" s="195">
        <f t="shared" si="24"/>
        <v>0</v>
      </c>
      <c r="P137" s="195">
        <f t="shared" si="24"/>
        <v>0</v>
      </c>
      <c r="Q137" s="195">
        <f t="shared" si="24"/>
        <v>0</v>
      </c>
      <c r="R137" s="195">
        <f t="shared" si="24"/>
        <v>0</v>
      </c>
      <c r="S137" s="195">
        <f t="shared" si="24"/>
        <v>0</v>
      </c>
      <c r="T137" s="195">
        <f t="shared" si="24"/>
        <v>0</v>
      </c>
      <c r="U137" s="195">
        <f t="shared" si="24"/>
        <v>0</v>
      </c>
      <c r="V137" s="195">
        <f t="shared" si="24"/>
        <v>0</v>
      </c>
      <c r="W137" s="195">
        <f t="shared" si="24"/>
        <v>0</v>
      </c>
      <c r="X137" s="195">
        <f t="shared" si="24"/>
        <v>0</v>
      </c>
      <c r="Y137" s="195">
        <f t="shared" si="24"/>
        <v>0</v>
      </c>
      <c r="Z137" s="195">
        <f t="shared" si="24"/>
        <v>0</v>
      </c>
      <c r="AA137" s="195">
        <f t="shared" si="24"/>
        <v>0</v>
      </c>
      <c r="AB137" s="195">
        <f t="shared" si="24"/>
        <v>0</v>
      </c>
      <c r="AC137" s="195">
        <f t="shared" si="24"/>
        <v>0</v>
      </c>
      <c r="AD137" s="195">
        <f t="shared" si="24"/>
        <v>0</v>
      </c>
      <c r="AE137" s="195">
        <f t="shared" si="24"/>
        <v>0</v>
      </c>
      <c r="AF137" s="195">
        <f t="shared" si="24"/>
        <v>0</v>
      </c>
      <c r="AG137" s="195">
        <f t="shared" si="24"/>
        <v>0</v>
      </c>
      <c r="AH137" s="195">
        <f t="shared" si="24"/>
        <v>0</v>
      </c>
      <c r="AI137" s="195">
        <f t="shared" si="24"/>
        <v>0</v>
      </c>
      <c r="AJ137" s="195">
        <f t="shared" si="24"/>
        <v>0</v>
      </c>
      <c r="AK137" s="195">
        <f t="shared" si="24"/>
        <v>0</v>
      </c>
      <c r="AL137" s="195">
        <f t="shared" si="24"/>
        <v>0</v>
      </c>
      <c r="AM137" s="195">
        <f t="shared" si="24"/>
        <v>0</v>
      </c>
      <c r="AN137" s="195">
        <f t="shared" si="24"/>
        <v>0</v>
      </c>
      <c r="AO137" s="195">
        <f t="shared" si="24"/>
        <v>0</v>
      </c>
      <c r="AP137" s="195">
        <f t="shared" si="24"/>
        <v>0</v>
      </c>
      <c r="AQ137" s="195">
        <f t="shared" si="24"/>
        <v>0</v>
      </c>
      <c r="AR137" s="195">
        <f t="shared" si="24"/>
        <v>0</v>
      </c>
      <c r="AS137" s="195">
        <f t="shared" si="24"/>
        <v>0</v>
      </c>
      <c r="AT137" s="195">
        <f t="shared" si="24"/>
        <v>0</v>
      </c>
      <c r="AU137" s="195">
        <f t="shared" si="24"/>
        <v>0</v>
      </c>
      <c r="AV137" s="195">
        <f t="shared" si="24"/>
        <v>0</v>
      </c>
      <c r="AW137" s="195">
        <f t="shared" si="24"/>
        <v>0</v>
      </c>
      <c r="AX137" s="195">
        <f t="shared" si="24"/>
        <v>0</v>
      </c>
      <c r="AY137" s="195">
        <f t="shared" si="24"/>
        <v>0</v>
      </c>
      <c r="AZ137" s="195">
        <f t="shared" si="24"/>
        <v>0</v>
      </c>
      <c r="BA137" s="195">
        <f t="shared" si="24"/>
        <v>0</v>
      </c>
      <c r="BB137" s="178"/>
    </row>
    <row r="138" spans="5:54" x14ac:dyDescent="0.35">
      <c r="E138" s="178" t="s">
        <v>798</v>
      </c>
      <c r="F138" s="178" t="s">
        <v>219</v>
      </c>
      <c r="G138" s="179" t="str">
        <f>$H$133&amp;"$"</f>
        <v>2024$</v>
      </c>
      <c r="H138" s="188"/>
      <c r="I138" s="195">
        <f t="shared" ref="I138:BA138" si="25">_xlfn.IFNA(I123*$H130*$H$56,0)</f>
        <v>0</v>
      </c>
      <c r="J138" s="195">
        <f t="shared" si="25"/>
        <v>0</v>
      </c>
      <c r="K138" s="195">
        <f t="shared" si="25"/>
        <v>0</v>
      </c>
      <c r="L138" s="195">
        <f t="shared" si="25"/>
        <v>0</v>
      </c>
      <c r="M138" s="195">
        <f t="shared" si="25"/>
        <v>0</v>
      </c>
      <c r="N138" s="195">
        <f t="shared" si="25"/>
        <v>0</v>
      </c>
      <c r="O138" s="195">
        <f t="shared" si="25"/>
        <v>0</v>
      </c>
      <c r="P138" s="195">
        <f t="shared" si="25"/>
        <v>0</v>
      </c>
      <c r="Q138" s="195">
        <f t="shared" si="25"/>
        <v>0</v>
      </c>
      <c r="R138" s="195">
        <f t="shared" si="25"/>
        <v>0</v>
      </c>
      <c r="S138" s="195">
        <f t="shared" si="25"/>
        <v>0</v>
      </c>
      <c r="T138" s="195">
        <f t="shared" si="25"/>
        <v>0</v>
      </c>
      <c r="U138" s="195">
        <f t="shared" si="25"/>
        <v>0</v>
      </c>
      <c r="V138" s="195">
        <f t="shared" si="25"/>
        <v>0</v>
      </c>
      <c r="W138" s="195">
        <f t="shared" si="25"/>
        <v>0</v>
      </c>
      <c r="X138" s="195">
        <f t="shared" si="25"/>
        <v>0</v>
      </c>
      <c r="Y138" s="195">
        <f t="shared" si="25"/>
        <v>0</v>
      </c>
      <c r="Z138" s="195">
        <f t="shared" si="25"/>
        <v>0</v>
      </c>
      <c r="AA138" s="195">
        <f t="shared" si="25"/>
        <v>0</v>
      </c>
      <c r="AB138" s="195">
        <f t="shared" si="25"/>
        <v>0</v>
      </c>
      <c r="AC138" s="195">
        <f t="shared" si="25"/>
        <v>0</v>
      </c>
      <c r="AD138" s="195">
        <f t="shared" si="25"/>
        <v>0</v>
      </c>
      <c r="AE138" s="195">
        <f t="shared" si="25"/>
        <v>0</v>
      </c>
      <c r="AF138" s="195">
        <f t="shared" si="25"/>
        <v>0</v>
      </c>
      <c r="AG138" s="195">
        <f t="shared" si="25"/>
        <v>0</v>
      </c>
      <c r="AH138" s="195">
        <f t="shared" si="25"/>
        <v>0</v>
      </c>
      <c r="AI138" s="195">
        <f t="shared" si="25"/>
        <v>0</v>
      </c>
      <c r="AJ138" s="195">
        <f t="shared" si="25"/>
        <v>0</v>
      </c>
      <c r="AK138" s="195">
        <f t="shared" si="25"/>
        <v>0</v>
      </c>
      <c r="AL138" s="195">
        <f t="shared" si="25"/>
        <v>0</v>
      </c>
      <c r="AM138" s="195">
        <f t="shared" si="25"/>
        <v>0</v>
      </c>
      <c r="AN138" s="195">
        <f t="shared" si="25"/>
        <v>0</v>
      </c>
      <c r="AO138" s="195">
        <f t="shared" si="25"/>
        <v>0</v>
      </c>
      <c r="AP138" s="195">
        <f t="shared" si="25"/>
        <v>0</v>
      </c>
      <c r="AQ138" s="195">
        <f t="shared" si="25"/>
        <v>0</v>
      </c>
      <c r="AR138" s="195">
        <f t="shared" si="25"/>
        <v>0</v>
      </c>
      <c r="AS138" s="195">
        <f t="shared" si="25"/>
        <v>0</v>
      </c>
      <c r="AT138" s="195">
        <f t="shared" si="25"/>
        <v>0</v>
      </c>
      <c r="AU138" s="195">
        <f t="shared" si="25"/>
        <v>0</v>
      </c>
      <c r="AV138" s="195">
        <f t="shared" si="25"/>
        <v>0</v>
      </c>
      <c r="AW138" s="195">
        <f t="shared" si="25"/>
        <v>0</v>
      </c>
      <c r="AX138" s="195">
        <f t="shared" si="25"/>
        <v>0</v>
      </c>
      <c r="AY138" s="195">
        <f t="shared" si="25"/>
        <v>0</v>
      </c>
      <c r="AZ138" s="195">
        <f t="shared" si="25"/>
        <v>0</v>
      </c>
      <c r="BA138" s="195">
        <f t="shared" si="25"/>
        <v>0</v>
      </c>
      <c r="BB138" s="178"/>
    </row>
    <row r="139" spans="5:54" x14ac:dyDescent="0.35">
      <c r="E139" s="178" t="s">
        <v>799</v>
      </c>
      <c r="F139" s="178" t="s">
        <v>219</v>
      </c>
      <c r="G139" s="179" t="str">
        <f>$H$133&amp;"$"</f>
        <v>2024$</v>
      </c>
      <c r="H139" s="188"/>
      <c r="I139" s="195">
        <f>_xlfn.IFNA(I124*$H131*$H$56,0)</f>
        <v>0</v>
      </c>
      <c r="J139" s="195">
        <f t="shared" ref="J139:BA139" si="26">_xlfn.IFNA(J124*$H131*$H$56,0)</f>
        <v>0</v>
      </c>
      <c r="K139" s="195">
        <f t="shared" si="26"/>
        <v>0</v>
      </c>
      <c r="L139" s="195">
        <f t="shared" si="26"/>
        <v>0</v>
      </c>
      <c r="M139" s="195">
        <f t="shared" si="26"/>
        <v>0</v>
      </c>
      <c r="N139" s="195">
        <f t="shared" si="26"/>
        <v>0</v>
      </c>
      <c r="O139" s="195">
        <f t="shared" si="26"/>
        <v>0</v>
      </c>
      <c r="P139" s="195">
        <f t="shared" si="26"/>
        <v>0</v>
      </c>
      <c r="Q139" s="195">
        <f t="shared" si="26"/>
        <v>0</v>
      </c>
      <c r="R139" s="195">
        <f t="shared" si="26"/>
        <v>0</v>
      </c>
      <c r="S139" s="195">
        <f t="shared" si="26"/>
        <v>0</v>
      </c>
      <c r="T139" s="195">
        <f t="shared" si="26"/>
        <v>0</v>
      </c>
      <c r="U139" s="195">
        <f t="shared" si="26"/>
        <v>0</v>
      </c>
      <c r="V139" s="195">
        <f t="shared" si="26"/>
        <v>0</v>
      </c>
      <c r="W139" s="195">
        <f t="shared" si="26"/>
        <v>0</v>
      </c>
      <c r="X139" s="195">
        <f t="shared" si="26"/>
        <v>0</v>
      </c>
      <c r="Y139" s="195">
        <f t="shared" si="26"/>
        <v>0</v>
      </c>
      <c r="Z139" s="195">
        <f t="shared" si="26"/>
        <v>0</v>
      </c>
      <c r="AA139" s="195">
        <f t="shared" si="26"/>
        <v>0</v>
      </c>
      <c r="AB139" s="195">
        <f t="shared" si="26"/>
        <v>0</v>
      </c>
      <c r="AC139" s="195">
        <f t="shared" si="26"/>
        <v>0</v>
      </c>
      <c r="AD139" s="195">
        <f t="shared" si="26"/>
        <v>0</v>
      </c>
      <c r="AE139" s="195">
        <f t="shared" si="26"/>
        <v>0</v>
      </c>
      <c r="AF139" s="195">
        <f t="shared" si="26"/>
        <v>0</v>
      </c>
      <c r="AG139" s="195">
        <f t="shared" si="26"/>
        <v>0</v>
      </c>
      <c r="AH139" s="195">
        <f t="shared" si="26"/>
        <v>0</v>
      </c>
      <c r="AI139" s="195">
        <f t="shared" si="26"/>
        <v>0</v>
      </c>
      <c r="AJ139" s="195">
        <f t="shared" si="26"/>
        <v>0</v>
      </c>
      <c r="AK139" s="195">
        <f t="shared" si="26"/>
        <v>0</v>
      </c>
      <c r="AL139" s="195">
        <f t="shared" si="26"/>
        <v>0</v>
      </c>
      <c r="AM139" s="195">
        <f t="shared" si="26"/>
        <v>0</v>
      </c>
      <c r="AN139" s="195">
        <f t="shared" si="26"/>
        <v>0</v>
      </c>
      <c r="AO139" s="195">
        <f t="shared" si="26"/>
        <v>0</v>
      </c>
      <c r="AP139" s="195">
        <f t="shared" si="26"/>
        <v>0</v>
      </c>
      <c r="AQ139" s="195">
        <f t="shared" si="26"/>
        <v>0</v>
      </c>
      <c r="AR139" s="195">
        <f t="shared" si="26"/>
        <v>0</v>
      </c>
      <c r="AS139" s="195">
        <f t="shared" si="26"/>
        <v>0</v>
      </c>
      <c r="AT139" s="195">
        <f t="shared" si="26"/>
        <v>0</v>
      </c>
      <c r="AU139" s="195">
        <f t="shared" si="26"/>
        <v>0</v>
      </c>
      <c r="AV139" s="195">
        <f t="shared" si="26"/>
        <v>0</v>
      </c>
      <c r="AW139" s="195">
        <f t="shared" si="26"/>
        <v>0</v>
      </c>
      <c r="AX139" s="195">
        <f t="shared" si="26"/>
        <v>0</v>
      </c>
      <c r="AY139" s="195">
        <f t="shared" si="26"/>
        <v>0</v>
      </c>
      <c r="AZ139" s="195">
        <f t="shared" si="26"/>
        <v>0</v>
      </c>
      <c r="BA139" s="195">
        <f t="shared" si="26"/>
        <v>0</v>
      </c>
      <c r="BB139" s="178"/>
    </row>
    <row r="140" spans="5:54" ht="5.5" customHeight="1" x14ac:dyDescent="0.35">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8"/>
      <c r="BB140" s="178"/>
    </row>
    <row r="141" spans="5:54" x14ac:dyDescent="0.35">
      <c r="E141" s="179" t="s">
        <v>800</v>
      </c>
      <c r="F141" s="179"/>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8"/>
      <c r="BB141" s="178"/>
    </row>
    <row r="142" spans="5:54" ht="5.5" customHeight="1" x14ac:dyDescent="0.35">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8"/>
      <c r="BB142" s="178"/>
    </row>
    <row r="143" spans="5:54" ht="5.5" customHeight="1" x14ac:dyDescent="0.35">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8"/>
      <c r="BB143" s="178"/>
    </row>
    <row r="144" spans="5:54" x14ac:dyDescent="0.35">
      <c r="E144" s="178" t="s">
        <v>801</v>
      </c>
      <c r="F144" s="178" t="s">
        <v>219</v>
      </c>
      <c r="H144" s="178"/>
      <c r="I144" s="190">
        <f>_xlfn.IFNA(SUM(I$113:I$116),0)</f>
        <v>0</v>
      </c>
      <c r="J144" s="190">
        <f t="shared" ref="J144:BA144" si="27">_xlfn.IFNA(SUM(J$113:J$116),0)</f>
        <v>0</v>
      </c>
      <c r="K144" s="190">
        <f t="shared" si="27"/>
        <v>0</v>
      </c>
      <c r="L144" s="190">
        <f t="shared" si="27"/>
        <v>0</v>
      </c>
      <c r="M144" s="190">
        <f t="shared" si="27"/>
        <v>0</v>
      </c>
      <c r="N144" s="190">
        <f t="shared" si="27"/>
        <v>0</v>
      </c>
      <c r="O144" s="190">
        <f t="shared" si="27"/>
        <v>0</v>
      </c>
      <c r="P144" s="190">
        <f t="shared" si="27"/>
        <v>0</v>
      </c>
      <c r="Q144" s="190">
        <f t="shared" si="27"/>
        <v>0</v>
      </c>
      <c r="R144" s="190">
        <f t="shared" si="27"/>
        <v>0</v>
      </c>
      <c r="S144" s="190">
        <f t="shared" si="27"/>
        <v>0</v>
      </c>
      <c r="T144" s="190">
        <f t="shared" si="27"/>
        <v>0</v>
      </c>
      <c r="U144" s="190">
        <f t="shared" si="27"/>
        <v>0</v>
      </c>
      <c r="V144" s="190">
        <f t="shared" si="27"/>
        <v>0</v>
      </c>
      <c r="W144" s="190">
        <f t="shared" si="27"/>
        <v>0</v>
      </c>
      <c r="X144" s="190">
        <f t="shared" si="27"/>
        <v>0</v>
      </c>
      <c r="Y144" s="190">
        <f t="shared" si="27"/>
        <v>0</v>
      </c>
      <c r="Z144" s="190">
        <f t="shared" si="27"/>
        <v>0</v>
      </c>
      <c r="AA144" s="190">
        <f t="shared" si="27"/>
        <v>0</v>
      </c>
      <c r="AB144" s="190">
        <f t="shared" si="27"/>
        <v>1955817.2404907115</v>
      </c>
      <c r="AC144" s="190">
        <f t="shared" si="27"/>
        <v>0</v>
      </c>
      <c r="AD144" s="190">
        <f t="shared" si="27"/>
        <v>0</v>
      </c>
      <c r="AE144" s="190">
        <f t="shared" si="27"/>
        <v>0</v>
      </c>
      <c r="AF144" s="190">
        <f t="shared" si="27"/>
        <v>0</v>
      </c>
      <c r="AG144" s="190">
        <f t="shared" si="27"/>
        <v>0</v>
      </c>
      <c r="AH144" s="190">
        <f t="shared" si="27"/>
        <v>0</v>
      </c>
      <c r="AI144" s="190">
        <f t="shared" si="27"/>
        <v>0</v>
      </c>
      <c r="AJ144" s="190">
        <f t="shared" si="27"/>
        <v>0</v>
      </c>
      <c r="AK144" s="190">
        <f t="shared" si="27"/>
        <v>0</v>
      </c>
      <c r="AL144" s="190">
        <f t="shared" si="27"/>
        <v>0</v>
      </c>
      <c r="AM144" s="190">
        <f t="shared" si="27"/>
        <v>0</v>
      </c>
      <c r="AN144" s="190">
        <f t="shared" si="27"/>
        <v>0</v>
      </c>
      <c r="AO144" s="190">
        <f t="shared" si="27"/>
        <v>0</v>
      </c>
      <c r="AP144" s="190">
        <f t="shared" si="27"/>
        <v>0</v>
      </c>
      <c r="AQ144" s="190">
        <f t="shared" si="27"/>
        <v>0</v>
      </c>
      <c r="AR144" s="190">
        <f t="shared" si="27"/>
        <v>0</v>
      </c>
      <c r="AS144" s="190">
        <f t="shared" si="27"/>
        <v>0</v>
      </c>
      <c r="AT144" s="190">
        <f t="shared" si="27"/>
        <v>0</v>
      </c>
      <c r="AU144" s="190">
        <f t="shared" si="27"/>
        <v>0</v>
      </c>
      <c r="AV144" s="190">
        <f t="shared" si="27"/>
        <v>0</v>
      </c>
      <c r="AW144" s="190">
        <f t="shared" si="27"/>
        <v>0</v>
      </c>
      <c r="AX144" s="190">
        <f t="shared" si="27"/>
        <v>0</v>
      </c>
      <c r="AY144" s="190">
        <f t="shared" si="27"/>
        <v>0</v>
      </c>
      <c r="AZ144" s="190">
        <f t="shared" si="27"/>
        <v>0</v>
      </c>
      <c r="BA144" s="190">
        <f t="shared" si="27"/>
        <v>0</v>
      </c>
      <c r="BB144" s="178"/>
    </row>
    <row r="145" spans="4:54" x14ac:dyDescent="0.35">
      <c r="E145" s="178" t="s">
        <v>802</v>
      </c>
      <c r="F145" s="178" t="s">
        <v>219</v>
      </c>
      <c r="H145" s="178"/>
      <c r="I145" s="190">
        <f>_xlfn.IFNA(SUM(I$136:I$139),0)</f>
        <v>0</v>
      </c>
      <c r="J145" s="190">
        <f t="shared" ref="J145:BA145" si="28">_xlfn.IFNA(SUM(J$136:J$139),0)</f>
        <v>0</v>
      </c>
      <c r="K145" s="190">
        <f t="shared" si="28"/>
        <v>0</v>
      </c>
      <c r="L145" s="190">
        <f t="shared" si="28"/>
        <v>1955817.2404907115</v>
      </c>
      <c r="M145" s="190">
        <f t="shared" si="28"/>
        <v>0</v>
      </c>
      <c r="N145" s="190">
        <f t="shared" si="28"/>
        <v>0</v>
      </c>
      <c r="O145" s="190">
        <f t="shared" si="28"/>
        <v>0</v>
      </c>
      <c r="P145" s="190">
        <f t="shared" si="28"/>
        <v>0</v>
      </c>
      <c r="Q145" s="190">
        <f t="shared" si="28"/>
        <v>0</v>
      </c>
      <c r="R145" s="190">
        <f t="shared" si="28"/>
        <v>0</v>
      </c>
      <c r="S145" s="190">
        <f t="shared" si="28"/>
        <v>0</v>
      </c>
      <c r="T145" s="190">
        <f t="shared" si="28"/>
        <v>1955817.2404907115</v>
      </c>
      <c r="U145" s="190">
        <f t="shared" si="28"/>
        <v>0</v>
      </c>
      <c r="V145" s="190">
        <f t="shared" si="28"/>
        <v>0</v>
      </c>
      <c r="W145" s="190">
        <f t="shared" si="28"/>
        <v>0</v>
      </c>
      <c r="X145" s="190">
        <f t="shared" si="28"/>
        <v>0</v>
      </c>
      <c r="Y145" s="190">
        <f t="shared" si="28"/>
        <v>0</v>
      </c>
      <c r="Z145" s="190">
        <f t="shared" si="28"/>
        <v>0</v>
      </c>
      <c r="AA145" s="190">
        <f t="shared" si="28"/>
        <v>0</v>
      </c>
      <c r="AB145" s="190">
        <f t="shared" si="28"/>
        <v>1955817.2404907115</v>
      </c>
      <c r="AC145" s="190">
        <f t="shared" si="28"/>
        <v>0</v>
      </c>
      <c r="AD145" s="190">
        <f t="shared" si="28"/>
        <v>0</v>
      </c>
      <c r="AE145" s="190">
        <f t="shared" si="28"/>
        <v>0</v>
      </c>
      <c r="AF145" s="190">
        <f t="shared" si="28"/>
        <v>0</v>
      </c>
      <c r="AG145" s="190">
        <f t="shared" si="28"/>
        <v>0</v>
      </c>
      <c r="AH145" s="190">
        <f t="shared" si="28"/>
        <v>0</v>
      </c>
      <c r="AI145" s="190">
        <f t="shared" si="28"/>
        <v>0</v>
      </c>
      <c r="AJ145" s="190">
        <f t="shared" si="28"/>
        <v>0</v>
      </c>
      <c r="AK145" s="190">
        <f t="shared" si="28"/>
        <v>0</v>
      </c>
      <c r="AL145" s="190">
        <f t="shared" si="28"/>
        <v>0</v>
      </c>
      <c r="AM145" s="190">
        <f t="shared" si="28"/>
        <v>0</v>
      </c>
      <c r="AN145" s="190">
        <f t="shared" si="28"/>
        <v>0</v>
      </c>
      <c r="AO145" s="190">
        <f t="shared" si="28"/>
        <v>0</v>
      </c>
      <c r="AP145" s="190">
        <f t="shared" si="28"/>
        <v>0</v>
      </c>
      <c r="AQ145" s="190">
        <f t="shared" si="28"/>
        <v>0</v>
      </c>
      <c r="AR145" s="190">
        <f t="shared" si="28"/>
        <v>0</v>
      </c>
      <c r="AS145" s="190">
        <f t="shared" si="28"/>
        <v>0</v>
      </c>
      <c r="AT145" s="190">
        <f t="shared" si="28"/>
        <v>0</v>
      </c>
      <c r="AU145" s="190">
        <f t="shared" si="28"/>
        <v>0</v>
      </c>
      <c r="AV145" s="190">
        <f t="shared" si="28"/>
        <v>0</v>
      </c>
      <c r="AW145" s="190">
        <f t="shared" si="28"/>
        <v>0</v>
      </c>
      <c r="AX145" s="190">
        <f t="shared" si="28"/>
        <v>0</v>
      </c>
      <c r="AY145" s="190">
        <f t="shared" si="28"/>
        <v>0</v>
      </c>
      <c r="AZ145" s="190">
        <f t="shared" si="28"/>
        <v>0</v>
      </c>
      <c r="BA145" s="190">
        <f t="shared" si="28"/>
        <v>0</v>
      </c>
      <c r="BB145" s="178"/>
    </row>
    <row r="146" spans="4:54" ht="5.5" customHeight="1" x14ac:dyDescent="0.35">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c r="AZ146" s="178"/>
      <c r="BA146" s="178"/>
      <c r="BB146" s="178"/>
    </row>
    <row r="147" spans="4:54" x14ac:dyDescent="0.35">
      <c r="D147" s="180" t="s">
        <v>78</v>
      </c>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8"/>
      <c r="BA147" s="178"/>
      <c r="BB147" s="178"/>
    </row>
    <row r="148" spans="4:54" ht="5.5" customHeight="1" x14ac:dyDescent="0.35">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8"/>
      <c r="BA148" s="178"/>
      <c r="BB148" s="178"/>
    </row>
    <row r="149" spans="4:54" x14ac:dyDescent="0.35">
      <c r="E149" s="180" t="s">
        <v>732</v>
      </c>
      <c r="F149" s="180"/>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8"/>
      <c r="BA149" s="178"/>
      <c r="BB149" s="178"/>
    </row>
    <row r="150" spans="4:54" x14ac:dyDescent="0.35">
      <c r="E150" s="178" t="s">
        <v>733</v>
      </c>
      <c r="F150" s="178" t="s">
        <v>745</v>
      </c>
      <c r="H150" s="173" t="s">
        <v>803</v>
      </c>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c r="AK150" s="178"/>
      <c r="AL150" s="178"/>
      <c r="AM150" s="178"/>
      <c r="AN150" s="178"/>
      <c r="AO150" s="178"/>
      <c r="AP150" s="178"/>
      <c r="AQ150" s="178"/>
      <c r="AR150" s="178"/>
      <c r="AS150" s="178"/>
      <c r="AT150" s="178"/>
      <c r="AU150" s="178"/>
      <c r="AV150" s="178"/>
      <c r="AW150" s="178"/>
      <c r="AX150" s="178"/>
      <c r="AY150" s="178"/>
      <c r="AZ150" s="178"/>
      <c r="BA150" s="178"/>
      <c r="BB150" s="178"/>
    </row>
    <row r="151" spans="4:54" x14ac:dyDescent="0.35">
      <c r="E151" s="178" t="s">
        <v>735</v>
      </c>
      <c r="F151" s="173"/>
      <c r="G151" s="179" t="s">
        <v>95</v>
      </c>
      <c r="H151" s="173">
        <v>30</v>
      </c>
      <c r="I151" s="178"/>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c r="AZ151" s="178"/>
      <c r="BA151" s="178"/>
      <c r="BB151" s="178"/>
    </row>
    <row r="152" spans="4:54" x14ac:dyDescent="0.35">
      <c r="E152" s="178" t="s">
        <v>736</v>
      </c>
      <c r="F152" s="178" t="s">
        <v>745</v>
      </c>
      <c r="G152" s="179" t="s">
        <v>121</v>
      </c>
      <c r="H152" s="186">
        <f>'Project InputsC'!$H$13</f>
        <v>2028</v>
      </c>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J152" s="178"/>
      <c r="AK152" s="178"/>
      <c r="AL152" s="178"/>
      <c r="AM152" s="178"/>
      <c r="AN152" s="178"/>
      <c r="AO152" s="178"/>
      <c r="AP152" s="178"/>
      <c r="AQ152" s="178"/>
      <c r="AR152" s="178"/>
      <c r="AS152" s="178"/>
      <c r="AT152" s="178"/>
      <c r="AU152" s="178"/>
      <c r="AV152" s="178"/>
      <c r="AW152" s="178"/>
      <c r="AX152" s="178"/>
      <c r="AY152" s="178"/>
      <c r="AZ152" s="178"/>
      <c r="BA152" s="178"/>
      <c r="BB152" s="178"/>
    </row>
    <row r="153" spans="4:54" x14ac:dyDescent="0.35">
      <c r="E153" s="178" t="s">
        <v>737</v>
      </c>
      <c r="F153" s="178" t="s">
        <v>745</v>
      </c>
      <c r="G153" s="179" t="s">
        <v>121</v>
      </c>
      <c r="H153" s="186">
        <f>'Project InputsC'!$H$16</f>
        <v>2048</v>
      </c>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Q153" s="178"/>
      <c r="AR153" s="178"/>
      <c r="AS153" s="178"/>
      <c r="AT153" s="178"/>
      <c r="AU153" s="178"/>
      <c r="AV153" s="178"/>
      <c r="AW153" s="178"/>
      <c r="AX153" s="178"/>
      <c r="AY153" s="178"/>
      <c r="AZ153" s="178"/>
      <c r="BA153" s="178"/>
      <c r="BB153" s="178"/>
    </row>
    <row r="154" spans="4:54" x14ac:dyDescent="0.35">
      <c r="E154" s="178" t="s">
        <v>738</v>
      </c>
      <c r="F154" s="178" t="s">
        <v>219</v>
      </c>
      <c r="G154" s="179" t="str">
        <f>"$"&amp;$H$24</f>
        <v>$2024</v>
      </c>
      <c r="H154" s="192">
        <f>SUM($I$60:$V$60)</f>
        <v>35435534.028407812</v>
      </c>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c r="AI154" s="178"/>
      <c r="AJ154" s="178"/>
      <c r="AK154" s="178"/>
      <c r="AL154" s="178"/>
      <c r="AM154" s="178"/>
      <c r="AN154" s="178"/>
      <c r="AO154" s="178"/>
      <c r="AP154" s="178"/>
      <c r="AQ154" s="178"/>
      <c r="AR154" s="178"/>
      <c r="AS154" s="178"/>
      <c r="AT154" s="178"/>
      <c r="AU154" s="178"/>
      <c r="AV154" s="178"/>
      <c r="AW154" s="178"/>
      <c r="AX154" s="178"/>
      <c r="AY154" s="178"/>
      <c r="AZ154" s="178"/>
      <c r="BA154" s="178"/>
      <c r="BB154" s="178"/>
    </row>
    <row r="155" spans="4:54" ht="5.5" customHeight="1" x14ac:dyDescent="0.35">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AH155" s="178"/>
      <c r="AI155" s="178"/>
      <c r="AJ155" s="178"/>
      <c r="AK155" s="178"/>
      <c r="AL155" s="178"/>
      <c r="AM155" s="178"/>
      <c r="AN155" s="178"/>
      <c r="AO155" s="178"/>
      <c r="AP155" s="178"/>
      <c r="AQ155" s="178"/>
      <c r="AR155" s="178"/>
      <c r="AS155" s="178"/>
      <c r="AT155" s="178"/>
      <c r="AU155" s="178"/>
      <c r="AV155" s="178"/>
      <c r="AW155" s="178"/>
      <c r="AX155" s="178"/>
      <c r="AY155" s="178"/>
      <c r="AZ155" s="178"/>
      <c r="BA155" s="178"/>
      <c r="BB155" s="178"/>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C309-D31F-4930-876C-6FFCE1CA5E8C}">
  <sheetPr>
    <tabColor theme="9" tint="0.59999389629810485"/>
    <pageSetUpPr autoPageBreaks="0"/>
  </sheetPr>
  <dimension ref="A1:P54"/>
  <sheetViews>
    <sheetView zoomScale="80" zoomScaleNormal="80" zoomScaleSheetLayoutView="90" workbookViewId="0">
      <pane xSplit="8" ySplit="6" topLeftCell="I7" activePane="bottomRight" state="frozen"/>
      <selection pane="topRight" activeCell="I5" sqref="I5"/>
      <selection pane="bottomLeft" activeCell="I5" sqref="I5"/>
      <selection pane="bottomRight" activeCell="F32" sqref="F32"/>
    </sheetView>
  </sheetViews>
  <sheetFormatPr defaultColWidth="0" defaultRowHeight="0" customHeight="1" zeroHeight="1" outlineLevelRow="4" x14ac:dyDescent="0.35"/>
  <cols>
    <col min="1" max="1" width="1.453125" style="4" customWidth="1"/>
    <col min="2" max="2" width="1.453125" style="2" customWidth="1"/>
    <col min="3" max="3" width="1.453125" style="3" customWidth="1"/>
    <col min="4" max="4" width="1.453125" style="4" customWidth="1"/>
    <col min="5" max="5" width="80.453125" style="4" bestFit="1" customWidth="1"/>
    <col min="6" max="6" width="57.81640625" style="4" customWidth="1"/>
    <col min="7" max="7" width="24.453125" style="43" bestFit="1" customWidth="1"/>
    <col min="8" max="8" width="32.453125" style="4" bestFit="1" customWidth="1"/>
    <col min="9" max="9" width="2.7265625" style="178" customWidth="1"/>
    <col min="10" max="10" width="12.453125" hidden="1" customWidth="1"/>
    <col min="11" max="15" width="9.1796875" hidden="1" customWidth="1"/>
    <col min="16" max="16" width="3.453125" hidden="1" customWidth="1"/>
    <col min="17" max="16384" width="9.1796875" hidden="1"/>
  </cols>
  <sheetData>
    <row r="1" spans="1:9" ht="15.5" x14ac:dyDescent="0.35">
      <c r="A1" s="364" t="s">
        <v>713</v>
      </c>
      <c r="B1" s="365"/>
      <c r="C1" s="365"/>
      <c r="D1" s="365"/>
      <c r="E1" s="365"/>
      <c r="F1" s="365"/>
      <c r="G1" s="415"/>
      <c r="H1" s="365"/>
      <c r="I1" s="365"/>
    </row>
    <row r="2" spans="1:9" ht="5.5" customHeight="1" x14ac:dyDescent="0.35">
      <c r="A2" s="178"/>
      <c r="B2" s="178"/>
      <c r="C2" s="178"/>
      <c r="D2" s="178"/>
      <c r="E2" s="178"/>
      <c r="F2" s="178"/>
      <c r="G2" s="246"/>
      <c r="H2" s="178"/>
    </row>
    <row r="3" spans="1:9" ht="14.5" x14ac:dyDescent="0.35">
      <c r="E3" s="180" t="s">
        <v>804</v>
      </c>
    </row>
    <row r="4" spans="1:9" ht="14.5" x14ac:dyDescent="0.35">
      <c r="E4" s="178" t="str">
        <f>'Project Costs'!E4</f>
        <v>I-35 McClain County</v>
      </c>
    </row>
    <row r="5" spans="1:9" ht="14.5" x14ac:dyDescent="0.35">
      <c r="E5" s="178" t="str">
        <f>'Project Costs'!E5</f>
        <v>Oklahoma Department of Transportation</v>
      </c>
    </row>
    <row r="6" spans="1:9" ht="14.5" x14ac:dyDescent="0.35">
      <c r="A6" s="1"/>
      <c r="B6" s="5"/>
      <c r="C6" s="6"/>
      <c r="D6" s="1"/>
      <c r="E6" s="1" t="s">
        <v>92</v>
      </c>
      <c r="F6" s="1" t="s">
        <v>112</v>
      </c>
      <c r="G6" s="8" t="s">
        <v>113</v>
      </c>
      <c r="H6" s="7" t="s">
        <v>805</v>
      </c>
    </row>
    <row r="7" spans="1:9" ht="5.5" customHeight="1" x14ac:dyDescent="0.35">
      <c r="A7" s="178"/>
      <c r="B7" s="178"/>
      <c r="C7" s="178"/>
      <c r="D7" s="178"/>
      <c r="E7" s="178"/>
      <c r="F7" s="178"/>
      <c r="G7" s="246"/>
      <c r="H7" s="178"/>
    </row>
    <row r="8" spans="1:9" ht="14.5" x14ac:dyDescent="0.35">
      <c r="A8" s="251" t="s">
        <v>806</v>
      </c>
      <c r="B8" s="178"/>
      <c r="C8" s="178"/>
      <c r="D8" s="178"/>
      <c r="E8" s="178"/>
      <c r="F8" s="178"/>
      <c r="G8" s="246"/>
      <c r="H8" s="178"/>
    </row>
    <row r="9" spans="1:9" ht="5.5" customHeight="1" x14ac:dyDescent="0.35">
      <c r="A9" s="178"/>
      <c r="B9" s="178"/>
      <c r="C9" s="178"/>
      <c r="D9" s="178"/>
      <c r="E9" s="178"/>
      <c r="F9" s="178"/>
      <c r="G9" s="246"/>
      <c r="H9" s="262"/>
    </row>
    <row r="10" spans="1:9" ht="14.5" x14ac:dyDescent="0.35">
      <c r="A10" s="178"/>
      <c r="B10" s="178"/>
      <c r="C10" s="178"/>
      <c r="D10" s="178"/>
      <c r="E10" s="178" t="s">
        <v>807</v>
      </c>
      <c r="F10" s="178" t="s">
        <v>745</v>
      </c>
      <c r="G10" s="242" t="s">
        <v>808</v>
      </c>
      <c r="H10" s="263" t="s">
        <v>809</v>
      </c>
    </row>
    <row r="11" spans="1:9" ht="14.5" hidden="1" x14ac:dyDescent="0.35">
      <c r="A11" s="178"/>
      <c r="B11" s="178"/>
      <c r="C11" s="178"/>
      <c r="D11" s="178"/>
      <c r="E11" s="178" t="s">
        <v>810</v>
      </c>
      <c r="F11" s="178" t="s">
        <v>745</v>
      </c>
      <c r="G11" s="242" t="s">
        <v>808</v>
      </c>
      <c r="H11" s="263"/>
    </row>
    <row r="12" spans="1:9" ht="14.5" hidden="1" x14ac:dyDescent="0.35">
      <c r="A12" s="178"/>
      <c r="B12" s="178"/>
      <c r="C12" s="178"/>
      <c r="D12" s="178"/>
      <c r="E12" s="178" t="s">
        <v>811</v>
      </c>
      <c r="F12" s="178" t="s">
        <v>745</v>
      </c>
      <c r="G12" s="242" t="s">
        <v>808</v>
      </c>
      <c r="H12" s="263"/>
    </row>
    <row r="13" spans="1:9" ht="14.5" hidden="1" x14ac:dyDescent="0.35">
      <c r="A13" s="178"/>
      <c r="B13" s="178"/>
      <c r="C13" s="178"/>
      <c r="D13" s="178"/>
      <c r="E13" s="178" t="s">
        <v>812</v>
      </c>
      <c r="F13" s="178" t="s">
        <v>745</v>
      </c>
      <c r="G13" s="242" t="s">
        <v>808</v>
      </c>
      <c r="H13" s="263"/>
    </row>
    <row r="14" spans="1:9" ht="14.5" hidden="1" x14ac:dyDescent="0.35">
      <c r="A14" s="178"/>
      <c r="B14" s="178"/>
      <c r="C14" s="178"/>
      <c r="D14" s="178"/>
      <c r="E14" s="178" t="s">
        <v>813</v>
      </c>
      <c r="F14" s="178" t="s">
        <v>745</v>
      </c>
      <c r="G14" s="242" t="s">
        <v>808</v>
      </c>
      <c r="H14" s="263"/>
    </row>
    <row r="15" spans="1:9" ht="5.5" customHeight="1" x14ac:dyDescent="0.35">
      <c r="A15" s="178"/>
      <c r="B15" s="178"/>
      <c r="C15" s="178"/>
      <c r="D15" s="178"/>
      <c r="E15" s="178"/>
      <c r="F15" s="178"/>
      <c r="G15" s="246"/>
      <c r="H15" s="178"/>
    </row>
    <row r="16" spans="1:9" ht="14.5" x14ac:dyDescent="0.35">
      <c r="A16" s="178"/>
      <c r="B16" s="251" t="s">
        <v>814</v>
      </c>
      <c r="C16" s="178"/>
      <c r="D16" s="178"/>
      <c r="E16" s="178"/>
      <c r="F16" s="178"/>
      <c r="G16" s="246"/>
      <c r="H16" s="178"/>
    </row>
    <row r="17" spans="1:8" ht="5.5" customHeight="1" x14ac:dyDescent="0.35">
      <c r="A17" s="178"/>
      <c r="B17" s="178"/>
      <c r="C17" s="178"/>
      <c r="D17" s="178"/>
      <c r="E17" s="178"/>
      <c r="F17" s="178"/>
      <c r="G17" s="246"/>
      <c r="H17" s="178"/>
    </row>
    <row r="18" spans="1:8" ht="14.5" x14ac:dyDescent="0.35">
      <c r="A18" s="178"/>
      <c r="B18" s="178"/>
      <c r="C18" s="251" t="s">
        <v>815</v>
      </c>
      <c r="D18" s="178"/>
      <c r="E18" s="178"/>
      <c r="F18" s="178"/>
      <c r="G18" s="246"/>
      <c r="H18" s="178"/>
    </row>
    <row r="19" spans="1:8" ht="5.5" customHeight="1" x14ac:dyDescent="0.35">
      <c r="A19" s="178"/>
      <c r="B19" s="178"/>
      <c r="C19" s="178"/>
      <c r="D19" s="178"/>
      <c r="E19" s="178"/>
      <c r="F19" s="178"/>
      <c r="G19" s="246"/>
      <c r="H19" s="178"/>
    </row>
    <row r="20" spans="1:8" ht="14.5" x14ac:dyDescent="0.35">
      <c r="A20" s="178"/>
      <c r="B20" s="178"/>
      <c r="C20" s="178"/>
      <c r="D20" s="1" t="s">
        <v>816</v>
      </c>
      <c r="E20" s="178"/>
      <c r="F20" s="178"/>
      <c r="G20" s="246"/>
      <c r="H20" s="178"/>
    </row>
    <row r="21" spans="1:8" ht="5.5" customHeight="1" x14ac:dyDescent="0.35">
      <c r="A21" s="178"/>
      <c r="B21" s="178"/>
      <c r="C21" s="178"/>
      <c r="D21" s="178"/>
      <c r="E21" s="178"/>
      <c r="F21" s="178"/>
      <c r="G21" s="246"/>
      <c r="H21" s="178"/>
    </row>
    <row r="22" spans="1:8" ht="14.5" x14ac:dyDescent="0.35">
      <c r="D22" s="3"/>
      <c r="E22" s="4" t="s">
        <v>1273</v>
      </c>
      <c r="F22" s="31" t="s">
        <v>817</v>
      </c>
      <c r="G22" s="43" t="s">
        <v>1286</v>
      </c>
      <c r="H22" s="238">
        <v>61</v>
      </c>
    </row>
    <row r="23" spans="1:8" ht="14.5" x14ac:dyDescent="0.35">
      <c r="D23" s="3"/>
      <c r="E23" s="4" t="s">
        <v>1274</v>
      </c>
      <c r="F23" s="31" t="s">
        <v>817</v>
      </c>
      <c r="G23" s="43" t="s">
        <v>1286</v>
      </c>
      <c r="H23" s="238">
        <v>18</v>
      </c>
    </row>
    <row r="24" spans="1:8" ht="14.5" x14ac:dyDescent="0.35">
      <c r="D24" s="3"/>
      <c r="E24" s="4" t="s">
        <v>1275</v>
      </c>
      <c r="F24" s="31" t="s">
        <v>1287</v>
      </c>
      <c r="G24" s="43" t="s">
        <v>1286</v>
      </c>
      <c r="H24" s="238">
        <v>4</v>
      </c>
    </row>
    <row r="25" spans="1:8" ht="5.5" customHeight="1" x14ac:dyDescent="0.35">
      <c r="A25" s="178"/>
      <c r="B25" s="178"/>
      <c r="C25" s="178"/>
      <c r="D25" s="178"/>
      <c r="E25" s="178"/>
      <c r="F25" s="178"/>
      <c r="G25" s="246"/>
      <c r="H25" s="178"/>
    </row>
    <row r="26" spans="1:8" ht="17.149999999999999" customHeight="1" x14ac:dyDescent="0.35">
      <c r="D26" s="3"/>
      <c r="E26" s="4" t="s">
        <v>819</v>
      </c>
      <c r="F26" s="31" t="s">
        <v>817</v>
      </c>
      <c r="G26" s="43" t="s">
        <v>95</v>
      </c>
      <c r="H26" s="238">
        <v>6</v>
      </c>
    </row>
    <row r="27" spans="1:8" ht="6.65" customHeight="1" x14ac:dyDescent="0.35">
      <c r="A27" s="178"/>
      <c r="B27" s="178"/>
      <c r="C27" s="178"/>
      <c r="D27" s="178"/>
      <c r="E27" s="178"/>
      <c r="F27" s="178"/>
      <c r="G27" s="246"/>
      <c r="H27" s="178"/>
    </row>
    <row r="28" spans="1:8" ht="17.149999999999999" customHeight="1" x14ac:dyDescent="0.35">
      <c r="A28" s="178"/>
      <c r="B28" s="178"/>
      <c r="C28" s="178"/>
      <c r="D28" s="178"/>
      <c r="E28" s="178" t="s">
        <v>1288</v>
      </c>
      <c r="F28" s="31" t="s">
        <v>1290</v>
      </c>
      <c r="G28" s="246" t="s">
        <v>1292</v>
      </c>
      <c r="H28" s="577">
        <v>0.80200000000000005</v>
      </c>
    </row>
    <row r="29" spans="1:8" ht="17.149999999999999" customHeight="1" x14ac:dyDescent="0.35">
      <c r="A29" s="178"/>
      <c r="B29" s="178"/>
      <c r="C29" s="178"/>
      <c r="D29" s="178"/>
      <c r="E29" s="178" t="s">
        <v>1289</v>
      </c>
      <c r="F29" s="31" t="s">
        <v>1291</v>
      </c>
      <c r="G29" s="246" t="s">
        <v>1292</v>
      </c>
      <c r="H29" s="577">
        <v>0.60799999999999998</v>
      </c>
    </row>
    <row r="30" spans="1:8" ht="5.5" customHeight="1" x14ac:dyDescent="0.35">
      <c r="A30" s="178"/>
      <c r="B30" s="178"/>
      <c r="C30" s="178"/>
      <c r="D30" s="178"/>
      <c r="E30" s="178"/>
      <c r="F30" s="178"/>
      <c r="G30" s="246"/>
      <c r="H30" s="178"/>
    </row>
    <row r="31" spans="1:8" ht="17.149999999999999" customHeight="1" x14ac:dyDescent="0.35">
      <c r="A31" s="178"/>
      <c r="B31" s="178"/>
      <c r="C31" s="178"/>
      <c r="D31" s="178"/>
      <c r="E31" s="178" t="s">
        <v>1293</v>
      </c>
      <c r="F31" s="178" t="s">
        <v>1294</v>
      </c>
      <c r="G31" s="246" t="s">
        <v>1292</v>
      </c>
      <c r="H31" s="578">
        <f>(H28*H29)^MIN(H28:H29)</f>
        <v>0.64617684588481727</v>
      </c>
    </row>
    <row r="32" spans="1:8" ht="17.149999999999999" customHeight="1" x14ac:dyDescent="0.35">
      <c r="A32" s="178"/>
      <c r="B32" s="178"/>
      <c r="C32" s="178"/>
      <c r="D32" s="178"/>
      <c r="E32" s="178" t="s">
        <v>1295</v>
      </c>
      <c r="F32" s="178" t="s">
        <v>219</v>
      </c>
      <c r="G32" s="246" t="s">
        <v>1296</v>
      </c>
      <c r="H32" s="579">
        <f>1-H31</f>
        <v>0.35382315411518273</v>
      </c>
    </row>
    <row r="33" spans="1:8" ht="8.5" customHeight="1" x14ac:dyDescent="0.35">
      <c r="A33" s="178"/>
      <c r="B33" s="178"/>
      <c r="C33" s="178"/>
      <c r="D33" s="178"/>
      <c r="E33" s="178"/>
      <c r="F33" s="178"/>
      <c r="G33" s="246"/>
      <c r="H33" s="178"/>
    </row>
    <row r="34" spans="1:8" ht="5.5" customHeight="1" x14ac:dyDescent="0.35">
      <c r="A34" s="178"/>
      <c r="B34" s="178"/>
      <c r="C34" s="178"/>
      <c r="D34" s="178"/>
      <c r="E34" s="178"/>
      <c r="F34" s="178"/>
      <c r="G34" s="246"/>
      <c r="H34" s="178"/>
    </row>
    <row r="35" spans="1:8" ht="17.149999999999999" customHeight="1" x14ac:dyDescent="0.35">
      <c r="A35" s="178"/>
      <c r="B35" s="251" t="s">
        <v>820</v>
      </c>
      <c r="C35" s="178"/>
      <c r="D35" s="178"/>
      <c r="E35" s="178"/>
      <c r="F35" s="178"/>
      <c r="G35" s="246"/>
      <c r="H35" s="246"/>
    </row>
    <row r="36" spans="1:8" ht="17.149999999999999" customHeight="1" x14ac:dyDescent="0.35">
      <c r="A36" s="178"/>
      <c r="B36" s="178"/>
      <c r="C36" s="178"/>
      <c r="D36" s="178"/>
      <c r="E36" s="178"/>
      <c r="F36" s="178"/>
      <c r="G36" s="246"/>
      <c r="H36" s="246"/>
    </row>
    <row r="37" spans="1:8" ht="14.5" outlineLevel="4" x14ac:dyDescent="0.35">
      <c r="A37" s="178"/>
      <c r="B37" s="178"/>
      <c r="C37" s="251" t="s">
        <v>821</v>
      </c>
      <c r="D37" s="178"/>
      <c r="E37" s="178"/>
      <c r="F37" s="178"/>
      <c r="G37" s="246"/>
      <c r="H37" s="178"/>
    </row>
    <row r="38" spans="1:8" ht="5.5" customHeight="1" outlineLevel="4" x14ac:dyDescent="0.35">
      <c r="A38" s="178"/>
      <c r="B38" s="178"/>
      <c r="C38" s="178"/>
      <c r="D38" s="178"/>
      <c r="E38" s="178"/>
      <c r="F38" s="178"/>
      <c r="G38" s="246"/>
      <c r="H38" s="178"/>
    </row>
    <row r="39" spans="1:8" ht="14.5" outlineLevel="4" x14ac:dyDescent="0.35">
      <c r="C39" s="1"/>
      <c r="D39" s="1" t="s">
        <v>816</v>
      </c>
      <c r="H39" s="27"/>
    </row>
    <row r="40" spans="1:8" ht="5.5" customHeight="1" outlineLevel="4" x14ac:dyDescent="0.35">
      <c r="A40" s="178"/>
      <c r="B40" s="178"/>
      <c r="C40" s="178"/>
      <c r="D40" s="178"/>
      <c r="E40" s="178"/>
      <c r="F40" s="178"/>
      <c r="G40" s="178"/>
      <c r="H40" s="178"/>
    </row>
    <row r="41" spans="1:8" ht="14.5" outlineLevel="4" x14ac:dyDescent="0.35">
      <c r="D41" s="3"/>
      <c r="E41" s="4" t="s">
        <v>1276</v>
      </c>
      <c r="F41" s="4" t="s">
        <v>219</v>
      </c>
      <c r="G41" s="43" t="s">
        <v>818</v>
      </c>
      <c r="H41" s="19">
        <f>H22/H$26</f>
        <v>10.166666666666666</v>
      </c>
    </row>
    <row r="42" spans="1:8" ht="14.5" outlineLevel="4" x14ac:dyDescent="0.35">
      <c r="D42" s="3"/>
      <c r="E42" s="4" t="s">
        <v>1277</v>
      </c>
      <c r="F42" s="4" t="s">
        <v>219</v>
      </c>
      <c r="G42" s="43" t="s">
        <v>818</v>
      </c>
      <c r="H42" s="19">
        <f>H23/H$26</f>
        <v>3</v>
      </c>
    </row>
    <row r="43" spans="1:8" ht="14.5" outlineLevel="4" x14ac:dyDescent="0.35">
      <c r="D43" s="3"/>
      <c r="E43" s="4" t="s">
        <v>1278</v>
      </c>
      <c r="F43" s="4" t="s">
        <v>219</v>
      </c>
      <c r="G43" s="43" t="s">
        <v>818</v>
      </c>
      <c r="H43" s="19">
        <f>H24/H$26</f>
        <v>0.66666666666666663</v>
      </c>
    </row>
    <row r="44" spans="1:8" ht="5.5" customHeight="1" outlineLevel="4" x14ac:dyDescent="0.35">
      <c r="A44" s="178"/>
      <c r="B44" s="178"/>
      <c r="C44" s="178"/>
      <c r="D44" s="178"/>
      <c r="E44" s="178"/>
      <c r="F44" s="178"/>
      <c r="G44" s="246"/>
      <c r="H44" s="178"/>
    </row>
    <row r="45" spans="1:8" ht="14.5" outlineLevel="4" x14ac:dyDescent="0.35">
      <c r="A45" s="178"/>
      <c r="B45" s="178"/>
      <c r="C45" s="178"/>
      <c r="D45" s="178"/>
      <c r="E45" s="4" t="s">
        <v>1279</v>
      </c>
      <c r="F45" s="4" t="s">
        <v>219</v>
      </c>
      <c r="G45" s="43" t="s">
        <v>818</v>
      </c>
      <c r="H45" s="269">
        <f>IF(H22=0,0,H41*H$32)</f>
        <v>3.5972020668376907</v>
      </c>
    </row>
    <row r="46" spans="1:8" ht="14.5" outlineLevel="4" x14ac:dyDescent="0.35">
      <c r="A46" s="178"/>
      <c r="B46" s="178"/>
      <c r="C46" s="178"/>
      <c r="D46" s="178"/>
      <c r="E46" s="4" t="s">
        <v>1280</v>
      </c>
      <c r="F46" s="4" t="s">
        <v>219</v>
      </c>
      <c r="G46" s="43" t="s">
        <v>818</v>
      </c>
      <c r="H46" s="269">
        <f>IF(H23=0,0,H42*H$32)</f>
        <v>1.0614694623455483</v>
      </c>
    </row>
    <row r="47" spans="1:8" ht="14.5" outlineLevel="4" x14ac:dyDescent="0.35">
      <c r="A47" s="178"/>
      <c r="B47" s="178"/>
      <c r="C47" s="178"/>
      <c r="D47" s="178"/>
      <c r="E47" s="4" t="s">
        <v>1281</v>
      </c>
      <c r="F47" s="4" t="s">
        <v>219</v>
      </c>
      <c r="G47" s="43" t="s">
        <v>818</v>
      </c>
      <c r="H47" s="269">
        <f>IF(H24=0,0,H43*H$32)</f>
        <v>0.23588210274345514</v>
      </c>
    </row>
    <row r="48" spans="1:8" ht="9.65" customHeight="1" outlineLevel="4" x14ac:dyDescent="0.35">
      <c r="A48" s="178"/>
      <c r="B48" s="178"/>
      <c r="C48" s="178"/>
      <c r="D48" s="178"/>
      <c r="E48" s="178"/>
      <c r="F48" s="178"/>
      <c r="G48" s="246"/>
      <c r="H48" s="178"/>
    </row>
    <row r="49" spans="1:8" ht="14.5" outlineLevel="4" x14ac:dyDescent="0.35">
      <c r="D49" s="1" t="s">
        <v>822</v>
      </c>
      <c r="H49" s="27"/>
    </row>
    <row r="50" spans="1:8" ht="11.15" customHeight="1" outlineLevel="4" x14ac:dyDescent="0.35">
      <c r="A50" s="178"/>
      <c r="B50" s="178"/>
      <c r="C50" s="178"/>
      <c r="D50" s="178"/>
      <c r="E50" s="178"/>
      <c r="F50" s="178"/>
      <c r="G50" s="178"/>
      <c r="H50" s="178"/>
    </row>
    <row r="51" spans="1:8" ht="14.5" outlineLevel="4" x14ac:dyDescent="0.35">
      <c r="E51" s="4" t="s">
        <v>1282</v>
      </c>
      <c r="F51" s="4" t="s">
        <v>219</v>
      </c>
      <c r="G51" s="43" t="s">
        <v>818</v>
      </c>
      <c r="H51" s="268">
        <f>SUM(H45,)</f>
        <v>3.5972020668376907</v>
      </c>
    </row>
    <row r="52" spans="1:8" ht="14.5" outlineLevel="4" x14ac:dyDescent="0.35">
      <c r="E52" s="4" t="s">
        <v>1283</v>
      </c>
      <c r="F52" s="4" t="s">
        <v>219</v>
      </c>
      <c r="G52" s="43" t="s">
        <v>818</v>
      </c>
      <c r="H52" s="268">
        <f>SUM(H46,)</f>
        <v>1.0614694623455483</v>
      </c>
    </row>
    <row r="53" spans="1:8" ht="14.5" outlineLevel="4" x14ac:dyDescent="0.35">
      <c r="E53" s="4" t="s">
        <v>1284</v>
      </c>
      <c r="F53" s="4" t="s">
        <v>219</v>
      </c>
      <c r="G53" s="43" t="s">
        <v>818</v>
      </c>
      <c r="H53" s="268">
        <f>SUM(H47,)</f>
        <v>0.23588210274345514</v>
      </c>
    </row>
    <row r="54" spans="1:8" ht="5.5" customHeight="1" x14ac:dyDescent="0.35">
      <c r="A54" s="178"/>
      <c r="B54" s="178"/>
      <c r="C54" s="178"/>
      <c r="D54" s="178"/>
      <c r="E54" s="178"/>
      <c r="F54" s="178"/>
      <c r="G54" s="246"/>
      <c r="H54" s="178"/>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FA9A2-13B6-4C09-BA0F-EC7C97ECA3D6}">
  <dimension ref="B1:B25"/>
  <sheetViews>
    <sheetView workbookViewId="0">
      <selection activeCell="B2" sqref="B2"/>
    </sheetView>
  </sheetViews>
  <sheetFormatPr defaultRowHeight="14.5" x14ac:dyDescent="0.35"/>
  <cols>
    <col min="2" max="2" width="11.54296875" bestFit="1" customWidth="1"/>
  </cols>
  <sheetData>
    <row r="1" spans="2:2" x14ac:dyDescent="0.35">
      <c r="B1" t="str">
        <f>"-"</f>
        <v>-</v>
      </c>
    </row>
    <row r="2" spans="2:2" x14ac:dyDescent="0.35">
      <c r="B2" s="427">
        <v>4.1666666666666664E-2</v>
      </c>
    </row>
    <row r="3" spans="2:2" x14ac:dyDescent="0.35">
      <c r="B3" s="427">
        <v>8.3333333333333329E-2</v>
      </c>
    </row>
    <row r="4" spans="2:2" x14ac:dyDescent="0.35">
      <c r="B4" s="427">
        <v>0.125</v>
      </c>
    </row>
    <row r="5" spans="2:2" x14ac:dyDescent="0.35">
      <c r="B5" s="427">
        <v>0.16666666666666699</v>
      </c>
    </row>
    <row r="6" spans="2:2" x14ac:dyDescent="0.35">
      <c r="B6" s="427">
        <v>0.20833333333333401</v>
      </c>
    </row>
    <row r="7" spans="2:2" x14ac:dyDescent="0.35">
      <c r="B7" s="427">
        <v>0.25</v>
      </c>
    </row>
    <row r="8" spans="2:2" x14ac:dyDescent="0.35">
      <c r="B8" s="427">
        <v>0.29166666666666702</v>
      </c>
    </row>
    <row r="9" spans="2:2" x14ac:dyDescent="0.35">
      <c r="B9" s="427">
        <v>0.33333333333333398</v>
      </c>
    </row>
    <row r="10" spans="2:2" x14ac:dyDescent="0.35">
      <c r="B10" s="427">
        <v>0.375</v>
      </c>
    </row>
    <row r="11" spans="2:2" x14ac:dyDescent="0.35">
      <c r="B11" s="427">
        <v>0.41666666666666702</v>
      </c>
    </row>
    <row r="12" spans="2:2" x14ac:dyDescent="0.35">
      <c r="B12" s="427">
        <v>0.45833333333333398</v>
      </c>
    </row>
    <row r="13" spans="2:2" x14ac:dyDescent="0.35">
      <c r="B13" s="427">
        <v>0.500000000000001</v>
      </c>
    </row>
    <row r="14" spans="2:2" x14ac:dyDescent="0.35">
      <c r="B14" s="427">
        <v>0.54166666666666796</v>
      </c>
    </row>
    <row r="15" spans="2:2" x14ac:dyDescent="0.35">
      <c r="B15" s="427">
        <v>0.58333333333333504</v>
      </c>
    </row>
    <row r="16" spans="2:2" x14ac:dyDescent="0.35">
      <c r="B16" s="427">
        <v>0.625000000000002</v>
      </c>
    </row>
    <row r="17" spans="2:2" x14ac:dyDescent="0.35">
      <c r="B17" s="427">
        <v>0.66666666666666896</v>
      </c>
    </row>
    <row r="18" spans="2:2" x14ac:dyDescent="0.35">
      <c r="B18" s="427">
        <v>0.70833333333333603</v>
      </c>
    </row>
    <row r="19" spans="2:2" x14ac:dyDescent="0.35">
      <c r="B19" s="427">
        <v>0.750000000000003</v>
      </c>
    </row>
    <row r="20" spans="2:2" x14ac:dyDescent="0.35">
      <c r="B20" s="427">
        <v>0.79166666666666996</v>
      </c>
    </row>
    <row r="21" spans="2:2" x14ac:dyDescent="0.35">
      <c r="B21" s="427">
        <v>0.83333333333333703</v>
      </c>
    </row>
    <row r="22" spans="2:2" x14ac:dyDescent="0.35">
      <c r="B22" s="427">
        <v>0.875000000000004</v>
      </c>
    </row>
    <row r="23" spans="2:2" x14ac:dyDescent="0.35">
      <c r="B23" s="427">
        <v>0.91666666666667096</v>
      </c>
    </row>
    <row r="24" spans="2:2" x14ac:dyDescent="0.35">
      <c r="B24" s="427">
        <v>0.95833333333333803</v>
      </c>
    </row>
    <row r="25" spans="2:2" x14ac:dyDescent="0.35">
      <c r="B25" s="427">
        <v>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AB3F-1DD1-4AD4-809E-12DD2C91AC6E}">
  <sheetPr>
    <tabColor theme="9" tint="0.59999389629810485"/>
  </sheetPr>
  <dimension ref="A1:BA142"/>
  <sheetViews>
    <sheetView zoomScale="70" zoomScaleNormal="70" workbookViewId="0">
      <pane xSplit="8" ySplit="6" topLeftCell="AH87" activePane="bottomRight" state="frozen"/>
      <selection pane="topRight" activeCell="I5" sqref="I5"/>
      <selection pane="bottomLeft" activeCell="I5" sqref="I5"/>
      <selection pane="bottomRight" activeCell="AH128" sqref="AH128"/>
    </sheetView>
  </sheetViews>
  <sheetFormatPr defaultColWidth="0" defaultRowHeight="0" customHeight="1" zeroHeight="1" outlineLevelRow="4" x14ac:dyDescent="0.35"/>
  <cols>
    <col min="1" max="4" width="1.453125" customWidth="1"/>
    <col min="5" max="5" width="77" bestFit="1" customWidth="1"/>
    <col min="6" max="6" width="49.81640625" customWidth="1"/>
    <col min="7" max="7" width="24.453125" style="271" bestFit="1" customWidth="1"/>
    <col min="8" max="8" width="29.81640625" bestFit="1" customWidth="1"/>
    <col min="9" max="9" width="14.54296875" style="554" customWidth="1"/>
    <col min="10" max="11" width="13.54296875" style="554" bestFit="1" customWidth="1"/>
    <col min="12" max="12" width="13.1796875" style="554" bestFit="1" customWidth="1"/>
    <col min="13" max="51" width="13.54296875" style="554" bestFit="1" customWidth="1"/>
    <col min="52" max="53" width="14" style="554" bestFit="1" customWidth="1"/>
    <col min="54" max="16384" width="9.1796875" hidden="1"/>
  </cols>
  <sheetData>
    <row r="1" spans="1:53" ht="15.5" x14ac:dyDescent="0.35">
      <c r="A1" s="388" t="s">
        <v>713</v>
      </c>
      <c r="B1" s="388"/>
      <c r="C1" s="388"/>
      <c r="D1" s="388"/>
      <c r="E1" s="388"/>
      <c r="F1" s="388"/>
      <c r="G1" s="414"/>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row>
    <row r="2" spans="1:53" ht="5.5" customHeight="1" x14ac:dyDescent="0.35">
      <c r="A2" s="178"/>
      <c r="B2" s="178"/>
      <c r="C2" s="178"/>
      <c r="D2" s="178"/>
      <c r="E2" s="178"/>
      <c r="F2" s="178"/>
      <c r="G2" s="242"/>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row>
    <row r="3" spans="1:53" ht="14.5" x14ac:dyDescent="0.35">
      <c r="A3" s="10"/>
      <c r="B3" s="13"/>
      <c r="C3" s="14"/>
      <c r="D3" s="10"/>
      <c r="E3" s="180" t="s">
        <v>845</v>
      </c>
      <c r="F3" s="4"/>
      <c r="G3" s="43"/>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row>
    <row r="4" spans="1:53" ht="14.5" x14ac:dyDescent="0.35">
      <c r="A4" s="10"/>
      <c r="B4" s="13"/>
      <c r="C4" s="14"/>
      <c r="D4" s="10"/>
      <c r="E4" s="178" t="str">
        <f>'Cover Sheet'!C13</f>
        <v>I-35 McClain County</v>
      </c>
      <c r="F4" s="4"/>
      <c r="G4" s="43"/>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3" ht="14.5" x14ac:dyDescent="0.35">
      <c r="A5" s="84"/>
      <c r="B5" s="13"/>
      <c r="C5" s="13"/>
      <c r="D5" s="10"/>
      <c r="E5" s="178" t="str">
        <f>'Cover Sheet'!C11</f>
        <v>Oklahoma Department of Transportation</v>
      </c>
      <c r="F5" s="4"/>
      <c r="G5" s="8" t="s">
        <v>575</v>
      </c>
      <c r="H5" s="1"/>
      <c r="I5" s="555">
        <f>StockValueC!$H$12</f>
        <v>2023</v>
      </c>
      <c r="J5" s="1">
        <f>I5+1</f>
        <v>2024</v>
      </c>
      <c r="K5" s="1">
        <f t="shared" ref="K5:AY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c r="BA5" s="1"/>
    </row>
    <row r="6" spans="1:53" ht="14.5" x14ac:dyDescent="0.35">
      <c r="A6" s="84"/>
      <c r="B6" s="13"/>
      <c r="C6" s="13"/>
      <c r="D6" s="10"/>
      <c r="E6" s="1" t="s">
        <v>92</v>
      </c>
      <c r="F6" s="1" t="s">
        <v>823</v>
      </c>
      <c r="G6" s="8" t="s">
        <v>93</v>
      </c>
      <c r="H6" s="8" t="s">
        <v>82</v>
      </c>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
      <c r="AZ6" s="10"/>
      <c r="BA6" s="10"/>
    </row>
    <row r="7" spans="1:53" ht="14.5" x14ac:dyDescent="0.35">
      <c r="A7" s="84" t="s">
        <v>824</v>
      </c>
      <c r="B7" s="261"/>
      <c r="C7" s="261"/>
      <c r="D7" s="511"/>
      <c r="E7" s="91"/>
      <c r="F7" s="91"/>
      <c r="G7" s="110"/>
      <c r="H7" s="110"/>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512"/>
      <c r="AX7" s="512"/>
      <c r="AY7" s="511"/>
      <c r="AZ7" s="511"/>
      <c r="BA7" s="511"/>
    </row>
    <row r="8" spans="1:53" ht="5.5" customHeight="1" x14ac:dyDescent="0.35">
      <c r="A8" s="178"/>
      <c r="B8" s="178"/>
      <c r="C8" s="178"/>
      <c r="D8" s="178"/>
      <c r="E8" s="178"/>
      <c r="F8" s="178"/>
      <c r="G8" s="242"/>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row>
    <row r="9" spans="1:53" ht="15.5" x14ac:dyDescent="0.35">
      <c r="A9" s="515"/>
      <c r="B9" s="279" t="s">
        <v>825</v>
      </c>
      <c r="C9" s="178"/>
      <c r="D9" s="109"/>
      <c r="E9" s="26"/>
      <c r="F9" s="26"/>
      <c r="G9" s="60"/>
      <c r="H9" s="60"/>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row>
    <row r="10" spans="1:53" ht="5.5" customHeight="1" x14ac:dyDescent="0.35">
      <c r="A10" s="178"/>
      <c r="B10" s="178"/>
      <c r="C10" s="178"/>
      <c r="D10" s="178"/>
      <c r="E10" s="178"/>
      <c r="F10" s="178"/>
      <c r="G10" s="246"/>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row>
    <row r="11" spans="1:53" ht="14.5" x14ac:dyDescent="0.35">
      <c r="A11" s="178"/>
      <c r="B11" s="178"/>
      <c r="C11" s="178"/>
      <c r="D11" s="178"/>
      <c r="E11" s="178" t="s">
        <v>846</v>
      </c>
      <c r="F11" s="178" t="s">
        <v>745</v>
      </c>
      <c r="G11" s="242" t="s">
        <v>826</v>
      </c>
      <c r="H11" s="263" t="s">
        <v>803</v>
      </c>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row>
    <row r="12" spans="1:53" ht="5.5" customHeight="1" x14ac:dyDescent="0.35">
      <c r="A12" s="178"/>
      <c r="B12" s="178"/>
      <c r="C12" s="178"/>
      <c r="D12" s="178"/>
      <c r="E12" s="178"/>
      <c r="F12" s="178"/>
      <c r="G12" s="246"/>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row>
    <row r="13" spans="1:53" ht="14.5" x14ac:dyDescent="0.35">
      <c r="A13" s="178"/>
      <c r="B13" s="178"/>
      <c r="C13" s="178"/>
      <c r="D13" s="178"/>
      <c r="E13" s="178" t="s">
        <v>847</v>
      </c>
      <c r="F13" s="178" t="s">
        <v>745</v>
      </c>
      <c r="G13" s="242" t="s">
        <v>848</v>
      </c>
      <c r="H13" s="390">
        <v>2.2999999999999998</v>
      </c>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row>
    <row r="14" spans="1:53" ht="5.5" customHeight="1" x14ac:dyDescent="0.35">
      <c r="A14" s="178"/>
      <c r="B14" s="178"/>
      <c r="C14" s="178"/>
      <c r="D14" s="178"/>
      <c r="E14" s="178"/>
      <c r="F14" s="178"/>
      <c r="G14" s="246"/>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row>
    <row r="15" spans="1:53" ht="14.5" x14ac:dyDescent="0.35">
      <c r="A15" s="178"/>
      <c r="B15" s="178"/>
      <c r="C15" s="178"/>
      <c r="D15" s="178"/>
      <c r="E15" s="178" t="s">
        <v>849</v>
      </c>
      <c r="F15" s="178" t="s">
        <v>745</v>
      </c>
      <c r="G15" s="242" t="s">
        <v>848</v>
      </c>
      <c r="H15" s="390">
        <v>2.2999999999999998</v>
      </c>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row>
    <row r="16" spans="1:53" ht="5.5" customHeight="1" x14ac:dyDescent="0.35">
      <c r="A16" s="178"/>
      <c r="B16" s="178"/>
      <c r="C16" s="178"/>
      <c r="D16" s="178"/>
      <c r="E16" s="178"/>
      <c r="F16" s="178"/>
      <c r="G16" s="246"/>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row>
    <row r="17" spans="1:53" ht="14.5" x14ac:dyDescent="0.35">
      <c r="A17" s="178"/>
      <c r="B17" s="178"/>
      <c r="C17" s="178"/>
      <c r="D17" s="178"/>
      <c r="E17" s="178" t="s">
        <v>827</v>
      </c>
      <c r="F17" s="178" t="s">
        <v>745</v>
      </c>
      <c r="G17" s="242" t="s">
        <v>828</v>
      </c>
      <c r="H17" s="173">
        <v>260</v>
      </c>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row>
    <row r="18" spans="1:53" ht="14.5" x14ac:dyDescent="0.35">
      <c r="A18" s="178"/>
      <c r="B18" s="178"/>
      <c r="C18" s="178"/>
      <c r="D18" s="178"/>
      <c r="E18" s="178" t="s">
        <v>829</v>
      </c>
      <c r="F18" s="178" t="s">
        <v>745</v>
      </c>
      <c r="G18" s="242" t="s">
        <v>828</v>
      </c>
      <c r="H18" s="173">
        <v>52</v>
      </c>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row>
    <row r="19" spans="1:53" ht="14.5" x14ac:dyDescent="0.35">
      <c r="A19" s="178"/>
      <c r="B19" s="178"/>
      <c r="C19" s="178"/>
      <c r="D19" s="178"/>
      <c r="E19" s="178" t="s">
        <v>830</v>
      </c>
      <c r="F19" s="178" t="s">
        <v>745</v>
      </c>
      <c r="G19" s="242" t="s">
        <v>828</v>
      </c>
      <c r="H19" s="173">
        <v>52</v>
      </c>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row>
    <row r="20" spans="1:53" ht="14.5" x14ac:dyDescent="0.35">
      <c r="A20" s="178"/>
      <c r="B20" s="178"/>
      <c r="C20" s="178"/>
      <c r="D20" s="178"/>
      <c r="E20" s="178" t="s">
        <v>831</v>
      </c>
      <c r="F20" s="178" t="s">
        <v>219</v>
      </c>
      <c r="G20" s="242" t="s">
        <v>245</v>
      </c>
      <c r="H20" s="178">
        <f>SUM(H17:H19)</f>
        <v>364</v>
      </c>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row>
    <row r="21" spans="1:53" ht="5.5" customHeight="1" x14ac:dyDescent="0.35">
      <c r="A21" s="178"/>
      <c r="B21" s="178"/>
      <c r="C21" s="178"/>
      <c r="D21" s="178"/>
      <c r="E21" s="178"/>
      <c r="F21" s="178"/>
      <c r="G21" s="242"/>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row>
    <row r="22" spans="1:53" ht="14.5" x14ac:dyDescent="0.35">
      <c r="A22" s="178"/>
      <c r="B22" s="178"/>
      <c r="C22" s="178"/>
      <c r="D22" s="178"/>
      <c r="E22" s="178" t="s">
        <v>832</v>
      </c>
      <c r="F22" s="178" t="s">
        <v>745</v>
      </c>
      <c r="G22" s="242" t="s">
        <v>121</v>
      </c>
      <c r="H22" s="186">
        <f>'Project InputsC'!$H$15</f>
        <v>2029</v>
      </c>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row>
    <row r="23" spans="1:53" ht="5.5" customHeight="1" x14ac:dyDescent="0.35">
      <c r="A23" s="178"/>
      <c r="B23" s="178"/>
      <c r="C23" s="178"/>
      <c r="D23" s="178"/>
      <c r="E23" s="178"/>
      <c r="F23" s="178"/>
      <c r="G23" s="246"/>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row>
    <row r="24" spans="1:53" ht="14.5" x14ac:dyDescent="0.35">
      <c r="A24" s="178"/>
      <c r="B24" s="178"/>
      <c r="C24" s="178"/>
      <c r="D24" s="178"/>
      <c r="E24" s="178" t="str">
        <f>StockValueC!E$32</f>
        <v>Average Vehicle Occupancy -- Passenger Vehicles (all)</v>
      </c>
      <c r="F24" s="178" t="str">
        <f>StockValueC!F$32</f>
        <v>USDOT BCA Guidance December 2025</v>
      </c>
      <c r="G24" s="242" t="str">
        <f>StockValueC!G$32</f>
        <v>Figure</v>
      </c>
      <c r="H24" s="186">
        <f>StockValueC!H$32</f>
        <v>1.52</v>
      </c>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row>
    <row r="25" spans="1:53" ht="14.5" x14ac:dyDescent="0.35">
      <c r="A25" s="178"/>
      <c r="B25" s="178"/>
      <c r="C25" s="178"/>
      <c r="D25" s="178"/>
      <c r="E25" s="178" t="str">
        <f>StockValueC!E$36</f>
        <v>Average Vehicle Occupancy -- Trucks</v>
      </c>
      <c r="F25" s="178" t="str">
        <f>StockValueC!F$36</f>
        <v>USDOT BCA Guidance December 2025</v>
      </c>
      <c r="G25" s="242" t="str">
        <f>StockValueC!G$36</f>
        <v>Figure</v>
      </c>
      <c r="H25" s="186">
        <f>StockValueC!H$36</f>
        <v>1</v>
      </c>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row>
    <row r="26" spans="1:53" ht="0" hidden="1" customHeight="1" x14ac:dyDescent="0.35">
      <c r="A26" s="178"/>
      <c r="B26" s="178"/>
      <c r="C26" s="178"/>
      <c r="D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row>
    <row r="27" spans="1:53" ht="14.5" x14ac:dyDescent="0.35">
      <c r="A27" s="178"/>
      <c r="B27" s="279" t="s">
        <v>833</v>
      </c>
      <c r="C27" s="178"/>
      <c r="D27" s="513"/>
      <c r="E27" s="47"/>
      <c r="F27" s="47"/>
      <c r="G27" s="240"/>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row>
    <row r="28" spans="1:53" ht="5.5" customHeight="1" outlineLevel="4" x14ac:dyDescent="0.35">
      <c r="A28" s="178"/>
      <c r="B28" s="178"/>
      <c r="C28" s="178"/>
      <c r="D28" s="178"/>
      <c r="E28" s="178"/>
      <c r="F28" s="178"/>
      <c r="G28" s="242"/>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row>
    <row r="29" spans="1:53" ht="14.5" outlineLevel="4" x14ac:dyDescent="0.35">
      <c r="A29" s="178"/>
      <c r="B29" s="178"/>
      <c r="C29" s="178"/>
      <c r="D29" s="178"/>
      <c r="E29" s="178" t="s">
        <v>834</v>
      </c>
      <c r="F29" s="173" t="s">
        <v>835</v>
      </c>
      <c r="G29" s="242" t="s">
        <v>121</v>
      </c>
      <c r="H29" s="173">
        <v>2023</v>
      </c>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row>
    <row r="30" spans="1:53" ht="14.5" outlineLevel="4" x14ac:dyDescent="0.35">
      <c r="A30" s="178"/>
      <c r="B30" s="178"/>
      <c r="C30" s="178"/>
      <c r="D30" s="178"/>
      <c r="E30" s="178" t="s">
        <v>836</v>
      </c>
      <c r="F30" s="173" t="s">
        <v>837</v>
      </c>
      <c r="G30" s="242" t="s">
        <v>121</v>
      </c>
      <c r="H30" s="173">
        <v>2029</v>
      </c>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row>
    <row r="31" spans="1:53" ht="14.5" outlineLevel="4" x14ac:dyDescent="0.35">
      <c r="A31" s="178"/>
      <c r="B31" s="178"/>
      <c r="C31" s="178"/>
      <c r="D31" s="178"/>
      <c r="E31" s="178" t="s">
        <v>838</v>
      </c>
      <c r="F31" s="173" t="s">
        <v>837</v>
      </c>
      <c r="G31" s="242" t="s">
        <v>121</v>
      </c>
      <c r="H31" s="173">
        <v>2048</v>
      </c>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row>
    <row r="32" spans="1:53" ht="5.5" customHeight="1" outlineLevel="4" x14ac:dyDescent="0.35">
      <c r="A32" s="178"/>
      <c r="B32" s="178"/>
      <c r="C32" s="178"/>
      <c r="D32" s="178"/>
      <c r="E32" s="178"/>
      <c r="F32" s="178"/>
      <c r="G32" s="242"/>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row>
    <row r="33" spans="1:53" ht="14.5" outlineLevel="4" x14ac:dyDescent="0.35">
      <c r="A33" s="178"/>
      <c r="B33" s="178"/>
      <c r="C33" s="178"/>
      <c r="D33" s="178"/>
      <c r="E33" s="178" t="s">
        <v>850</v>
      </c>
      <c r="F33" s="173" t="s">
        <v>1297</v>
      </c>
      <c r="G33" s="242" t="s">
        <v>839</v>
      </c>
      <c r="H33" s="564">
        <v>2.5999999999999999E-2</v>
      </c>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row>
    <row r="34" spans="1:53" ht="14.5" outlineLevel="4" x14ac:dyDescent="0.35">
      <c r="A34" s="178"/>
      <c r="B34" s="178"/>
      <c r="C34" s="178"/>
      <c r="D34" s="178"/>
      <c r="E34" s="178" t="s">
        <v>851</v>
      </c>
      <c r="F34" s="173" t="s">
        <v>1297</v>
      </c>
      <c r="G34" s="242" t="s">
        <v>839</v>
      </c>
      <c r="H34" s="564">
        <v>2.5999999999999999E-2</v>
      </c>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row>
    <row r="35" spans="1:53" ht="14.5" outlineLevel="4" x14ac:dyDescent="0.35">
      <c r="A35" s="178"/>
      <c r="B35" s="178"/>
      <c r="C35" s="178"/>
      <c r="D35" s="178"/>
      <c r="E35" s="178" t="s">
        <v>852</v>
      </c>
      <c r="F35" s="173" t="s">
        <v>840</v>
      </c>
      <c r="G35" s="242" t="s">
        <v>839</v>
      </c>
      <c r="H35" s="564">
        <v>0</v>
      </c>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row>
    <row r="36" spans="1:53" ht="5.5" customHeight="1" outlineLevel="4" x14ac:dyDescent="0.35">
      <c r="A36" s="178"/>
      <c r="B36" s="178"/>
      <c r="C36" s="178"/>
      <c r="D36" s="178"/>
      <c r="E36" s="178"/>
      <c r="F36" s="178"/>
      <c r="G36" s="246"/>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row>
    <row r="37" spans="1:53" ht="14.5" outlineLevel="4" x14ac:dyDescent="0.35">
      <c r="A37" s="178"/>
      <c r="B37" s="178"/>
      <c r="C37" s="178"/>
      <c r="D37" s="178"/>
      <c r="E37" s="178" t="str">
        <f>"Trucks as Percentage of Traffic in Project Area ("&amp;$H$11&amp;")"</f>
        <v>Trucks as Percentage of Traffic in Project Area (I-35 Segment)</v>
      </c>
      <c r="F37" s="173" t="s">
        <v>835</v>
      </c>
      <c r="G37" s="242" t="s">
        <v>200</v>
      </c>
      <c r="H37" s="244">
        <v>0.26</v>
      </c>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row>
    <row r="38" spans="1:53" ht="5.5" customHeight="1" outlineLevel="4" x14ac:dyDescent="0.35">
      <c r="A38" s="178"/>
      <c r="B38" s="178"/>
      <c r="C38" s="178"/>
      <c r="D38" s="178"/>
      <c r="E38" s="178"/>
      <c r="F38" s="178"/>
      <c r="G38" s="246"/>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row>
    <row r="39" spans="1:53" ht="14.5" outlineLevel="4" x14ac:dyDescent="0.35">
      <c r="A39" s="178"/>
      <c r="B39" s="178"/>
      <c r="C39" s="178"/>
      <c r="D39" s="178"/>
      <c r="E39" s="178" t="str">
        <f>"Autos as Percentage of Traffic in Project Area ("&amp;$H$11&amp;")"</f>
        <v>Autos as Percentage of Traffic in Project Area (I-35 Segment)</v>
      </c>
      <c r="F39" s="173" t="s">
        <v>840</v>
      </c>
      <c r="G39" s="242" t="s">
        <v>200</v>
      </c>
      <c r="H39" s="245">
        <f>1-H37</f>
        <v>0.74</v>
      </c>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row>
    <row r="40" spans="1:53" ht="5.5" customHeight="1" outlineLevel="4" x14ac:dyDescent="0.35">
      <c r="A40" s="178"/>
      <c r="B40" s="178"/>
      <c r="C40" s="178"/>
      <c r="D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row>
    <row r="41" spans="1:53" ht="14.5" outlineLevel="4" x14ac:dyDescent="0.35">
      <c r="A41" s="178"/>
      <c r="B41" s="178"/>
      <c r="C41" s="251" t="s">
        <v>36</v>
      </c>
      <c r="D41" s="178"/>
      <c r="E41" s="178"/>
      <c r="F41" s="178"/>
      <c r="G41" s="242"/>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row>
    <row r="42" spans="1:53" ht="5.5" customHeight="1" outlineLevel="4" x14ac:dyDescent="0.35">
      <c r="A42" s="178"/>
      <c r="B42" s="178"/>
      <c r="C42" s="178"/>
      <c r="D42" s="178"/>
      <c r="E42" s="178"/>
      <c r="F42" s="178"/>
      <c r="G42" s="242"/>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row>
    <row r="43" spans="1:53" ht="14.5" outlineLevel="4" x14ac:dyDescent="0.35">
      <c r="A43" s="178"/>
      <c r="B43" s="178"/>
      <c r="C43" s="178"/>
      <c r="D43" s="178"/>
      <c r="E43" s="185" t="str">
        <f>$H$11</f>
        <v>I-35 Segment</v>
      </c>
      <c r="F43" s="178"/>
      <c r="G43" s="242"/>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row>
    <row r="44" spans="1:53" ht="5.5" customHeight="1" outlineLevel="4" x14ac:dyDescent="0.35">
      <c r="A44" s="178"/>
      <c r="B44" s="178"/>
      <c r="C44" s="178"/>
      <c r="D44" s="178"/>
      <c r="E44" s="178"/>
      <c r="F44" s="178"/>
      <c r="G44" s="242"/>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row>
    <row r="45" spans="1:53" ht="5.5" customHeight="1" outlineLevel="4" x14ac:dyDescent="0.35">
      <c r="A45" s="178"/>
      <c r="B45" s="178"/>
      <c r="C45" s="178"/>
      <c r="D45" s="178"/>
      <c r="E45" s="178"/>
      <c r="F45" s="178"/>
      <c r="G45" s="242"/>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row>
    <row r="46" spans="1:53" ht="14.5" outlineLevel="4" x14ac:dyDescent="0.35">
      <c r="A46" s="178"/>
      <c r="B46" s="178"/>
      <c r="C46" s="178"/>
      <c r="D46" s="178"/>
      <c r="E46" s="178" t="s">
        <v>1298</v>
      </c>
      <c r="F46" s="173" t="s">
        <v>1297</v>
      </c>
      <c r="G46" s="242" t="s">
        <v>853</v>
      </c>
      <c r="H46" s="174">
        <v>59100</v>
      </c>
      <c r="I46" s="565"/>
      <c r="J46" s="565"/>
      <c r="K46" s="565"/>
      <c r="L46" s="565"/>
      <c r="M46" s="565"/>
      <c r="N46" s="565"/>
      <c r="O46" s="565"/>
      <c r="P46" s="565"/>
      <c r="Q46" s="565"/>
      <c r="R46" s="565"/>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row>
    <row r="47" spans="1:53" ht="14.5" outlineLevel="4" x14ac:dyDescent="0.35">
      <c r="A47" s="178"/>
      <c r="B47" s="178"/>
      <c r="C47" s="178"/>
      <c r="D47" s="178"/>
      <c r="E47" s="178" t="s">
        <v>1299</v>
      </c>
      <c r="F47" s="173" t="s">
        <v>1297</v>
      </c>
      <c r="G47" s="242" t="s">
        <v>853</v>
      </c>
      <c r="H47" s="174">
        <v>55500</v>
      </c>
      <c r="I47" s="565"/>
      <c r="J47" s="565"/>
      <c r="K47" s="565"/>
      <c r="L47" s="565"/>
      <c r="M47" s="565"/>
      <c r="N47" s="565"/>
      <c r="O47" s="565"/>
      <c r="P47" s="565"/>
      <c r="Q47" s="565"/>
      <c r="R47" s="565"/>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row>
    <row r="48" spans="1:53" ht="5.5" customHeight="1" outlineLevel="4" x14ac:dyDescent="0.35">
      <c r="A48" s="178"/>
      <c r="B48" s="178"/>
      <c r="C48" s="178"/>
      <c r="D48" s="178"/>
      <c r="E48" s="178"/>
      <c r="F48" s="178"/>
      <c r="G48" s="242"/>
      <c r="H48" s="196"/>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row>
    <row r="49" spans="1:53" ht="14.5" outlineLevel="4" x14ac:dyDescent="0.35">
      <c r="A49" s="178"/>
      <c r="B49" s="178"/>
      <c r="C49" s="178"/>
      <c r="D49" s="178"/>
      <c r="E49" s="178" t="s">
        <v>1300</v>
      </c>
      <c r="F49" s="178" t="s">
        <v>219</v>
      </c>
      <c r="G49" s="242" t="s">
        <v>853</v>
      </c>
      <c r="H49" s="174">
        <f>AVERAGE(H46:H47)</f>
        <v>57300</v>
      </c>
      <c r="I49" s="565"/>
      <c r="J49" s="565"/>
      <c r="K49" s="565"/>
      <c r="L49" s="565"/>
      <c r="M49" s="565"/>
      <c r="N49" s="565"/>
      <c r="O49" s="565"/>
      <c r="P49" s="565"/>
      <c r="Q49" s="565"/>
      <c r="R49" s="565"/>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row>
    <row r="50" spans="1:53" ht="5.5" customHeight="1" outlineLevel="4" x14ac:dyDescent="0.35">
      <c r="A50" s="178"/>
      <c r="B50" s="178"/>
      <c r="C50" s="178"/>
      <c r="D50" s="178"/>
      <c r="E50" s="178"/>
      <c r="F50" s="178"/>
      <c r="G50" s="242"/>
      <c r="H50" s="196"/>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row>
    <row r="51" spans="1:53" ht="14.5" outlineLevel="4" x14ac:dyDescent="0.35">
      <c r="A51" s="178"/>
      <c r="B51" s="178"/>
      <c r="C51" s="178"/>
      <c r="D51" s="178"/>
      <c r="E51" s="178" t="str">
        <f>"Daily Vehicle-Trips - "&amp;H$11&amp;" (No Build, "&amp;$H$30&amp;")"</f>
        <v>Daily Vehicle-Trips - I-35 Segment (No Build, 2029)</v>
      </c>
      <c r="F51" s="178" t="s">
        <v>219</v>
      </c>
      <c r="G51" s="242" t="s">
        <v>853</v>
      </c>
      <c r="H51" s="174">
        <f>H49*((1+$H$33)^(H30-H29))</f>
        <v>66840.360969389934</v>
      </c>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row>
    <row r="52" spans="1:53" ht="14.5" outlineLevel="4" x14ac:dyDescent="0.35">
      <c r="A52" s="178"/>
      <c r="B52" s="178"/>
      <c r="C52" s="178"/>
      <c r="D52" s="178"/>
      <c r="E52" s="178" t="str">
        <f>"Daily Vehicle-Trips - "&amp;H$11&amp;" (No Build, "&amp;$H$31&amp;")"</f>
        <v>Daily Vehicle-Trips - I-35 Segment (No Build, 2048)</v>
      </c>
      <c r="F52" s="178" t="s">
        <v>219</v>
      </c>
      <c r="G52" s="242" t="s">
        <v>853</v>
      </c>
      <c r="H52" s="174">
        <f>H51*((1+$H$34)^(H31-H30))</f>
        <v>108852.55852260484</v>
      </c>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row>
    <row r="53" spans="1:53" ht="5.5" customHeight="1" outlineLevel="4" x14ac:dyDescent="0.35">
      <c r="A53" s="178"/>
      <c r="B53" s="178"/>
      <c r="C53" s="178"/>
      <c r="D53" s="178"/>
      <c r="E53" s="178"/>
      <c r="F53" s="178"/>
      <c r="G53" s="242"/>
      <c r="H53" s="196"/>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row>
    <row r="54" spans="1:53" ht="14.5" outlineLevel="4" x14ac:dyDescent="0.35">
      <c r="A54" s="178"/>
      <c r="B54" s="178"/>
      <c r="C54" s="178"/>
      <c r="D54" s="178"/>
      <c r="E54" s="178" t="str">
        <f>"Daily Vehicle-Trips - "&amp;H$11&amp;" (Build, "&amp;$H$30&amp;")"</f>
        <v>Daily Vehicle-Trips - I-35 Segment (Build, 2029)</v>
      </c>
      <c r="F54" s="178" t="s">
        <v>219</v>
      </c>
      <c r="G54" s="242" t="s">
        <v>853</v>
      </c>
      <c r="H54" s="174">
        <f>H49*((1+$H$33)^(H30-H29))</f>
        <v>66840.360969389934</v>
      </c>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row>
    <row r="55" spans="1:53" ht="14.5" outlineLevel="4" x14ac:dyDescent="0.35">
      <c r="A55" s="178"/>
      <c r="B55" s="178"/>
      <c r="C55" s="178"/>
      <c r="D55" s="178"/>
      <c r="E55" s="178" t="str">
        <f>"Daily Vehicle-Trips - "&amp;H$11&amp;" (Build, "&amp;$H$31&amp;")"</f>
        <v>Daily Vehicle-Trips - I-35 Segment (Build, 2048)</v>
      </c>
      <c r="F55" s="178" t="s">
        <v>219</v>
      </c>
      <c r="G55" s="242" t="s">
        <v>853</v>
      </c>
      <c r="H55" s="174">
        <f>H54*((1+$H$34)^(H31-H30))</f>
        <v>108852.55852260484</v>
      </c>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row>
    <row r="56" spans="1:53" ht="5.5" customHeight="1" outlineLevel="4" x14ac:dyDescent="0.35">
      <c r="A56" s="178"/>
      <c r="B56" s="178"/>
      <c r="C56" s="178"/>
      <c r="D56" s="178"/>
      <c r="E56" s="178"/>
      <c r="F56" s="178"/>
      <c r="G56" s="242"/>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row>
    <row r="57" spans="1:53" ht="14.5" x14ac:dyDescent="0.35">
      <c r="A57" s="178"/>
      <c r="B57" s="279" t="s">
        <v>841</v>
      </c>
      <c r="C57" s="178"/>
      <c r="D57" s="513"/>
      <c r="E57" s="47"/>
      <c r="F57" s="47"/>
      <c r="G57" s="240"/>
      <c r="H57" s="516"/>
      <c r="I57" s="513"/>
      <c r="J57" s="513"/>
      <c r="K57" s="513"/>
      <c r="L57" s="513"/>
      <c r="M57" s="513"/>
      <c r="N57" s="513"/>
      <c r="O57" s="513"/>
      <c r="P57" s="513"/>
      <c r="Q57" s="513"/>
      <c r="R57" s="513"/>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R57" s="513"/>
      <c r="AS57" s="513"/>
      <c r="AT57" s="513"/>
      <c r="AU57" s="513"/>
      <c r="AV57" s="513"/>
      <c r="AW57" s="513"/>
      <c r="AX57" s="513"/>
      <c r="AY57" s="513"/>
      <c r="AZ57" s="513"/>
      <c r="BA57" s="513"/>
    </row>
    <row r="58" spans="1:53" ht="5.5" customHeight="1" x14ac:dyDescent="0.35">
      <c r="A58" s="178"/>
      <c r="B58" s="178"/>
      <c r="C58" s="178"/>
      <c r="D58" s="178"/>
      <c r="E58" s="178"/>
      <c r="F58" s="178"/>
      <c r="G58" s="246"/>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row>
    <row r="59" spans="1:53" ht="14.5" x14ac:dyDescent="0.35">
      <c r="A59" s="178"/>
      <c r="B59" s="513"/>
      <c r="C59" s="279" t="str">
        <f>"Traffic Data Projections ("&amp;$H$11&amp;")"</f>
        <v>Traffic Data Projections (I-35 Segment)</v>
      </c>
      <c r="D59" s="513"/>
      <c r="E59" s="47"/>
      <c r="F59" s="47"/>
      <c r="G59" s="240"/>
      <c r="H59" s="241"/>
      <c r="I59" s="513"/>
      <c r="J59" s="513"/>
      <c r="K59" s="513"/>
      <c r="L59" s="513"/>
      <c r="M59" s="513"/>
      <c r="N59" s="513"/>
      <c r="O59" s="513"/>
      <c r="P59" s="513"/>
      <c r="Q59" s="513"/>
      <c r="R59" s="513"/>
      <c r="S59" s="513"/>
      <c r="T59" s="513"/>
      <c r="U59" s="513"/>
      <c r="V59" s="513"/>
      <c r="W59" s="513"/>
      <c r="X59" s="513"/>
      <c r="Y59" s="513"/>
      <c r="Z59" s="513"/>
      <c r="AA59" s="513"/>
      <c r="AB59" s="513"/>
      <c r="AC59" s="513"/>
      <c r="AD59" s="513"/>
      <c r="AE59" s="513"/>
      <c r="AF59" s="513"/>
      <c r="AG59" s="513"/>
      <c r="AH59" s="513"/>
      <c r="AI59" s="513"/>
      <c r="AJ59" s="513"/>
      <c r="AK59" s="513"/>
      <c r="AL59" s="513"/>
      <c r="AM59" s="513"/>
      <c r="AN59" s="513"/>
      <c r="AO59" s="517"/>
      <c r="AP59" s="518"/>
      <c r="AQ59" s="513"/>
      <c r="AR59" s="513"/>
      <c r="AS59" s="513"/>
      <c r="AT59" s="513"/>
      <c r="AU59" s="513"/>
      <c r="AV59" s="513"/>
      <c r="AW59" s="513"/>
      <c r="AX59" s="513"/>
      <c r="AY59" s="513"/>
      <c r="AZ59" s="513"/>
      <c r="BA59" s="513"/>
    </row>
    <row r="60" spans="1:53" ht="5.5" customHeight="1" x14ac:dyDescent="0.35">
      <c r="A60" s="178"/>
      <c r="B60" s="178"/>
      <c r="C60" s="178"/>
      <c r="D60" s="178"/>
      <c r="E60" s="178"/>
      <c r="F60" s="178"/>
      <c r="G60" s="246"/>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row>
    <row r="61" spans="1:53" ht="14.5" x14ac:dyDescent="0.35">
      <c r="A61" s="178"/>
      <c r="B61" s="178"/>
      <c r="C61" s="178"/>
      <c r="D61" s="180" t="s">
        <v>854</v>
      </c>
      <c r="E61" s="178"/>
      <c r="F61" s="178"/>
      <c r="G61" s="246"/>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row>
    <row r="62" spans="1:53" ht="5.5" customHeight="1" x14ac:dyDescent="0.35">
      <c r="A62" s="178"/>
      <c r="B62" s="178"/>
      <c r="C62" s="178"/>
      <c r="D62" s="178"/>
      <c r="E62" s="178"/>
      <c r="F62" s="178"/>
      <c r="G62" s="246"/>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row>
    <row r="63" spans="1:53" ht="14.5" x14ac:dyDescent="0.35">
      <c r="A63" s="178"/>
      <c r="B63" s="513"/>
      <c r="C63" s="513"/>
      <c r="D63" s="513"/>
      <c r="E63" s="26" t="str">
        <f>"Annual Vehicle-Trips in "&amp;$H$11&amp;" (without Project)"</f>
        <v>Annual Vehicle-Trips in I-35 Segment (without Project)</v>
      </c>
      <c r="F63" s="26" t="s">
        <v>219</v>
      </c>
      <c r="G63" s="60" t="s">
        <v>855</v>
      </c>
      <c r="H63" s="243"/>
      <c r="I63" s="239">
        <f>INDEX('Traffic Analysis_Segments'!$K$26:$K$71,MATCH(I$5,'Traffic Analysis_Segments'!$C$26:$C$71,0))*$H$20</f>
        <v>20857200</v>
      </c>
      <c r="J63" s="239">
        <f>INDEX('Traffic Analysis_Segments'!$K$26:$K$71,MATCH(J$5,'Traffic Analysis_Segments'!$C$26:$C$71,0))*$H$20</f>
        <v>21399487.199999999</v>
      </c>
      <c r="K63" s="239">
        <f>INDEX('Traffic Analysis_Segments'!$K$26:$K$71,MATCH(K$5,'Traffic Analysis_Segments'!$C$26:$C$71,0))*$H$20</f>
        <v>21955873.867200002</v>
      </c>
      <c r="L63" s="239">
        <f>INDEX('Traffic Analysis_Segments'!$K$26:$K$71,MATCH(L$5,'Traffic Analysis_Segments'!$C$26:$C$71,0))*$H$20</f>
        <v>22526726.587747201</v>
      </c>
      <c r="M63" s="239">
        <f>INDEX('Traffic Analysis_Segments'!$K$26:$K$71,MATCH(M$5,'Traffic Analysis_Segments'!$C$26:$C$71,0))*$H$20</f>
        <v>23112421.479028631</v>
      </c>
      <c r="N63" s="239">
        <f>INDEX('Traffic Analysis_Segments'!$K$26:$K$71,MATCH(N$5,'Traffic Analysis_Segments'!$C$26:$C$71,0))*$H$20</f>
        <v>23713344.437483374</v>
      </c>
      <c r="O63" s="239">
        <f>INDEX('Traffic Analysis_Segments'!$K$26:$K$71,MATCH(O$5,'Traffic Analysis_Segments'!$C$26:$C$71,0))*$H$20</f>
        <v>24329891.392857935</v>
      </c>
      <c r="P63" s="239">
        <f>INDEX('Traffic Analysis_Segments'!$K$26:$K$71,MATCH(P$5,'Traffic Analysis_Segments'!$C$26:$C$71,0))*$H$20</f>
        <v>24962468.569072243</v>
      </c>
      <c r="Q63" s="239">
        <f>INDEX('Traffic Analysis_Segments'!$K$26:$K$71,MATCH(Q$5,'Traffic Analysis_Segments'!$C$26:$C$71,0))*$H$20</f>
        <v>25611492.751868121</v>
      </c>
      <c r="R63" s="239">
        <f>INDEX('Traffic Analysis_Segments'!$K$26:$K$71,MATCH(R$5,'Traffic Analysis_Segments'!$C$26:$C$71,0))*$H$20</f>
        <v>26277391.563416693</v>
      </c>
      <c r="S63" s="239">
        <f>INDEX('Traffic Analysis_Segments'!$K$26:$K$71,MATCH(S$5,'Traffic Analysis_Segments'!$C$26:$C$71,0))*$H$20</f>
        <v>26960603.744065527</v>
      </c>
      <c r="T63" s="239">
        <f>INDEX('Traffic Analysis_Segments'!$K$26:$K$71,MATCH(T$5,'Traffic Analysis_Segments'!$C$26:$C$71,0))*$H$20</f>
        <v>27661579.441411234</v>
      </c>
      <c r="U63" s="239">
        <f>INDEX('Traffic Analysis_Segments'!$K$26:$K$71,MATCH(U$5,'Traffic Analysis_Segments'!$C$26:$C$71,0))*$H$20</f>
        <v>28380780.506887928</v>
      </c>
      <c r="V63" s="239">
        <f>INDEX('Traffic Analysis_Segments'!$K$26:$K$71,MATCH(V$5,'Traffic Analysis_Segments'!$C$26:$C$71,0))*$H$20</f>
        <v>29118680.800067015</v>
      </c>
      <c r="W63" s="239">
        <f>INDEX('Traffic Analysis_Segments'!$K$26:$K$71,MATCH(W$5,'Traffic Analysis_Segments'!$C$26:$C$71,0))*$H$20</f>
        <v>29875766.500868756</v>
      </c>
      <c r="X63" s="239">
        <f>INDEX('Traffic Analysis_Segments'!$K$26:$K$71,MATCH(X$5,'Traffic Analysis_Segments'!$C$26:$C$71,0))*$H$20</f>
        <v>30652536.429891344</v>
      </c>
      <c r="Y63" s="239">
        <f>INDEX('Traffic Analysis_Segments'!$K$26:$K$71,MATCH(Y$5,'Traffic Analysis_Segments'!$C$26:$C$71,0))*$H$20</f>
        <v>31449502.37706852</v>
      </c>
      <c r="Z63" s="239">
        <f>INDEX('Traffic Analysis_Segments'!$K$26:$K$71,MATCH(Z$5,'Traffic Analysis_Segments'!$C$26:$C$71,0))*$H$20</f>
        <v>32267189.438872304</v>
      </c>
      <c r="AA63" s="239">
        <f>INDEX('Traffic Analysis_Segments'!$K$26:$K$71,MATCH(AA$5,'Traffic Analysis_Segments'!$C$26:$C$71,0))*$H$20</f>
        <v>33106136.364282984</v>
      </c>
      <c r="AB63" s="239">
        <f>INDEX('Traffic Analysis_Segments'!$K$26:$K$71,MATCH(AB$5,'Traffic Analysis_Segments'!$C$26:$C$71,0))*$H$20</f>
        <v>33966895.909754336</v>
      </c>
      <c r="AC63" s="239">
        <f>INDEX('Traffic Analysis_Segments'!$K$26:$K$71,MATCH(AC$5,'Traffic Analysis_Segments'!$C$26:$C$71,0))*$H$20</f>
        <v>34850035.203407951</v>
      </c>
      <c r="AD63" s="239">
        <f>INDEX('Traffic Analysis_Segments'!$K$26:$K$71,MATCH(AD$5,'Traffic Analysis_Segments'!$C$26:$C$71,0))*$H$20</f>
        <v>35756136.118696555</v>
      </c>
      <c r="AE63" s="239">
        <f>INDEX('Traffic Analysis_Segments'!$K$26:$K$71,MATCH(AE$5,'Traffic Analysis_Segments'!$C$26:$C$71,0))*$H$20</f>
        <v>36685795.657782666</v>
      </c>
      <c r="AF63" s="239">
        <f>INDEX('Traffic Analysis_Segments'!$K$26:$K$71,MATCH(AF$5,'Traffic Analysis_Segments'!$C$26:$C$71,0))*$H$20</f>
        <v>37639626.344885014</v>
      </c>
      <c r="AG63" s="239">
        <f>INDEX('Traffic Analysis_Segments'!$K$26:$K$71,MATCH(AG$5,'Traffic Analysis_Segments'!$C$26:$C$71,0))*$H$20</f>
        <v>38618256.629852027</v>
      </c>
      <c r="AH63" s="239">
        <f>INDEX('Traffic Analysis_Segments'!$K$26:$K$71,MATCH(AH$5,'Traffic Analysis_Segments'!$C$26:$C$71,0))*$H$20</f>
        <v>39622331.30222816</v>
      </c>
      <c r="AI63" s="239">
        <f>INDEX('Traffic Analysis_Segments'!$K$26:$K$71,MATCH(AI$5,'Traffic Analysis_Segments'!$C$26:$C$71,0))*$H$20</f>
        <v>39622331.30222816</v>
      </c>
      <c r="AJ63" s="239">
        <f>INDEX('Traffic Analysis_Segments'!$K$26:$K$71,MATCH(AJ$5,'Traffic Analysis_Segments'!$C$26:$C$71,0))*$H$20</f>
        <v>39622331.30222816</v>
      </c>
      <c r="AK63" s="239">
        <f>INDEX('Traffic Analysis_Segments'!$K$26:$K$71,MATCH(AK$5,'Traffic Analysis_Segments'!$C$26:$C$71,0))*$H$20</f>
        <v>39622331.30222816</v>
      </c>
      <c r="AL63" s="239">
        <f>INDEX('Traffic Analysis_Segments'!$K$26:$K$71,MATCH(AL$5,'Traffic Analysis_Segments'!$C$26:$C$71,0))*$H$20</f>
        <v>39622331.30222816</v>
      </c>
      <c r="AM63" s="239">
        <f>INDEX('Traffic Analysis_Segments'!$K$26:$K$71,MATCH(AM$5,'Traffic Analysis_Segments'!$C$26:$C$71,0))*$H$20</f>
        <v>39622331.30222816</v>
      </c>
      <c r="AN63" s="239">
        <f>INDEX('Traffic Analysis_Segments'!$K$26:$K$71,MATCH(AN$5,'Traffic Analysis_Segments'!$C$26:$C$71,0))*$H$20</f>
        <v>39622331.30222816</v>
      </c>
      <c r="AO63" s="239">
        <f>INDEX('Traffic Analysis_Segments'!$K$26:$K$71,MATCH(AO$5,'Traffic Analysis_Segments'!$C$26:$C$71,0))*$H$20</f>
        <v>39622331.30222816</v>
      </c>
      <c r="AP63" s="239">
        <f>INDEX('Traffic Analysis_Segments'!$K$26:$K$71,MATCH(AP$5,'Traffic Analysis_Segments'!$C$26:$C$71,0))*$H$20</f>
        <v>39622331.30222816</v>
      </c>
      <c r="AQ63" s="239">
        <f>INDEX('Traffic Analysis_Segments'!$K$26:$K$71,MATCH(AQ$5,'Traffic Analysis_Segments'!$C$26:$C$71,0))*$H$20</f>
        <v>39622331.30222816</v>
      </c>
      <c r="AR63" s="239">
        <f>INDEX('Traffic Analysis_Segments'!$K$26:$K$71,MATCH(AR$5,'Traffic Analysis_Segments'!$C$26:$C$71,0))*$H$20</f>
        <v>39622331.30222816</v>
      </c>
      <c r="AS63" s="239">
        <f>INDEX('Traffic Analysis_Segments'!$K$26:$K$71,MATCH(AS$5,'Traffic Analysis_Segments'!$C$26:$C$71,0))*$H$20</f>
        <v>39622331.30222816</v>
      </c>
      <c r="AT63" s="239">
        <f>INDEX('Traffic Analysis_Segments'!$K$26:$K$71,MATCH(AT$5,'Traffic Analysis_Segments'!$C$26:$C$71,0))*$H$20</f>
        <v>39622331.30222816</v>
      </c>
      <c r="AU63" s="239">
        <f>INDEX('Traffic Analysis_Segments'!$K$26:$K$71,MATCH(AU$5,'Traffic Analysis_Segments'!$C$26:$C$71,0))*$H$20</f>
        <v>39622331.30222816</v>
      </c>
      <c r="AV63" s="239">
        <f>INDEX('Traffic Analysis_Segments'!$K$26:$K$71,MATCH(AV$5,'Traffic Analysis_Segments'!$C$26:$C$71,0))*$H$20</f>
        <v>39622331.30222816</v>
      </c>
      <c r="AW63" s="239">
        <f>INDEX('Traffic Analysis_Segments'!$K$26:$K$71,MATCH(AW$5,'Traffic Analysis_Segments'!$C$26:$C$71,0))*$H$20</f>
        <v>39622331.30222816</v>
      </c>
      <c r="AX63" s="239">
        <f>INDEX('Traffic Analysis_Segments'!$K$26:$K$71,MATCH(AX$5,'Traffic Analysis_Segments'!$C$26:$C$71,0))*$H$20</f>
        <v>39622331.30222816</v>
      </c>
      <c r="AY63" s="239">
        <f>INDEX('Traffic Analysis_Segments'!$K$26:$K$71,MATCH(AY$5,'Traffic Analysis_Segments'!$C$26:$C$71,0))*$H$20</f>
        <v>39622331.30222816</v>
      </c>
      <c r="AZ63" s="239"/>
      <c r="BA63" s="239"/>
    </row>
    <row r="64" spans="1:53" ht="5.5" customHeight="1" x14ac:dyDescent="0.35">
      <c r="A64" s="178"/>
      <c r="B64" s="178"/>
      <c r="C64" s="178"/>
      <c r="D64" s="178"/>
      <c r="E64" s="178"/>
      <c r="F64" s="178"/>
      <c r="G64" s="246"/>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row>
    <row r="65" spans="1:53" ht="14.5" x14ac:dyDescent="0.35">
      <c r="A65" s="178"/>
      <c r="B65" s="178"/>
      <c r="C65" s="178"/>
      <c r="D65" s="178"/>
      <c r="E65" s="178" t="s">
        <v>856</v>
      </c>
      <c r="F65" s="26" t="s">
        <v>219</v>
      </c>
      <c r="G65" s="242" t="s">
        <v>200</v>
      </c>
      <c r="H65" s="178"/>
      <c r="I65" s="389">
        <f t="shared" ref="I65:AY65" si="1">$H$37</f>
        <v>0.26</v>
      </c>
      <c r="J65" s="389">
        <f t="shared" si="1"/>
        <v>0.26</v>
      </c>
      <c r="K65" s="389">
        <f t="shared" si="1"/>
        <v>0.26</v>
      </c>
      <c r="L65" s="389">
        <f t="shared" si="1"/>
        <v>0.26</v>
      </c>
      <c r="M65" s="389">
        <f t="shared" si="1"/>
        <v>0.26</v>
      </c>
      <c r="N65" s="389">
        <f t="shared" si="1"/>
        <v>0.26</v>
      </c>
      <c r="O65" s="389">
        <f t="shared" si="1"/>
        <v>0.26</v>
      </c>
      <c r="P65" s="389">
        <f t="shared" si="1"/>
        <v>0.26</v>
      </c>
      <c r="Q65" s="389">
        <f t="shared" si="1"/>
        <v>0.26</v>
      </c>
      <c r="R65" s="389">
        <f t="shared" si="1"/>
        <v>0.26</v>
      </c>
      <c r="S65" s="389">
        <f t="shared" si="1"/>
        <v>0.26</v>
      </c>
      <c r="T65" s="389">
        <f t="shared" si="1"/>
        <v>0.26</v>
      </c>
      <c r="U65" s="389">
        <f t="shared" si="1"/>
        <v>0.26</v>
      </c>
      <c r="V65" s="389">
        <f t="shared" si="1"/>
        <v>0.26</v>
      </c>
      <c r="W65" s="389">
        <f t="shared" si="1"/>
        <v>0.26</v>
      </c>
      <c r="X65" s="389">
        <f t="shared" si="1"/>
        <v>0.26</v>
      </c>
      <c r="Y65" s="389">
        <f t="shared" si="1"/>
        <v>0.26</v>
      </c>
      <c r="Z65" s="389">
        <f t="shared" si="1"/>
        <v>0.26</v>
      </c>
      <c r="AA65" s="389">
        <f t="shared" si="1"/>
        <v>0.26</v>
      </c>
      <c r="AB65" s="389">
        <f t="shared" si="1"/>
        <v>0.26</v>
      </c>
      <c r="AC65" s="389">
        <f t="shared" si="1"/>
        <v>0.26</v>
      </c>
      <c r="AD65" s="389">
        <f t="shared" si="1"/>
        <v>0.26</v>
      </c>
      <c r="AE65" s="389">
        <f t="shared" si="1"/>
        <v>0.26</v>
      </c>
      <c r="AF65" s="389">
        <f t="shared" si="1"/>
        <v>0.26</v>
      </c>
      <c r="AG65" s="389">
        <f t="shared" si="1"/>
        <v>0.26</v>
      </c>
      <c r="AH65" s="389">
        <f t="shared" si="1"/>
        <v>0.26</v>
      </c>
      <c r="AI65" s="389">
        <f t="shared" si="1"/>
        <v>0.26</v>
      </c>
      <c r="AJ65" s="389">
        <f t="shared" si="1"/>
        <v>0.26</v>
      </c>
      <c r="AK65" s="389">
        <f t="shared" si="1"/>
        <v>0.26</v>
      </c>
      <c r="AL65" s="389">
        <f t="shared" si="1"/>
        <v>0.26</v>
      </c>
      <c r="AM65" s="389">
        <f t="shared" si="1"/>
        <v>0.26</v>
      </c>
      <c r="AN65" s="389">
        <f t="shared" si="1"/>
        <v>0.26</v>
      </c>
      <c r="AO65" s="389">
        <f t="shared" si="1"/>
        <v>0.26</v>
      </c>
      <c r="AP65" s="389">
        <f t="shared" si="1"/>
        <v>0.26</v>
      </c>
      <c r="AQ65" s="389">
        <f t="shared" si="1"/>
        <v>0.26</v>
      </c>
      <c r="AR65" s="389">
        <f t="shared" si="1"/>
        <v>0.26</v>
      </c>
      <c r="AS65" s="389">
        <f t="shared" si="1"/>
        <v>0.26</v>
      </c>
      <c r="AT65" s="389">
        <f t="shared" si="1"/>
        <v>0.26</v>
      </c>
      <c r="AU65" s="389">
        <f t="shared" si="1"/>
        <v>0.26</v>
      </c>
      <c r="AV65" s="389">
        <f t="shared" si="1"/>
        <v>0.26</v>
      </c>
      <c r="AW65" s="389">
        <f t="shared" si="1"/>
        <v>0.26</v>
      </c>
      <c r="AX65" s="389">
        <f t="shared" si="1"/>
        <v>0.26</v>
      </c>
      <c r="AY65" s="389">
        <f t="shared" si="1"/>
        <v>0.26</v>
      </c>
      <c r="AZ65" s="389"/>
      <c r="BA65" s="389"/>
    </row>
    <row r="66" spans="1:53" ht="14.5" x14ac:dyDescent="0.35">
      <c r="A66" s="178"/>
      <c r="B66" s="178"/>
      <c r="C66" s="178"/>
      <c r="D66" s="178"/>
      <c r="E66" s="178" t="s">
        <v>857</v>
      </c>
      <c r="F66" s="26" t="s">
        <v>219</v>
      </c>
      <c r="G66" s="242" t="s">
        <v>200</v>
      </c>
      <c r="H66" s="178"/>
      <c r="I66" s="389">
        <f t="shared" ref="I66:AY66" si="2">$H$39</f>
        <v>0.74</v>
      </c>
      <c r="J66" s="389">
        <f t="shared" si="2"/>
        <v>0.74</v>
      </c>
      <c r="K66" s="389">
        <f t="shared" si="2"/>
        <v>0.74</v>
      </c>
      <c r="L66" s="389">
        <f t="shared" si="2"/>
        <v>0.74</v>
      </c>
      <c r="M66" s="389">
        <f t="shared" si="2"/>
        <v>0.74</v>
      </c>
      <c r="N66" s="389">
        <f t="shared" si="2"/>
        <v>0.74</v>
      </c>
      <c r="O66" s="389">
        <f t="shared" si="2"/>
        <v>0.74</v>
      </c>
      <c r="P66" s="389">
        <f t="shared" si="2"/>
        <v>0.74</v>
      </c>
      <c r="Q66" s="389">
        <f t="shared" si="2"/>
        <v>0.74</v>
      </c>
      <c r="R66" s="389">
        <f t="shared" si="2"/>
        <v>0.74</v>
      </c>
      <c r="S66" s="389">
        <f t="shared" si="2"/>
        <v>0.74</v>
      </c>
      <c r="T66" s="389">
        <f t="shared" si="2"/>
        <v>0.74</v>
      </c>
      <c r="U66" s="389">
        <f t="shared" si="2"/>
        <v>0.74</v>
      </c>
      <c r="V66" s="389">
        <f t="shared" si="2"/>
        <v>0.74</v>
      </c>
      <c r="W66" s="389">
        <f t="shared" si="2"/>
        <v>0.74</v>
      </c>
      <c r="X66" s="389">
        <f t="shared" si="2"/>
        <v>0.74</v>
      </c>
      <c r="Y66" s="389">
        <f t="shared" si="2"/>
        <v>0.74</v>
      </c>
      <c r="Z66" s="389">
        <f t="shared" si="2"/>
        <v>0.74</v>
      </c>
      <c r="AA66" s="389">
        <f t="shared" si="2"/>
        <v>0.74</v>
      </c>
      <c r="AB66" s="389">
        <f t="shared" si="2"/>
        <v>0.74</v>
      </c>
      <c r="AC66" s="389">
        <f t="shared" si="2"/>
        <v>0.74</v>
      </c>
      <c r="AD66" s="389">
        <f t="shared" si="2"/>
        <v>0.74</v>
      </c>
      <c r="AE66" s="389">
        <f t="shared" si="2"/>
        <v>0.74</v>
      </c>
      <c r="AF66" s="389">
        <f t="shared" si="2"/>
        <v>0.74</v>
      </c>
      <c r="AG66" s="389">
        <f t="shared" si="2"/>
        <v>0.74</v>
      </c>
      <c r="AH66" s="389">
        <f t="shared" si="2"/>
        <v>0.74</v>
      </c>
      <c r="AI66" s="389">
        <f t="shared" si="2"/>
        <v>0.74</v>
      </c>
      <c r="AJ66" s="389">
        <f t="shared" si="2"/>
        <v>0.74</v>
      </c>
      <c r="AK66" s="389">
        <f t="shared" si="2"/>
        <v>0.74</v>
      </c>
      <c r="AL66" s="389">
        <f t="shared" si="2"/>
        <v>0.74</v>
      </c>
      <c r="AM66" s="389">
        <f t="shared" si="2"/>
        <v>0.74</v>
      </c>
      <c r="AN66" s="389">
        <f t="shared" si="2"/>
        <v>0.74</v>
      </c>
      <c r="AO66" s="389">
        <f t="shared" si="2"/>
        <v>0.74</v>
      </c>
      <c r="AP66" s="389">
        <f t="shared" si="2"/>
        <v>0.74</v>
      </c>
      <c r="AQ66" s="389">
        <f t="shared" si="2"/>
        <v>0.74</v>
      </c>
      <c r="AR66" s="389">
        <f t="shared" si="2"/>
        <v>0.74</v>
      </c>
      <c r="AS66" s="389">
        <f t="shared" si="2"/>
        <v>0.74</v>
      </c>
      <c r="AT66" s="389">
        <f t="shared" si="2"/>
        <v>0.74</v>
      </c>
      <c r="AU66" s="389">
        <f t="shared" si="2"/>
        <v>0.74</v>
      </c>
      <c r="AV66" s="389">
        <f t="shared" si="2"/>
        <v>0.74</v>
      </c>
      <c r="AW66" s="389">
        <f t="shared" si="2"/>
        <v>0.74</v>
      </c>
      <c r="AX66" s="389">
        <f t="shared" si="2"/>
        <v>0.74</v>
      </c>
      <c r="AY66" s="389">
        <f t="shared" si="2"/>
        <v>0.74</v>
      </c>
      <c r="AZ66" s="389"/>
      <c r="BA66" s="389"/>
    </row>
    <row r="67" spans="1:53" ht="5.5" customHeight="1" x14ac:dyDescent="0.35">
      <c r="A67" s="178"/>
      <c r="B67" s="178"/>
      <c r="C67" s="178"/>
      <c r="D67" s="178"/>
      <c r="E67" s="178"/>
      <c r="F67" s="178"/>
      <c r="G67" s="246"/>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row>
    <row r="68" spans="1:53" ht="14.5" x14ac:dyDescent="0.35">
      <c r="A68" s="178"/>
      <c r="B68" s="513"/>
      <c r="C68" s="513"/>
      <c r="D68" s="513"/>
      <c r="E68" s="26" t="str">
        <f>"Annual Truck-Trips in "&amp;$H$11&amp;" (without Project)"</f>
        <v>Annual Truck-Trips in I-35 Segment (without Project)</v>
      </c>
      <c r="F68" s="26" t="s">
        <v>219</v>
      </c>
      <c r="G68" s="60" t="s">
        <v>855</v>
      </c>
      <c r="H68" s="243"/>
      <c r="I68" s="239">
        <f>I63*I65</f>
        <v>5422872</v>
      </c>
      <c r="J68" s="239">
        <f t="shared" ref="J68:AY68" si="3">J63*J65</f>
        <v>5563866.6720000003</v>
      </c>
      <c r="K68" s="239">
        <f t="shared" si="3"/>
        <v>5708527.2054720009</v>
      </c>
      <c r="L68" s="239">
        <f t="shared" si="3"/>
        <v>5856948.9128142726</v>
      </c>
      <c r="M68" s="239">
        <f t="shared" si="3"/>
        <v>6009229.5845474442</v>
      </c>
      <c r="N68" s="239">
        <f t="shared" si="3"/>
        <v>6165469.5537456777</v>
      </c>
      <c r="O68" s="239">
        <f t="shared" si="3"/>
        <v>6325771.7621430634</v>
      </c>
      <c r="P68" s="239">
        <f t="shared" si="3"/>
        <v>6490241.8279587831</v>
      </c>
      <c r="Q68" s="239">
        <f t="shared" si="3"/>
        <v>6658988.115485712</v>
      </c>
      <c r="R68" s="239">
        <f t="shared" si="3"/>
        <v>6832121.8064883407</v>
      </c>
      <c r="S68" s="239">
        <f t="shared" si="3"/>
        <v>7009756.9734570375</v>
      </c>
      <c r="T68" s="239">
        <f t="shared" si="3"/>
        <v>7192010.654766921</v>
      </c>
      <c r="U68" s="239">
        <f t="shared" si="3"/>
        <v>7379002.9317908613</v>
      </c>
      <c r="V68" s="239">
        <f t="shared" si="3"/>
        <v>7570857.0080174245</v>
      </c>
      <c r="W68" s="239">
        <f t="shared" si="3"/>
        <v>7767699.2902258765</v>
      </c>
      <c r="X68" s="239">
        <f t="shared" si="3"/>
        <v>7969659.4717717497</v>
      </c>
      <c r="Y68" s="239">
        <f t="shared" si="3"/>
        <v>8176870.6180378152</v>
      </c>
      <c r="Z68" s="239">
        <f t="shared" si="3"/>
        <v>8389469.2541067991</v>
      </c>
      <c r="AA68" s="239">
        <f t="shared" si="3"/>
        <v>8607595.4547135755</v>
      </c>
      <c r="AB68" s="239">
        <f t="shared" si="3"/>
        <v>8831392.9365361277</v>
      </c>
      <c r="AC68" s="239">
        <f t="shared" si="3"/>
        <v>9061009.1528860666</v>
      </c>
      <c r="AD68" s="239">
        <f t="shared" si="3"/>
        <v>9296595.3908611052</v>
      </c>
      <c r="AE68" s="239">
        <f t="shared" si="3"/>
        <v>9538306.8710234929</v>
      </c>
      <c r="AF68" s="239">
        <f t="shared" si="3"/>
        <v>9786302.8496701047</v>
      </c>
      <c r="AG68" s="239">
        <f t="shared" si="3"/>
        <v>10040746.723761527</v>
      </c>
      <c r="AH68" s="239">
        <f t="shared" si="3"/>
        <v>10301806.138579322</v>
      </c>
      <c r="AI68" s="239">
        <f t="shared" si="3"/>
        <v>10301806.138579322</v>
      </c>
      <c r="AJ68" s="239">
        <f t="shared" si="3"/>
        <v>10301806.138579322</v>
      </c>
      <c r="AK68" s="239">
        <f t="shared" si="3"/>
        <v>10301806.138579322</v>
      </c>
      <c r="AL68" s="239">
        <f t="shared" si="3"/>
        <v>10301806.138579322</v>
      </c>
      <c r="AM68" s="239">
        <f t="shared" si="3"/>
        <v>10301806.138579322</v>
      </c>
      <c r="AN68" s="239">
        <f t="shared" si="3"/>
        <v>10301806.138579322</v>
      </c>
      <c r="AO68" s="239">
        <f t="shared" si="3"/>
        <v>10301806.138579322</v>
      </c>
      <c r="AP68" s="239">
        <f t="shared" si="3"/>
        <v>10301806.138579322</v>
      </c>
      <c r="AQ68" s="239">
        <f t="shared" si="3"/>
        <v>10301806.138579322</v>
      </c>
      <c r="AR68" s="239">
        <f t="shared" si="3"/>
        <v>10301806.138579322</v>
      </c>
      <c r="AS68" s="239">
        <f t="shared" si="3"/>
        <v>10301806.138579322</v>
      </c>
      <c r="AT68" s="239">
        <f t="shared" si="3"/>
        <v>10301806.138579322</v>
      </c>
      <c r="AU68" s="239">
        <f t="shared" si="3"/>
        <v>10301806.138579322</v>
      </c>
      <c r="AV68" s="239">
        <f t="shared" si="3"/>
        <v>10301806.138579322</v>
      </c>
      <c r="AW68" s="239">
        <f t="shared" si="3"/>
        <v>10301806.138579322</v>
      </c>
      <c r="AX68" s="239">
        <f t="shared" si="3"/>
        <v>10301806.138579322</v>
      </c>
      <c r="AY68" s="239">
        <f t="shared" si="3"/>
        <v>10301806.138579322</v>
      </c>
      <c r="AZ68" s="239"/>
      <c r="BA68" s="239"/>
    </row>
    <row r="69" spans="1:53" ht="14.5" x14ac:dyDescent="0.35">
      <c r="A69" s="178"/>
      <c r="B69" s="513"/>
      <c r="C69" s="513"/>
      <c r="D69" s="513"/>
      <c r="E69" s="26" t="str">
        <f>"Annual Auto-Trips in "&amp;$H$11&amp;" (without Project)"</f>
        <v>Annual Auto-Trips in I-35 Segment (without Project)</v>
      </c>
      <c r="F69" s="26" t="s">
        <v>219</v>
      </c>
      <c r="G69" s="60" t="s">
        <v>855</v>
      </c>
      <c r="H69" s="243"/>
      <c r="I69" s="239">
        <f>I63*I66</f>
        <v>15434328</v>
      </c>
      <c r="J69" s="239">
        <f t="shared" ref="J69:AY69" si="4">J63*J66</f>
        <v>15835620.527999999</v>
      </c>
      <c r="K69" s="239">
        <f t="shared" si="4"/>
        <v>16247346.661728002</v>
      </c>
      <c r="L69" s="239">
        <f t="shared" si="4"/>
        <v>16669777.674932929</v>
      </c>
      <c r="M69" s="239">
        <f t="shared" si="4"/>
        <v>17103191.894481186</v>
      </c>
      <c r="N69" s="239">
        <f t="shared" si="4"/>
        <v>17547874.883737698</v>
      </c>
      <c r="O69" s="239">
        <f t="shared" si="4"/>
        <v>18004119.630714871</v>
      </c>
      <c r="P69" s="239">
        <f t="shared" si="4"/>
        <v>18472226.741113458</v>
      </c>
      <c r="Q69" s="239">
        <f t="shared" si="4"/>
        <v>18952504.636382408</v>
      </c>
      <c r="R69" s="239">
        <f t="shared" si="4"/>
        <v>19445269.756928355</v>
      </c>
      <c r="S69" s="239">
        <f t="shared" si="4"/>
        <v>19950846.770608488</v>
      </c>
      <c r="T69" s="239">
        <f t="shared" si="4"/>
        <v>20469568.786644313</v>
      </c>
      <c r="U69" s="239">
        <f t="shared" si="4"/>
        <v>21001777.575097065</v>
      </c>
      <c r="V69" s="239">
        <f t="shared" si="4"/>
        <v>21547823.79204959</v>
      </c>
      <c r="W69" s="239">
        <f t="shared" si="4"/>
        <v>22108067.210642878</v>
      </c>
      <c r="X69" s="239">
        <f t="shared" si="4"/>
        <v>22682876.958119594</v>
      </c>
      <c r="Y69" s="239">
        <f t="shared" si="4"/>
        <v>23272631.759030703</v>
      </c>
      <c r="Z69" s="239">
        <f t="shared" si="4"/>
        <v>23877720.184765503</v>
      </c>
      <c r="AA69" s="239">
        <f t="shared" si="4"/>
        <v>24498540.909569409</v>
      </c>
      <c r="AB69" s="239">
        <f t="shared" si="4"/>
        <v>25135502.97321821</v>
      </c>
      <c r="AC69" s="239">
        <f t="shared" si="4"/>
        <v>25789026.050521884</v>
      </c>
      <c r="AD69" s="239">
        <f t="shared" si="4"/>
        <v>26459540.72783545</v>
      </c>
      <c r="AE69" s="239">
        <f t="shared" si="4"/>
        <v>27147488.786759172</v>
      </c>
      <c r="AF69" s="239">
        <f t="shared" si="4"/>
        <v>27853323.495214909</v>
      </c>
      <c r="AG69" s="239">
        <f t="shared" si="4"/>
        <v>28577509.906090498</v>
      </c>
      <c r="AH69" s="239">
        <f t="shared" si="4"/>
        <v>29320525.16364884</v>
      </c>
      <c r="AI69" s="239">
        <f t="shared" si="4"/>
        <v>29320525.16364884</v>
      </c>
      <c r="AJ69" s="239">
        <f t="shared" si="4"/>
        <v>29320525.16364884</v>
      </c>
      <c r="AK69" s="239">
        <f t="shared" si="4"/>
        <v>29320525.16364884</v>
      </c>
      <c r="AL69" s="239">
        <f t="shared" si="4"/>
        <v>29320525.16364884</v>
      </c>
      <c r="AM69" s="239">
        <f t="shared" si="4"/>
        <v>29320525.16364884</v>
      </c>
      <c r="AN69" s="239">
        <f t="shared" si="4"/>
        <v>29320525.16364884</v>
      </c>
      <c r="AO69" s="239">
        <f t="shared" si="4"/>
        <v>29320525.16364884</v>
      </c>
      <c r="AP69" s="239">
        <f t="shared" si="4"/>
        <v>29320525.16364884</v>
      </c>
      <c r="AQ69" s="239">
        <f t="shared" si="4"/>
        <v>29320525.16364884</v>
      </c>
      <c r="AR69" s="239">
        <f t="shared" si="4"/>
        <v>29320525.16364884</v>
      </c>
      <c r="AS69" s="239">
        <f t="shared" si="4"/>
        <v>29320525.16364884</v>
      </c>
      <c r="AT69" s="239">
        <f t="shared" si="4"/>
        <v>29320525.16364884</v>
      </c>
      <c r="AU69" s="239">
        <f t="shared" si="4"/>
        <v>29320525.16364884</v>
      </c>
      <c r="AV69" s="239">
        <f t="shared" si="4"/>
        <v>29320525.16364884</v>
      </c>
      <c r="AW69" s="239">
        <f t="shared" si="4"/>
        <v>29320525.16364884</v>
      </c>
      <c r="AX69" s="239">
        <f t="shared" si="4"/>
        <v>29320525.16364884</v>
      </c>
      <c r="AY69" s="239">
        <f t="shared" si="4"/>
        <v>29320525.16364884</v>
      </c>
      <c r="AZ69" s="239"/>
      <c r="BA69" s="239"/>
    </row>
    <row r="70" spans="1:53" ht="5.5" customHeight="1" x14ac:dyDescent="0.35">
      <c r="A70" s="178"/>
      <c r="B70" s="178"/>
      <c r="C70" s="178"/>
      <c r="D70" s="178"/>
      <c r="E70" s="178"/>
      <c r="F70" s="178"/>
      <c r="G70" s="246"/>
      <c r="H70" s="178"/>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row>
    <row r="71" spans="1:53" ht="14.5" x14ac:dyDescent="0.35">
      <c r="A71" s="178"/>
      <c r="B71" s="513"/>
      <c r="C71" s="513"/>
      <c r="D71" s="513"/>
      <c r="E71" s="26" t="str">
        <f>"Annual Existing Vehicle-Trips in "&amp;$H$11&amp;" (with Project)"</f>
        <v>Annual Existing Vehicle-Trips in I-35 Segment (with Project)</v>
      </c>
      <c r="F71" s="26" t="s">
        <v>219</v>
      </c>
      <c r="G71" s="60" t="s">
        <v>855</v>
      </c>
      <c r="H71" s="243"/>
      <c r="I71" s="239">
        <f>INDEX('Traffic Analysis_Segments'!$L$26:$L$71,MATCH(I$5,'Traffic Analysis_Segments'!$C$26:$C$71,0))*$H$20</f>
        <v>20857200</v>
      </c>
      <c r="J71" s="239">
        <f>INDEX('Traffic Analysis_Segments'!$L$26:$L$71,MATCH(J$5,'Traffic Analysis_Segments'!$C$26:$C$71,0))*$H$20</f>
        <v>21399487.199999999</v>
      </c>
      <c r="K71" s="239">
        <f>INDEX('Traffic Analysis_Segments'!$L$26:$L$71,MATCH(K$5,'Traffic Analysis_Segments'!$C$26:$C$71,0))*$H$20</f>
        <v>21955873.867200002</v>
      </c>
      <c r="L71" s="239">
        <f>INDEX('Traffic Analysis_Segments'!$L$26:$L$71,MATCH(L$5,'Traffic Analysis_Segments'!$C$26:$C$71,0))*$H$20</f>
        <v>22526726.587747201</v>
      </c>
      <c r="M71" s="239">
        <f>INDEX('Traffic Analysis_Segments'!$L$26:$L$71,MATCH(M$5,'Traffic Analysis_Segments'!$C$26:$C$71,0))*$H$20</f>
        <v>23112421.479028631</v>
      </c>
      <c r="N71" s="239">
        <f>INDEX('Traffic Analysis_Segments'!$L$26:$L$71,MATCH(N$5,'Traffic Analysis_Segments'!$C$26:$C$71,0))*$H$20</f>
        <v>23713344.437483374</v>
      </c>
      <c r="O71" s="239">
        <f>INDEX('Traffic Analysis_Segments'!$L$26:$L$71,MATCH(O$5,'Traffic Analysis_Segments'!$C$26:$C$71,0))*$H$20</f>
        <v>24329891.392857935</v>
      </c>
      <c r="P71" s="239">
        <f>INDEX('Traffic Analysis_Segments'!$L$26:$L$71,MATCH(P$5,'Traffic Analysis_Segments'!$C$26:$C$71,0))*$H$20</f>
        <v>24962468.569072243</v>
      </c>
      <c r="Q71" s="239">
        <f>INDEX('Traffic Analysis_Segments'!$L$26:$L$71,MATCH(Q$5,'Traffic Analysis_Segments'!$C$26:$C$71,0))*$H$20</f>
        <v>25611492.751868121</v>
      </c>
      <c r="R71" s="239">
        <f>INDEX('Traffic Analysis_Segments'!$L$26:$L$71,MATCH(R$5,'Traffic Analysis_Segments'!$C$26:$C$71,0))*$H$20</f>
        <v>26277391.563416693</v>
      </c>
      <c r="S71" s="239">
        <f>INDEX('Traffic Analysis_Segments'!$L$26:$L$71,MATCH(S$5,'Traffic Analysis_Segments'!$C$26:$C$71,0))*$H$20</f>
        <v>26960603.744065527</v>
      </c>
      <c r="T71" s="239">
        <f>INDEX('Traffic Analysis_Segments'!$L$26:$L$71,MATCH(T$5,'Traffic Analysis_Segments'!$C$26:$C$71,0))*$H$20</f>
        <v>27661579.441411234</v>
      </c>
      <c r="U71" s="239">
        <f>INDEX('Traffic Analysis_Segments'!$L$26:$L$71,MATCH(U$5,'Traffic Analysis_Segments'!$C$26:$C$71,0))*$H$20</f>
        <v>28380780.506887928</v>
      </c>
      <c r="V71" s="239">
        <f>INDEX('Traffic Analysis_Segments'!$L$26:$L$71,MATCH(V$5,'Traffic Analysis_Segments'!$C$26:$C$71,0))*$H$20</f>
        <v>29118680.800067015</v>
      </c>
      <c r="W71" s="239">
        <f>INDEX('Traffic Analysis_Segments'!$L$26:$L$71,MATCH(W$5,'Traffic Analysis_Segments'!$C$26:$C$71,0))*$H$20</f>
        <v>29875766.500868756</v>
      </c>
      <c r="X71" s="239">
        <f>INDEX('Traffic Analysis_Segments'!$L$26:$L$71,MATCH(X$5,'Traffic Analysis_Segments'!$C$26:$C$71,0))*$H$20</f>
        <v>30652536.429891344</v>
      </c>
      <c r="Y71" s="239">
        <f>INDEX('Traffic Analysis_Segments'!$L$26:$L$71,MATCH(Y$5,'Traffic Analysis_Segments'!$C$26:$C$71,0))*$H$20</f>
        <v>31449502.37706852</v>
      </c>
      <c r="Z71" s="239">
        <f>INDEX('Traffic Analysis_Segments'!$L$26:$L$71,MATCH(Z$5,'Traffic Analysis_Segments'!$C$26:$C$71,0))*$H$20</f>
        <v>32267189.438872304</v>
      </c>
      <c r="AA71" s="239">
        <f>INDEX('Traffic Analysis_Segments'!$L$26:$L$71,MATCH(AA$5,'Traffic Analysis_Segments'!$C$26:$C$71,0))*$H$20</f>
        <v>33106136.364282984</v>
      </c>
      <c r="AB71" s="239">
        <f>INDEX('Traffic Analysis_Segments'!$L$26:$L$71,MATCH(AB$5,'Traffic Analysis_Segments'!$C$26:$C$71,0))*$H$20</f>
        <v>33966895.909754336</v>
      </c>
      <c r="AC71" s="239">
        <f>INDEX('Traffic Analysis_Segments'!$L$26:$L$71,MATCH(AC$5,'Traffic Analysis_Segments'!$C$26:$C$71,0))*$H$20</f>
        <v>34850035.203407951</v>
      </c>
      <c r="AD71" s="239">
        <f>INDEX('Traffic Analysis_Segments'!$L$26:$L$71,MATCH(AD$5,'Traffic Analysis_Segments'!$C$26:$C$71,0))*$H$20</f>
        <v>35756136.118696555</v>
      </c>
      <c r="AE71" s="239">
        <f>INDEX('Traffic Analysis_Segments'!$L$26:$L$71,MATCH(AE$5,'Traffic Analysis_Segments'!$C$26:$C$71,0))*$H$20</f>
        <v>36685795.657782666</v>
      </c>
      <c r="AF71" s="239">
        <f>INDEX('Traffic Analysis_Segments'!$L$26:$L$71,MATCH(AF$5,'Traffic Analysis_Segments'!$C$26:$C$71,0))*$H$20</f>
        <v>37639626.344885014</v>
      </c>
      <c r="AG71" s="239">
        <f>INDEX('Traffic Analysis_Segments'!$L$26:$L$71,MATCH(AG$5,'Traffic Analysis_Segments'!$C$26:$C$71,0))*$H$20</f>
        <v>38618256.629852027</v>
      </c>
      <c r="AH71" s="239">
        <f>INDEX('Traffic Analysis_Segments'!$L$26:$L$71,MATCH(AH$5,'Traffic Analysis_Segments'!$C$26:$C$71,0))*$H$20</f>
        <v>39622331.30222816</v>
      </c>
      <c r="AI71" s="239">
        <f>INDEX('Traffic Analysis_Segments'!$L$26:$L$71,MATCH(AI$5,'Traffic Analysis_Segments'!$C$26:$C$71,0))*$H$20</f>
        <v>39622331.30222816</v>
      </c>
      <c r="AJ71" s="239">
        <f>INDEX('Traffic Analysis_Segments'!$L$26:$L$71,MATCH(AJ$5,'Traffic Analysis_Segments'!$C$26:$C$71,0))*$H$20</f>
        <v>39622331.30222816</v>
      </c>
      <c r="AK71" s="239">
        <f>INDEX('Traffic Analysis_Segments'!$L$26:$L$71,MATCH(AK$5,'Traffic Analysis_Segments'!$C$26:$C$71,0))*$H$20</f>
        <v>39622331.30222816</v>
      </c>
      <c r="AL71" s="239">
        <f>INDEX('Traffic Analysis_Segments'!$L$26:$L$71,MATCH(AL$5,'Traffic Analysis_Segments'!$C$26:$C$71,0))*$H$20</f>
        <v>39622331.30222816</v>
      </c>
      <c r="AM71" s="239">
        <f>INDEX('Traffic Analysis_Segments'!$L$26:$L$71,MATCH(AM$5,'Traffic Analysis_Segments'!$C$26:$C$71,0))*$H$20</f>
        <v>39622331.30222816</v>
      </c>
      <c r="AN71" s="239">
        <f>INDEX('Traffic Analysis_Segments'!$L$26:$L$71,MATCH(AN$5,'Traffic Analysis_Segments'!$C$26:$C$71,0))*$H$20</f>
        <v>39622331.30222816</v>
      </c>
      <c r="AO71" s="239">
        <f>INDEX('Traffic Analysis_Segments'!$L$26:$L$71,MATCH(AO$5,'Traffic Analysis_Segments'!$C$26:$C$71,0))*$H$20</f>
        <v>39622331.30222816</v>
      </c>
      <c r="AP71" s="239">
        <f>INDEX('Traffic Analysis_Segments'!$L$26:$L$71,MATCH(AP$5,'Traffic Analysis_Segments'!$C$26:$C$71,0))*$H$20</f>
        <v>39622331.30222816</v>
      </c>
      <c r="AQ71" s="239">
        <f>INDEX('Traffic Analysis_Segments'!$L$26:$L$71,MATCH(AQ$5,'Traffic Analysis_Segments'!$C$26:$C$71,0))*$H$20</f>
        <v>39622331.30222816</v>
      </c>
      <c r="AR71" s="239">
        <f>INDEX('Traffic Analysis_Segments'!$L$26:$L$71,MATCH(AR$5,'Traffic Analysis_Segments'!$C$26:$C$71,0))*$H$20</f>
        <v>39622331.30222816</v>
      </c>
      <c r="AS71" s="239">
        <f>INDEX('Traffic Analysis_Segments'!$L$26:$L$71,MATCH(AS$5,'Traffic Analysis_Segments'!$C$26:$C$71,0))*$H$20</f>
        <v>39622331.30222816</v>
      </c>
      <c r="AT71" s="239">
        <f>INDEX('Traffic Analysis_Segments'!$L$26:$L$71,MATCH(AT$5,'Traffic Analysis_Segments'!$C$26:$C$71,0))*$H$20</f>
        <v>39622331.30222816</v>
      </c>
      <c r="AU71" s="239">
        <f>INDEX('Traffic Analysis_Segments'!$L$26:$L$71,MATCH(AU$5,'Traffic Analysis_Segments'!$C$26:$C$71,0))*$H$20</f>
        <v>39622331.30222816</v>
      </c>
      <c r="AV71" s="239">
        <f>INDEX('Traffic Analysis_Segments'!$L$26:$L$71,MATCH(AV$5,'Traffic Analysis_Segments'!$C$26:$C$71,0))*$H$20</f>
        <v>39622331.30222816</v>
      </c>
      <c r="AW71" s="239">
        <f>INDEX('Traffic Analysis_Segments'!$L$26:$L$71,MATCH(AW$5,'Traffic Analysis_Segments'!$C$26:$C$71,0))*$H$20</f>
        <v>39622331.30222816</v>
      </c>
      <c r="AX71" s="239">
        <f>INDEX('Traffic Analysis_Segments'!$L$26:$L$71,MATCH(AX$5,'Traffic Analysis_Segments'!$C$26:$C$71,0))*$H$20</f>
        <v>39622331.30222816</v>
      </c>
      <c r="AY71" s="239">
        <f>INDEX('Traffic Analysis_Segments'!$L$26:$L$71,MATCH(AY$5,'Traffic Analysis_Segments'!$C$26:$C$71,0))*$H$20</f>
        <v>39622331.30222816</v>
      </c>
      <c r="AZ71" s="239"/>
      <c r="BA71" s="239"/>
    </row>
    <row r="72" spans="1:53" ht="5.5" customHeight="1" x14ac:dyDescent="0.35">
      <c r="A72" s="178"/>
      <c r="B72" s="178"/>
      <c r="C72" s="178"/>
      <c r="D72" s="178"/>
      <c r="E72" s="178"/>
      <c r="F72" s="178"/>
      <c r="G72" s="246"/>
      <c r="H72" s="178"/>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row>
    <row r="73" spans="1:53" ht="14.5" x14ac:dyDescent="0.35">
      <c r="A73" s="178"/>
      <c r="B73" s="178"/>
      <c r="C73" s="178"/>
      <c r="D73" s="178"/>
      <c r="E73" s="178" t="s">
        <v>858</v>
      </c>
      <c r="F73" s="26" t="s">
        <v>219</v>
      </c>
      <c r="G73" s="242" t="s">
        <v>200</v>
      </c>
      <c r="H73" s="178"/>
      <c r="I73" s="389">
        <f t="shared" ref="I73:AY73" si="5">$H$37</f>
        <v>0.26</v>
      </c>
      <c r="J73" s="389">
        <f t="shared" si="5"/>
        <v>0.26</v>
      </c>
      <c r="K73" s="389">
        <f t="shared" si="5"/>
        <v>0.26</v>
      </c>
      <c r="L73" s="389">
        <f t="shared" si="5"/>
        <v>0.26</v>
      </c>
      <c r="M73" s="389">
        <f t="shared" si="5"/>
        <v>0.26</v>
      </c>
      <c r="N73" s="389">
        <f t="shared" si="5"/>
        <v>0.26</v>
      </c>
      <c r="O73" s="389">
        <f t="shared" si="5"/>
        <v>0.26</v>
      </c>
      <c r="P73" s="389">
        <f t="shared" si="5"/>
        <v>0.26</v>
      </c>
      <c r="Q73" s="389">
        <f t="shared" si="5"/>
        <v>0.26</v>
      </c>
      <c r="R73" s="389">
        <f t="shared" si="5"/>
        <v>0.26</v>
      </c>
      <c r="S73" s="389">
        <f t="shared" si="5"/>
        <v>0.26</v>
      </c>
      <c r="T73" s="389">
        <f t="shared" si="5"/>
        <v>0.26</v>
      </c>
      <c r="U73" s="389">
        <f t="shared" si="5"/>
        <v>0.26</v>
      </c>
      <c r="V73" s="389">
        <f t="shared" si="5"/>
        <v>0.26</v>
      </c>
      <c r="W73" s="389">
        <f t="shared" si="5"/>
        <v>0.26</v>
      </c>
      <c r="X73" s="389">
        <f t="shared" si="5"/>
        <v>0.26</v>
      </c>
      <c r="Y73" s="389">
        <f t="shared" si="5"/>
        <v>0.26</v>
      </c>
      <c r="Z73" s="389">
        <f t="shared" si="5"/>
        <v>0.26</v>
      </c>
      <c r="AA73" s="389">
        <f t="shared" si="5"/>
        <v>0.26</v>
      </c>
      <c r="AB73" s="389">
        <f t="shared" si="5"/>
        <v>0.26</v>
      </c>
      <c r="AC73" s="389">
        <f t="shared" si="5"/>
        <v>0.26</v>
      </c>
      <c r="AD73" s="389">
        <f t="shared" si="5"/>
        <v>0.26</v>
      </c>
      <c r="AE73" s="389">
        <f t="shared" si="5"/>
        <v>0.26</v>
      </c>
      <c r="AF73" s="389">
        <f t="shared" si="5"/>
        <v>0.26</v>
      </c>
      <c r="AG73" s="389">
        <f t="shared" si="5"/>
        <v>0.26</v>
      </c>
      <c r="AH73" s="389">
        <f t="shared" si="5"/>
        <v>0.26</v>
      </c>
      <c r="AI73" s="389">
        <f t="shared" si="5"/>
        <v>0.26</v>
      </c>
      <c r="AJ73" s="389">
        <f t="shared" si="5"/>
        <v>0.26</v>
      </c>
      <c r="AK73" s="389">
        <f t="shared" si="5"/>
        <v>0.26</v>
      </c>
      <c r="AL73" s="389">
        <f t="shared" si="5"/>
        <v>0.26</v>
      </c>
      <c r="AM73" s="389">
        <f t="shared" si="5"/>
        <v>0.26</v>
      </c>
      <c r="AN73" s="389">
        <f t="shared" si="5"/>
        <v>0.26</v>
      </c>
      <c r="AO73" s="389">
        <f t="shared" si="5"/>
        <v>0.26</v>
      </c>
      <c r="AP73" s="389">
        <f t="shared" si="5"/>
        <v>0.26</v>
      </c>
      <c r="AQ73" s="389">
        <f t="shared" si="5"/>
        <v>0.26</v>
      </c>
      <c r="AR73" s="389">
        <f t="shared" si="5"/>
        <v>0.26</v>
      </c>
      <c r="AS73" s="389">
        <f t="shared" si="5"/>
        <v>0.26</v>
      </c>
      <c r="AT73" s="389">
        <f t="shared" si="5"/>
        <v>0.26</v>
      </c>
      <c r="AU73" s="389">
        <f t="shared" si="5"/>
        <v>0.26</v>
      </c>
      <c r="AV73" s="389">
        <f t="shared" si="5"/>
        <v>0.26</v>
      </c>
      <c r="AW73" s="389">
        <f t="shared" si="5"/>
        <v>0.26</v>
      </c>
      <c r="AX73" s="389">
        <f t="shared" si="5"/>
        <v>0.26</v>
      </c>
      <c r="AY73" s="389">
        <f t="shared" si="5"/>
        <v>0.26</v>
      </c>
      <c r="AZ73" s="389"/>
      <c r="BA73" s="389"/>
    </row>
    <row r="74" spans="1:53" ht="14.5" x14ac:dyDescent="0.35">
      <c r="A74" s="178"/>
      <c r="B74" s="178"/>
      <c r="C74" s="178"/>
      <c r="D74" s="178"/>
      <c r="E74" s="178" t="s">
        <v>859</v>
      </c>
      <c r="F74" s="26" t="s">
        <v>219</v>
      </c>
      <c r="G74" s="242" t="s">
        <v>200</v>
      </c>
      <c r="H74" s="178"/>
      <c r="I74" s="389">
        <f t="shared" ref="I74:AY74" si="6">$H$39</f>
        <v>0.74</v>
      </c>
      <c r="J74" s="389">
        <f t="shared" si="6"/>
        <v>0.74</v>
      </c>
      <c r="K74" s="389">
        <f t="shared" si="6"/>
        <v>0.74</v>
      </c>
      <c r="L74" s="389">
        <f t="shared" si="6"/>
        <v>0.74</v>
      </c>
      <c r="M74" s="389">
        <f t="shared" si="6"/>
        <v>0.74</v>
      </c>
      <c r="N74" s="389">
        <f t="shared" si="6"/>
        <v>0.74</v>
      </c>
      <c r="O74" s="389">
        <f t="shared" si="6"/>
        <v>0.74</v>
      </c>
      <c r="P74" s="389">
        <f t="shared" si="6"/>
        <v>0.74</v>
      </c>
      <c r="Q74" s="389">
        <f t="shared" si="6"/>
        <v>0.74</v>
      </c>
      <c r="R74" s="389">
        <f t="shared" si="6"/>
        <v>0.74</v>
      </c>
      <c r="S74" s="389">
        <f t="shared" si="6"/>
        <v>0.74</v>
      </c>
      <c r="T74" s="389">
        <f t="shared" si="6"/>
        <v>0.74</v>
      </c>
      <c r="U74" s="389">
        <f t="shared" si="6"/>
        <v>0.74</v>
      </c>
      <c r="V74" s="389">
        <f t="shared" si="6"/>
        <v>0.74</v>
      </c>
      <c r="W74" s="389">
        <f t="shared" si="6"/>
        <v>0.74</v>
      </c>
      <c r="X74" s="389">
        <f t="shared" si="6"/>
        <v>0.74</v>
      </c>
      <c r="Y74" s="389">
        <f t="shared" si="6"/>
        <v>0.74</v>
      </c>
      <c r="Z74" s="389">
        <f t="shared" si="6"/>
        <v>0.74</v>
      </c>
      <c r="AA74" s="389">
        <f t="shared" si="6"/>
        <v>0.74</v>
      </c>
      <c r="AB74" s="389">
        <f t="shared" si="6"/>
        <v>0.74</v>
      </c>
      <c r="AC74" s="389">
        <f t="shared" si="6"/>
        <v>0.74</v>
      </c>
      <c r="AD74" s="389">
        <f t="shared" si="6"/>
        <v>0.74</v>
      </c>
      <c r="AE74" s="389">
        <f t="shared" si="6"/>
        <v>0.74</v>
      </c>
      <c r="AF74" s="389">
        <f t="shared" si="6"/>
        <v>0.74</v>
      </c>
      <c r="AG74" s="389">
        <f t="shared" si="6"/>
        <v>0.74</v>
      </c>
      <c r="AH74" s="389">
        <f t="shared" si="6"/>
        <v>0.74</v>
      </c>
      <c r="AI74" s="389">
        <f t="shared" si="6"/>
        <v>0.74</v>
      </c>
      <c r="AJ74" s="389">
        <f t="shared" si="6"/>
        <v>0.74</v>
      </c>
      <c r="AK74" s="389">
        <f t="shared" si="6"/>
        <v>0.74</v>
      </c>
      <c r="AL74" s="389">
        <f t="shared" si="6"/>
        <v>0.74</v>
      </c>
      <c r="AM74" s="389">
        <f t="shared" si="6"/>
        <v>0.74</v>
      </c>
      <c r="AN74" s="389">
        <f t="shared" si="6"/>
        <v>0.74</v>
      </c>
      <c r="AO74" s="389">
        <f t="shared" si="6"/>
        <v>0.74</v>
      </c>
      <c r="AP74" s="389">
        <f t="shared" si="6"/>
        <v>0.74</v>
      </c>
      <c r="AQ74" s="389">
        <f t="shared" si="6"/>
        <v>0.74</v>
      </c>
      <c r="AR74" s="389">
        <f t="shared" si="6"/>
        <v>0.74</v>
      </c>
      <c r="AS74" s="389">
        <f t="shared" si="6"/>
        <v>0.74</v>
      </c>
      <c r="AT74" s="389">
        <f t="shared" si="6"/>
        <v>0.74</v>
      </c>
      <c r="AU74" s="389">
        <f t="shared" si="6"/>
        <v>0.74</v>
      </c>
      <c r="AV74" s="389">
        <f t="shared" si="6"/>
        <v>0.74</v>
      </c>
      <c r="AW74" s="389">
        <f t="shared" si="6"/>
        <v>0.74</v>
      </c>
      <c r="AX74" s="389">
        <f t="shared" si="6"/>
        <v>0.74</v>
      </c>
      <c r="AY74" s="389">
        <f t="shared" si="6"/>
        <v>0.74</v>
      </c>
      <c r="AZ74" s="389"/>
      <c r="BA74" s="389"/>
    </row>
    <row r="75" spans="1:53" ht="5.5" customHeight="1" x14ac:dyDescent="0.35">
      <c r="A75" s="178"/>
      <c r="B75" s="178"/>
      <c r="C75" s="178"/>
      <c r="D75" s="178"/>
      <c r="E75" s="178"/>
      <c r="F75" s="178"/>
      <c r="G75" s="246"/>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row>
    <row r="76" spans="1:53" ht="14.5" x14ac:dyDescent="0.35">
      <c r="A76" s="178"/>
      <c r="B76" s="178"/>
      <c r="C76" s="178"/>
      <c r="D76" s="513"/>
      <c r="E76" s="26" t="str">
        <f>"Annual Existing Truck-Trips in "&amp;$H$11&amp;" (with Project)"</f>
        <v>Annual Existing Truck-Trips in I-35 Segment (with Project)</v>
      </c>
      <c r="F76" s="26" t="s">
        <v>219</v>
      </c>
      <c r="G76" s="60" t="s">
        <v>855</v>
      </c>
      <c r="H76" s="243"/>
      <c r="I76" s="239">
        <f t="shared" ref="I76:AY76" si="7">I71*I73</f>
        <v>5422872</v>
      </c>
      <c r="J76" s="239">
        <f t="shared" si="7"/>
        <v>5563866.6720000003</v>
      </c>
      <c r="K76" s="239">
        <f t="shared" si="7"/>
        <v>5708527.2054720009</v>
      </c>
      <c r="L76" s="239">
        <f t="shared" si="7"/>
        <v>5856948.9128142726</v>
      </c>
      <c r="M76" s="239">
        <f t="shared" si="7"/>
        <v>6009229.5845474442</v>
      </c>
      <c r="N76" s="239">
        <f t="shared" si="7"/>
        <v>6165469.5537456777</v>
      </c>
      <c r="O76" s="239">
        <f t="shared" si="7"/>
        <v>6325771.7621430634</v>
      </c>
      <c r="P76" s="239">
        <f t="shared" si="7"/>
        <v>6490241.8279587831</v>
      </c>
      <c r="Q76" s="239">
        <f t="shared" si="7"/>
        <v>6658988.115485712</v>
      </c>
      <c r="R76" s="239">
        <f t="shared" si="7"/>
        <v>6832121.8064883407</v>
      </c>
      <c r="S76" s="239">
        <f t="shared" si="7"/>
        <v>7009756.9734570375</v>
      </c>
      <c r="T76" s="239">
        <f t="shared" si="7"/>
        <v>7192010.654766921</v>
      </c>
      <c r="U76" s="239">
        <f t="shared" si="7"/>
        <v>7379002.9317908613</v>
      </c>
      <c r="V76" s="239">
        <f t="shared" si="7"/>
        <v>7570857.0080174245</v>
      </c>
      <c r="W76" s="239">
        <f t="shared" si="7"/>
        <v>7767699.2902258765</v>
      </c>
      <c r="X76" s="239">
        <f t="shared" si="7"/>
        <v>7969659.4717717497</v>
      </c>
      <c r="Y76" s="239">
        <f t="shared" si="7"/>
        <v>8176870.6180378152</v>
      </c>
      <c r="Z76" s="239">
        <f t="shared" si="7"/>
        <v>8389469.2541067991</v>
      </c>
      <c r="AA76" s="239">
        <f t="shared" si="7"/>
        <v>8607595.4547135755</v>
      </c>
      <c r="AB76" s="239">
        <f t="shared" si="7"/>
        <v>8831392.9365361277</v>
      </c>
      <c r="AC76" s="239">
        <f t="shared" si="7"/>
        <v>9061009.1528860666</v>
      </c>
      <c r="AD76" s="239">
        <f t="shared" si="7"/>
        <v>9296595.3908611052</v>
      </c>
      <c r="AE76" s="239">
        <f t="shared" si="7"/>
        <v>9538306.8710234929</v>
      </c>
      <c r="AF76" s="239">
        <f t="shared" si="7"/>
        <v>9786302.8496701047</v>
      </c>
      <c r="AG76" s="239">
        <f t="shared" si="7"/>
        <v>10040746.723761527</v>
      </c>
      <c r="AH76" s="239">
        <f t="shared" si="7"/>
        <v>10301806.138579322</v>
      </c>
      <c r="AI76" s="239">
        <f t="shared" si="7"/>
        <v>10301806.138579322</v>
      </c>
      <c r="AJ76" s="239">
        <f t="shared" si="7"/>
        <v>10301806.138579322</v>
      </c>
      <c r="AK76" s="239">
        <f t="shared" si="7"/>
        <v>10301806.138579322</v>
      </c>
      <c r="AL76" s="239">
        <f t="shared" si="7"/>
        <v>10301806.138579322</v>
      </c>
      <c r="AM76" s="239">
        <f t="shared" si="7"/>
        <v>10301806.138579322</v>
      </c>
      <c r="AN76" s="239">
        <f t="shared" si="7"/>
        <v>10301806.138579322</v>
      </c>
      <c r="AO76" s="239">
        <f t="shared" si="7"/>
        <v>10301806.138579322</v>
      </c>
      <c r="AP76" s="239">
        <f t="shared" si="7"/>
        <v>10301806.138579322</v>
      </c>
      <c r="AQ76" s="239">
        <f t="shared" si="7"/>
        <v>10301806.138579322</v>
      </c>
      <c r="AR76" s="239">
        <f t="shared" si="7"/>
        <v>10301806.138579322</v>
      </c>
      <c r="AS76" s="239">
        <f t="shared" si="7"/>
        <v>10301806.138579322</v>
      </c>
      <c r="AT76" s="239">
        <f t="shared" si="7"/>
        <v>10301806.138579322</v>
      </c>
      <c r="AU76" s="239">
        <f t="shared" si="7"/>
        <v>10301806.138579322</v>
      </c>
      <c r="AV76" s="239">
        <f t="shared" si="7"/>
        <v>10301806.138579322</v>
      </c>
      <c r="AW76" s="239">
        <f t="shared" si="7"/>
        <v>10301806.138579322</v>
      </c>
      <c r="AX76" s="239">
        <f t="shared" si="7"/>
        <v>10301806.138579322</v>
      </c>
      <c r="AY76" s="239">
        <f t="shared" si="7"/>
        <v>10301806.138579322</v>
      </c>
      <c r="AZ76" s="239"/>
      <c r="BA76" s="239"/>
    </row>
    <row r="77" spans="1:53" ht="14.5" x14ac:dyDescent="0.35">
      <c r="A77" s="178"/>
      <c r="B77" s="178"/>
      <c r="C77" s="178"/>
      <c r="D77" s="513"/>
      <c r="E77" s="26" t="str">
        <f>"Annual Existing Auto-Trips in "&amp;$H$11&amp;" (with Project)"</f>
        <v>Annual Existing Auto-Trips in I-35 Segment (with Project)</v>
      </c>
      <c r="F77" s="26" t="s">
        <v>219</v>
      </c>
      <c r="G77" s="60" t="s">
        <v>855</v>
      </c>
      <c r="H77" s="243"/>
      <c r="I77" s="239">
        <f t="shared" ref="I77:AY77" si="8">I71*I74</f>
        <v>15434328</v>
      </c>
      <c r="J77" s="239">
        <f t="shared" si="8"/>
        <v>15835620.527999999</v>
      </c>
      <c r="K77" s="239">
        <f t="shared" si="8"/>
        <v>16247346.661728002</v>
      </c>
      <c r="L77" s="239">
        <f t="shared" si="8"/>
        <v>16669777.674932929</v>
      </c>
      <c r="M77" s="239">
        <f t="shared" si="8"/>
        <v>17103191.894481186</v>
      </c>
      <c r="N77" s="239">
        <f t="shared" si="8"/>
        <v>17547874.883737698</v>
      </c>
      <c r="O77" s="239">
        <f t="shared" si="8"/>
        <v>18004119.630714871</v>
      </c>
      <c r="P77" s="239">
        <f t="shared" si="8"/>
        <v>18472226.741113458</v>
      </c>
      <c r="Q77" s="239">
        <f t="shared" si="8"/>
        <v>18952504.636382408</v>
      </c>
      <c r="R77" s="239">
        <f t="shared" si="8"/>
        <v>19445269.756928355</v>
      </c>
      <c r="S77" s="239">
        <f t="shared" si="8"/>
        <v>19950846.770608488</v>
      </c>
      <c r="T77" s="239">
        <f t="shared" si="8"/>
        <v>20469568.786644313</v>
      </c>
      <c r="U77" s="239">
        <f t="shared" si="8"/>
        <v>21001777.575097065</v>
      </c>
      <c r="V77" s="239">
        <f t="shared" si="8"/>
        <v>21547823.79204959</v>
      </c>
      <c r="W77" s="239">
        <f t="shared" si="8"/>
        <v>22108067.210642878</v>
      </c>
      <c r="X77" s="239">
        <f t="shared" si="8"/>
        <v>22682876.958119594</v>
      </c>
      <c r="Y77" s="239">
        <f t="shared" si="8"/>
        <v>23272631.759030703</v>
      </c>
      <c r="Z77" s="239">
        <f t="shared" si="8"/>
        <v>23877720.184765503</v>
      </c>
      <c r="AA77" s="239">
        <f t="shared" si="8"/>
        <v>24498540.909569409</v>
      </c>
      <c r="AB77" s="239">
        <f t="shared" si="8"/>
        <v>25135502.97321821</v>
      </c>
      <c r="AC77" s="239">
        <f t="shared" si="8"/>
        <v>25789026.050521884</v>
      </c>
      <c r="AD77" s="239">
        <f t="shared" si="8"/>
        <v>26459540.72783545</v>
      </c>
      <c r="AE77" s="239">
        <f t="shared" si="8"/>
        <v>27147488.786759172</v>
      </c>
      <c r="AF77" s="239">
        <f t="shared" si="8"/>
        <v>27853323.495214909</v>
      </c>
      <c r="AG77" s="239">
        <f t="shared" si="8"/>
        <v>28577509.906090498</v>
      </c>
      <c r="AH77" s="239">
        <f t="shared" si="8"/>
        <v>29320525.16364884</v>
      </c>
      <c r="AI77" s="239">
        <f t="shared" si="8"/>
        <v>29320525.16364884</v>
      </c>
      <c r="AJ77" s="239">
        <f t="shared" si="8"/>
        <v>29320525.16364884</v>
      </c>
      <c r="AK77" s="239">
        <f t="shared" si="8"/>
        <v>29320525.16364884</v>
      </c>
      <c r="AL77" s="239">
        <f t="shared" si="8"/>
        <v>29320525.16364884</v>
      </c>
      <c r="AM77" s="239">
        <f t="shared" si="8"/>
        <v>29320525.16364884</v>
      </c>
      <c r="AN77" s="239">
        <f t="shared" si="8"/>
        <v>29320525.16364884</v>
      </c>
      <c r="AO77" s="239">
        <f t="shared" si="8"/>
        <v>29320525.16364884</v>
      </c>
      <c r="AP77" s="239">
        <f t="shared" si="8"/>
        <v>29320525.16364884</v>
      </c>
      <c r="AQ77" s="239">
        <f t="shared" si="8"/>
        <v>29320525.16364884</v>
      </c>
      <c r="AR77" s="239">
        <f t="shared" si="8"/>
        <v>29320525.16364884</v>
      </c>
      <c r="AS77" s="239">
        <f t="shared" si="8"/>
        <v>29320525.16364884</v>
      </c>
      <c r="AT77" s="239">
        <f t="shared" si="8"/>
        <v>29320525.16364884</v>
      </c>
      <c r="AU77" s="239">
        <f t="shared" si="8"/>
        <v>29320525.16364884</v>
      </c>
      <c r="AV77" s="239">
        <f t="shared" si="8"/>
        <v>29320525.16364884</v>
      </c>
      <c r="AW77" s="239">
        <f t="shared" si="8"/>
        <v>29320525.16364884</v>
      </c>
      <c r="AX77" s="239">
        <f t="shared" si="8"/>
        <v>29320525.16364884</v>
      </c>
      <c r="AY77" s="239">
        <f t="shared" si="8"/>
        <v>29320525.16364884</v>
      </c>
      <c r="AZ77" s="239"/>
      <c r="BA77" s="239"/>
    </row>
    <row r="78" spans="1:53" ht="5.5" customHeight="1" x14ac:dyDescent="0.35">
      <c r="A78" s="178"/>
      <c r="B78" s="178"/>
      <c r="C78" s="178"/>
      <c r="D78" s="178"/>
      <c r="E78" s="178"/>
      <c r="F78" s="178"/>
      <c r="G78" s="246"/>
      <c r="H78" s="178"/>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row>
    <row r="79" spans="1:53" ht="14.5" x14ac:dyDescent="0.35">
      <c r="A79" s="178"/>
      <c r="B79" s="178"/>
      <c r="C79" s="178"/>
      <c r="D79" s="180" t="s">
        <v>860</v>
      </c>
      <c r="E79" s="178"/>
      <c r="F79" s="178"/>
      <c r="G79" s="246"/>
      <c r="H79" s="178"/>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row>
    <row r="80" spans="1:53" ht="5.5" customHeight="1" x14ac:dyDescent="0.35">
      <c r="A80" s="178"/>
      <c r="B80" s="178"/>
      <c r="C80" s="178"/>
      <c r="D80" s="178"/>
      <c r="E80" s="178"/>
      <c r="F80" s="178"/>
      <c r="G80" s="246"/>
      <c r="H80" s="178"/>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row>
    <row r="81" spans="1:53" ht="14.5" x14ac:dyDescent="0.35">
      <c r="A81" s="178"/>
      <c r="B81" s="178"/>
      <c r="C81" s="178"/>
      <c r="D81" s="178"/>
      <c r="E81" s="26" t="str">
        <f>"Average Travel Distance in "&amp;$H$11&amp;" (without Project)"</f>
        <v>Average Travel Distance in I-35 Segment (without Project)</v>
      </c>
      <c r="F81" s="26" t="s">
        <v>219</v>
      </c>
      <c r="G81" s="242" t="s">
        <v>848</v>
      </c>
      <c r="H81" s="178"/>
      <c r="I81" s="196">
        <f>$H$13</f>
        <v>2.2999999999999998</v>
      </c>
      <c r="J81" s="196">
        <f t="shared" ref="J81:AY81" si="9">$H$13</f>
        <v>2.2999999999999998</v>
      </c>
      <c r="K81" s="196">
        <f t="shared" si="9"/>
        <v>2.2999999999999998</v>
      </c>
      <c r="L81" s="196">
        <f t="shared" si="9"/>
        <v>2.2999999999999998</v>
      </c>
      <c r="M81" s="196">
        <f t="shared" si="9"/>
        <v>2.2999999999999998</v>
      </c>
      <c r="N81" s="196">
        <f t="shared" si="9"/>
        <v>2.2999999999999998</v>
      </c>
      <c r="O81" s="196">
        <f t="shared" si="9"/>
        <v>2.2999999999999998</v>
      </c>
      <c r="P81" s="196">
        <f t="shared" si="9"/>
        <v>2.2999999999999998</v>
      </c>
      <c r="Q81" s="196">
        <f t="shared" si="9"/>
        <v>2.2999999999999998</v>
      </c>
      <c r="R81" s="196">
        <f t="shared" si="9"/>
        <v>2.2999999999999998</v>
      </c>
      <c r="S81" s="196">
        <f t="shared" si="9"/>
        <v>2.2999999999999998</v>
      </c>
      <c r="T81" s="196">
        <f t="shared" si="9"/>
        <v>2.2999999999999998</v>
      </c>
      <c r="U81" s="196">
        <f t="shared" si="9"/>
        <v>2.2999999999999998</v>
      </c>
      <c r="V81" s="196">
        <f t="shared" si="9"/>
        <v>2.2999999999999998</v>
      </c>
      <c r="W81" s="196">
        <f t="shared" si="9"/>
        <v>2.2999999999999998</v>
      </c>
      <c r="X81" s="196">
        <f t="shared" si="9"/>
        <v>2.2999999999999998</v>
      </c>
      <c r="Y81" s="196">
        <f t="shared" si="9"/>
        <v>2.2999999999999998</v>
      </c>
      <c r="Z81" s="196">
        <f t="shared" si="9"/>
        <v>2.2999999999999998</v>
      </c>
      <c r="AA81" s="196">
        <f t="shared" si="9"/>
        <v>2.2999999999999998</v>
      </c>
      <c r="AB81" s="196">
        <f t="shared" si="9"/>
        <v>2.2999999999999998</v>
      </c>
      <c r="AC81" s="196">
        <f t="shared" si="9"/>
        <v>2.2999999999999998</v>
      </c>
      <c r="AD81" s="196">
        <f t="shared" si="9"/>
        <v>2.2999999999999998</v>
      </c>
      <c r="AE81" s="196">
        <f t="shared" si="9"/>
        <v>2.2999999999999998</v>
      </c>
      <c r="AF81" s="196">
        <f t="shared" si="9"/>
        <v>2.2999999999999998</v>
      </c>
      <c r="AG81" s="196">
        <f t="shared" si="9"/>
        <v>2.2999999999999998</v>
      </c>
      <c r="AH81" s="196">
        <f t="shared" si="9"/>
        <v>2.2999999999999998</v>
      </c>
      <c r="AI81" s="196">
        <f t="shared" si="9"/>
        <v>2.2999999999999998</v>
      </c>
      <c r="AJ81" s="196">
        <f t="shared" si="9"/>
        <v>2.2999999999999998</v>
      </c>
      <c r="AK81" s="196">
        <f t="shared" si="9"/>
        <v>2.2999999999999998</v>
      </c>
      <c r="AL81" s="196">
        <f t="shared" si="9"/>
        <v>2.2999999999999998</v>
      </c>
      <c r="AM81" s="196">
        <f t="shared" si="9"/>
        <v>2.2999999999999998</v>
      </c>
      <c r="AN81" s="196">
        <f t="shared" si="9"/>
        <v>2.2999999999999998</v>
      </c>
      <c r="AO81" s="196">
        <f t="shared" si="9"/>
        <v>2.2999999999999998</v>
      </c>
      <c r="AP81" s="196">
        <f t="shared" si="9"/>
        <v>2.2999999999999998</v>
      </c>
      <c r="AQ81" s="196">
        <f t="shared" si="9"/>
        <v>2.2999999999999998</v>
      </c>
      <c r="AR81" s="196">
        <f t="shared" si="9"/>
        <v>2.2999999999999998</v>
      </c>
      <c r="AS81" s="196">
        <f t="shared" si="9"/>
        <v>2.2999999999999998</v>
      </c>
      <c r="AT81" s="196">
        <f t="shared" si="9"/>
        <v>2.2999999999999998</v>
      </c>
      <c r="AU81" s="196">
        <f t="shared" si="9"/>
        <v>2.2999999999999998</v>
      </c>
      <c r="AV81" s="196">
        <f t="shared" si="9"/>
        <v>2.2999999999999998</v>
      </c>
      <c r="AW81" s="196">
        <f t="shared" si="9"/>
        <v>2.2999999999999998</v>
      </c>
      <c r="AX81" s="196">
        <f t="shared" si="9"/>
        <v>2.2999999999999998</v>
      </c>
      <c r="AY81" s="196">
        <f t="shared" si="9"/>
        <v>2.2999999999999998</v>
      </c>
      <c r="AZ81" s="196"/>
      <c r="BA81" s="196"/>
    </row>
    <row r="82" spans="1:53" ht="14.5" x14ac:dyDescent="0.35">
      <c r="A82" s="178"/>
      <c r="B82" s="178"/>
      <c r="C82" s="178"/>
      <c r="D82" s="178"/>
      <c r="E82" s="26" t="str">
        <f>"Average Travel Distance in "&amp;$H$11&amp;" (with Project)"</f>
        <v>Average Travel Distance in I-35 Segment (with Project)</v>
      </c>
      <c r="F82" s="26" t="s">
        <v>219</v>
      </c>
      <c r="G82" s="242" t="s">
        <v>848</v>
      </c>
      <c r="H82" s="178"/>
      <c r="I82" s="196">
        <f>$H$15</f>
        <v>2.2999999999999998</v>
      </c>
      <c r="J82" s="196">
        <f t="shared" ref="J82:AY82" si="10">$H$15</f>
        <v>2.2999999999999998</v>
      </c>
      <c r="K82" s="196">
        <f t="shared" si="10"/>
        <v>2.2999999999999998</v>
      </c>
      <c r="L82" s="196">
        <f t="shared" si="10"/>
        <v>2.2999999999999998</v>
      </c>
      <c r="M82" s="196">
        <f t="shared" si="10"/>
        <v>2.2999999999999998</v>
      </c>
      <c r="N82" s="196">
        <f t="shared" si="10"/>
        <v>2.2999999999999998</v>
      </c>
      <c r="O82" s="196">
        <f t="shared" si="10"/>
        <v>2.2999999999999998</v>
      </c>
      <c r="P82" s="196">
        <f t="shared" si="10"/>
        <v>2.2999999999999998</v>
      </c>
      <c r="Q82" s="196">
        <f t="shared" si="10"/>
        <v>2.2999999999999998</v>
      </c>
      <c r="R82" s="196">
        <f t="shared" si="10"/>
        <v>2.2999999999999998</v>
      </c>
      <c r="S82" s="196">
        <f t="shared" si="10"/>
        <v>2.2999999999999998</v>
      </c>
      <c r="T82" s="196">
        <f t="shared" si="10"/>
        <v>2.2999999999999998</v>
      </c>
      <c r="U82" s="196">
        <f t="shared" si="10"/>
        <v>2.2999999999999998</v>
      </c>
      <c r="V82" s="196">
        <f t="shared" si="10"/>
        <v>2.2999999999999998</v>
      </c>
      <c r="W82" s="196">
        <f t="shared" si="10"/>
        <v>2.2999999999999998</v>
      </c>
      <c r="X82" s="196">
        <f t="shared" si="10"/>
        <v>2.2999999999999998</v>
      </c>
      <c r="Y82" s="196">
        <f t="shared" si="10"/>
        <v>2.2999999999999998</v>
      </c>
      <c r="Z82" s="196">
        <f t="shared" si="10"/>
        <v>2.2999999999999998</v>
      </c>
      <c r="AA82" s="196">
        <f t="shared" si="10"/>
        <v>2.2999999999999998</v>
      </c>
      <c r="AB82" s="196">
        <f t="shared" si="10"/>
        <v>2.2999999999999998</v>
      </c>
      <c r="AC82" s="196">
        <f t="shared" si="10"/>
        <v>2.2999999999999998</v>
      </c>
      <c r="AD82" s="196">
        <f t="shared" si="10"/>
        <v>2.2999999999999998</v>
      </c>
      <c r="AE82" s="196">
        <f t="shared" si="10"/>
        <v>2.2999999999999998</v>
      </c>
      <c r="AF82" s="196">
        <f t="shared" si="10"/>
        <v>2.2999999999999998</v>
      </c>
      <c r="AG82" s="196">
        <f t="shared" si="10"/>
        <v>2.2999999999999998</v>
      </c>
      <c r="AH82" s="196">
        <f t="shared" si="10"/>
        <v>2.2999999999999998</v>
      </c>
      <c r="AI82" s="196">
        <f t="shared" si="10"/>
        <v>2.2999999999999998</v>
      </c>
      <c r="AJ82" s="196">
        <f t="shared" si="10"/>
        <v>2.2999999999999998</v>
      </c>
      <c r="AK82" s="196">
        <f t="shared" si="10"/>
        <v>2.2999999999999998</v>
      </c>
      <c r="AL82" s="196">
        <f t="shared" si="10"/>
        <v>2.2999999999999998</v>
      </c>
      <c r="AM82" s="196">
        <f t="shared" si="10"/>
        <v>2.2999999999999998</v>
      </c>
      <c r="AN82" s="196">
        <f t="shared" si="10"/>
        <v>2.2999999999999998</v>
      </c>
      <c r="AO82" s="196">
        <f t="shared" si="10"/>
        <v>2.2999999999999998</v>
      </c>
      <c r="AP82" s="196">
        <f t="shared" si="10"/>
        <v>2.2999999999999998</v>
      </c>
      <c r="AQ82" s="196">
        <f t="shared" si="10"/>
        <v>2.2999999999999998</v>
      </c>
      <c r="AR82" s="196">
        <f t="shared" si="10"/>
        <v>2.2999999999999998</v>
      </c>
      <c r="AS82" s="196">
        <f t="shared" si="10"/>
        <v>2.2999999999999998</v>
      </c>
      <c r="AT82" s="196">
        <f t="shared" si="10"/>
        <v>2.2999999999999998</v>
      </c>
      <c r="AU82" s="196">
        <f t="shared" si="10"/>
        <v>2.2999999999999998</v>
      </c>
      <c r="AV82" s="196">
        <f t="shared" si="10"/>
        <v>2.2999999999999998</v>
      </c>
      <c r="AW82" s="196">
        <f t="shared" si="10"/>
        <v>2.2999999999999998</v>
      </c>
      <c r="AX82" s="196">
        <f t="shared" si="10"/>
        <v>2.2999999999999998</v>
      </c>
      <c r="AY82" s="196">
        <f t="shared" si="10"/>
        <v>2.2999999999999998</v>
      </c>
      <c r="AZ82" s="196"/>
      <c r="BA82" s="196"/>
    </row>
    <row r="83" spans="1:53" ht="5.5" customHeight="1" x14ac:dyDescent="0.35">
      <c r="A83" s="178"/>
      <c r="B83" s="178"/>
      <c r="C83" s="178"/>
      <c r="D83" s="178"/>
      <c r="E83" s="178"/>
      <c r="F83" s="178"/>
      <c r="G83" s="246"/>
      <c r="H83" s="178"/>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row>
    <row r="84" spans="1:53" ht="14.5" x14ac:dyDescent="0.35">
      <c r="A84" s="178"/>
      <c r="B84" s="178"/>
      <c r="C84" s="178"/>
      <c r="D84" s="513"/>
      <c r="E84" s="26" t="str">
        <f>"Annual Vehicle-Miles Traveled in "&amp;$H$11&amp;" (without Project)"</f>
        <v>Annual Vehicle-Miles Traveled in I-35 Segment (without Project)</v>
      </c>
      <c r="F84" s="26" t="s">
        <v>219</v>
      </c>
      <c r="G84" s="60" t="s">
        <v>861</v>
      </c>
      <c r="H84" s="243"/>
      <c r="I84" s="239">
        <f t="shared" ref="I84:AY84" si="11">I81*I$63</f>
        <v>47971560</v>
      </c>
      <c r="J84" s="239">
        <f t="shared" si="11"/>
        <v>49218820.559999995</v>
      </c>
      <c r="K84" s="239">
        <f>K81*K$63</f>
        <v>50498509.894560002</v>
      </c>
      <c r="L84" s="239">
        <f t="shared" si="11"/>
        <v>51811471.151818559</v>
      </c>
      <c r="M84" s="239">
        <f t="shared" si="11"/>
        <v>53158569.401765846</v>
      </c>
      <c r="N84" s="239">
        <f t="shared" si="11"/>
        <v>54540692.206211753</v>
      </c>
      <c r="O84" s="239">
        <f t="shared" si="11"/>
        <v>55958750.203573249</v>
      </c>
      <c r="P84" s="239">
        <f t="shared" si="11"/>
        <v>57413677.708866157</v>
      </c>
      <c r="Q84" s="239">
        <f t="shared" si="11"/>
        <v>58906433.329296671</v>
      </c>
      <c r="R84" s="239">
        <f t="shared" si="11"/>
        <v>60438000.595858388</v>
      </c>
      <c r="S84" s="239">
        <f t="shared" si="11"/>
        <v>62009388.611350708</v>
      </c>
      <c r="T84" s="239">
        <f t="shared" si="11"/>
        <v>63621632.715245835</v>
      </c>
      <c r="U84" s="239">
        <f t="shared" si="11"/>
        <v>65275795.165842228</v>
      </c>
      <c r="V84" s="239">
        <f t="shared" si="11"/>
        <v>66972965.840154126</v>
      </c>
      <c r="W84" s="239">
        <f t="shared" si="11"/>
        <v>68714262.951998129</v>
      </c>
      <c r="X84" s="239">
        <f t="shared" si="11"/>
        <v>70500833.788750082</v>
      </c>
      <c r="Y84" s="239">
        <f t="shared" si="11"/>
        <v>72333855.467257589</v>
      </c>
      <c r="Z84" s="239">
        <f t="shared" si="11"/>
        <v>74214535.709406286</v>
      </c>
      <c r="AA84" s="239">
        <f t="shared" si="11"/>
        <v>76144113.637850851</v>
      </c>
      <c r="AB84" s="239">
        <f t="shared" si="11"/>
        <v>78123860.592434973</v>
      </c>
      <c r="AC84" s="239">
        <f t="shared" si="11"/>
        <v>80155080.967838287</v>
      </c>
      <c r="AD84" s="239">
        <f t="shared" si="11"/>
        <v>82239113.07300207</v>
      </c>
      <c r="AE84" s="239">
        <f t="shared" si="11"/>
        <v>84377330.012900129</v>
      </c>
      <c r="AF84" s="239">
        <f t="shared" si="11"/>
        <v>86571140.593235523</v>
      </c>
      <c r="AG84" s="239">
        <f t="shared" si="11"/>
        <v>88821990.248659655</v>
      </c>
      <c r="AH84" s="239">
        <f>AH81*AH$63</f>
        <v>91131361.995124757</v>
      </c>
      <c r="AI84" s="239">
        <f t="shared" si="11"/>
        <v>91131361.995124757</v>
      </c>
      <c r="AJ84" s="239">
        <f t="shared" si="11"/>
        <v>91131361.995124757</v>
      </c>
      <c r="AK84" s="239">
        <f t="shared" si="11"/>
        <v>91131361.995124757</v>
      </c>
      <c r="AL84" s="239">
        <f t="shared" si="11"/>
        <v>91131361.995124757</v>
      </c>
      <c r="AM84" s="239">
        <f t="shared" si="11"/>
        <v>91131361.995124757</v>
      </c>
      <c r="AN84" s="239">
        <f t="shared" si="11"/>
        <v>91131361.995124757</v>
      </c>
      <c r="AO84" s="239">
        <f t="shared" si="11"/>
        <v>91131361.995124757</v>
      </c>
      <c r="AP84" s="239">
        <f t="shared" si="11"/>
        <v>91131361.995124757</v>
      </c>
      <c r="AQ84" s="239">
        <f t="shared" si="11"/>
        <v>91131361.995124757</v>
      </c>
      <c r="AR84" s="239">
        <f t="shared" si="11"/>
        <v>91131361.995124757</v>
      </c>
      <c r="AS84" s="239">
        <f t="shared" si="11"/>
        <v>91131361.995124757</v>
      </c>
      <c r="AT84" s="239">
        <f t="shared" si="11"/>
        <v>91131361.995124757</v>
      </c>
      <c r="AU84" s="239">
        <f t="shared" si="11"/>
        <v>91131361.995124757</v>
      </c>
      <c r="AV84" s="239">
        <f t="shared" si="11"/>
        <v>91131361.995124757</v>
      </c>
      <c r="AW84" s="239">
        <f t="shared" si="11"/>
        <v>91131361.995124757</v>
      </c>
      <c r="AX84" s="239">
        <f t="shared" si="11"/>
        <v>91131361.995124757</v>
      </c>
      <c r="AY84" s="239">
        <f t="shared" si="11"/>
        <v>91131361.995124757</v>
      </c>
      <c r="AZ84" s="239"/>
      <c r="BA84" s="239"/>
    </row>
    <row r="85" spans="1:53" ht="5.5" customHeight="1" x14ac:dyDescent="0.35">
      <c r="A85" s="178"/>
      <c r="B85" s="178"/>
      <c r="C85" s="178"/>
      <c r="D85" s="178"/>
      <c r="E85" s="178"/>
      <c r="F85" s="178"/>
      <c r="G85" s="246"/>
      <c r="H85" s="178"/>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row>
    <row r="86" spans="1:53" ht="14.5" x14ac:dyDescent="0.35">
      <c r="A86" s="178"/>
      <c r="B86" s="178"/>
      <c r="C86" s="178"/>
      <c r="D86" s="513"/>
      <c r="E86" s="26" t="str">
        <f>"Annual Truck VMTs in "&amp;$H$11&amp;" (without Project)"</f>
        <v>Annual Truck VMTs in I-35 Segment (without Project)</v>
      </c>
      <c r="F86" s="26" t="s">
        <v>219</v>
      </c>
      <c r="G86" s="60" t="s">
        <v>861</v>
      </c>
      <c r="H86" s="243"/>
      <c r="I86" s="239">
        <f t="shared" ref="I86:AY86" si="12">I84*$H$37</f>
        <v>12472605.6</v>
      </c>
      <c r="J86" s="239">
        <f t="shared" si="12"/>
        <v>12796893.3456</v>
      </c>
      <c r="K86" s="239">
        <f t="shared" si="12"/>
        <v>13129612.572585601</v>
      </c>
      <c r="L86" s="239">
        <f t="shared" si="12"/>
        <v>13470982.499472825</v>
      </c>
      <c r="M86" s="239">
        <f t="shared" si="12"/>
        <v>13821228.044459119</v>
      </c>
      <c r="N86" s="239">
        <f t="shared" si="12"/>
        <v>14180579.973615056</v>
      </c>
      <c r="O86" s="239">
        <f t="shared" si="12"/>
        <v>14549275.052929046</v>
      </c>
      <c r="P86" s="239">
        <f t="shared" si="12"/>
        <v>14927556.204305202</v>
      </c>
      <c r="Q86" s="239">
        <f t="shared" si="12"/>
        <v>15315672.665617134</v>
      </c>
      <c r="R86" s="239">
        <f t="shared" si="12"/>
        <v>15713880.154923182</v>
      </c>
      <c r="S86" s="239">
        <f t="shared" si="12"/>
        <v>16122441.038951185</v>
      </c>
      <c r="T86" s="239">
        <f t="shared" si="12"/>
        <v>16541624.505963918</v>
      </c>
      <c r="U86" s="239">
        <f t="shared" si="12"/>
        <v>16971706.743118979</v>
      </c>
      <c r="V86" s="239">
        <f t="shared" si="12"/>
        <v>17412971.118440073</v>
      </c>
      <c r="W86" s="239">
        <f t="shared" si="12"/>
        <v>17865708.367519513</v>
      </c>
      <c r="X86" s="239">
        <f t="shared" si="12"/>
        <v>18330216.785075024</v>
      </c>
      <c r="Y86" s="239">
        <f t="shared" si="12"/>
        <v>18806802.421486974</v>
      </c>
      <c r="Z86" s="239">
        <f t="shared" si="12"/>
        <v>19295779.284445636</v>
      </c>
      <c r="AA86" s="239">
        <f t="shared" si="12"/>
        <v>19797469.545841221</v>
      </c>
      <c r="AB86" s="239">
        <f t="shared" si="12"/>
        <v>20312203.754033092</v>
      </c>
      <c r="AC86" s="239">
        <f t="shared" si="12"/>
        <v>20840321.051637955</v>
      </c>
      <c r="AD86" s="239">
        <f t="shared" si="12"/>
        <v>21382169.398980539</v>
      </c>
      <c r="AE86" s="239">
        <f t="shared" si="12"/>
        <v>21938105.803354036</v>
      </c>
      <c r="AF86" s="239">
        <f t="shared" si="12"/>
        <v>22508496.554241236</v>
      </c>
      <c r="AG86" s="239">
        <f t="shared" si="12"/>
        <v>23093717.46465151</v>
      </c>
      <c r="AH86" s="239">
        <f t="shared" si="12"/>
        <v>23694154.118732437</v>
      </c>
      <c r="AI86" s="239">
        <f t="shared" si="12"/>
        <v>23694154.118732437</v>
      </c>
      <c r="AJ86" s="239">
        <f t="shared" si="12"/>
        <v>23694154.118732437</v>
      </c>
      <c r="AK86" s="239">
        <f t="shared" si="12"/>
        <v>23694154.118732437</v>
      </c>
      <c r="AL86" s="239">
        <f t="shared" si="12"/>
        <v>23694154.118732437</v>
      </c>
      <c r="AM86" s="239">
        <f t="shared" si="12"/>
        <v>23694154.118732437</v>
      </c>
      <c r="AN86" s="239">
        <f t="shared" si="12"/>
        <v>23694154.118732437</v>
      </c>
      <c r="AO86" s="239">
        <f t="shared" si="12"/>
        <v>23694154.118732437</v>
      </c>
      <c r="AP86" s="239">
        <f t="shared" si="12"/>
        <v>23694154.118732437</v>
      </c>
      <c r="AQ86" s="239">
        <f t="shared" si="12"/>
        <v>23694154.118732437</v>
      </c>
      <c r="AR86" s="239">
        <f t="shared" si="12"/>
        <v>23694154.118732437</v>
      </c>
      <c r="AS86" s="239">
        <f t="shared" si="12"/>
        <v>23694154.118732437</v>
      </c>
      <c r="AT86" s="239">
        <f t="shared" si="12"/>
        <v>23694154.118732437</v>
      </c>
      <c r="AU86" s="239">
        <f t="shared" si="12"/>
        <v>23694154.118732437</v>
      </c>
      <c r="AV86" s="239">
        <f t="shared" si="12"/>
        <v>23694154.118732437</v>
      </c>
      <c r="AW86" s="239">
        <f t="shared" si="12"/>
        <v>23694154.118732437</v>
      </c>
      <c r="AX86" s="239">
        <f t="shared" si="12"/>
        <v>23694154.118732437</v>
      </c>
      <c r="AY86" s="239">
        <f t="shared" si="12"/>
        <v>23694154.118732437</v>
      </c>
      <c r="AZ86" s="239"/>
      <c r="BA86" s="239"/>
    </row>
    <row r="87" spans="1:53" ht="14.5" x14ac:dyDescent="0.35">
      <c r="A87" s="178"/>
      <c r="B87" s="178"/>
      <c r="C87" s="178"/>
      <c r="D87" s="513"/>
      <c r="E87" s="26" t="str">
        <f>"Annual Auto VMTs in "&amp;$H$11&amp;" (without Project)"</f>
        <v>Annual Auto VMTs in I-35 Segment (without Project)</v>
      </c>
      <c r="F87" s="26" t="s">
        <v>219</v>
      </c>
      <c r="G87" s="60" t="s">
        <v>861</v>
      </c>
      <c r="H87" s="243"/>
      <c r="I87" s="239">
        <f t="shared" ref="I87:AY87" si="13">I84*$H$39</f>
        <v>35498954.399999999</v>
      </c>
      <c r="J87" s="239">
        <f t="shared" si="13"/>
        <v>36421927.214399993</v>
      </c>
      <c r="K87" s="239">
        <f t="shared" si="13"/>
        <v>37368897.321974404</v>
      </c>
      <c r="L87" s="239">
        <f t="shared" si="13"/>
        <v>38340488.652345732</v>
      </c>
      <c r="M87" s="239">
        <f t="shared" si="13"/>
        <v>39337341.357306726</v>
      </c>
      <c r="N87" s="239">
        <f t="shared" si="13"/>
        <v>40360112.232596695</v>
      </c>
      <c r="O87" s="239">
        <f t="shared" si="13"/>
        <v>41409475.150644206</v>
      </c>
      <c r="P87" s="239">
        <f t="shared" si="13"/>
        <v>42486121.504560955</v>
      </c>
      <c r="Q87" s="239">
        <f t="shared" si="13"/>
        <v>43590760.663679533</v>
      </c>
      <c r="R87" s="239">
        <f t="shared" si="13"/>
        <v>44724120.440935209</v>
      </c>
      <c r="S87" s="239">
        <f t="shared" si="13"/>
        <v>45886947.572399527</v>
      </c>
      <c r="T87" s="239">
        <f t="shared" si="13"/>
        <v>47080008.209281921</v>
      </c>
      <c r="U87" s="239">
        <f t="shared" si="13"/>
        <v>48304088.422723249</v>
      </c>
      <c r="V87" s="239">
        <f t="shared" si="13"/>
        <v>49559994.72171405</v>
      </c>
      <c r="W87" s="239">
        <f t="shared" si="13"/>
        <v>50848554.584478617</v>
      </c>
      <c r="X87" s="239">
        <f t="shared" si="13"/>
        <v>52170617.003675058</v>
      </c>
      <c r="Y87" s="239">
        <f t="shared" si="13"/>
        <v>53527053.045770615</v>
      </c>
      <c r="Z87" s="239">
        <f t="shared" si="13"/>
        <v>54918756.424960651</v>
      </c>
      <c r="AA87" s="239">
        <f t="shared" si="13"/>
        <v>56346644.092009626</v>
      </c>
      <c r="AB87" s="239">
        <f t="shared" si="13"/>
        <v>57811656.838401876</v>
      </c>
      <c r="AC87" s="239">
        <f t="shared" si="13"/>
        <v>59314759.916200332</v>
      </c>
      <c r="AD87" s="239">
        <f t="shared" si="13"/>
        <v>60856943.674021535</v>
      </c>
      <c r="AE87" s="239">
        <f t="shared" si="13"/>
        <v>62439224.209546097</v>
      </c>
      <c r="AF87" s="239">
        <f t="shared" si="13"/>
        <v>64062644.038994282</v>
      </c>
      <c r="AG87" s="239">
        <f t="shared" si="13"/>
        <v>65728272.784008145</v>
      </c>
      <c r="AH87" s="239">
        <f t="shared" si="13"/>
        <v>67437207.87639232</v>
      </c>
      <c r="AI87" s="239">
        <f t="shared" si="13"/>
        <v>67437207.87639232</v>
      </c>
      <c r="AJ87" s="239">
        <f t="shared" si="13"/>
        <v>67437207.87639232</v>
      </c>
      <c r="AK87" s="239">
        <f t="shared" si="13"/>
        <v>67437207.87639232</v>
      </c>
      <c r="AL87" s="239">
        <f t="shared" si="13"/>
        <v>67437207.87639232</v>
      </c>
      <c r="AM87" s="239">
        <f t="shared" si="13"/>
        <v>67437207.87639232</v>
      </c>
      <c r="AN87" s="239">
        <f t="shared" si="13"/>
        <v>67437207.87639232</v>
      </c>
      <c r="AO87" s="239">
        <f t="shared" si="13"/>
        <v>67437207.87639232</v>
      </c>
      <c r="AP87" s="239">
        <f t="shared" si="13"/>
        <v>67437207.87639232</v>
      </c>
      <c r="AQ87" s="239">
        <f t="shared" si="13"/>
        <v>67437207.87639232</v>
      </c>
      <c r="AR87" s="239">
        <f t="shared" si="13"/>
        <v>67437207.87639232</v>
      </c>
      <c r="AS87" s="239">
        <f t="shared" si="13"/>
        <v>67437207.87639232</v>
      </c>
      <c r="AT87" s="239">
        <f t="shared" si="13"/>
        <v>67437207.87639232</v>
      </c>
      <c r="AU87" s="239">
        <f t="shared" si="13"/>
        <v>67437207.87639232</v>
      </c>
      <c r="AV87" s="239">
        <f t="shared" si="13"/>
        <v>67437207.87639232</v>
      </c>
      <c r="AW87" s="239">
        <f t="shared" si="13"/>
        <v>67437207.87639232</v>
      </c>
      <c r="AX87" s="239">
        <f t="shared" si="13"/>
        <v>67437207.87639232</v>
      </c>
      <c r="AY87" s="239">
        <f t="shared" si="13"/>
        <v>67437207.87639232</v>
      </c>
      <c r="AZ87" s="239"/>
      <c r="BA87" s="239"/>
    </row>
    <row r="88" spans="1:53" ht="5.5" customHeight="1" x14ac:dyDescent="0.35">
      <c r="A88" s="178"/>
      <c r="B88" s="178"/>
      <c r="C88" s="178"/>
      <c r="D88" s="178"/>
      <c r="E88" s="178"/>
      <c r="F88" s="178"/>
      <c r="G88" s="246"/>
      <c r="H88" s="178"/>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row>
    <row r="89" spans="1:53" ht="14.5" x14ac:dyDescent="0.35">
      <c r="A89" s="178"/>
      <c r="B89" s="178"/>
      <c r="C89" s="178"/>
      <c r="D89" s="513"/>
      <c r="E89" s="26" t="str">
        <f>"Annual Existing Vehicle-Miles Traveled in "&amp;$H$11&amp;" (with Project)"</f>
        <v>Annual Existing Vehicle-Miles Traveled in I-35 Segment (with Project)</v>
      </c>
      <c r="F89" s="26" t="s">
        <v>219</v>
      </c>
      <c r="G89" s="60" t="s">
        <v>861</v>
      </c>
      <c r="H89" s="243"/>
      <c r="I89" s="239">
        <f>I82*I$71</f>
        <v>47971560</v>
      </c>
      <c r="J89" s="239">
        <f t="shared" ref="J89:AY89" si="14">J82*J$71</f>
        <v>49218820.559999995</v>
      </c>
      <c r="K89" s="239">
        <f t="shared" si="14"/>
        <v>50498509.894560002</v>
      </c>
      <c r="L89" s="239">
        <f t="shared" si="14"/>
        <v>51811471.151818559</v>
      </c>
      <c r="M89" s="239">
        <f t="shared" si="14"/>
        <v>53158569.401765846</v>
      </c>
      <c r="N89" s="239">
        <f t="shared" si="14"/>
        <v>54540692.206211753</v>
      </c>
      <c r="O89" s="239">
        <f t="shared" si="14"/>
        <v>55958750.203573249</v>
      </c>
      <c r="P89" s="239">
        <f t="shared" si="14"/>
        <v>57413677.708866157</v>
      </c>
      <c r="Q89" s="239">
        <f t="shared" si="14"/>
        <v>58906433.329296671</v>
      </c>
      <c r="R89" s="239">
        <f t="shared" si="14"/>
        <v>60438000.595858388</v>
      </c>
      <c r="S89" s="239">
        <f t="shared" si="14"/>
        <v>62009388.611350708</v>
      </c>
      <c r="T89" s="239">
        <f t="shared" si="14"/>
        <v>63621632.715245835</v>
      </c>
      <c r="U89" s="239">
        <f t="shared" si="14"/>
        <v>65275795.165842228</v>
      </c>
      <c r="V89" s="239">
        <f t="shared" si="14"/>
        <v>66972965.840154126</v>
      </c>
      <c r="W89" s="239">
        <f t="shared" si="14"/>
        <v>68714262.951998129</v>
      </c>
      <c r="X89" s="239">
        <f t="shared" si="14"/>
        <v>70500833.788750082</v>
      </c>
      <c r="Y89" s="239">
        <f t="shared" si="14"/>
        <v>72333855.467257589</v>
      </c>
      <c r="Z89" s="239">
        <f t="shared" si="14"/>
        <v>74214535.709406286</v>
      </c>
      <c r="AA89" s="239">
        <f t="shared" si="14"/>
        <v>76144113.637850851</v>
      </c>
      <c r="AB89" s="239">
        <f t="shared" si="14"/>
        <v>78123860.592434973</v>
      </c>
      <c r="AC89" s="239">
        <f t="shared" si="14"/>
        <v>80155080.967838287</v>
      </c>
      <c r="AD89" s="239">
        <f t="shared" si="14"/>
        <v>82239113.07300207</v>
      </c>
      <c r="AE89" s="239">
        <f t="shared" si="14"/>
        <v>84377330.012900129</v>
      </c>
      <c r="AF89" s="239">
        <f t="shared" si="14"/>
        <v>86571140.593235523</v>
      </c>
      <c r="AG89" s="239">
        <f t="shared" si="14"/>
        <v>88821990.248659655</v>
      </c>
      <c r="AH89" s="239">
        <f t="shared" si="14"/>
        <v>91131361.995124757</v>
      </c>
      <c r="AI89" s="239">
        <f t="shared" si="14"/>
        <v>91131361.995124757</v>
      </c>
      <c r="AJ89" s="239">
        <f t="shared" si="14"/>
        <v>91131361.995124757</v>
      </c>
      <c r="AK89" s="239">
        <f t="shared" si="14"/>
        <v>91131361.995124757</v>
      </c>
      <c r="AL89" s="239">
        <f t="shared" si="14"/>
        <v>91131361.995124757</v>
      </c>
      <c r="AM89" s="239">
        <f t="shared" si="14"/>
        <v>91131361.995124757</v>
      </c>
      <c r="AN89" s="239">
        <f t="shared" si="14"/>
        <v>91131361.995124757</v>
      </c>
      <c r="AO89" s="239">
        <f t="shared" si="14"/>
        <v>91131361.995124757</v>
      </c>
      <c r="AP89" s="239">
        <f t="shared" si="14"/>
        <v>91131361.995124757</v>
      </c>
      <c r="AQ89" s="239">
        <f t="shared" si="14"/>
        <v>91131361.995124757</v>
      </c>
      <c r="AR89" s="239">
        <f t="shared" si="14"/>
        <v>91131361.995124757</v>
      </c>
      <c r="AS89" s="239">
        <f t="shared" si="14"/>
        <v>91131361.995124757</v>
      </c>
      <c r="AT89" s="239">
        <f t="shared" si="14"/>
        <v>91131361.995124757</v>
      </c>
      <c r="AU89" s="239">
        <f t="shared" si="14"/>
        <v>91131361.995124757</v>
      </c>
      <c r="AV89" s="239">
        <f t="shared" si="14"/>
        <v>91131361.995124757</v>
      </c>
      <c r="AW89" s="239">
        <f t="shared" si="14"/>
        <v>91131361.995124757</v>
      </c>
      <c r="AX89" s="239">
        <f t="shared" si="14"/>
        <v>91131361.995124757</v>
      </c>
      <c r="AY89" s="239">
        <f t="shared" si="14"/>
        <v>91131361.995124757</v>
      </c>
      <c r="AZ89" s="239"/>
      <c r="BA89" s="239"/>
    </row>
    <row r="90" spans="1:53" ht="5.5" customHeight="1" x14ac:dyDescent="0.35">
      <c r="A90" s="178"/>
      <c r="B90" s="178"/>
      <c r="C90" s="178"/>
      <c r="D90" s="178"/>
      <c r="E90" s="178"/>
      <c r="F90" s="26"/>
      <c r="G90" s="246"/>
      <c r="H90" s="178"/>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row>
    <row r="91" spans="1:53" ht="14.5" x14ac:dyDescent="0.35">
      <c r="A91" s="178"/>
      <c r="B91" s="178"/>
      <c r="C91" s="178"/>
      <c r="D91" s="513"/>
      <c r="E91" s="26" t="str">
        <f>"Annual Existing Truck VMTs in "&amp;$H$11&amp;" (with Project)"</f>
        <v>Annual Existing Truck VMTs in I-35 Segment (with Project)</v>
      </c>
      <c r="F91" s="26" t="s">
        <v>219</v>
      </c>
      <c r="G91" s="60" t="s">
        <v>861</v>
      </c>
      <c r="H91" s="243"/>
      <c r="I91" s="239">
        <f t="shared" ref="I91:AY91" si="15">I89*$H$37</f>
        <v>12472605.6</v>
      </c>
      <c r="J91" s="239">
        <f t="shared" si="15"/>
        <v>12796893.3456</v>
      </c>
      <c r="K91" s="239">
        <f t="shared" si="15"/>
        <v>13129612.572585601</v>
      </c>
      <c r="L91" s="239">
        <f t="shared" si="15"/>
        <v>13470982.499472825</v>
      </c>
      <c r="M91" s="239">
        <f t="shared" si="15"/>
        <v>13821228.044459119</v>
      </c>
      <c r="N91" s="239">
        <f t="shared" si="15"/>
        <v>14180579.973615056</v>
      </c>
      <c r="O91" s="239">
        <f t="shared" si="15"/>
        <v>14549275.052929046</v>
      </c>
      <c r="P91" s="239">
        <f t="shared" si="15"/>
        <v>14927556.204305202</v>
      </c>
      <c r="Q91" s="239">
        <f t="shared" si="15"/>
        <v>15315672.665617134</v>
      </c>
      <c r="R91" s="239">
        <f t="shared" si="15"/>
        <v>15713880.154923182</v>
      </c>
      <c r="S91" s="239">
        <f t="shared" si="15"/>
        <v>16122441.038951185</v>
      </c>
      <c r="T91" s="239">
        <f t="shared" si="15"/>
        <v>16541624.505963918</v>
      </c>
      <c r="U91" s="239">
        <f t="shared" si="15"/>
        <v>16971706.743118979</v>
      </c>
      <c r="V91" s="239">
        <f t="shared" si="15"/>
        <v>17412971.118440073</v>
      </c>
      <c r="W91" s="239">
        <f t="shared" si="15"/>
        <v>17865708.367519513</v>
      </c>
      <c r="X91" s="239">
        <f t="shared" si="15"/>
        <v>18330216.785075024</v>
      </c>
      <c r="Y91" s="239">
        <f t="shared" si="15"/>
        <v>18806802.421486974</v>
      </c>
      <c r="Z91" s="239">
        <f t="shared" si="15"/>
        <v>19295779.284445636</v>
      </c>
      <c r="AA91" s="239">
        <f t="shared" si="15"/>
        <v>19797469.545841221</v>
      </c>
      <c r="AB91" s="239">
        <f t="shared" si="15"/>
        <v>20312203.754033092</v>
      </c>
      <c r="AC91" s="239">
        <f t="shared" si="15"/>
        <v>20840321.051637955</v>
      </c>
      <c r="AD91" s="239">
        <f t="shared" si="15"/>
        <v>21382169.398980539</v>
      </c>
      <c r="AE91" s="239">
        <f t="shared" si="15"/>
        <v>21938105.803354036</v>
      </c>
      <c r="AF91" s="239">
        <f t="shared" si="15"/>
        <v>22508496.554241236</v>
      </c>
      <c r="AG91" s="239">
        <f t="shared" si="15"/>
        <v>23093717.46465151</v>
      </c>
      <c r="AH91" s="239">
        <f t="shared" si="15"/>
        <v>23694154.118732437</v>
      </c>
      <c r="AI91" s="239">
        <f t="shared" si="15"/>
        <v>23694154.118732437</v>
      </c>
      <c r="AJ91" s="239">
        <f t="shared" si="15"/>
        <v>23694154.118732437</v>
      </c>
      <c r="AK91" s="239">
        <f t="shared" si="15"/>
        <v>23694154.118732437</v>
      </c>
      <c r="AL91" s="239">
        <f t="shared" si="15"/>
        <v>23694154.118732437</v>
      </c>
      <c r="AM91" s="239">
        <f t="shared" si="15"/>
        <v>23694154.118732437</v>
      </c>
      <c r="AN91" s="239">
        <f t="shared" si="15"/>
        <v>23694154.118732437</v>
      </c>
      <c r="AO91" s="239">
        <f t="shared" si="15"/>
        <v>23694154.118732437</v>
      </c>
      <c r="AP91" s="239">
        <f t="shared" si="15"/>
        <v>23694154.118732437</v>
      </c>
      <c r="AQ91" s="239">
        <f t="shared" si="15"/>
        <v>23694154.118732437</v>
      </c>
      <c r="AR91" s="239">
        <f t="shared" si="15"/>
        <v>23694154.118732437</v>
      </c>
      <c r="AS91" s="239">
        <f t="shared" si="15"/>
        <v>23694154.118732437</v>
      </c>
      <c r="AT91" s="239">
        <f t="shared" si="15"/>
        <v>23694154.118732437</v>
      </c>
      <c r="AU91" s="239">
        <f t="shared" si="15"/>
        <v>23694154.118732437</v>
      </c>
      <c r="AV91" s="239">
        <f t="shared" si="15"/>
        <v>23694154.118732437</v>
      </c>
      <c r="AW91" s="239">
        <f t="shared" si="15"/>
        <v>23694154.118732437</v>
      </c>
      <c r="AX91" s="239">
        <f t="shared" si="15"/>
        <v>23694154.118732437</v>
      </c>
      <c r="AY91" s="239">
        <f t="shared" si="15"/>
        <v>23694154.118732437</v>
      </c>
      <c r="AZ91" s="239"/>
      <c r="BA91" s="239"/>
    </row>
    <row r="92" spans="1:53" ht="14.5" x14ac:dyDescent="0.35">
      <c r="A92" s="178"/>
      <c r="B92" s="178"/>
      <c r="C92" s="178"/>
      <c r="D92" s="513"/>
      <c r="E92" s="26" t="str">
        <f>"Annual Existing Auto VMTs in "&amp;$H$11&amp;" (with Project)"</f>
        <v>Annual Existing Auto VMTs in I-35 Segment (with Project)</v>
      </c>
      <c r="F92" s="26" t="s">
        <v>219</v>
      </c>
      <c r="G92" s="60" t="s">
        <v>861</v>
      </c>
      <c r="H92" s="243"/>
      <c r="I92" s="239">
        <f t="shared" ref="I92:AY92" si="16">I89*$H$39</f>
        <v>35498954.399999999</v>
      </c>
      <c r="J92" s="239">
        <f t="shared" si="16"/>
        <v>36421927.214399993</v>
      </c>
      <c r="K92" s="239">
        <f t="shared" si="16"/>
        <v>37368897.321974404</v>
      </c>
      <c r="L92" s="239">
        <f t="shared" si="16"/>
        <v>38340488.652345732</v>
      </c>
      <c r="M92" s="239">
        <f t="shared" si="16"/>
        <v>39337341.357306726</v>
      </c>
      <c r="N92" s="239">
        <f t="shared" si="16"/>
        <v>40360112.232596695</v>
      </c>
      <c r="O92" s="239">
        <f t="shared" si="16"/>
        <v>41409475.150644206</v>
      </c>
      <c r="P92" s="239">
        <f t="shared" si="16"/>
        <v>42486121.504560955</v>
      </c>
      <c r="Q92" s="239">
        <f t="shared" si="16"/>
        <v>43590760.663679533</v>
      </c>
      <c r="R92" s="239">
        <f t="shared" si="16"/>
        <v>44724120.440935209</v>
      </c>
      <c r="S92" s="239">
        <f t="shared" si="16"/>
        <v>45886947.572399527</v>
      </c>
      <c r="T92" s="239">
        <f t="shared" si="16"/>
        <v>47080008.209281921</v>
      </c>
      <c r="U92" s="239">
        <f t="shared" si="16"/>
        <v>48304088.422723249</v>
      </c>
      <c r="V92" s="239">
        <f t="shared" si="16"/>
        <v>49559994.72171405</v>
      </c>
      <c r="W92" s="239">
        <f t="shared" si="16"/>
        <v>50848554.584478617</v>
      </c>
      <c r="X92" s="239">
        <f t="shared" si="16"/>
        <v>52170617.003675058</v>
      </c>
      <c r="Y92" s="239">
        <f t="shared" si="16"/>
        <v>53527053.045770615</v>
      </c>
      <c r="Z92" s="239">
        <f t="shared" si="16"/>
        <v>54918756.424960651</v>
      </c>
      <c r="AA92" s="239">
        <f t="shared" si="16"/>
        <v>56346644.092009626</v>
      </c>
      <c r="AB92" s="239">
        <f t="shared" si="16"/>
        <v>57811656.838401876</v>
      </c>
      <c r="AC92" s="239">
        <f t="shared" si="16"/>
        <v>59314759.916200332</v>
      </c>
      <c r="AD92" s="239">
        <f t="shared" si="16"/>
        <v>60856943.674021535</v>
      </c>
      <c r="AE92" s="239">
        <f t="shared" si="16"/>
        <v>62439224.209546097</v>
      </c>
      <c r="AF92" s="239">
        <f t="shared" si="16"/>
        <v>64062644.038994282</v>
      </c>
      <c r="AG92" s="239">
        <f t="shared" si="16"/>
        <v>65728272.784008145</v>
      </c>
      <c r="AH92" s="239">
        <f t="shared" si="16"/>
        <v>67437207.87639232</v>
      </c>
      <c r="AI92" s="239">
        <f t="shared" si="16"/>
        <v>67437207.87639232</v>
      </c>
      <c r="AJ92" s="239">
        <f t="shared" si="16"/>
        <v>67437207.87639232</v>
      </c>
      <c r="AK92" s="239">
        <f t="shared" si="16"/>
        <v>67437207.87639232</v>
      </c>
      <c r="AL92" s="239">
        <f t="shared" si="16"/>
        <v>67437207.87639232</v>
      </c>
      <c r="AM92" s="239">
        <f t="shared" si="16"/>
        <v>67437207.87639232</v>
      </c>
      <c r="AN92" s="239">
        <f t="shared" si="16"/>
        <v>67437207.87639232</v>
      </c>
      <c r="AO92" s="239">
        <f t="shared" si="16"/>
        <v>67437207.87639232</v>
      </c>
      <c r="AP92" s="239">
        <f t="shared" si="16"/>
        <v>67437207.87639232</v>
      </c>
      <c r="AQ92" s="239">
        <f t="shared" si="16"/>
        <v>67437207.87639232</v>
      </c>
      <c r="AR92" s="239">
        <f t="shared" si="16"/>
        <v>67437207.87639232</v>
      </c>
      <c r="AS92" s="239">
        <f t="shared" si="16"/>
        <v>67437207.87639232</v>
      </c>
      <c r="AT92" s="239">
        <f t="shared" si="16"/>
        <v>67437207.87639232</v>
      </c>
      <c r="AU92" s="239">
        <f t="shared" si="16"/>
        <v>67437207.87639232</v>
      </c>
      <c r="AV92" s="239">
        <f t="shared" si="16"/>
        <v>67437207.87639232</v>
      </c>
      <c r="AW92" s="239">
        <f t="shared" si="16"/>
        <v>67437207.87639232</v>
      </c>
      <c r="AX92" s="239">
        <f t="shared" si="16"/>
        <v>67437207.87639232</v>
      </c>
      <c r="AY92" s="239">
        <f t="shared" si="16"/>
        <v>67437207.87639232</v>
      </c>
      <c r="AZ92" s="239"/>
      <c r="BA92" s="239"/>
    </row>
    <row r="93" spans="1:53" ht="5.5" customHeight="1" x14ac:dyDescent="0.35">
      <c r="A93" s="178"/>
      <c r="B93" s="178"/>
      <c r="C93" s="178"/>
      <c r="D93" s="178"/>
      <c r="E93" s="178"/>
      <c r="F93" s="178"/>
      <c r="G93" s="246"/>
      <c r="H93" s="178"/>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row>
    <row r="94" spans="1:53" ht="14.5" x14ac:dyDescent="0.35">
      <c r="A94" s="178"/>
      <c r="B94" s="178"/>
      <c r="C94" s="178"/>
      <c r="D94" s="180" t="s">
        <v>862</v>
      </c>
      <c r="E94" s="178"/>
      <c r="F94" s="178"/>
      <c r="G94" s="246"/>
      <c r="H94" s="178"/>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row>
    <row r="95" spans="1:53" ht="5.5" customHeight="1" x14ac:dyDescent="0.35">
      <c r="A95" s="178"/>
      <c r="B95" s="178"/>
      <c r="C95" s="178"/>
      <c r="D95" s="178"/>
      <c r="E95" s="178"/>
      <c r="F95" s="178"/>
      <c r="G95" s="246"/>
      <c r="H95" s="178"/>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row>
    <row r="96" spans="1:53" ht="14.5" x14ac:dyDescent="0.35">
      <c r="A96" s="178"/>
      <c r="B96" s="178"/>
      <c r="C96" s="178"/>
      <c r="D96" s="178"/>
      <c r="E96" s="26" t="str">
        <f>"Average Travel Speed in "&amp;$H$11&amp;" (without Project)"</f>
        <v>Average Travel Speed in I-35 Segment (without Project)</v>
      </c>
      <c r="F96" s="26" t="s">
        <v>219</v>
      </c>
      <c r="G96" s="242" t="s">
        <v>353</v>
      </c>
      <c r="H96" s="178"/>
      <c r="I96" s="196">
        <f>INDEX('Traffic Analysis_Segments'!$D$221:$D$266,MATCH('SegmentTraffic Inputs'!I$5,'Traffic Analysis_Segments'!$C$221:$C$266,0))</f>
        <v>70</v>
      </c>
      <c r="J96" s="196">
        <f>INDEX('Traffic Analysis_Segments'!$D$221:$D$266,MATCH('SegmentTraffic Inputs'!J$5,'Traffic Analysis_Segments'!$C$221:$C$266,0))</f>
        <v>70</v>
      </c>
      <c r="K96" s="196">
        <f>INDEX('Traffic Analysis_Segments'!$D$221:$D$266,MATCH('SegmentTraffic Inputs'!K$5,'Traffic Analysis_Segments'!$C$221:$C$266,0))</f>
        <v>70</v>
      </c>
      <c r="L96" s="196">
        <f>INDEX('Traffic Analysis_Segments'!$D$221:$D$266,MATCH('SegmentTraffic Inputs'!L$5,'Traffic Analysis_Segments'!$C$221:$C$266,0))</f>
        <v>70</v>
      </c>
      <c r="M96" s="196">
        <f>INDEX('Traffic Analysis_Segments'!$D$221:$D$266,MATCH('SegmentTraffic Inputs'!M$5,'Traffic Analysis_Segments'!$C$221:$C$266,0))</f>
        <v>70</v>
      </c>
      <c r="N96" s="196">
        <f>INDEX('Traffic Analysis_Segments'!$D$221:$D$266,MATCH('SegmentTraffic Inputs'!N$5,'Traffic Analysis_Segments'!$C$221:$C$266,0))</f>
        <v>70</v>
      </c>
      <c r="O96" s="196">
        <f>INDEX('Traffic Analysis_Segments'!$D$221:$D$266,MATCH('SegmentTraffic Inputs'!O$5,'Traffic Analysis_Segments'!$C$221:$C$266,0))</f>
        <v>68.5</v>
      </c>
      <c r="P96" s="196">
        <f>INDEX('Traffic Analysis_Segments'!$D$221:$D$266,MATCH('SegmentTraffic Inputs'!P$5,'Traffic Analysis_Segments'!$C$221:$C$266,0))</f>
        <v>68.5</v>
      </c>
      <c r="Q96" s="196">
        <f>INDEX('Traffic Analysis_Segments'!$D$221:$D$266,MATCH('SegmentTraffic Inputs'!Q$5,'Traffic Analysis_Segments'!$C$221:$C$266,0))</f>
        <v>68.5</v>
      </c>
      <c r="R96" s="196">
        <f>INDEX('Traffic Analysis_Segments'!$D$221:$D$266,MATCH('SegmentTraffic Inputs'!R$5,'Traffic Analysis_Segments'!$C$221:$C$266,0))</f>
        <v>68.5</v>
      </c>
      <c r="S96" s="196">
        <f>INDEX('Traffic Analysis_Segments'!$D$221:$D$266,MATCH('SegmentTraffic Inputs'!S$5,'Traffic Analysis_Segments'!$C$221:$C$266,0))</f>
        <v>68.5</v>
      </c>
      <c r="T96" s="196">
        <f>INDEX('Traffic Analysis_Segments'!$D$221:$D$266,MATCH('SegmentTraffic Inputs'!T$5,'Traffic Analysis_Segments'!$C$221:$C$266,0))</f>
        <v>68.5</v>
      </c>
      <c r="U96" s="196">
        <f>INDEX('Traffic Analysis_Segments'!$D$221:$D$266,MATCH('SegmentTraffic Inputs'!U$5,'Traffic Analysis_Segments'!$C$221:$C$266,0))</f>
        <v>68.5</v>
      </c>
      <c r="V96" s="196">
        <f>INDEX('Traffic Analysis_Segments'!$D$221:$D$266,MATCH('SegmentTraffic Inputs'!V$5,'Traffic Analysis_Segments'!$C$221:$C$266,0))</f>
        <v>68.5</v>
      </c>
      <c r="W96" s="196">
        <f>INDEX('Traffic Analysis_Segments'!$D$221:$D$266,MATCH('SegmentTraffic Inputs'!W$5,'Traffic Analysis_Segments'!$C$221:$C$266,0))</f>
        <v>68.5</v>
      </c>
      <c r="X96" s="196">
        <f>INDEX('Traffic Analysis_Segments'!$D$221:$D$266,MATCH('SegmentTraffic Inputs'!X$5,'Traffic Analysis_Segments'!$C$221:$C$266,0))</f>
        <v>68.5</v>
      </c>
      <c r="Y96" s="196">
        <f>INDEX('Traffic Analysis_Segments'!$D$221:$D$266,MATCH('SegmentTraffic Inputs'!Y$5,'Traffic Analysis_Segments'!$C$221:$C$266,0))</f>
        <v>68.5</v>
      </c>
      <c r="Z96" s="196">
        <f>INDEX('Traffic Analysis_Segments'!$D$221:$D$266,MATCH('SegmentTraffic Inputs'!Z$5,'Traffic Analysis_Segments'!$C$221:$C$266,0))</f>
        <v>68.5</v>
      </c>
      <c r="AA96" s="196">
        <f>INDEX('Traffic Analysis_Segments'!$D$221:$D$266,MATCH('SegmentTraffic Inputs'!AA$5,'Traffic Analysis_Segments'!$C$221:$C$266,0))</f>
        <v>68.5</v>
      </c>
      <c r="AB96" s="196">
        <f>INDEX('Traffic Analysis_Segments'!$D$221:$D$266,MATCH('SegmentTraffic Inputs'!AB$5,'Traffic Analysis_Segments'!$C$221:$C$266,0))</f>
        <v>68.5</v>
      </c>
      <c r="AC96" s="196">
        <f>INDEX('Traffic Analysis_Segments'!$D$221:$D$266,MATCH('SegmentTraffic Inputs'!AC$5,'Traffic Analysis_Segments'!$C$221:$C$266,0))</f>
        <v>68.5</v>
      </c>
      <c r="AD96" s="196">
        <f>INDEX('Traffic Analysis_Segments'!$D$221:$D$266,MATCH('SegmentTraffic Inputs'!AD$5,'Traffic Analysis_Segments'!$C$221:$C$266,0))</f>
        <v>63</v>
      </c>
      <c r="AE96" s="196">
        <f>INDEX('Traffic Analysis_Segments'!$D$221:$D$266,MATCH('SegmentTraffic Inputs'!AE$5,'Traffic Analysis_Segments'!$C$221:$C$266,0))</f>
        <v>63</v>
      </c>
      <c r="AF96" s="196">
        <f>INDEX('Traffic Analysis_Segments'!$D$221:$D$266,MATCH('SegmentTraffic Inputs'!AF$5,'Traffic Analysis_Segments'!$C$221:$C$266,0))</f>
        <v>63</v>
      </c>
      <c r="AG96" s="196">
        <f>INDEX('Traffic Analysis_Segments'!$D$221:$D$266,MATCH('SegmentTraffic Inputs'!AG$5,'Traffic Analysis_Segments'!$C$221:$C$266,0))</f>
        <v>63</v>
      </c>
      <c r="AH96" s="196">
        <f>INDEX('Traffic Analysis_Segments'!$D$221:$D$266,MATCH('SegmentTraffic Inputs'!AH$5,'Traffic Analysis_Segments'!$C$221:$C$266,0))</f>
        <v>63</v>
      </c>
      <c r="AI96" s="196">
        <f>INDEX('Traffic Analysis_Segments'!$D$221:$D$266,MATCH('SegmentTraffic Inputs'!AI$5,'Traffic Analysis_Segments'!$C$221:$C$266,0))</f>
        <v>63</v>
      </c>
      <c r="AJ96" s="196">
        <f>INDEX('Traffic Analysis_Segments'!$D$221:$D$266,MATCH('SegmentTraffic Inputs'!AJ$5,'Traffic Analysis_Segments'!$C$221:$C$266,0))</f>
        <v>63</v>
      </c>
      <c r="AK96" s="196">
        <f>INDEX('Traffic Analysis_Segments'!$D$221:$D$266,MATCH('SegmentTraffic Inputs'!AK$5,'Traffic Analysis_Segments'!$C$221:$C$266,0))</f>
        <v>63</v>
      </c>
      <c r="AL96" s="196">
        <f>INDEX('Traffic Analysis_Segments'!$D$221:$D$266,MATCH('SegmentTraffic Inputs'!AL$5,'Traffic Analysis_Segments'!$C$221:$C$266,0))</f>
        <v>63</v>
      </c>
      <c r="AM96" s="196">
        <f>INDEX('Traffic Analysis_Segments'!$D$221:$D$266,MATCH('SegmentTraffic Inputs'!AM$5,'Traffic Analysis_Segments'!$C$221:$C$266,0))</f>
        <v>63</v>
      </c>
      <c r="AN96" s="196">
        <f>INDEX('Traffic Analysis_Segments'!$D$221:$D$266,MATCH('SegmentTraffic Inputs'!AN$5,'Traffic Analysis_Segments'!$C$221:$C$266,0))</f>
        <v>63</v>
      </c>
      <c r="AO96" s="196">
        <f>INDEX('Traffic Analysis_Segments'!$D$221:$D$266,MATCH('SegmentTraffic Inputs'!AO$5,'Traffic Analysis_Segments'!$C$221:$C$266,0))</f>
        <v>63</v>
      </c>
      <c r="AP96" s="196">
        <f>INDEX('Traffic Analysis_Segments'!$D$221:$D$266,MATCH('SegmentTraffic Inputs'!AP$5,'Traffic Analysis_Segments'!$C$221:$C$266,0))</f>
        <v>63</v>
      </c>
      <c r="AQ96" s="196">
        <f>INDEX('Traffic Analysis_Segments'!$D$221:$D$266,MATCH('SegmentTraffic Inputs'!AQ$5,'Traffic Analysis_Segments'!$C$221:$C$266,0))</f>
        <v>63</v>
      </c>
      <c r="AR96" s="196">
        <f>INDEX('Traffic Analysis_Segments'!$D$221:$D$266,MATCH('SegmentTraffic Inputs'!AR$5,'Traffic Analysis_Segments'!$C$221:$C$266,0))</f>
        <v>63</v>
      </c>
      <c r="AS96" s="196">
        <f>INDEX('Traffic Analysis_Segments'!$D$221:$D$266,MATCH('SegmentTraffic Inputs'!AS$5,'Traffic Analysis_Segments'!$C$221:$C$266,0))</f>
        <v>63</v>
      </c>
      <c r="AT96" s="196">
        <f>INDEX('Traffic Analysis_Segments'!$D$221:$D$266,MATCH('SegmentTraffic Inputs'!AT$5,'Traffic Analysis_Segments'!$C$221:$C$266,0))</f>
        <v>63</v>
      </c>
      <c r="AU96" s="196">
        <f>INDEX('Traffic Analysis_Segments'!$D$221:$D$266,MATCH('SegmentTraffic Inputs'!AU$5,'Traffic Analysis_Segments'!$C$221:$C$266,0))</f>
        <v>63</v>
      </c>
      <c r="AV96" s="196">
        <f>INDEX('Traffic Analysis_Segments'!$D$221:$D$266,MATCH('SegmentTraffic Inputs'!AV$5,'Traffic Analysis_Segments'!$C$221:$C$266,0))</f>
        <v>63</v>
      </c>
      <c r="AW96" s="196">
        <f>INDEX('Traffic Analysis_Segments'!$D$221:$D$266,MATCH('SegmentTraffic Inputs'!AW$5,'Traffic Analysis_Segments'!$C$221:$C$266,0))</f>
        <v>63</v>
      </c>
      <c r="AX96" s="196">
        <f>INDEX('Traffic Analysis_Segments'!$D$221:$D$266,MATCH('SegmentTraffic Inputs'!AX$5,'Traffic Analysis_Segments'!$C$221:$C$266,0))</f>
        <v>63</v>
      </c>
      <c r="AY96" s="196">
        <f>INDEX('Traffic Analysis_Segments'!$D$221:$D$266,MATCH('SegmentTraffic Inputs'!AY$5,'Traffic Analysis_Segments'!$C$221:$C$266,0))</f>
        <v>63</v>
      </c>
      <c r="AZ96" s="196"/>
      <c r="BA96" s="196"/>
    </row>
    <row r="97" spans="1:53" ht="14.5" x14ac:dyDescent="0.35">
      <c r="A97" s="178"/>
      <c r="B97" s="178"/>
      <c r="C97" s="178"/>
      <c r="D97" s="178"/>
      <c r="E97" s="26" t="str">
        <f>"Average Travel Speed in "&amp;$H$11&amp;" (with Project)"</f>
        <v>Average Travel Speed in I-35 Segment (with Project)</v>
      </c>
      <c r="F97" s="26" t="s">
        <v>219</v>
      </c>
      <c r="G97" s="242" t="s">
        <v>353</v>
      </c>
      <c r="H97" s="178"/>
      <c r="I97" s="196">
        <f>IF(I$5&lt;$H$22,I96,INDEX('Traffic Analysis_Segments'!$E$221:$E$266,MATCH('SegmentTraffic Inputs'!I$5,'Traffic Analysis_Segments'!$C$221:$C$266,0)))</f>
        <v>70</v>
      </c>
      <c r="J97" s="196">
        <f>IF(J$5&lt;$H$22,J96,INDEX('Traffic Analysis_Segments'!$E$221:$E$266,MATCH('SegmentTraffic Inputs'!J$5,'Traffic Analysis_Segments'!$C$221:$C$266,0)))</f>
        <v>70</v>
      </c>
      <c r="K97" s="196">
        <f>IF(K$5&lt;$H$22,K96,INDEX('Traffic Analysis_Segments'!$E$221:$E$266,MATCH('SegmentTraffic Inputs'!K$5,'Traffic Analysis_Segments'!$C$221:$C$266,0)))</f>
        <v>70</v>
      </c>
      <c r="L97" s="196">
        <f>IF(L$5&lt;$H$22,L96,INDEX('Traffic Analysis_Segments'!$E$221:$E$266,MATCH('SegmentTraffic Inputs'!L$5,'Traffic Analysis_Segments'!$C$221:$C$266,0)))</f>
        <v>70</v>
      </c>
      <c r="M97" s="196">
        <f>IF(M$5&lt;$H$22,M96,INDEX('Traffic Analysis_Segments'!$E$221:$E$266,MATCH('SegmentTraffic Inputs'!M$5,'Traffic Analysis_Segments'!$C$221:$C$266,0)))</f>
        <v>70</v>
      </c>
      <c r="N97" s="196">
        <f>IF(N$5&lt;$H$22,N96,INDEX('Traffic Analysis_Segments'!$E$221:$E$266,MATCH('SegmentTraffic Inputs'!N$5,'Traffic Analysis_Segments'!$C$221:$C$266,0)))</f>
        <v>70</v>
      </c>
      <c r="O97" s="196">
        <f>IF(O$5&lt;$H$22,O96,INDEX('Traffic Analysis_Segments'!$E$221:$E$266,MATCH('SegmentTraffic Inputs'!O$5,'Traffic Analysis_Segments'!$C$221:$C$266,0)))</f>
        <v>70</v>
      </c>
      <c r="P97" s="196">
        <f>IF(P$5&lt;$H$22,P96,INDEX('Traffic Analysis_Segments'!$E$221:$E$266,MATCH('SegmentTraffic Inputs'!P$5,'Traffic Analysis_Segments'!$C$221:$C$266,0)))</f>
        <v>70</v>
      </c>
      <c r="Q97" s="196">
        <f>IF(Q$5&lt;$H$22,Q96,INDEX('Traffic Analysis_Segments'!$E$221:$E$266,MATCH('SegmentTraffic Inputs'!Q$5,'Traffic Analysis_Segments'!$C$221:$C$266,0)))</f>
        <v>70</v>
      </c>
      <c r="R97" s="196">
        <f>IF(R$5&lt;$H$22,R96,INDEX('Traffic Analysis_Segments'!$E$221:$E$266,MATCH('SegmentTraffic Inputs'!R$5,'Traffic Analysis_Segments'!$C$221:$C$266,0)))</f>
        <v>70</v>
      </c>
      <c r="S97" s="196">
        <f>IF(S$5&lt;$H$22,S96,INDEX('Traffic Analysis_Segments'!$E$221:$E$266,MATCH('SegmentTraffic Inputs'!S$5,'Traffic Analysis_Segments'!$C$221:$C$266,0)))</f>
        <v>70</v>
      </c>
      <c r="T97" s="196">
        <f>IF(T$5&lt;$H$22,T96,INDEX('Traffic Analysis_Segments'!$E$221:$E$266,MATCH('SegmentTraffic Inputs'!T$5,'Traffic Analysis_Segments'!$C$221:$C$266,0)))</f>
        <v>70</v>
      </c>
      <c r="U97" s="196">
        <f>IF(U$5&lt;$H$22,U96,INDEX('Traffic Analysis_Segments'!$E$221:$E$266,MATCH('SegmentTraffic Inputs'!U$5,'Traffic Analysis_Segments'!$C$221:$C$266,0)))</f>
        <v>70</v>
      </c>
      <c r="V97" s="196">
        <f>IF(V$5&lt;$H$22,V96,INDEX('Traffic Analysis_Segments'!$E$221:$E$266,MATCH('SegmentTraffic Inputs'!V$5,'Traffic Analysis_Segments'!$C$221:$C$266,0)))</f>
        <v>70</v>
      </c>
      <c r="W97" s="196">
        <f>IF(W$5&lt;$H$22,W96,INDEX('Traffic Analysis_Segments'!$E$221:$E$266,MATCH('SegmentTraffic Inputs'!W$5,'Traffic Analysis_Segments'!$C$221:$C$266,0)))</f>
        <v>70</v>
      </c>
      <c r="X97" s="196">
        <f>IF(X$5&lt;$H$22,X96,INDEX('Traffic Analysis_Segments'!$E$221:$E$266,MATCH('SegmentTraffic Inputs'!X$5,'Traffic Analysis_Segments'!$C$221:$C$266,0)))</f>
        <v>70</v>
      </c>
      <c r="Y97" s="196">
        <f>IF(Y$5&lt;$H$22,Y96,INDEX('Traffic Analysis_Segments'!$E$221:$E$266,MATCH('SegmentTraffic Inputs'!Y$5,'Traffic Analysis_Segments'!$C$221:$C$266,0)))</f>
        <v>70</v>
      </c>
      <c r="Z97" s="196">
        <f>IF(Z$5&lt;$H$22,Z96,INDEX('Traffic Analysis_Segments'!$E$221:$E$266,MATCH('SegmentTraffic Inputs'!Z$5,'Traffic Analysis_Segments'!$C$221:$C$266,0)))</f>
        <v>70</v>
      </c>
      <c r="AA97" s="196">
        <f>IF(AA$5&lt;$H$22,AA96,INDEX('Traffic Analysis_Segments'!$E$221:$E$266,MATCH('SegmentTraffic Inputs'!AA$5,'Traffic Analysis_Segments'!$C$221:$C$266,0)))</f>
        <v>70</v>
      </c>
      <c r="AB97" s="196">
        <f>IF(AB$5&lt;$H$22,AB96,INDEX('Traffic Analysis_Segments'!$E$221:$E$266,MATCH('SegmentTraffic Inputs'!AB$5,'Traffic Analysis_Segments'!$C$221:$C$266,0)))</f>
        <v>70</v>
      </c>
      <c r="AC97" s="196">
        <f>IF(AC$5&lt;$H$22,AC96,INDEX('Traffic Analysis_Segments'!$E$221:$E$266,MATCH('SegmentTraffic Inputs'!AC$5,'Traffic Analysis_Segments'!$C$221:$C$266,0)))</f>
        <v>68.5</v>
      </c>
      <c r="AD97" s="196">
        <f>IF(AD$5&lt;$H$22,AD96,INDEX('Traffic Analysis_Segments'!$E$221:$E$266,MATCH('SegmentTraffic Inputs'!AD$5,'Traffic Analysis_Segments'!$C$221:$C$266,0)))</f>
        <v>68.5</v>
      </c>
      <c r="AE97" s="196">
        <f>IF(AE$5&lt;$H$22,AE96,INDEX('Traffic Analysis_Segments'!$E$221:$E$266,MATCH('SegmentTraffic Inputs'!AE$5,'Traffic Analysis_Segments'!$C$221:$C$266,0)))</f>
        <v>68.5</v>
      </c>
      <c r="AF97" s="196">
        <f>IF(AF$5&lt;$H$22,AF96,INDEX('Traffic Analysis_Segments'!$E$221:$E$266,MATCH('SegmentTraffic Inputs'!AF$5,'Traffic Analysis_Segments'!$C$221:$C$266,0)))</f>
        <v>68.5</v>
      </c>
      <c r="AG97" s="196">
        <f>IF(AG$5&lt;$H$22,AG96,INDEX('Traffic Analysis_Segments'!$E$221:$E$266,MATCH('SegmentTraffic Inputs'!AG$5,'Traffic Analysis_Segments'!$C$221:$C$266,0)))</f>
        <v>68.5</v>
      </c>
      <c r="AH97" s="196">
        <f>IF(AH$5&lt;$H$22,AH96,INDEX('Traffic Analysis_Segments'!$E$221:$E$266,MATCH('SegmentTraffic Inputs'!AH$5,'Traffic Analysis_Segments'!$C$221:$C$266,0)))</f>
        <v>68.5</v>
      </c>
      <c r="AI97" s="196">
        <f>IF(AI$5&lt;$H$22,AI96,INDEX('Traffic Analysis_Segments'!$E$221:$E$266,MATCH('SegmentTraffic Inputs'!AI$5,'Traffic Analysis_Segments'!$C$221:$C$266,0)))</f>
        <v>68.5</v>
      </c>
      <c r="AJ97" s="196">
        <f>IF(AJ$5&lt;$H$22,AJ96,INDEX('Traffic Analysis_Segments'!$E$221:$E$266,MATCH('SegmentTraffic Inputs'!AJ$5,'Traffic Analysis_Segments'!$C$221:$C$266,0)))</f>
        <v>68.5</v>
      </c>
      <c r="AK97" s="196">
        <f>IF(AK$5&lt;$H$22,AK96,INDEX('Traffic Analysis_Segments'!$E$221:$E$266,MATCH('SegmentTraffic Inputs'!AK$5,'Traffic Analysis_Segments'!$C$221:$C$266,0)))</f>
        <v>68.5</v>
      </c>
      <c r="AL97" s="196">
        <f>IF(AL$5&lt;$H$22,AL96,INDEX('Traffic Analysis_Segments'!$E$221:$E$266,MATCH('SegmentTraffic Inputs'!AL$5,'Traffic Analysis_Segments'!$C$221:$C$266,0)))</f>
        <v>68.5</v>
      </c>
      <c r="AM97" s="196">
        <f>IF(AM$5&lt;$H$22,AM96,INDEX('Traffic Analysis_Segments'!$E$221:$E$266,MATCH('SegmentTraffic Inputs'!AM$5,'Traffic Analysis_Segments'!$C$221:$C$266,0)))</f>
        <v>68.5</v>
      </c>
      <c r="AN97" s="196">
        <f>IF(AN$5&lt;$H$22,AN96,INDEX('Traffic Analysis_Segments'!$E$221:$E$266,MATCH('SegmentTraffic Inputs'!AN$5,'Traffic Analysis_Segments'!$C$221:$C$266,0)))</f>
        <v>68.5</v>
      </c>
      <c r="AO97" s="196">
        <f>IF(AO$5&lt;$H$22,AO96,INDEX('Traffic Analysis_Segments'!$E$221:$E$266,MATCH('SegmentTraffic Inputs'!AO$5,'Traffic Analysis_Segments'!$C$221:$C$266,0)))</f>
        <v>68.5</v>
      </c>
      <c r="AP97" s="196">
        <f>IF(AP$5&lt;$H$22,AP96,INDEX('Traffic Analysis_Segments'!$E$221:$E$266,MATCH('SegmentTraffic Inputs'!AP$5,'Traffic Analysis_Segments'!$C$221:$C$266,0)))</f>
        <v>68.5</v>
      </c>
      <c r="AQ97" s="196">
        <f>IF(AQ$5&lt;$H$22,AQ96,INDEX('Traffic Analysis_Segments'!$E$221:$E$266,MATCH('SegmentTraffic Inputs'!AQ$5,'Traffic Analysis_Segments'!$C$221:$C$266,0)))</f>
        <v>68.5</v>
      </c>
      <c r="AR97" s="196">
        <f>IF(AR$5&lt;$H$22,AR96,INDEX('Traffic Analysis_Segments'!$E$221:$E$266,MATCH('SegmentTraffic Inputs'!AR$5,'Traffic Analysis_Segments'!$C$221:$C$266,0)))</f>
        <v>68.5</v>
      </c>
      <c r="AS97" s="196">
        <f>IF(AS$5&lt;$H$22,AS96,INDEX('Traffic Analysis_Segments'!$E$221:$E$266,MATCH('SegmentTraffic Inputs'!AS$5,'Traffic Analysis_Segments'!$C$221:$C$266,0)))</f>
        <v>68.5</v>
      </c>
      <c r="AT97" s="196">
        <f>IF(AT$5&lt;$H$22,AT96,INDEX('Traffic Analysis_Segments'!$E$221:$E$266,MATCH('SegmentTraffic Inputs'!AT$5,'Traffic Analysis_Segments'!$C$221:$C$266,0)))</f>
        <v>68.5</v>
      </c>
      <c r="AU97" s="196">
        <f>IF(AU$5&lt;$H$22,AU96,INDEX('Traffic Analysis_Segments'!$E$221:$E$266,MATCH('SegmentTraffic Inputs'!AU$5,'Traffic Analysis_Segments'!$C$221:$C$266,0)))</f>
        <v>68.5</v>
      </c>
      <c r="AV97" s="196">
        <f>IF(AV$5&lt;$H$22,AV96,INDEX('Traffic Analysis_Segments'!$E$221:$E$266,MATCH('SegmentTraffic Inputs'!AV$5,'Traffic Analysis_Segments'!$C$221:$C$266,0)))</f>
        <v>68.5</v>
      </c>
      <c r="AW97" s="196">
        <f>IF(AW$5&lt;$H$22,AW96,INDEX('Traffic Analysis_Segments'!$E$221:$E$266,MATCH('SegmentTraffic Inputs'!AW$5,'Traffic Analysis_Segments'!$C$221:$C$266,0)))</f>
        <v>68.5</v>
      </c>
      <c r="AX97" s="196">
        <f>IF(AX$5&lt;$H$22,AX96,INDEX('Traffic Analysis_Segments'!$E$221:$E$266,MATCH('SegmentTraffic Inputs'!AX$5,'Traffic Analysis_Segments'!$C$221:$C$266,0)))</f>
        <v>68.5</v>
      </c>
      <c r="AY97" s="196">
        <f>IF(AY$5&lt;$H$22,AY96,INDEX('Traffic Analysis_Segments'!$E$221:$E$266,MATCH('SegmentTraffic Inputs'!AY$5,'Traffic Analysis_Segments'!$C$221:$C$266,0)))</f>
        <v>68.5</v>
      </c>
      <c r="AZ97" s="196"/>
      <c r="BA97" s="196"/>
    </row>
    <row r="98" spans="1:53" ht="5.5" customHeight="1" x14ac:dyDescent="0.35">
      <c r="A98" s="178"/>
      <c r="B98" s="178"/>
      <c r="C98" s="178"/>
      <c r="D98" s="178"/>
      <c r="E98" s="178"/>
      <c r="F98" s="178"/>
      <c r="G98" s="246"/>
      <c r="H98" s="178"/>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row>
    <row r="99" spans="1:53" ht="14.5" x14ac:dyDescent="0.35">
      <c r="A99" s="178"/>
      <c r="B99" s="178"/>
      <c r="C99" s="178"/>
      <c r="D99" s="178"/>
      <c r="E99" s="26" t="str">
        <f>"Annual Vehicle-Hours in "&amp;$H$11&amp;" (without Project)"</f>
        <v>Annual Vehicle-Hours in I-35 Segment (without Project)</v>
      </c>
      <c r="F99" s="26" t="s">
        <v>219</v>
      </c>
      <c r="G99" s="60" t="s">
        <v>842</v>
      </c>
      <c r="H99" s="243"/>
      <c r="I99" s="239">
        <f t="shared" ref="I99:AY99" si="17">I84/I96</f>
        <v>685308</v>
      </c>
      <c r="J99" s="239">
        <f t="shared" si="17"/>
        <v>703126.00799999991</v>
      </c>
      <c r="K99" s="239">
        <f t="shared" si="17"/>
        <v>721407.28420800006</v>
      </c>
      <c r="L99" s="239">
        <f t="shared" si="17"/>
        <v>740163.87359740795</v>
      </c>
      <c r="M99" s="239">
        <f t="shared" si="17"/>
        <v>759408.13431094063</v>
      </c>
      <c r="N99" s="239">
        <f t="shared" si="17"/>
        <v>779152.74580302509</v>
      </c>
      <c r="O99" s="239">
        <f t="shared" si="17"/>
        <v>816916.06136603281</v>
      </c>
      <c r="P99" s="239">
        <f t="shared" si="17"/>
        <v>838155.87896154972</v>
      </c>
      <c r="Q99" s="239">
        <f t="shared" si="17"/>
        <v>859947.93181454996</v>
      </c>
      <c r="R99" s="239">
        <f t="shared" si="17"/>
        <v>882306.57804172824</v>
      </c>
      <c r="S99" s="239">
        <f t="shared" si="17"/>
        <v>905246.54907081323</v>
      </c>
      <c r="T99" s="239">
        <f t="shared" si="17"/>
        <v>928782.95934665448</v>
      </c>
      <c r="U99" s="239">
        <f t="shared" si="17"/>
        <v>952931.31628966751</v>
      </c>
      <c r="V99" s="239">
        <f t="shared" si="17"/>
        <v>977707.53051319893</v>
      </c>
      <c r="W99" s="239">
        <f t="shared" si="17"/>
        <v>1003127.926306542</v>
      </c>
      <c r="X99" s="239">
        <f t="shared" si="17"/>
        <v>1029209.2523905121</v>
      </c>
      <c r="Y99" s="239">
        <f t="shared" si="17"/>
        <v>1055968.6929526655</v>
      </c>
      <c r="Z99" s="239">
        <f t="shared" si="17"/>
        <v>1083423.8789694349</v>
      </c>
      <c r="AA99" s="239">
        <f t="shared" si="17"/>
        <v>1111592.8998226402</v>
      </c>
      <c r="AB99" s="239">
        <f t="shared" si="17"/>
        <v>1140494.3152180288</v>
      </c>
      <c r="AC99" s="239">
        <f t="shared" si="17"/>
        <v>1170147.1674136976</v>
      </c>
      <c r="AD99" s="239">
        <f t="shared" si="17"/>
        <v>1305382.747190509</v>
      </c>
      <c r="AE99" s="239">
        <f t="shared" si="17"/>
        <v>1339322.6986174623</v>
      </c>
      <c r="AF99" s="239">
        <f t="shared" si="17"/>
        <v>1374145.0887815163</v>
      </c>
      <c r="AG99" s="239">
        <f t="shared" si="17"/>
        <v>1409872.8610898359</v>
      </c>
      <c r="AH99" s="239">
        <f t="shared" si="17"/>
        <v>1446529.5554781707</v>
      </c>
      <c r="AI99" s="239">
        <f t="shared" si="17"/>
        <v>1446529.5554781707</v>
      </c>
      <c r="AJ99" s="239">
        <f t="shared" si="17"/>
        <v>1446529.5554781707</v>
      </c>
      <c r="AK99" s="239">
        <f t="shared" si="17"/>
        <v>1446529.5554781707</v>
      </c>
      <c r="AL99" s="239">
        <f t="shared" si="17"/>
        <v>1446529.5554781707</v>
      </c>
      <c r="AM99" s="239">
        <f t="shared" si="17"/>
        <v>1446529.5554781707</v>
      </c>
      <c r="AN99" s="239">
        <f t="shared" si="17"/>
        <v>1446529.5554781707</v>
      </c>
      <c r="AO99" s="239">
        <f t="shared" si="17"/>
        <v>1446529.5554781707</v>
      </c>
      <c r="AP99" s="239">
        <f t="shared" si="17"/>
        <v>1446529.5554781707</v>
      </c>
      <c r="AQ99" s="239">
        <f t="shared" si="17"/>
        <v>1446529.5554781707</v>
      </c>
      <c r="AR99" s="239">
        <f t="shared" si="17"/>
        <v>1446529.5554781707</v>
      </c>
      <c r="AS99" s="239">
        <f t="shared" si="17"/>
        <v>1446529.5554781707</v>
      </c>
      <c r="AT99" s="239">
        <f t="shared" si="17"/>
        <v>1446529.5554781707</v>
      </c>
      <c r="AU99" s="239">
        <f t="shared" si="17"/>
        <v>1446529.5554781707</v>
      </c>
      <c r="AV99" s="239">
        <f t="shared" si="17"/>
        <v>1446529.5554781707</v>
      </c>
      <c r="AW99" s="239">
        <f t="shared" si="17"/>
        <v>1446529.5554781707</v>
      </c>
      <c r="AX99" s="239">
        <f t="shared" si="17"/>
        <v>1446529.5554781707</v>
      </c>
      <c r="AY99" s="239">
        <f t="shared" si="17"/>
        <v>1446529.5554781707</v>
      </c>
      <c r="AZ99" s="239"/>
      <c r="BA99" s="239"/>
    </row>
    <row r="100" spans="1:53" ht="5.5" customHeight="1" x14ac:dyDescent="0.35">
      <c r="A100" s="178"/>
      <c r="B100" s="178"/>
      <c r="C100" s="178"/>
      <c r="D100" s="178"/>
      <c r="E100" s="178"/>
      <c r="F100" s="178"/>
      <c r="G100" s="246"/>
      <c r="H100" s="178"/>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row>
    <row r="101" spans="1:53" ht="14.5" x14ac:dyDescent="0.35">
      <c r="A101" s="178"/>
      <c r="B101" s="178"/>
      <c r="C101" s="178"/>
      <c r="D101" s="178"/>
      <c r="E101" s="26" t="str">
        <f>"Annual Truck VHTs in "&amp;$H$11&amp;" (without Project)"</f>
        <v>Annual Truck VHTs in I-35 Segment (without Project)</v>
      </c>
      <c r="F101" s="26" t="s">
        <v>219</v>
      </c>
      <c r="G101" s="60" t="s">
        <v>842</v>
      </c>
      <c r="H101" s="243"/>
      <c r="I101" s="239">
        <f t="shared" ref="I101:AY101" si="18">I86/I96</f>
        <v>178180.08</v>
      </c>
      <c r="J101" s="239">
        <f t="shared" si="18"/>
        <v>182812.76207999999</v>
      </c>
      <c r="K101" s="239">
        <f t="shared" si="18"/>
        <v>187565.89389408001</v>
      </c>
      <c r="L101" s="239">
        <f t="shared" si="18"/>
        <v>192442.60713532608</v>
      </c>
      <c r="M101" s="239">
        <f t="shared" si="18"/>
        <v>197446.11492084456</v>
      </c>
      <c r="N101" s="239">
        <f t="shared" si="18"/>
        <v>202579.71390878651</v>
      </c>
      <c r="O101" s="239">
        <f t="shared" si="18"/>
        <v>212398.17595516855</v>
      </c>
      <c r="P101" s="239">
        <f t="shared" si="18"/>
        <v>217920.52853000295</v>
      </c>
      <c r="Q101" s="239">
        <f t="shared" si="18"/>
        <v>223586.46227178298</v>
      </c>
      <c r="R101" s="239">
        <f t="shared" si="18"/>
        <v>229399.71029084938</v>
      </c>
      <c r="S101" s="239">
        <f t="shared" si="18"/>
        <v>235364.10275841146</v>
      </c>
      <c r="T101" s="239">
        <f t="shared" si="18"/>
        <v>241483.56943013018</v>
      </c>
      <c r="U101" s="239">
        <f t="shared" si="18"/>
        <v>247762.14223531357</v>
      </c>
      <c r="V101" s="239">
        <f t="shared" si="18"/>
        <v>254203.95793343172</v>
      </c>
      <c r="W101" s="239">
        <f t="shared" si="18"/>
        <v>260813.2608397009</v>
      </c>
      <c r="X101" s="239">
        <f t="shared" si="18"/>
        <v>267594.40562153317</v>
      </c>
      <c r="Y101" s="239">
        <f t="shared" si="18"/>
        <v>274551.86016769306</v>
      </c>
      <c r="Z101" s="239">
        <f t="shared" si="18"/>
        <v>281690.2085320531</v>
      </c>
      <c r="AA101" s="239">
        <f t="shared" si="18"/>
        <v>289014.15395388642</v>
      </c>
      <c r="AB101" s="239">
        <f t="shared" si="18"/>
        <v>296528.5219566875</v>
      </c>
      <c r="AC101" s="239">
        <f t="shared" si="18"/>
        <v>304238.26352756139</v>
      </c>
      <c r="AD101" s="239">
        <f t="shared" si="18"/>
        <v>339399.51426953234</v>
      </c>
      <c r="AE101" s="239">
        <f t="shared" si="18"/>
        <v>348223.90164054028</v>
      </c>
      <c r="AF101" s="239">
        <f t="shared" si="18"/>
        <v>357277.72308319423</v>
      </c>
      <c r="AG101" s="239">
        <f t="shared" si="18"/>
        <v>366566.94388335728</v>
      </c>
      <c r="AH101" s="239">
        <f t="shared" si="18"/>
        <v>376097.68442432443</v>
      </c>
      <c r="AI101" s="239">
        <f t="shared" si="18"/>
        <v>376097.68442432443</v>
      </c>
      <c r="AJ101" s="239">
        <f t="shared" si="18"/>
        <v>376097.68442432443</v>
      </c>
      <c r="AK101" s="239">
        <f t="shared" si="18"/>
        <v>376097.68442432443</v>
      </c>
      <c r="AL101" s="239">
        <f t="shared" si="18"/>
        <v>376097.68442432443</v>
      </c>
      <c r="AM101" s="239">
        <f t="shared" si="18"/>
        <v>376097.68442432443</v>
      </c>
      <c r="AN101" s="239">
        <f t="shared" si="18"/>
        <v>376097.68442432443</v>
      </c>
      <c r="AO101" s="239">
        <f t="shared" si="18"/>
        <v>376097.68442432443</v>
      </c>
      <c r="AP101" s="239">
        <f t="shared" si="18"/>
        <v>376097.68442432443</v>
      </c>
      <c r="AQ101" s="239">
        <f t="shared" si="18"/>
        <v>376097.68442432443</v>
      </c>
      <c r="AR101" s="239">
        <f t="shared" si="18"/>
        <v>376097.68442432443</v>
      </c>
      <c r="AS101" s="239">
        <f t="shared" si="18"/>
        <v>376097.68442432443</v>
      </c>
      <c r="AT101" s="239">
        <f t="shared" si="18"/>
        <v>376097.68442432443</v>
      </c>
      <c r="AU101" s="239">
        <f t="shared" si="18"/>
        <v>376097.68442432443</v>
      </c>
      <c r="AV101" s="239">
        <f t="shared" si="18"/>
        <v>376097.68442432443</v>
      </c>
      <c r="AW101" s="239">
        <f t="shared" si="18"/>
        <v>376097.68442432443</v>
      </c>
      <c r="AX101" s="239">
        <f t="shared" si="18"/>
        <v>376097.68442432443</v>
      </c>
      <c r="AY101" s="239">
        <f t="shared" si="18"/>
        <v>376097.68442432443</v>
      </c>
      <c r="AZ101" s="239"/>
      <c r="BA101" s="239"/>
    </row>
    <row r="102" spans="1:53" ht="14.5" x14ac:dyDescent="0.35">
      <c r="A102" s="178"/>
      <c r="B102" s="178"/>
      <c r="C102" s="178"/>
      <c r="D102" s="178"/>
      <c r="E102" s="26" t="str">
        <f>"Annual Auto VHTs in "&amp;$H$11&amp;" (without Project)"</f>
        <v>Annual Auto VHTs in I-35 Segment (without Project)</v>
      </c>
      <c r="F102" s="26" t="s">
        <v>219</v>
      </c>
      <c r="G102" s="60" t="s">
        <v>842</v>
      </c>
      <c r="H102" s="243"/>
      <c r="I102" s="239">
        <f t="shared" ref="I102:AY102" si="19">I87/I96</f>
        <v>507127.92</v>
      </c>
      <c r="J102" s="239">
        <f t="shared" si="19"/>
        <v>520313.2459199999</v>
      </c>
      <c r="K102" s="239">
        <f t="shared" si="19"/>
        <v>533841.3903139201</v>
      </c>
      <c r="L102" s="239">
        <f t="shared" si="19"/>
        <v>547721.26646208193</v>
      </c>
      <c r="M102" s="239">
        <f t="shared" si="19"/>
        <v>561962.01939009607</v>
      </c>
      <c r="N102" s="239">
        <f t="shared" si="19"/>
        <v>576573.03189423855</v>
      </c>
      <c r="O102" s="239">
        <f t="shared" si="19"/>
        <v>604517.88541086437</v>
      </c>
      <c r="P102" s="239">
        <f t="shared" si="19"/>
        <v>620235.3504315468</v>
      </c>
      <c r="Q102" s="239">
        <f t="shared" si="19"/>
        <v>636361.46954276692</v>
      </c>
      <c r="R102" s="239">
        <f t="shared" si="19"/>
        <v>652906.86775087891</v>
      </c>
      <c r="S102" s="239">
        <f t="shared" si="19"/>
        <v>669882.44631240191</v>
      </c>
      <c r="T102" s="239">
        <f t="shared" si="19"/>
        <v>687299.38991652441</v>
      </c>
      <c r="U102" s="239">
        <f t="shared" si="19"/>
        <v>705169.17405435396</v>
      </c>
      <c r="V102" s="239">
        <f t="shared" si="19"/>
        <v>723503.57257976709</v>
      </c>
      <c r="W102" s="239">
        <f t="shared" si="19"/>
        <v>742314.66546684108</v>
      </c>
      <c r="X102" s="239">
        <f t="shared" si="19"/>
        <v>761614.84676897898</v>
      </c>
      <c r="Y102" s="239">
        <f t="shared" si="19"/>
        <v>781416.8327849725</v>
      </c>
      <c r="Z102" s="239">
        <f t="shared" si="19"/>
        <v>801733.67043738172</v>
      </c>
      <c r="AA102" s="239">
        <f t="shared" si="19"/>
        <v>822578.74586875364</v>
      </c>
      <c r="AB102" s="239">
        <f t="shared" si="19"/>
        <v>843965.79326134128</v>
      </c>
      <c r="AC102" s="239">
        <f t="shared" si="19"/>
        <v>865908.90388613625</v>
      </c>
      <c r="AD102" s="239">
        <f t="shared" si="19"/>
        <v>965983.2329209767</v>
      </c>
      <c r="AE102" s="239">
        <f t="shared" si="19"/>
        <v>991098.7969769222</v>
      </c>
      <c r="AF102" s="239">
        <f t="shared" si="19"/>
        <v>1016867.365698322</v>
      </c>
      <c r="AG102" s="239">
        <f t="shared" si="19"/>
        <v>1043305.9172064785</v>
      </c>
      <c r="AH102" s="239">
        <f t="shared" si="19"/>
        <v>1070431.8710538463</v>
      </c>
      <c r="AI102" s="239">
        <f t="shared" si="19"/>
        <v>1070431.8710538463</v>
      </c>
      <c r="AJ102" s="239">
        <f t="shared" si="19"/>
        <v>1070431.8710538463</v>
      </c>
      <c r="AK102" s="239">
        <f t="shared" si="19"/>
        <v>1070431.8710538463</v>
      </c>
      <c r="AL102" s="239">
        <f t="shared" si="19"/>
        <v>1070431.8710538463</v>
      </c>
      <c r="AM102" s="239">
        <f t="shared" si="19"/>
        <v>1070431.8710538463</v>
      </c>
      <c r="AN102" s="239">
        <f t="shared" si="19"/>
        <v>1070431.8710538463</v>
      </c>
      <c r="AO102" s="239">
        <f t="shared" si="19"/>
        <v>1070431.8710538463</v>
      </c>
      <c r="AP102" s="239">
        <f t="shared" si="19"/>
        <v>1070431.8710538463</v>
      </c>
      <c r="AQ102" s="239">
        <f t="shared" si="19"/>
        <v>1070431.8710538463</v>
      </c>
      <c r="AR102" s="239">
        <f t="shared" si="19"/>
        <v>1070431.8710538463</v>
      </c>
      <c r="AS102" s="239">
        <f t="shared" si="19"/>
        <v>1070431.8710538463</v>
      </c>
      <c r="AT102" s="239">
        <f t="shared" si="19"/>
        <v>1070431.8710538463</v>
      </c>
      <c r="AU102" s="239">
        <f t="shared" si="19"/>
        <v>1070431.8710538463</v>
      </c>
      <c r="AV102" s="239">
        <f t="shared" si="19"/>
        <v>1070431.8710538463</v>
      </c>
      <c r="AW102" s="239">
        <f t="shared" si="19"/>
        <v>1070431.8710538463</v>
      </c>
      <c r="AX102" s="239">
        <f t="shared" si="19"/>
        <v>1070431.8710538463</v>
      </c>
      <c r="AY102" s="239">
        <f t="shared" si="19"/>
        <v>1070431.8710538463</v>
      </c>
      <c r="AZ102" s="239"/>
      <c r="BA102" s="239"/>
    </row>
    <row r="103" spans="1:53" ht="5.5" customHeight="1" x14ac:dyDescent="0.35">
      <c r="A103" s="178"/>
      <c r="B103" s="178"/>
      <c r="C103" s="178"/>
      <c r="D103" s="178"/>
      <c r="E103" s="178"/>
      <c r="F103" s="178"/>
      <c r="G103" s="246"/>
      <c r="H103" s="178"/>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row>
    <row r="104" spans="1:53" ht="14.5" x14ac:dyDescent="0.35">
      <c r="A104" s="178"/>
      <c r="B104" s="178"/>
      <c r="C104" s="178"/>
      <c r="D104" s="178"/>
      <c r="E104" s="26" t="str">
        <f>"Annual Existing Vehicle-Hours in "&amp;$H$11&amp;" (with Project)"</f>
        <v>Annual Existing Vehicle-Hours in I-35 Segment (with Project)</v>
      </c>
      <c r="F104" s="26" t="s">
        <v>219</v>
      </c>
      <c r="G104" s="60" t="s">
        <v>842</v>
      </c>
      <c r="H104" s="243"/>
      <c r="I104" s="239">
        <f t="shared" ref="I104:AY104" si="20">I89/I97</f>
        <v>685308</v>
      </c>
      <c r="J104" s="239">
        <f t="shared" si="20"/>
        <v>703126.00799999991</v>
      </c>
      <c r="K104" s="239">
        <f t="shared" si="20"/>
        <v>721407.28420800006</v>
      </c>
      <c r="L104" s="239">
        <f t="shared" si="20"/>
        <v>740163.87359740795</v>
      </c>
      <c r="M104" s="239">
        <f t="shared" si="20"/>
        <v>759408.13431094063</v>
      </c>
      <c r="N104" s="239">
        <f t="shared" si="20"/>
        <v>779152.74580302509</v>
      </c>
      <c r="O104" s="239">
        <f t="shared" si="20"/>
        <v>799410.71719390352</v>
      </c>
      <c r="P104" s="239">
        <f t="shared" si="20"/>
        <v>820195.39584094507</v>
      </c>
      <c r="Q104" s="239">
        <f t="shared" si="20"/>
        <v>841520.47613280953</v>
      </c>
      <c r="R104" s="239">
        <f t="shared" si="20"/>
        <v>863400.00851226272</v>
      </c>
      <c r="S104" s="239">
        <f t="shared" si="20"/>
        <v>885848.40873358154</v>
      </c>
      <c r="T104" s="239">
        <f t="shared" si="20"/>
        <v>908880.46736065485</v>
      </c>
      <c r="U104" s="239">
        <f t="shared" si="20"/>
        <v>932511.35951203178</v>
      </c>
      <c r="V104" s="239">
        <f t="shared" si="20"/>
        <v>956756.65485934471</v>
      </c>
      <c r="W104" s="239">
        <f t="shared" si="20"/>
        <v>981632.32788568758</v>
      </c>
      <c r="X104" s="239">
        <f t="shared" si="20"/>
        <v>1007154.7684107155</v>
      </c>
      <c r="Y104" s="239">
        <f t="shared" si="20"/>
        <v>1033340.7923893941</v>
      </c>
      <c r="Z104" s="239">
        <f t="shared" si="20"/>
        <v>1060207.6529915184</v>
      </c>
      <c r="AA104" s="239">
        <f t="shared" si="20"/>
        <v>1087773.0519692979</v>
      </c>
      <c r="AB104" s="239">
        <f t="shared" si="20"/>
        <v>1116055.1513204996</v>
      </c>
      <c r="AC104" s="239">
        <f t="shared" si="20"/>
        <v>1170147.1674136976</v>
      </c>
      <c r="AD104" s="239">
        <f t="shared" si="20"/>
        <v>1200570.9937664536</v>
      </c>
      <c r="AE104" s="239">
        <f t="shared" si="20"/>
        <v>1231785.8396043815</v>
      </c>
      <c r="AF104" s="239">
        <f t="shared" si="20"/>
        <v>1263812.2714340952</v>
      </c>
      <c r="AG104" s="239">
        <f t="shared" si="20"/>
        <v>1296671.3904913818</v>
      </c>
      <c r="AH104" s="239">
        <f t="shared" si="20"/>
        <v>1330384.8466441571</v>
      </c>
      <c r="AI104" s="239">
        <f t="shared" si="20"/>
        <v>1330384.8466441571</v>
      </c>
      <c r="AJ104" s="239">
        <f t="shared" si="20"/>
        <v>1330384.8466441571</v>
      </c>
      <c r="AK104" s="239">
        <f t="shared" si="20"/>
        <v>1330384.8466441571</v>
      </c>
      <c r="AL104" s="239">
        <f t="shared" si="20"/>
        <v>1330384.8466441571</v>
      </c>
      <c r="AM104" s="239">
        <f t="shared" si="20"/>
        <v>1330384.8466441571</v>
      </c>
      <c r="AN104" s="239">
        <f t="shared" si="20"/>
        <v>1330384.8466441571</v>
      </c>
      <c r="AO104" s="239">
        <f t="shared" si="20"/>
        <v>1330384.8466441571</v>
      </c>
      <c r="AP104" s="239">
        <f t="shared" si="20"/>
        <v>1330384.8466441571</v>
      </c>
      <c r="AQ104" s="239">
        <f t="shared" si="20"/>
        <v>1330384.8466441571</v>
      </c>
      <c r="AR104" s="239">
        <f t="shared" si="20"/>
        <v>1330384.8466441571</v>
      </c>
      <c r="AS104" s="239">
        <f t="shared" si="20"/>
        <v>1330384.8466441571</v>
      </c>
      <c r="AT104" s="239">
        <f t="shared" si="20"/>
        <v>1330384.8466441571</v>
      </c>
      <c r="AU104" s="239">
        <f t="shared" si="20"/>
        <v>1330384.8466441571</v>
      </c>
      <c r="AV104" s="239">
        <f t="shared" si="20"/>
        <v>1330384.8466441571</v>
      </c>
      <c r="AW104" s="239">
        <f t="shared" si="20"/>
        <v>1330384.8466441571</v>
      </c>
      <c r="AX104" s="239">
        <f t="shared" si="20"/>
        <v>1330384.8466441571</v>
      </c>
      <c r="AY104" s="239">
        <f t="shared" si="20"/>
        <v>1330384.8466441571</v>
      </c>
      <c r="AZ104" s="239"/>
      <c r="BA104" s="239"/>
    </row>
    <row r="105" spans="1:53" ht="5.5" customHeight="1" x14ac:dyDescent="0.35">
      <c r="A105" s="178"/>
      <c r="B105" s="178"/>
      <c r="C105" s="178"/>
      <c r="D105" s="178"/>
      <c r="E105" s="178"/>
      <c r="F105" s="26"/>
      <c r="G105" s="246"/>
      <c r="H105" s="178"/>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row>
    <row r="106" spans="1:53" ht="14.5" x14ac:dyDescent="0.35">
      <c r="A106" s="178"/>
      <c r="B106" s="178"/>
      <c r="C106" s="178"/>
      <c r="D106" s="178"/>
      <c r="E106" s="26" t="str">
        <f>"Annual Existing Truck VHTs in "&amp;$H$11&amp;" (with Project)"</f>
        <v>Annual Existing Truck VHTs in I-35 Segment (with Project)</v>
      </c>
      <c r="F106" s="26" t="s">
        <v>219</v>
      </c>
      <c r="G106" s="60" t="s">
        <v>842</v>
      </c>
      <c r="H106" s="243"/>
      <c r="I106" s="239">
        <f t="shared" ref="I106:AY106" si="21">I91/I97</f>
        <v>178180.08</v>
      </c>
      <c r="J106" s="239">
        <f t="shared" si="21"/>
        <v>182812.76207999999</v>
      </c>
      <c r="K106" s="239">
        <f t="shared" si="21"/>
        <v>187565.89389408001</v>
      </c>
      <c r="L106" s="239">
        <f t="shared" si="21"/>
        <v>192442.60713532608</v>
      </c>
      <c r="M106" s="239">
        <f t="shared" si="21"/>
        <v>197446.11492084456</v>
      </c>
      <c r="N106" s="239">
        <f t="shared" si="21"/>
        <v>202579.71390878651</v>
      </c>
      <c r="O106" s="239">
        <f t="shared" si="21"/>
        <v>207846.78647041493</v>
      </c>
      <c r="P106" s="239">
        <f t="shared" si="21"/>
        <v>213250.80291864573</v>
      </c>
      <c r="Q106" s="239">
        <f t="shared" si="21"/>
        <v>218795.3237945305</v>
      </c>
      <c r="R106" s="239">
        <f t="shared" si="21"/>
        <v>224484.0022131883</v>
      </c>
      <c r="S106" s="239">
        <f t="shared" si="21"/>
        <v>230320.5862707312</v>
      </c>
      <c r="T106" s="239">
        <f t="shared" si="21"/>
        <v>236308.92151377024</v>
      </c>
      <c r="U106" s="239">
        <f t="shared" si="21"/>
        <v>242452.95347312826</v>
      </c>
      <c r="V106" s="239">
        <f t="shared" si="21"/>
        <v>248756.73026342961</v>
      </c>
      <c r="W106" s="239">
        <f t="shared" si="21"/>
        <v>255224.40525027877</v>
      </c>
      <c r="X106" s="239">
        <f t="shared" si="21"/>
        <v>261860.23978678606</v>
      </c>
      <c r="Y106" s="239">
        <f t="shared" si="21"/>
        <v>268668.60602124251</v>
      </c>
      <c r="Z106" s="239">
        <f t="shared" si="21"/>
        <v>275653.98977779481</v>
      </c>
      <c r="AA106" s="239">
        <f t="shared" si="21"/>
        <v>282820.99351201742</v>
      </c>
      <c r="AB106" s="239">
        <f t="shared" si="21"/>
        <v>290174.33934332989</v>
      </c>
      <c r="AC106" s="239">
        <f t="shared" si="21"/>
        <v>304238.26352756139</v>
      </c>
      <c r="AD106" s="239">
        <f t="shared" si="21"/>
        <v>312148.45837927796</v>
      </c>
      <c r="AE106" s="239">
        <f t="shared" si="21"/>
        <v>320264.31829713919</v>
      </c>
      <c r="AF106" s="239">
        <f t="shared" si="21"/>
        <v>328591.19057286478</v>
      </c>
      <c r="AG106" s="239">
        <f t="shared" si="21"/>
        <v>337134.56152775924</v>
      </c>
      <c r="AH106" s="239">
        <f t="shared" si="21"/>
        <v>345900.06012748083</v>
      </c>
      <c r="AI106" s="239">
        <f t="shared" si="21"/>
        <v>345900.06012748083</v>
      </c>
      <c r="AJ106" s="239">
        <f t="shared" si="21"/>
        <v>345900.06012748083</v>
      </c>
      <c r="AK106" s="239">
        <f t="shared" si="21"/>
        <v>345900.06012748083</v>
      </c>
      <c r="AL106" s="239">
        <f t="shared" si="21"/>
        <v>345900.06012748083</v>
      </c>
      <c r="AM106" s="239">
        <f t="shared" si="21"/>
        <v>345900.06012748083</v>
      </c>
      <c r="AN106" s="239">
        <f t="shared" si="21"/>
        <v>345900.06012748083</v>
      </c>
      <c r="AO106" s="239">
        <f t="shared" si="21"/>
        <v>345900.06012748083</v>
      </c>
      <c r="AP106" s="239">
        <f t="shared" si="21"/>
        <v>345900.06012748083</v>
      </c>
      <c r="AQ106" s="239">
        <f t="shared" si="21"/>
        <v>345900.06012748083</v>
      </c>
      <c r="AR106" s="239">
        <f t="shared" si="21"/>
        <v>345900.06012748083</v>
      </c>
      <c r="AS106" s="239">
        <f t="shared" si="21"/>
        <v>345900.06012748083</v>
      </c>
      <c r="AT106" s="239">
        <f t="shared" si="21"/>
        <v>345900.06012748083</v>
      </c>
      <c r="AU106" s="239">
        <f t="shared" si="21"/>
        <v>345900.06012748083</v>
      </c>
      <c r="AV106" s="239">
        <f t="shared" si="21"/>
        <v>345900.06012748083</v>
      </c>
      <c r="AW106" s="239">
        <f t="shared" si="21"/>
        <v>345900.06012748083</v>
      </c>
      <c r="AX106" s="239">
        <f t="shared" si="21"/>
        <v>345900.06012748083</v>
      </c>
      <c r="AY106" s="239">
        <f t="shared" si="21"/>
        <v>345900.06012748083</v>
      </c>
      <c r="AZ106" s="239"/>
      <c r="BA106" s="239"/>
    </row>
    <row r="107" spans="1:53" ht="14.5" x14ac:dyDescent="0.35">
      <c r="A107" s="178"/>
      <c r="B107" s="178"/>
      <c r="C107" s="178"/>
      <c r="D107" s="178"/>
      <c r="E107" s="26" t="str">
        <f>"Annual Existing Auto VHTs in "&amp;$H$11&amp;" (with Project)"</f>
        <v>Annual Existing Auto VHTs in I-35 Segment (with Project)</v>
      </c>
      <c r="F107" s="26" t="s">
        <v>219</v>
      </c>
      <c r="G107" s="60" t="s">
        <v>842</v>
      </c>
      <c r="H107" s="243"/>
      <c r="I107" s="239">
        <f t="shared" ref="I107:AY107" si="22">I92/I97</f>
        <v>507127.92</v>
      </c>
      <c r="J107" s="239">
        <f t="shared" si="22"/>
        <v>520313.2459199999</v>
      </c>
      <c r="K107" s="239">
        <f t="shared" si="22"/>
        <v>533841.3903139201</v>
      </c>
      <c r="L107" s="239">
        <f t="shared" si="22"/>
        <v>547721.26646208193</v>
      </c>
      <c r="M107" s="239">
        <f t="shared" si="22"/>
        <v>561962.01939009607</v>
      </c>
      <c r="N107" s="239">
        <f t="shared" si="22"/>
        <v>576573.03189423855</v>
      </c>
      <c r="O107" s="239">
        <f t="shared" si="22"/>
        <v>591563.93072348868</v>
      </c>
      <c r="P107" s="239">
        <f t="shared" si="22"/>
        <v>606944.5929222994</v>
      </c>
      <c r="Q107" s="239">
        <f t="shared" si="22"/>
        <v>622725.15233827906</v>
      </c>
      <c r="R107" s="239">
        <f t="shared" si="22"/>
        <v>638916.00629907439</v>
      </c>
      <c r="S107" s="239">
        <f t="shared" si="22"/>
        <v>655527.82246285037</v>
      </c>
      <c r="T107" s="239">
        <f t="shared" si="22"/>
        <v>672571.5458468846</v>
      </c>
      <c r="U107" s="239">
        <f t="shared" si="22"/>
        <v>690058.40603890351</v>
      </c>
      <c r="V107" s="239">
        <f t="shared" si="22"/>
        <v>707999.92459591501</v>
      </c>
      <c r="W107" s="239">
        <f t="shared" si="22"/>
        <v>726407.92263540882</v>
      </c>
      <c r="X107" s="239">
        <f t="shared" si="22"/>
        <v>745294.52862392936</v>
      </c>
      <c r="Y107" s="239">
        <f t="shared" si="22"/>
        <v>764672.18636815168</v>
      </c>
      <c r="Z107" s="239">
        <f t="shared" si="22"/>
        <v>784553.66321372357</v>
      </c>
      <c r="AA107" s="239">
        <f t="shared" si="22"/>
        <v>804952.05845728039</v>
      </c>
      <c r="AB107" s="239">
        <f t="shared" si="22"/>
        <v>825880.81197716971</v>
      </c>
      <c r="AC107" s="239">
        <f t="shared" si="22"/>
        <v>865908.90388613625</v>
      </c>
      <c r="AD107" s="239">
        <f t="shared" si="22"/>
        <v>888422.53538717574</v>
      </c>
      <c r="AE107" s="239">
        <f t="shared" si="22"/>
        <v>911521.52130724234</v>
      </c>
      <c r="AF107" s="239">
        <f t="shared" si="22"/>
        <v>935221.08086123038</v>
      </c>
      <c r="AG107" s="239">
        <f t="shared" si="22"/>
        <v>959536.82896362257</v>
      </c>
      <c r="AH107" s="239">
        <f t="shared" si="22"/>
        <v>984484.78651667619</v>
      </c>
      <c r="AI107" s="239">
        <f t="shared" si="22"/>
        <v>984484.78651667619</v>
      </c>
      <c r="AJ107" s="239">
        <f t="shared" si="22"/>
        <v>984484.78651667619</v>
      </c>
      <c r="AK107" s="239">
        <f t="shared" si="22"/>
        <v>984484.78651667619</v>
      </c>
      <c r="AL107" s="239">
        <f t="shared" si="22"/>
        <v>984484.78651667619</v>
      </c>
      <c r="AM107" s="239">
        <f t="shared" si="22"/>
        <v>984484.78651667619</v>
      </c>
      <c r="AN107" s="239">
        <f t="shared" si="22"/>
        <v>984484.78651667619</v>
      </c>
      <c r="AO107" s="239">
        <f t="shared" si="22"/>
        <v>984484.78651667619</v>
      </c>
      <c r="AP107" s="239">
        <f t="shared" si="22"/>
        <v>984484.78651667619</v>
      </c>
      <c r="AQ107" s="239">
        <f t="shared" si="22"/>
        <v>984484.78651667619</v>
      </c>
      <c r="AR107" s="239">
        <f t="shared" si="22"/>
        <v>984484.78651667619</v>
      </c>
      <c r="AS107" s="239">
        <f t="shared" si="22"/>
        <v>984484.78651667619</v>
      </c>
      <c r="AT107" s="239">
        <f t="shared" si="22"/>
        <v>984484.78651667619</v>
      </c>
      <c r="AU107" s="239">
        <f t="shared" si="22"/>
        <v>984484.78651667619</v>
      </c>
      <c r="AV107" s="239">
        <f t="shared" si="22"/>
        <v>984484.78651667619</v>
      </c>
      <c r="AW107" s="239">
        <f t="shared" si="22"/>
        <v>984484.78651667619</v>
      </c>
      <c r="AX107" s="239">
        <f t="shared" si="22"/>
        <v>984484.78651667619</v>
      </c>
      <c r="AY107" s="239">
        <f t="shared" si="22"/>
        <v>984484.78651667619</v>
      </c>
      <c r="AZ107" s="239"/>
      <c r="BA107" s="239"/>
    </row>
    <row r="108" spans="1:53" ht="5.5" customHeight="1" x14ac:dyDescent="0.35">
      <c r="A108" s="178"/>
      <c r="B108" s="178"/>
      <c r="C108" s="178"/>
      <c r="D108" s="178"/>
      <c r="E108" s="178"/>
      <c r="F108" s="178"/>
      <c r="G108" s="246"/>
      <c r="H108" s="178"/>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row>
    <row r="109" spans="1:53" ht="14.5" x14ac:dyDescent="0.35">
      <c r="A109" s="178"/>
      <c r="B109" s="279" t="s">
        <v>843</v>
      </c>
      <c r="C109" s="178"/>
      <c r="D109" s="513"/>
      <c r="E109" s="26"/>
      <c r="F109" s="26"/>
      <c r="G109" s="60"/>
      <c r="H109" s="243"/>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row>
    <row r="110" spans="1:53" ht="5.5" customHeight="1" x14ac:dyDescent="0.35">
      <c r="A110" s="178"/>
      <c r="B110" s="178"/>
      <c r="C110" s="178"/>
      <c r="D110" s="178"/>
      <c r="E110" s="178"/>
      <c r="F110" s="178"/>
      <c r="G110" s="246"/>
      <c r="H110" s="178"/>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row>
    <row r="111" spans="1:53" ht="14.5" x14ac:dyDescent="0.35">
      <c r="A111" s="178"/>
      <c r="B111" s="178"/>
      <c r="C111" s="178"/>
      <c r="D111" s="178"/>
      <c r="E111" s="26" t="s">
        <v>863</v>
      </c>
      <c r="F111" s="26" t="s">
        <v>219</v>
      </c>
      <c r="G111" s="60" t="s">
        <v>861</v>
      </c>
      <c r="H111" s="178"/>
      <c r="I111" s="196">
        <f t="shared" ref="I111:AY111" si="23">SUM(I84)</f>
        <v>47971560</v>
      </c>
      <c r="J111" s="196">
        <f t="shared" si="23"/>
        <v>49218820.559999995</v>
      </c>
      <c r="K111" s="196">
        <f t="shared" si="23"/>
        <v>50498509.894560002</v>
      </c>
      <c r="L111" s="196">
        <f t="shared" si="23"/>
        <v>51811471.151818559</v>
      </c>
      <c r="M111" s="196">
        <f t="shared" si="23"/>
        <v>53158569.401765846</v>
      </c>
      <c r="N111" s="196">
        <f t="shared" si="23"/>
        <v>54540692.206211753</v>
      </c>
      <c r="O111" s="196">
        <f t="shared" si="23"/>
        <v>55958750.203573249</v>
      </c>
      <c r="P111" s="196">
        <f t="shared" si="23"/>
        <v>57413677.708866157</v>
      </c>
      <c r="Q111" s="196">
        <f t="shared" si="23"/>
        <v>58906433.329296671</v>
      </c>
      <c r="R111" s="196">
        <f t="shared" si="23"/>
        <v>60438000.595858388</v>
      </c>
      <c r="S111" s="196">
        <f t="shared" si="23"/>
        <v>62009388.611350708</v>
      </c>
      <c r="T111" s="196">
        <f t="shared" si="23"/>
        <v>63621632.715245835</v>
      </c>
      <c r="U111" s="196">
        <f t="shared" si="23"/>
        <v>65275795.165842228</v>
      </c>
      <c r="V111" s="196">
        <f t="shared" si="23"/>
        <v>66972965.840154126</v>
      </c>
      <c r="W111" s="196">
        <f t="shared" si="23"/>
        <v>68714262.951998129</v>
      </c>
      <c r="X111" s="196">
        <f t="shared" si="23"/>
        <v>70500833.788750082</v>
      </c>
      <c r="Y111" s="196">
        <f t="shared" si="23"/>
        <v>72333855.467257589</v>
      </c>
      <c r="Z111" s="196">
        <f t="shared" si="23"/>
        <v>74214535.709406286</v>
      </c>
      <c r="AA111" s="196">
        <f t="shared" si="23"/>
        <v>76144113.637850851</v>
      </c>
      <c r="AB111" s="196">
        <f t="shared" si="23"/>
        <v>78123860.592434973</v>
      </c>
      <c r="AC111" s="196">
        <f t="shared" si="23"/>
        <v>80155080.967838287</v>
      </c>
      <c r="AD111" s="196">
        <f t="shared" si="23"/>
        <v>82239113.07300207</v>
      </c>
      <c r="AE111" s="196">
        <f t="shared" si="23"/>
        <v>84377330.012900129</v>
      </c>
      <c r="AF111" s="196">
        <f t="shared" si="23"/>
        <v>86571140.593235523</v>
      </c>
      <c r="AG111" s="196">
        <f t="shared" si="23"/>
        <v>88821990.248659655</v>
      </c>
      <c r="AH111" s="196">
        <f t="shared" si="23"/>
        <v>91131361.995124757</v>
      </c>
      <c r="AI111" s="196">
        <f t="shared" si="23"/>
        <v>91131361.995124757</v>
      </c>
      <c r="AJ111" s="196">
        <f t="shared" si="23"/>
        <v>91131361.995124757</v>
      </c>
      <c r="AK111" s="196">
        <f t="shared" si="23"/>
        <v>91131361.995124757</v>
      </c>
      <c r="AL111" s="196">
        <f t="shared" si="23"/>
        <v>91131361.995124757</v>
      </c>
      <c r="AM111" s="196">
        <f t="shared" si="23"/>
        <v>91131361.995124757</v>
      </c>
      <c r="AN111" s="196">
        <f t="shared" si="23"/>
        <v>91131361.995124757</v>
      </c>
      <c r="AO111" s="196">
        <f t="shared" si="23"/>
        <v>91131361.995124757</v>
      </c>
      <c r="AP111" s="196">
        <f t="shared" si="23"/>
        <v>91131361.995124757</v>
      </c>
      <c r="AQ111" s="196">
        <f t="shared" si="23"/>
        <v>91131361.995124757</v>
      </c>
      <c r="AR111" s="196">
        <f t="shared" si="23"/>
        <v>91131361.995124757</v>
      </c>
      <c r="AS111" s="196">
        <f t="shared" si="23"/>
        <v>91131361.995124757</v>
      </c>
      <c r="AT111" s="196">
        <f t="shared" si="23"/>
        <v>91131361.995124757</v>
      </c>
      <c r="AU111" s="196">
        <f t="shared" si="23"/>
        <v>91131361.995124757</v>
      </c>
      <c r="AV111" s="196">
        <f t="shared" si="23"/>
        <v>91131361.995124757</v>
      </c>
      <c r="AW111" s="196">
        <f t="shared" si="23"/>
        <v>91131361.995124757</v>
      </c>
      <c r="AX111" s="196">
        <f t="shared" si="23"/>
        <v>91131361.995124757</v>
      </c>
      <c r="AY111" s="196">
        <f t="shared" si="23"/>
        <v>91131361.995124757</v>
      </c>
      <c r="AZ111" s="196"/>
      <c r="BA111" s="196"/>
    </row>
    <row r="112" spans="1:53" ht="5.5" customHeight="1" x14ac:dyDescent="0.35">
      <c r="A112" s="178"/>
      <c r="B112" s="178"/>
      <c r="C112" s="178"/>
      <c r="D112" s="178"/>
      <c r="E112" s="178"/>
      <c r="F112" s="178"/>
      <c r="G112" s="246"/>
      <c r="H112" s="178"/>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row>
    <row r="113" spans="1:53" ht="14.5" x14ac:dyDescent="0.35">
      <c r="A113" s="193"/>
      <c r="B113" s="193"/>
      <c r="C113" s="193"/>
      <c r="D113" s="193"/>
      <c r="E113" s="51" t="s">
        <v>864</v>
      </c>
      <c r="F113" s="51" t="s">
        <v>219</v>
      </c>
      <c r="G113" s="65" t="s">
        <v>861</v>
      </c>
      <c r="H113" s="193"/>
      <c r="I113" s="514">
        <f t="shared" ref="I113:AY113" si="24">SUM(I86)</f>
        <v>12472605.6</v>
      </c>
      <c r="J113" s="514">
        <f t="shared" si="24"/>
        <v>12796893.3456</v>
      </c>
      <c r="K113" s="514">
        <f t="shared" si="24"/>
        <v>13129612.572585601</v>
      </c>
      <c r="L113" s="514">
        <f t="shared" si="24"/>
        <v>13470982.499472825</v>
      </c>
      <c r="M113" s="514">
        <f t="shared" si="24"/>
        <v>13821228.044459119</v>
      </c>
      <c r="N113" s="514">
        <f t="shared" si="24"/>
        <v>14180579.973615056</v>
      </c>
      <c r="O113" s="514">
        <f t="shared" si="24"/>
        <v>14549275.052929046</v>
      </c>
      <c r="P113" s="514">
        <f t="shared" si="24"/>
        <v>14927556.204305202</v>
      </c>
      <c r="Q113" s="514">
        <f t="shared" si="24"/>
        <v>15315672.665617134</v>
      </c>
      <c r="R113" s="514">
        <f t="shared" si="24"/>
        <v>15713880.154923182</v>
      </c>
      <c r="S113" s="514">
        <f t="shared" si="24"/>
        <v>16122441.038951185</v>
      </c>
      <c r="T113" s="514">
        <f t="shared" si="24"/>
        <v>16541624.505963918</v>
      </c>
      <c r="U113" s="514">
        <f t="shared" si="24"/>
        <v>16971706.743118979</v>
      </c>
      <c r="V113" s="514">
        <f t="shared" si="24"/>
        <v>17412971.118440073</v>
      </c>
      <c r="W113" s="514">
        <f t="shared" si="24"/>
        <v>17865708.367519513</v>
      </c>
      <c r="X113" s="514">
        <f t="shared" si="24"/>
        <v>18330216.785075024</v>
      </c>
      <c r="Y113" s="514">
        <f t="shared" si="24"/>
        <v>18806802.421486974</v>
      </c>
      <c r="Z113" s="514">
        <f t="shared" si="24"/>
        <v>19295779.284445636</v>
      </c>
      <c r="AA113" s="514">
        <f t="shared" si="24"/>
        <v>19797469.545841221</v>
      </c>
      <c r="AB113" s="514">
        <f t="shared" si="24"/>
        <v>20312203.754033092</v>
      </c>
      <c r="AC113" s="514">
        <f t="shared" si="24"/>
        <v>20840321.051637955</v>
      </c>
      <c r="AD113" s="514">
        <f t="shared" si="24"/>
        <v>21382169.398980539</v>
      </c>
      <c r="AE113" s="514">
        <f t="shared" si="24"/>
        <v>21938105.803354036</v>
      </c>
      <c r="AF113" s="514">
        <f t="shared" si="24"/>
        <v>22508496.554241236</v>
      </c>
      <c r="AG113" s="514">
        <f t="shared" si="24"/>
        <v>23093717.46465151</v>
      </c>
      <c r="AH113" s="514">
        <f t="shared" si="24"/>
        <v>23694154.118732437</v>
      </c>
      <c r="AI113" s="514">
        <f t="shared" si="24"/>
        <v>23694154.118732437</v>
      </c>
      <c r="AJ113" s="514">
        <f t="shared" si="24"/>
        <v>23694154.118732437</v>
      </c>
      <c r="AK113" s="514">
        <f t="shared" si="24"/>
        <v>23694154.118732437</v>
      </c>
      <c r="AL113" s="514">
        <f t="shared" si="24"/>
        <v>23694154.118732437</v>
      </c>
      <c r="AM113" s="514">
        <f t="shared" si="24"/>
        <v>23694154.118732437</v>
      </c>
      <c r="AN113" s="514">
        <f t="shared" si="24"/>
        <v>23694154.118732437</v>
      </c>
      <c r="AO113" s="514">
        <f t="shared" si="24"/>
        <v>23694154.118732437</v>
      </c>
      <c r="AP113" s="514">
        <f t="shared" si="24"/>
        <v>23694154.118732437</v>
      </c>
      <c r="AQ113" s="514">
        <f t="shared" si="24"/>
        <v>23694154.118732437</v>
      </c>
      <c r="AR113" s="514">
        <f t="shared" si="24"/>
        <v>23694154.118732437</v>
      </c>
      <c r="AS113" s="514">
        <f t="shared" si="24"/>
        <v>23694154.118732437</v>
      </c>
      <c r="AT113" s="514">
        <f t="shared" si="24"/>
        <v>23694154.118732437</v>
      </c>
      <c r="AU113" s="514">
        <f t="shared" si="24"/>
        <v>23694154.118732437</v>
      </c>
      <c r="AV113" s="514">
        <f t="shared" si="24"/>
        <v>23694154.118732437</v>
      </c>
      <c r="AW113" s="514">
        <f t="shared" si="24"/>
        <v>23694154.118732437</v>
      </c>
      <c r="AX113" s="514">
        <f t="shared" si="24"/>
        <v>23694154.118732437</v>
      </c>
      <c r="AY113" s="514">
        <f t="shared" si="24"/>
        <v>23694154.118732437</v>
      </c>
      <c r="AZ113" s="514"/>
      <c r="BA113" s="514"/>
    </row>
    <row r="114" spans="1:53" ht="14.5" x14ac:dyDescent="0.35">
      <c r="A114" s="193"/>
      <c r="B114" s="193"/>
      <c r="C114" s="193"/>
      <c r="D114" s="193"/>
      <c r="E114" s="51" t="s">
        <v>865</v>
      </c>
      <c r="F114" s="51" t="s">
        <v>219</v>
      </c>
      <c r="G114" s="65" t="s">
        <v>861</v>
      </c>
      <c r="H114" s="193"/>
      <c r="I114" s="514">
        <f t="shared" ref="I114:AY114" si="25">SUM(I87)</f>
        <v>35498954.399999999</v>
      </c>
      <c r="J114" s="514">
        <f t="shared" si="25"/>
        <v>36421927.214399993</v>
      </c>
      <c r="K114" s="514">
        <f t="shared" si="25"/>
        <v>37368897.321974404</v>
      </c>
      <c r="L114" s="514">
        <f t="shared" si="25"/>
        <v>38340488.652345732</v>
      </c>
      <c r="M114" s="514">
        <f t="shared" si="25"/>
        <v>39337341.357306726</v>
      </c>
      <c r="N114" s="514">
        <f t="shared" si="25"/>
        <v>40360112.232596695</v>
      </c>
      <c r="O114" s="514">
        <f t="shared" si="25"/>
        <v>41409475.150644206</v>
      </c>
      <c r="P114" s="514">
        <f t="shared" si="25"/>
        <v>42486121.504560955</v>
      </c>
      <c r="Q114" s="514">
        <f t="shared" si="25"/>
        <v>43590760.663679533</v>
      </c>
      <c r="R114" s="514">
        <f t="shared" si="25"/>
        <v>44724120.440935209</v>
      </c>
      <c r="S114" s="514">
        <f t="shared" si="25"/>
        <v>45886947.572399527</v>
      </c>
      <c r="T114" s="514">
        <f t="shared" si="25"/>
        <v>47080008.209281921</v>
      </c>
      <c r="U114" s="514">
        <f t="shared" si="25"/>
        <v>48304088.422723249</v>
      </c>
      <c r="V114" s="514">
        <f t="shared" si="25"/>
        <v>49559994.72171405</v>
      </c>
      <c r="W114" s="514">
        <f t="shared" si="25"/>
        <v>50848554.584478617</v>
      </c>
      <c r="X114" s="514">
        <f t="shared" si="25"/>
        <v>52170617.003675058</v>
      </c>
      <c r="Y114" s="514">
        <f t="shared" si="25"/>
        <v>53527053.045770615</v>
      </c>
      <c r="Z114" s="514">
        <f t="shared" si="25"/>
        <v>54918756.424960651</v>
      </c>
      <c r="AA114" s="514">
        <f t="shared" si="25"/>
        <v>56346644.092009626</v>
      </c>
      <c r="AB114" s="514">
        <f t="shared" si="25"/>
        <v>57811656.838401876</v>
      </c>
      <c r="AC114" s="514">
        <f t="shared" si="25"/>
        <v>59314759.916200332</v>
      </c>
      <c r="AD114" s="514">
        <f t="shared" si="25"/>
        <v>60856943.674021535</v>
      </c>
      <c r="AE114" s="514">
        <f t="shared" si="25"/>
        <v>62439224.209546097</v>
      </c>
      <c r="AF114" s="514">
        <f t="shared" si="25"/>
        <v>64062644.038994282</v>
      </c>
      <c r="AG114" s="514">
        <f t="shared" si="25"/>
        <v>65728272.784008145</v>
      </c>
      <c r="AH114" s="514">
        <f t="shared" si="25"/>
        <v>67437207.87639232</v>
      </c>
      <c r="AI114" s="514">
        <f t="shared" si="25"/>
        <v>67437207.87639232</v>
      </c>
      <c r="AJ114" s="514">
        <f t="shared" si="25"/>
        <v>67437207.87639232</v>
      </c>
      <c r="AK114" s="514">
        <f t="shared" si="25"/>
        <v>67437207.87639232</v>
      </c>
      <c r="AL114" s="514">
        <f t="shared" si="25"/>
        <v>67437207.87639232</v>
      </c>
      <c r="AM114" s="514">
        <f t="shared" si="25"/>
        <v>67437207.87639232</v>
      </c>
      <c r="AN114" s="514">
        <f t="shared" si="25"/>
        <v>67437207.87639232</v>
      </c>
      <c r="AO114" s="514">
        <f t="shared" si="25"/>
        <v>67437207.87639232</v>
      </c>
      <c r="AP114" s="514">
        <f t="shared" si="25"/>
        <v>67437207.87639232</v>
      </c>
      <c r="AQ114" s="514">
        <f t="shared" si="25"/>
        <v>67437207.87639232</v>
      </c>
      <c r="AR114" s="514">
        <f t="shared" si="25"/>
        <v>67437207.87639232</v>
      </c>
      <c r="AS114" s="514">
        <f t="shared" si="25"/>
        <v>67437207.87639232</v>
      </c>
      <c r="AT114" s="514">
        <f t="shared" si="25"/>
        <v>67437207.87639232</v>
      </c>
      <c r="AU114" s="514">
        <f t="shared" si="25"/>
        <v>67437207.87639232</v>
      </c>
      <c r="AV114" s="514">
        <f t="shared" si="25"/>
        <v>67437207.87639232</v>
      </c>
      <c r="AW114" s="514">
        <f t="shared" si="25"/>
        <v>67437207.87639232</v>
      </c>
      <c r="AX114" s="514">
        <f t="shared" si="25"/>
        <v>67437207.87639232</v>
      </c>
      <c r="AY114" s="514">
        <f t="shared" si="25"/>
        <v>67437207.87639232</v>
      </c>
      <c r="AZ114" s="514"/>
      <c r="BA114" s="514"/>
    </row>
    <row r="115" spans="1:53" ht="5.5" customHeight="1" x14ac:dyDescent="0.35">
      <c r="A115" s="178"/>
      <c r="B115" s="178"/>
      <c r="C115" s="178"/>
      <c r="D115" s="178"/>
      <c r="E115" s="178"/>
      <c r="F115" s="178"/>
      <c r="G115" s="246"/>
      <c r="H115" s="178"/>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row>
    <row r="116" spans="1:53" ht="14.5" x14ac:dyDescent="0.35">
      <c r="A116" s="178"/>
      <c r="B116" s="178"/>
      <c r="C116" s="178"/>
      <c r="D116" s="178"/>
      <c r="E116" s="26" t="s">
        <v>866</v>
      </c>
      <c r="F116" s="26" t="s">
        <v>219</v>
      </c>
      <c r="G116" s="60" t="s">
        <v>861</v>
      </c>
      <c r="H116" s="178"/>
      <c r="I116" s="196">
        <f t="shared" ref="I116:AY116" si="26">SUM(I89)</f>
        <v>47971560</v>
      </c>
      <c r="J116" s="196">
        <f t="shared" si="26"/>
        <v>49218820.559999995</v>
      </c>
      <c r="K116" s="196">
        <f t="shared" si="26"/>
        <v>50498509.894560002</v>
      </c>
      <c r="L116" s="196">
        <f t="shared" si="26"/>
        <v>51811471.151818559</v>
      </c>
      <c r="M116" s="196">
        <f t="shared" si="26"/>
        <v>53158569.401765846</v>
      </c>
      <c r="N116" s="196">
        <f t="shared" si="26"/>
        <v>54540692.206211753</v>
      </c>
      <c r="O116" s="196">
        <f t="shared" si="26"/>
        <v>55958750.203573249</v>
      </c>
      <c r="P116" s="196">
        <f t="shared" si="26"/>
        <v>57413677.708866157</v>
      </c>
      <c r="Q116" s="196">
        <f t="shared" si="26"/>
        <v>58906433.329296671</v>
      </c>
      <c r="R116" s="196">
        <f t="shared" si="26"/>
        <v>60438000.595858388</v>
      </c>
      <c r="S116" s="196">
        <f t="shared" si="26"/>
        <v>62009388.611350708</v>
      </c>
      <c r="T116" s="196">
        <f t="shared" si="26"/>
        <v>63621632.715245835</v>
      </c>
      <c r="U116" s="196">
        <f t="shared" si="26"/>
        <v>65275795.165842228</v>
      </c>
      <c r="V116" s="196">
        <f t="shared" si="26"/>
        <v>66972965.840154126</v>
      </c>
      <c r="W116" s="196">
        <f t="shared" si="26"/>
        <v>68714262.951998129</v>
      </c>
      <c r="X116" s="196">
        <f t="shared" si="26"/>
        <v>70500833.788750082</v>
      </c>
      <c r="Y116" s="196">
        <f t="shared" si="26"/>
        <v>72333855.467257589</v>
      </c>
      <c r="Z116" s="196">
        <f t="shared" si="26"/>
        <v>74214535.709406286</v>
      </c>
      <c r="AA116" s="196">
        <f t="shared" si="26"/>
        <v>76144113.637850851</v>
      </c>
      <c r="AB116" s="196">
        <f t="shared" si="26"/>
        <v>78123860.592434973</v>
      </c>
      <c r="AC116" s="196">
        <f t="shared" si="26"/>
        <v>80155080.967838287</v>
      </c>
      <c r="AD116" s="196">
        <f t="shared" si="26"/>
        <v>82239113.07300207</v>
      </c>
      <c r="AE116" s="196">
        <f t="shared" si="26"/>
        <v>84377330.012900129</v>
      </c>
      <c r="AF116" s="196">
        <f t="shared" si="26"/>
        <v>86571140.593235523</v>
      </c>
      <c r="AG116" s="196">
        <f t="shared" si="26"/>
        <v>88821990.248659655</v>
      </c>
      <c r="AH116" s="196">
        <f t="shared" si="26"/>
        <v>91131361.995124757</v>
      </c>
      <c r="AI116" s="196">
        <f t="shared" si="26"/>
        <v>91131361.995124757</v>
      </c>
      <c r="AJ116" s="196">
        <f t="shared" si="26"/>
        <v>91131361.995124757</v>
      </c>
      <c r="AK116" s="196">
        <f t="shared" si="26"/>
        <v>91131361.995124757</v>
      </c>
      <c r="AL116" s="196">
        <f t="shared" si="26"/>
        <v>91131361.995124757</v>
      </c>
      <c r="AM116" s="196">
        <f t="shared" si="26"/>
        <v>91131361.995124757</v>
      </c>
      <c r="AN116" s="196">
        <f t="shared" si="26"/>
        <v>91131361.995124757</v>
      </c>
      <c r="AO116" s="196">
        <f t="shared" si="26"/>
        <v>91131361.995124757</v>
      </c>
      <c r="AP116" s="196">
        <f t="shared" si="26"/>
        <v>91131361.995124757</v>
      </c>
      <c r="AQ116" s="196">
        <f t="shared" si="26"/>
        <v>91131361.995124757</v>
      </c>
      <c r="AR116" s="196">
        <f t="shared" si="26"/>
        <v>91131361.995124757</v>
      </c>
      <c r="AS116" s="196">
        <f t="shared" si="26"/>
        <v>91131361.995124757</v>
      </c>
      <c r="AT116" s="196">
        <f t="shared" si="26"/>
        <v>91131361.995124757</v>
      </c>
      <c r="AU116" s="196">
        <f t="shared" si="26"/>
        <v>91131361.995124757</v>
      </c>
      <c r="AV116" s="196">
        <f t="shared" si="26"/>
        <v>91131361.995124757</v>
      </c>
      <c r="AW116" s="196">
        <f t="shared" si="26"/>
        <v>91131361.995124757</v>
      </c>
      <c r="AX116" s="196">
        <f t="shared" si="26"/>
        <v>91131361.995124757</v>
      </c>
      <c r="AY116" s="196">
        <f t="shared" si="26"/>
        <v>91131361.995124757</v>
      </c>
      <c r="AZ116" s="196"/>
      <c r="BA116" s="196"/>
    </row>
    <row r="117" spans="1:53" ht="5.5" customHeight="1" x14ac:dyDescent="0.35">
      <c r="A117" s="178"/>
      <c r="B117" s="178"/>
      <c r="C117" s="178"/>
      <c r="D117" s="178"/>
      <c r="E117" s="178"/>
      <c r="F117" s="178"/>
      <c r="G117" s="246"/>
      <c r="H117" s="178"/>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row>
    <row r="118" spans="1:53" ht="14.5" x14ac:dyDescent="0.35">
      <c r="A118" s="193"/>
      <c r="B118" s="193"/>
      <c r="C118" s="193"/>
      <c r="D118" s="193"/>
      <c r="E118" s="51" t="s">
        <v>867</v>
      </c>
      <c r="F118" s="51" t="s">
        <v>219</v>
      </c>
      <c r="G118" s="65" t="s">
        <v>861</v>
      </c>
      <c r="H118" s="193"/>
      <c r="I118" s="514">
        <f t="shared" ref="I118:AY118" si="27">SUM(I91)</f>
        <v>12472605.6</v>
      </c>
      <c r="J118" s="514">
        <f t="shared" si="27"/>
        <v>12796893.3456</v>
      </c>
      <c r="K118" s="514">
        <f t="shared" si="27"/>
        <v>13129612.572585601</v>
      </c>
      <c r="L118" s="514">
        <f t="shared" si="27"/>
        <v>13470982.499472825</v>
      </c>
      <c r="M118" s="514">
        <f t="shared" si="27"/>
        <v>13821228.044459119</v>
      </c>
      <c r="N118" s="514">
        <f t="shared" si="27"/>
        <v>14180579.973615056</v>
      </c>
      <c r="O118" s="514">
        <f t="shared" si="27"/>
        <v>14549275.052929046</v>
      </c>
      <c r="P118" s="514">
        <f t="shared" si="27"/>
        <v>14927556.204305202</v>
      </c>
      <c r="Q118" s="514">
        <f t="shared" si="27"/>
        <v>15315672.665617134</v>
      </c>
      <c r="R118" s="514">
        <f t="shared" si="27"/>
        <v>15713880.154923182</v>
      </c>
      <c r="S118" s="514">
        <f t="shared" si="27"/>
        <v>16122441.038951185</v>
      </c>
      <c r="T118" s="514">
        <f t="shared" si="27"/>
        <v>16541624.505963918</v>
      </c>
      <c r="U118" s="514">
        <f t="shared" si="27"/>
        <v>16971706.743118979</v>
      </c>
      <c r="V118" s="514">
        <f t="shared" si="27"/>
        <v>17412971.118440073</v>
      </c>
      <c r="W118" s="514">
        <f t="shared" si="27"/>
        <v>17865708.367519513</v>
      </c>
      <c r="X118" s="514">
        <f t="shared" si="27"/>
        <v>18330216.785075024</v>
      </c>
      <c r="Y118" s="514">
        <f t="shared" si="27"/>
        <v>18806802.421486974</v>
      </c>
      <c r="Z118" s="514">
        <f t="shared" si="27"/>
        <v>19295779.284445636</v>
      </c>
      <c r="AA118" s="514">
        <f t="shared" si="27"/>
        <v>19797469.545841221</v>
      </c>
      <c r="AB118" s="514">
        <f t="shared" si="27"/>
        <v>20312203.754033092</v>
      </c>
      <c r="AC118" s="514">
        <f t="shared" si="27"/>
        <v>20840321.051637955</v>
      </c>
      <c r="AD118" s="514">
        <f t="shared" si="27"/>
        <v>21382169.398980539</v>
      </c>
      <c r="AE118" s="514">
        <f t="shared" si="27"/>
        <v>21938105.803354036</v>
      </c>
      <c r="AF118" s="514">
        <f t="shared" si="27"/>
        <v>22508496.554241236</v>
      </c>
      <c r="AG118" s="514">
        <f t="shared" si="27"/>
        <v>23093717.46465151</v>
      </c>
      <c r="AH118" s="514">
        <f t="shared" si="27"/>
        <v>23694154.118732437</v>
      </c>
      <c r="AI118" s="514">
        <f t="shared" si="27"/>
        <v>23694154.118732437</v>
      </c>
      <c r="AJ118" s="514">
        <f t="shared" si="27"/>
        <v>23694154.118732437</v>
      </c>
      <c r="AK118" s="514">
        <f t="shared" si="27"/>
        <v>23694154.118732437</v>
      </c>
      <c r="AL118" s="514">
        <f t="shared" si="27"/>
        <v>23694154.118732437</v>
      </c>
      <c r="AM118" s="514">
        <f t="shared" si="27"/>
        <v>23694154.118732437</v>
      </c>
      <c r="AN118" s="514">
        <f t="shared" si="27"/>
        <v>23694154.118732437</v>
      </c>
      <c r="AO118" s="514">
        <f t="shared" si="27"/>
        <v>23694154.118732437</v>
      </c>
      <c r="AP118" s="514">
        <f t="shared" si="27"/>
        <v>23694154.118732437</v>
      </c>
      <c r="AQ118" s="514">
        <f t="shared" si="27"/>
        <v>23694154.118732437</v>
      </c>
      <c r="AR118" s="514">
        <f t="shared" si="27"/>
        <v>23694154.118732437</v>
      </c>
      <c r="AS118" s="514">
        <f t="shared" si="27"/>
        <v>23694154.118732437</v>
      </c>
      <c r="AT118" s="514">
        <f t="shared" si="27"/>
        <v>23694154.118732437</v>
      </c>
      <c r="AU118" s="514">
        <f t="shared" si="27"/>
        <v>23694154.118732437</v>
      </c>
      <c r="AV118" s="514">
        <f t="shared" si="27"/>
        <v>23694154.118732437</v>
      </c>
      <c r="AW118" s="514">
        <f t="shared" si="27"/>
        <v>23694154.118732437</v>
      </c>
      <c r="AX118" s="514">
        <f t="shared" si="27"/>
        <v>23694154.118732437</v>
      </c>
      <c r="AY118" s="514">
        <f t="shared" si="27"/>
        <v>23694154.118732437</v>
      </c>
      <c r="AZ118" s="514"/>
      <c r="BA118" s="514"/>
    </row>
    <row r="119" spans="1:53" ht="14.5" x14ac:dyDescent="0.35">
      <c r="A119" s="193"/>
      <c r="B119" s="193"/>
      <c r="C119" s="193"/>
      <c r="D119" s="193"/>
      <c r="E119" s="51" t="s">
        <v>868</v>
      </c>
      <c r="F119" s="51" t="s">
        <v>219</v>
      </c>
      <c r="G119" s="65" t="s">
        <v>861</v>
      </c>
      <c r="H119" s="193"/>
      <c r="I119" s="514">
        <f t="shared" ref="I119:AY119" si="28">SUM(I92)</f>
        <v>35498954.399999999</v>
      </c>
      <c r="J119" s="514">
        <f t="shared" si="28"/>
        <v>36421927.214399993</v>
      </c>
      <c r="K119" s="514">
        <f t="shared" si="28"/>
        <v>37368897.321974404</v>
      </c>
      <c r="L119" s="514">
        <f t="shared" si="28"/>
        <v>38340488.652345732</v>
      </c>
      <c r="M119" s="514">
        <f t="shared" si="28"/>
        <v>39337341.357306726</v>
      </c>
      <c r="N119" s="514">
        <f t="shared" si="28"/>
        <v>40360112.232596695</v>
      </c>
      <c r="O119" s="514">
        <f t="shared" si="28"/>
        <v>41409475.150644206</v>
      </c>
      <c r="P119" s="514">
        <f t="shared" si="28"/>
        <v>42486121.504560955</v>
      </c>
      <c r="Q119" s="514">
        <f t="shared" si="28"/>
        <v>43590760.663679533</v>
      </c>
      <c r="R119" s="514">
        <f t="shared" si="28"/>
        <v>44724120.440935209</v>
      </c>
      <c r="S119" s="514">
        <f t="shared" si="28"/>
        <v>45886947.572399527</v>
      </c>
      <c r="T119" s="514">
        <f t="shared" si="28"/>
        <v>47080008.209281921</v>
      </c>
      <c r="U119" s="514">
        <f t="shared" si="28"/>
        <v>48304088.422723249</v>
      </c>
      <c r="V119" s="514">
        <f t="shared" si="28"/>
        <v>49559994.72171405</v>
      </c>
      <c r="W119" s="514">
        <f t="shared" si="28"/>
        <v>50848554.584478617</v>
      </c>
      <c r="X119" s="514">
        <f t="shared" si="28"/>
        <v>52170617.003675058</v>
      </c>
      <c r="Y119" s="514">
        <f t="shared" si="28"/>
        <v>53527053.045770615</v>
      </c>
      <c r="Z119" s="514">
        <f t="shared" si="28"/>
        <v>54918756.424960651</v>
      </c>
      <c r="AA119" s="514">
        <f t="shared" si="28"/>
        <v>56346644.092009626</v>
      </c>
      <c r="AB119" s="514">
        <f t="shared" si="28"/>
        <v>57811656.838401876</v>
      </c>
      <c r="AC119" s="514">
        <f t="shared" si="28"/>
        <v>59314759.916200332</v>
      </c>
      <c r="AD119" s="514">
        <f t="shared" si="28"/>
        <v>60856943.674021535</v>
      </c>
      <c r="AE119" s="514">
        <f t="shared" si="28"/>
        <v>62439224.209546097</v>
      </c>
      <c r="AF119" s="514">
        <f t="shared" si="28"/>
        <v>64062644.038994282</v>
      </c>
      <c r="AG119" s="514">
        <f t="shared" si="28"/>
        <v>65728272.784008145</v>
      </c>
      <c r="AH119" s="514">
        <f t="shared" si="28"/>
        <v>67437207.87639232</v>
      </c>
      <c r="AI119" s="514">
        <f t="shared" si="28"/>
        <v>67437207.87639232</v>
      </c>
      <c r="AJ119" s="514">
        <f t="shared" si="28"/>
        <v>67437207.87639232</v>
      </c>
      <c r="AK119" s="514">
        <f t="shared" si="28"/>
        <v>67437207.87639232</v>
      </c>
      <c r="AL119" s="514">
        <f t="shared" si="28"/>
        <v>67437207.87639232</v>
      </c>
      <c r="AM119" s="514">
        <f t="shared" si="28"/>
        <v>67437207.87639232</v>
      </c>
      <c r="AN119" s="514">
        <f t="shared" si="28"/>
        <v>67437207.87639232</v>
      </c>
      <c r="AO119" s="514">
        <f t="shared" si="28"/>
        <v>67437207.87639232</v>
      </c>
      <c r="AP119" s="514">
        <f t="shared" si="28"/>
        <v>67437207.87639232</v>
      </c>
      <c r="AQ119" s="514">
        <f t="shared" si="28"/>
        <v>67437207.87639232</v>
      </c>
      <c r="AR119" s="514">
        <f t="shared" si="28"/>
        <v>67437207.87639232</v>
      </c>
      <c r="AS119" s="514">
        <f t="shared" si="28"/>
        <v>67437207.87639232</v>
      </c>
      <c r="AT119" s="514">
        <f t="shared" si="28"/>
        <v>67437207.87639232</v>
      </c>
      <c r="AU119" s="514">
        <f t="shared" si="28"/>
        <v>67437207.87639232</v>
      </c>
      <c r="AV119" s="514">
        <f t="shared" si="28"/>
        <v>67437207.87639232</v>
      </c>
      <c r="AW119" s="514">
        <f t="shared" si="28"/>
        <v>67437207.87639232</v>
      </c>
      <c r="AX119" s="514">
        <f t="shared" si="28"/>
        <v>67437207.87639232</v>
      </c>
      <c r="AY119" s="514">
        <f t="shared" si="28"/>
        <v>67437207.87639232</v>
      </c>
      <c r="AZ119" s="514"/>
      <c r="BA119" s="514"/>
    </row>
    <row r="120" spans="1:53" ht="5.5" customHeight="1" x14ac:dyDescent="0.35">
      <c r="A120" s="178"/>
      <c r="B120" s="178"/>
      <c r="C120" s="178"/>
      <c r="D120" s="178"/>
      <c r="E120" s="178"/>
      <c r="F120" s="178"/>
      <c r="G120" s="246"/>
      <c r="H120" s="178"/>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row>
    <row r="121" spans="1:53" ht="14.5" x14ac:dyDescent="0.35">
      <c r="A121" s="178"/>
      <c r="B121" s="178"/>
      <c r="C121" s="178"/>
      <c r="D121" s="178"/>
      <c r="E121" s="26" t="s">
        <v>869</v>
      </c>
      <c r="F121" s="26" t="s">
        <v>219</v>
      </c>
      <c r="G121" s="60" t="s">
        <v>842</v>
      </c>
      <c r="H121" s="178"/>
      <c r="I121" s="196">
        <f t="shared" ref="I121:AY121" si="29">SUM(I99)</f>
        <v>685308</v>
      </c>
      <c r="J121" s="196">
        <f t="shared" si="29"/>
        <v>703126.00799999991</v>
      </c>
      <c r="K121" s="196">
        <f t="shared" si="29"/>
        <v>721407.28420800006</v>
      </c>
      <c r="L121" s="196">
        <f t="shared" si="29"/>
        <v>740163.87359740795</v>
      </c>
      <c r="M121" s="196">
        <f t="shared" si="29"/>
        <v>759408.13431094063</v>
      </c>
      <c r="N121" s="196">
        <f t="shared" si="29"/>
        <v>779152.74580302509</v>
      </c>
      <c r="O121" s="196">
        <f>SUM(O99)</f>
        <v>816916.06136603281</v>
      </c>
      <c r="P121" s="196">
        <f t="shared" si="29"/>
        <v>838155.87896154972</v>
      </c>
      <c r="Q121" s="196">
        <f t="shared" si="29"/>
        <v>859947.93181454996</v>
      </c>
      <c r="R121" s="196">
        <f t="shared" si="29"/>
        <v>882306.57804172824</v>
      </c>
      <c r="S121" s="196">
        <f t="shared" si="29"/>
        <v>905246.54907081323</v>
      </c>
      <c r="T121" s="196">
        <f t="shared" si="29"/>
        <v>928782.95934665448</v>
      </c>
      <c r="U121" s="196">
        <f t="shared" si="29"/>
        <v>952931.31628966751</v>
      </c>
      <c r="V121" s="196">
        <f t="shared" si="29"/>
        <v>977707.53051319893</v>
      </c>
      <c r="W121" s="196">
        <f t="shared" si="29"/>
        <v>1003127.926306542</v>
      </c>
      <c r="X121" s="196">
        <f t="shared" si="29"/>
        <v>1029209.2523905121</v>
      </c>
      <c r="Y121" s="196">
        <f t="shared" si="29"/>
        <v>1055968.6929526655</v>
      </c>
      <c r="Z121" s="196">
        <f t="shared" si="29"/>
        <v>1083423.8789694349</v>
      </c>
      <c r="AA121" s="196">
        <f t="shared" si="29"/>
        <v>1111592.8998226402</v>
      </c>
      <c r="AB121" s="196">
        <f t="shared" si="29"/>
        <v>1140494.3152180288</v>
      </c>
      <c r="AC121" s="196">
        <f t="shared" si="29"/>
        <v>1170147.1674136976</v>
      </c>
      <c r="AD121" s="196">
        <f t="shared" si="29"/>
        <v>1305382.747190509</v>
      </c>
      <c r="AE121" s="196">
        <f t="shared" si="29"/>
        <v>1339322.6986174623</v>
      </c>
      <c r="AF121" s="196">
        <f t="shared" si="29"/>
        <v>1374145.0887815163</v>
      </c>
      <c r="AG121" s="196">
        <f t="shared" si="29"/>
        <v>1409872.8610898359</v>
      </c>
      <c r="AH121" s="196">
        <f>SUM(AH99)</f>
        <v>1446529.5554781707</v>
      </c>
      <c r="AI121" s="196">
        <f t="shared" si="29"/>
        <v>1446529.5554781707</v>
      </c>
      <c r="AJ121" s="196">
        <f t="shared" si="29"/>
        <v>1446529.5554781707</v>
      </c>
      <c r="AK121" s="196">
        <f t="shared" si="29"/>
        <v>1446529.5554781707</v>
      </c>
      <c r="AL121" s="196">
        <f t="shared" si="29"/>
        <v>1446529.5554781707</v>
      </c>
      <c r="AM121" s="196">
        <f t="shared" si="29"/>
        <v>1446529.5554781707</v>
      </c>
      <c r="AN121" s="196">
        <f t="shared" si="29"/>
        <v>1446529.5554781707</v>
      </c>
      <c r="AO121" s="196">
        <f t="shared" si="29"/>
        <v>1446529.5554781707</v>
      </c>
      <c r="AP121" s="196">
        <f t="shared" si="29"/>
        <v>1446529.5554781707</v>
      </c>
      <c r="AQ121" s="196">
        <f t="shared" si="29"/>
        <v>1446529.5554781707</v>
      </c>
      <c r="AR121" s="196">
        <f t="shared" si="29"/>
        <v>1446529.5554781707</v>
      </c>
      <c r="AS121" s="196">
        <f t="shared" si="29"/>
        <v>1446529.5554781707</v>
      </c>
      <c r="AT121" s="196">
        <f t="shared" si="29"/>
        <v>1446529.5554781707</v>
      </c>
      <c r="AU121" s="196">
        <f t="shared" si="29"/>
        <v>1446529.5554781707</v>
      </c>
      <c r="AV121" s="196">
        <f t="shared" si="29"/>
        <v>1446529.5554781707</v>
      </c>
      <c r="AW121" s="196">
        <f t="shared" si="29"/>
        <v>1446529.5554781707</v>
      </c>
      <c r="AX121" s="196">
        <f t="shared" si="29"/>
        <v>1446529.5554781707</v>
      </c>
      <c r="AY121" s="196">
        <f t="shared" si="29"/>
        <v>1446529.5554781707</v>
      </c>
      <c r="AZ121" s="196"/>
      <c r="BA121" s="196"/>
    </row>
    <row r="122" spans="1:53" ht="5.5" customHeight="1" x14ac:dyDescent="0.35">
      <c r="A122" s="178"/>
      <c r="B122" s="178"/>
      <c r="C122" s="178"/>
      <c r="D122" s="178"/>
      <c r="E122" s="178"/>
      <c r="F122" s="178"/>
      <c r="G122" s="246"/>
      <c r="H122" s="178"/>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row>
    <row r="123" spans="1:53" ht="14.5" x14ac:dyDescent="0.35">
      <c r="A123" s="178"/>
      <c r="B123" s="178"/>
      <c r="C123" s="178"/>
      <c r="D123" s="178"/>
      <c r="E123" s="26" t="s">
        <v>870</v>
      </c>
      <c r="F123" s="26" t="s">
        <v>219</v>
      </c>
      <c r="G123" s="60" t="s">
        <v>842</v>
      </c>
      <c r="H123" s="178"/>
      <c r="I123" s="196">
        <f t="shared" ref="I123:AY123" si="30">SUM(I101)</f>
        <v>178180.08</v>
      </c>
      <c r="J123" s="196">
        <f t="shared" si="30"/>
        <v>182812.76207999999</v>
      </c>
      <c r="K123" s="196">
        <f t="shared" si="30"/>
        <v>187565.89389408001</v>
      </c>
      <c r="L123" s="196">
        <f t="shared" si="30"/>
        <v>192442.60713532608</v>
      </c>
      <c r="M123" s="196">
        <f t="shared" si="30"/>
        <v>197446.11492084456</v>
      </c>
      <c r="N123" s="196">
        <f t="shared" si="30"/>
        <v>202579.71390878651</v>
      </c>
      <c r="O123" s="196">
        <f t="shared" si="30"/>
        <v>212398.17595516855</v>
      </c>
      <c r="P123" s="196">
        <f t="shared" si="30"/>
        <v>217920.52853000295</v>
      </c>
      <c r="Q123" s="196">
        <f t="shared" si="30"/>
        <v>223586.46227178298</v>
      </c>
      <c r="R123" s="196">
        <f t="shared" si="30"/>
        <v>229399.71029084938</v>
      </c>
      <c r="S123" s="196">
        <f t="shared" si="30"/>
        <v>235364.10275841146</v>
      </c>
      <c r="T123" s="196">
        <f t="shared" si="30"/>
        <v>241483.56943013018</v>
      </c>
      <c r="U123" s="196">
        <f t="shared" si="30"/>
        <v>247762.14223531357</v>
      </c>
      <c r="V123" s="196">
        <f t="shared" si="30"/>
        <v>254203.95793343172</v>
      </c>
      <c r="W123" s="196">
        <f t="shared" si="30"/>
        <v>260813.2608397009</v>
      </c>
      <c r="X123" s="196">
        <f t="shared" si="30"/>
        <v>267594.40562153317</v>
      </c>
      <c r="Y123" s="196">
        <f t="shared" si="30"/>
        <v>274551.86016769306</v>
      </c>
      <c r="Z123" s="196">
        <f t="shared" si="30"/>
        <v>281690.2085320531</v>
      </c>
      <c r="AA123" s="196">
        <f t="shared" si="30"/>
        <v>289014.15395388642</v>
      </c>
      <c r="AB123" s="196">
        <f t="shared" si="30"/>
        <v>296528.5219566875</v>
      </c>
      <c r="AC123" s="196">
        <f t="shared" si="30"/>
        <v>304238.26352756139</v>
      </c>
      <c r="AD123" s="196">
        <f t="shared" si="30"/>
        <v>339399.51426953234</v>
      </c>
      <c r="AE123" s="196">
        <f t="shared" si="30"/>
        <v>348223.90164054028</v>
      </c>
      <c r="AF123" s="196">
        <f t="shared" si="30"/>
        <v>357277.72308319423</v>
      </c>
      <c r="AG123" s="196">
        <f t="shared" si="30"/>
        <v>366566.94388335728</v>
      </c>
      <c r="AH123" s="196">
        <f t="shared" si="30"/>
        <v>376097.68442432443</v>
      </c>
      <c r="AI123" s="196">
        <f t="shared" si="30"/>
        <v>376097.68442432443</v>
      </c>
      <c r="AJ123" s="196">
        <f t="shared" si="30"/>
        <v>376097.68442432443</v>
      </c>
      <c r="AK123" s="196">
        <f t="shared" si="30"/>
        <v>376097.68442432443</v>
      </c>
      <c r="AL123" s="196">
        <f t="shared" si="30"/>
        <v>376097.68442432443</v>
      </c>
      <c r="AM123" s="196">
        <f t="shared" si="30"/>
        <v>376097.68442432443</v>
      </c>
      <c r="AN123" s="196">
        <f t="shared" si="30"/>
        <v>376097.68442432443</v>
      </c>
      <c r="AO123" s="196">
        <f t="shared" si="30"/>
        <v>376097.68442432443</v>
      </c>
      <c r="AP123" s="196">
        <f t="shared" si="30"/>
        <v>376097.68442432443</v>
      </c>
      <c r="AQ123" s="196">
        <f t="shared" si="30"/>
        <v>376097.68442432443</v>
      </c>
      <c r="AR123" s="196">
        <f t="shared" si="30"/>
        <v>376097.68442432443</v>
      </c>
      <c r="AS123" s="196">
        <f t="shared" si="30"/>
        <v>376097.68442432443</v>
      </c>
      <c r="AT123" s="196">
        <f t="shared" si="30"/>
        <v>376097.68442432443</v>
      </c>
      <c r="AU123" s="196">
        <f t="shared" si="30"/>
        <v>376097.68442432443</v>
      </c>
      <c r="AV123" s="196">
        <f t="shared" si="30"/>
        <v>376097.68442432443</v>
      </c>
      <c r="AW123" s="196">
        <f t="shared" si="30"/>
        <v>376097.68442432443</v>
      </c>
      <c r="AX123" s="196">
        <f t="shared" si="30"/>
        <v>376097.68442432443</v>
      </c>
      <c r="AY123" s="196">
        <f t="shared" si="30"/>
        <v>376097.68442432443</v>
      </c>
      <c r="AZ123" s="196"/>
      <c r="BA123" s="196"/>
    </row>
    <row r="124" spans="1:53" ht="14.5" x14ac:dyDescent="0.35">
      <c r="A124" s="178"/>
      <c r="B124" s="178"/>
      <c r="C124" s="178"/>
      <c r="D124" s="178"/>
      <c r="E124" s="26" t="s">
        <v>871</v>
      </c>
      <c r="F124" s="26" t="s">
        <v>219</v>
      </c>
      <c r="G124" s="60" t="s">
        <v>842</v>
      </c>
      <c r="H124" s="178"/>
      <c r="I124" s="196">
        <f t="shared" ref="I124:AY124" si="31">SUM(I102)</f>
        <v>507127.92</v>
      </c>
      <c r="J124" s="196">
        <f t="shared" si="31"/>
        <v>520313.2459199999</v>
      </c>
      <c r="K124" s="196">
        <f t="shared" si="31"/>
        <v>533841.3903139201</v>
      </c>
      <c r="L124" s="196">
        <f t="shared" si="31"/>
        <v>547721.26646208193</v>
      </c>
      <c r="M124" s="196">
        <f t="shared" si="31"/>
        <v>561962.01939009607</v>
      </c>
      <c r="N124" s="196">
        <f t="shared" si="31"/>
        <v>576573.03189423855</v>
      </c>
      <c r="O124" s="196">
        <f t="shared" si="31"/>
        <v>604517.88541086437</v>
      </c>
      <c r="P124" s="196">
        <f t="shared" si="31"/>
        <v>620235.3504315468</v>
      </c>
      <c r="Q124" s="196">
        <f t="shared" si="31"/>
        <v>636361.46954276692</v>
      </c>
      <c r="R124" s="196">
        <f t="shared" si="31"/>
        <v>652906.86775087891</v>
      </c>
      <c r="S124" s="196">
        <f t="shared" si="31"/>
        <v>669882.44631240191</v>
      </c>
      <c r="T124" s="196">
        <f t="shared" si="31"/>
        <v>687299.38991652441</v>
      </c>
      <c r="U124" s="196">
        <f t="shared" si="31"/>
        <v>705169.17405435396</v>
      </c>
      <c r="V124" s="196">
        <f t="shared" si="31"/>
        <v>723503.57257976709</v>
      </c>
      <c r="W124" s="196">
        <f t="shared" si="31"/>
        <v>742314.66546684108</v>
      </c>
      <c r="X124" s="196">
        <f t="shared" si="31"/>
        <v>761614.84676897898</v>
      </c>
      <c r="Y124" s="196">
        <f t="shared" si="31"/>
        <v>781416.8327849725</v>
      </c>
      <c r="Z124" s="196">
        <f t="shared" si="31"/>
        <v>801733.67043738172</v>
      </c>
      <c r="AA124" s="196">
        <f t="shared" si="31"/>
        <v>822578.74586875364</v>
      </c>
      <c r="AB124" s="196">
        <f t="shared" si="31"/>
        <v>843965.79326134128</v>
      </c>
      <c r="AC124" s="196">
        <f t="shared" si="31"/>
        <v>865908.90388613625</v>
      </c>
      <c r="AD124" s="196">
        <f t="shared" si="31"/>
        <v>965983.2329209767</v>
      </c>
      <c r="AE124" s="196">
        <f t="shared" si="31"/>
        <v>991098.7969769222</v>
      </c>
      <c r="AF124" s="196">
        <f t="shared" si="31"/>
        <v>1016867.365698322</v>
      </c>
      <c r="AG124" s="196">
        <f t="shared" si="31"/>
        <v>1043305.9172064785</v>
      </c>
      <c r="AH124" s="196">
        <f t="shared" si="31"/>
        <v>1070431.8710538463</v>
      </c>
      <c r="AI124" s="196">
        <f t="shared" si="31"/>
        <v>1070431.8710538463</v>
      </c>
      <c r="AJ124" s="196">
        <f t="shared" si="31"/>
        <v>1070431.8710538463</v>
      </c>
      <c r="AK124" s="196">
        <f t="shared" si="31"/>
        <v>1070431.8710538463</v>
      </c>
      <c r="AL124" s="196">
        <f t="shared" si="31"/>
        <v>1070431.8710538463</v>
      </c>
      <c r="AM124" s="196">
        <f t="shared" si="31"/>
        <v>1070431.8710538463</v>
      </c>
      <c r="AN124" s="196">
        <f t="shared" si="31"/>
        <v>1070431.8710538463</v>
      </c>
      <c r="AO124" s="196">
        <f t="shared" si="31"/>
        <v>1070431.8710538463</v>
      </c>
      <c r="AP124" s="196">
        <f t="shared" si="31"/>
        <v>1070431.8710538463</v>
      </c>
      <c r="AQ124" s="196">
        <f t="shared" si="31"/>
        <v>1070431.8710538463</v>
      </c>
      <c r="AR124" s="196">
        <f t="shared" si="31"/>
        <v>1070431.8710538463</v>
      </c>
      <c r="AS124" s="196">
        <f t="shared" si="31"/>
        <v>1070431.8710538463</v>
      </c>
      <c r="AT124" s="196">
        <f t="shared" si="31"/>
        <v>1070431.8710538463</v>
      </c>
      <c r="AU124" s="196">
        <f t="shared" si="31"/>
        <v>1070431.8710538463</v>
      </c>
      <c r="AV124" s="196">
        <f t="shared" si="31"/>
        <v>1070431.8710538463</v>
      </c>
      <c r="AW124" s="196">
        <f t="shared" si="31"/>
        <v>1070431.8710538463</v>
      </c>
      <c r="AX124" s="196">
        <f t="shared" si="31"/>
        <v>1070431.8710538463</v>
      </c>
      <c r="AY124" s="196">
        <f t="shared" si="31"/>
        <v>1070431.8710538463</v>
      </c>
      <c r="AZ124" s="196"/>
      <c r="BA124" s="196"/>
    </row>
    <row r="125" spans="1:53" ht="5.5" customHeight="1" x14ac:dyDescent="0.35">
      <c r="A125" s="178"/>
      <c r="B125" s="178"/>
      <c r="C125" s="178"/>
      <c r="D125" s="178"/>
      <c r="E125" s="178"/>
      <c r="F125" s="178"/>
      <c r="G125" s="246"/>
      <c r="H125" s="178"/>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row>
    <row r="126" spans="1:53" ht="14.5" x14ac:dyDescent="0.35">
      <c r="A126" s="178"/>
      <c r="B126" s="178"/>
      <c r="C126" s="178"/>
      <c r="D126" s="178"/>
      <c r="E126" s="26" t="s">
        <v>872</v>
      </c>
      <c r="F126" s="26" t="s">
        <v>219</v>
      </c>
      <c r="G126" s="60" t="s">
        <v>842</v>
      </c>
      <c r="H126" s="178"/>
      <c r="I126" s="196">
        <f t="shared" ref="I126:AY126" si="32">SUM(I104)</f>
        <v>685308</v>
      </c>
      <c r="J126" s="196">
        <f t="shared" si="32"/>
        <v>703126.00799999991</v>
      </c>
      <c r="K126" s="196">
        <f t="shared" si="32"/>
        <v>721407.28420800006</v>
      </c>
      <c r="L126" s="196">
        <f t="shared" si="32"/>
        <v>740163.87359740795</v>
      </c>
      <c r="M126" s="196">
        <f t="shared" si="32"/>
        <v>759408.13431094063</v>
      </c>
      <c r="N126" s="196">
        <f t="shared" si="32"/>
        <v>779152.74580302509</v>
      </c>
      <c r="O126" s="196">
        <f t="shared" si="32"/>
        <v>799410.71719390352</v>
      </c>
      <c r="P126" s="196">
        <f t="shared" si="32"/>
        <v>820195.39584094507</v>
      </c>
      <c r="Q126" s="196">
        <f t="shared" si="32"/>
        <v>841520.47613280953</v>
      </c>
      <c r="R126" s="196">
        <f t="shared" si="32"/>
        <v>863400.00851226272</v>
      </c>
      <c r="S126" s="196">
        <f t="shared" si="32"/>
        <v>885848.40873358154</v>
      </c>
      <c r="T126" s="196">
        <f t="shared" si="32"/>
        <v>908880.46736065485</v>
      </c>
      <c r="U126" s="196">
        <f t="shared" si="32"/>
        <v>932511.35951203178</v>
      </c>
      <c r="V126" s="196">
        <f t="shared" si="32"/>
        <v>956756.65485934471</v>
      </c>
      <c r="W126" s="196">
        <f t="shared" si="32"/>
        <v>981632.32788568758</v>
      </c>
      <c r="X126" s="196">
        <f t="shared" si="32"/>
        <v>1007154.7684107155</v>
      </c>
      <c r="Y126" s="196">
        <f t="shared" si="32"/>
        <v>1033340.7923893941</v>
      </c>
      <c r="Z126" s="196">
        <f t="shared" si="32"/>
        <v>1060207.6529915184</v>
      </c>
      <c r="AA126" s="196">
        <f t="shared" si="32"/>
        <v>1087773.0519692979</v>
      </c>
      <c r="AB126" s="196">
        <f t="shared" si="32"/>
        <v>1116055.1513204996</v>
      </c>
      <c r="AC126" s="196">
        <f t="shared" si="32"/>
        <v>1170147.1674136976</v>
      </c>
      <c r="AD126" s="196">
        <f t="shared" si="32"/>
        <v>1200570.9937664536</v>
      </c>
      <c r="AE126" s="196">
        <f t="shared" si="32"/>
        <v>1231785.8396043815</v>
      </c>
      <c r="AF126" s="196">
        <f t="shared" si="32"/>
        <v>1263812.2714340952</v>
      </c>
      <c r="AG126" s="196">
        <f t="shared" si="32"/>
        <v>1296671.3904913818</v>
      </c>
      <c r="AH126" s="196">
        <f t="shared" si="32"/>
        <v>1330384.8466441571</v>
      </c>
      <c r="AI126" s="196">
        <f t="shared" si="32"/>
        <v>1330384.8466441571</v>
      </c>
      <c r="AJ126" s="196">
        <f t="shared" si="32"/>
        <v>1330384.8466441571</v>
      </c>
      <c r="AK126" s="196">
        <f t="shared" si="32"/>
        <v>1330384.8466441571</v>
      </c>
      <c r="AL126" s="196">
        <f t="shared" si="32"/>
        <v>1330384.8466441571</v>
      </c>
      <c r="AM126" s="196">
        <f t="shared" si="32"/>
        <v>1330384.8466441571</v>
      </c>
      <c r="AN126" s="196">
        <f t="shared" si="32"/>
        <v>1330384.8466441571</v>
      </c>
      <c r="AO126" s="196">
        <f t="shared" si="32"/>
        <v>1330384.8466441571</v>
      </c>
      <c r="AP126" s="196">
        <f t="shared" si="32"/>
        <v>1330384.8466441571</v>
      </c>
      <c r="AQ126" s="196">
        <f t="shared" si="32"/>
        <v>1330384.8466441571</v>
      </c>
      <c r="AR126" s="196">
        <f t="shared" si="32"/>
        <v>1330384.8466441571</v>
      </c>
      <c r="AS126" s="196">
        <f t="shared" si="32"/>
        <v>1330384.8466441571</v>
      </c>
      <c r="AT126" s="196">
        <f t="shared" si="32"/>
        <v>1330384.8466441571</v>
      </c>
      <c r="AU126" s="196">
        <f t="shared" si="32"/>
        <v>1330384.8466441571</v>
      </c>
      <c r="AV126" s="196">
        <f t="shared" si="32"/>
        <v>1330384.8466441571</v>
      </c>
      <c r="AW126" s="196">
        <f t="shared" si="32"/>
        <v>1330384.8466441571</v>
      </c>
      <c r="AX126" s="196">
        <f t="shared" si="32"/>
        <v>1330384.8466441571</v>
      </c>
      <c r="AY126" s="196">
        <f t="shared" si="32"/>
        <v>1330384.8466441571</v>
      </c>
      <c r="AZ126" s="196"/>
      <c r="BA126" s="196"/>
    </row>
    <row r="127" spans="1:53" ht="5.5" customHeight="1" x14ac:dyDescent="0.35">
      <c r="A127" s="178"/>
      <c r="B127" s="178"/>
      <c r="C127" s="178"/>
      <c r="D127" s="178"/>
      <c r="E127" s="178"/>
      <c r="F127" s="178"/>
      <c r="G127" s="246"/>
      <c r="H127" s="178"/>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row>
    <row r="128" spans="1:53" ht="14.5" x14ac:dyDescent="0.35">
      <c r="A128" s="178"/>
      <c r="B128" s="178"/>
      <c r="C128" s="178"/>
      <c r="D128" s="178"/>
      <c r="E128" s="26" t="s">
        <v>873</v>
      </c>
      <c r="F128" s="26" t="s">
        <v>219</v>
      </c>
      <c r="G128" s="60" t="s">
        <v>842</v>
      </c>
      <c r="H128" s="178"/>
      <c r="I128" s="196">
        <f t="shared" ref="I128:AY128" si="33">SUM(I106)</f>
        <v>178180.08</v>
      </c>
      <c r="J128" s="196">
        <f t="shared" si="33"/>
        <v>182812.76207999999</v>
      </c>
      <c r="K128" s="196">
        <f t="shared" si="33"/>
        <v>187565.89389408001</v>
      </c>
      <c r="L128" s="196">
        <f t="shared" si="33"/>
        <v>192442.60713532608</v>
      </c>
      <c r="M128" s="196">
        <f t="shared" si="33"/>
        <v>197446.11492084456</v>
      </c>
      <c r="N128" s="196">
        <f t="shared" si="33"/>
        <v>202579.71390878651</v>
      </c>
      <c r="O128" s="196">
        <f t="shared" si="33"/>
        <v>207846.78647041493</v>
      </c>
      <c r="P128" s="196">
        <f t="shared" si="33"/>
        <v>213250.80291864573</v>
      </c>
      <c r="Q128" s="196">
        <f t="shared" si="33"/>
        <v>218795.3237945305</v>
      </c>
      <c r="R128" s="196">
        <f t="shared" si="33"/>
        <v>224484.0022131883</v>
      </c>
      <c r="S128" s="196">
        <f t="shared" si="33"/>
        <v>230320.5862707312</v>
      </c>
      <c r="T128" s="196">
        <f t="shared" si="33"/>
        <v>236308.92151377024</v>
      </c>
      <c r="U128" s="196">
        <f t="shared" si="33"/>
        <v>242452.95347312826</v>
      </c>
      <c r="V128" s="196">
        <f t="shared" si="33"/>
        <v>248756.73026342961</v>
      </c>
      <c r="W128" s="196">
        <f t="shared" si="33"/>
        <v>255224.40525027877</v>
      </c>
      <c r="X128" s="196">
        <f t="shared" si="33"/>
        <v>261860.23978678606</v>
      </c>
      <c r="Y128" s="196">
        <f t="shared" si="33"/>
        <v>268668.60602124251</v>
      </c>
      <c r="Z128" s="196">
        <f t="shared" si="33"/>
        <v>275653.98977779481</v>
      </c>
      <c r="AA128" s="196">
        <f t="shared" si="33"/>
        <v>282820.99351201742</v>
      </c>
      <c r="AB128" s="196">
        <f t="shared" si="33"/>
        <v>290174.33934332989</v>
      </c>
      <c r="AC128" s="196">
        <f t="shared" si="33"/>
        <v>304238.26352756139</v>
      </c>
      <c r="AD128" s="196">
        <f t="shared" si="33"/>
        <v>312148.45837927796</v>
      </c>
      <c r="AE128" s="196">
        <f t="shared" si="33"/>
        <v>320264.31829713919</v>
      </c>
      <c r="AF128" s="196">
        <f t="shared" si="33"/>
        <v>328591.19057286478</v>
      </c>
      <c r="AG128" s="196">
        <f t="shared" si="33"/>
        <v>337134.56152775924</v>
      </c>
      <c r="AH128" s="196">
        <f>SUM(AH106)</f>
        <v>345900.06012748083</v>
      </c>
      <c r="AI128" s="196">
        <f t="shared" si="33"/>
        <v>345900.06012748083</v>
      </c>
      <c r="AJ128" s="196">
        <f t="shared" si="33"/>
        <v>345900.06012748083</v>
      </c>
      <c r="AK128" s="196">
        <f t="shared" si="33"/>
        <v>345900.06012748083</v>
      </c>
      <c r="AL128" s="196">
        <f t="shared" si="33"/>
        <v>345900.06012748083</v>
      </c>
      <c r="AM128" s="196">
        <f t="shared" si="33"/>
        <v>345900.06012748083</v>
      </c>
      <c r="AN128" s="196">
        <f t="shared" si="33"/>
        <v>345900.06012748083</v>
      </c>
      <c r="AO128" s="196">
        <f t="shared" si="33"/>
        <v>345900.06012748083</v>
      </c>
      <c r="AP128" s="196">
        <f t="shared" si="33"/>
        <v>345900.06012748083</v>
      </c>
      <c r="AQ128" s="196">
        <f t="shared" si="33"/>
        <v>345900.06012748083</v>
      </c>
      <c r="AR128" s="196">
        <f t="shared" si="33"/>
        <v>345900.06012748083</v>
      </c>
      <c r="AS128" s="196">
        <f t="shared" si="33"/>
        <v>345900.06012748083</v>
      </c>
      <c r="AT128" s="196">
        <f t="shared" si="33"/>
        <v>345900.06012748083</v>
      </c>
      <c r="AU128" s="196">
        <f t="shared" si="33"/>
        <v>345900.06012748083</v>
      </c>
      <c r="AV128" s="196">
        <f t="shared" si="33"/>
        <v>345900.06012748083</v>
      </c>
      <c r="AW128" s="196">
        <f t="shared" si="33"/>
        <v>345900.06012748083</v>
      </c>
      <c r="AX128" s="196">
        <f t="shared" si="33"/>
        <v>345900.06012748083</v>
      </c>
      <c r="AY128" s="196">
        <f t="shared" si="33"/>
        <v>345900.06012748083</v>
      </c>
      <c r="AZ128" s="196"/>
      <c r="BA128" s="196"/>
    </row>
    <row r="129" spans="1:53" ht="14.5" x14ac:dyDescent="0.35">
      <c r="A129" s="178"/>
      <c r="B129" s="178"/>
      <c r="C129" s="178"/>
      <c r="D129" s="178"/>
      <c r="E129" s="26" t="s">
        <v>874</v>
      </c>
      <c r="F129" s="26" t="s">
        <v>219</v>
      </c>
      <c r="G129" s="60" t="s">
        <v>842</v>
      </c>
      <c r="H129" s="178"/>
      <c r="I129" s="196">
        <f t="shared" ref="I129:AY129" si="34">SUM(I107)</f>
        <v>507127.92</v>
      </c>
      <c r="J129" s="196">
        <f t="shared" si="34"/>
        <v>520313.2459199999</v>
      </c>
      <c r="K129" s="196">
        <f t="shared" si="34"/>
        <v>533841.3903139201</v>
      </c>
      <c r="L129" s="196">
        <f t="shared" si="34"/>
        <v>547721.26646208193</v>
      </c>
      <c r="M129" s="196">
        <f t="shared" si="34"/>
        <v>561962.01939009607</v>
      </c>
      <c r="N129" s="196">
        <f t="shared" si="34"/>
        <v>576573.03189423855</v>
      </c>
      <c r="O129" s="196">
        <f t="shared" si="34"/>
        <v>591563.93072348868</v>
      </c>
      <c r="P129" s="196">
        <f t="shared" si="34"/>
        <v>606944.5929222994</v>
      </c>
      <c r="Q129" s="196">
        <f t="shared" si="34"/>
        <v>622725.15233827906</v>
      </c>
      <c r="R129" s="196">
        <f t="shared" si="34"/>
        <v>638916.00629907439</v>
      </c>
      <c r="S129" s="196">
        <f t="shared" si="34"/>
        <v>655527.82246285037</v>
      </c>
      <c r="T129" s="196">
        <f t="shared" si="34"/>
        <v>672571.5458468846</v>
      </c>
      <c r="U129" s="196">
        <f t="shared" si="34"/>
        <v>690058.40603890351</v>
      </c>
      <c r="V129" s="196">
        <f t="shared" si="34"/>
        <v>707999.92459591501</v>
      </c>
      <c r="W129" s="196">
        <f t="shared" si="34"/>
        <v>726407.92263540882</v>
      </c>
      <c r="X129" s="196">
        <f t="shared" si="34"/>
        <v>745294.52862392936</v>
      </c>
      <c r="Y129" s="196">
        <f t="shared" si="34"/>
        <v>764672.18636815168</v>
      </c>
      <c r="Z129" s="196">
        <f t="shared" si="34"/>
        <v>784553.66321372357</v>
      </c>
      <c r="AA129" s="196">
        <f t="shared" si="34"/>
        <v>804952.05845728039</v>
      </c>
      <c r="AB129" s="196">
        <f t="shared" si="34"/>
        <v>825880.81197716971</v>
      </c>
      <c r="AC129" s="196">
        <f t="shared" si="34"/>
        <v>865908.90388613625</v>
      </c>
      <c r="AD129" s="196">
        <f t="shared" si="34"/>
        <v>888422.53538717574</v>
      </c>
      <c r="AE129" s="196">
        <f t="shared" si="34"/>
        <v>911521.52130724234</v>
      </c>
      <c r="AF129" s="196">
        <f t="shared" si="34"/>
        <v>935221.08086123038</v>
      </c>
      <c r="AG129" s="196">
        <f t="shared" si="34"/>
        <v>959536.82896362257</v>
      </c>
      <c r="AH129" s="196">
        <f t="shared" si="34"/>
        <v>984484.78651667619</v>
      </c>
      <c r="AI129" s="196">
        <f t="shared" si="34"/>
        <v>984484.78651667619</v>
      </c>
      <c r="AJ129" s="196">
        <f t="shared" si="34"/>
        <v>984484.78651667619</v>
      </c>
      <c r="AK129" s="196">
        <f t="shared" si="34"/>
        <v>984484.78651667619</v>
      </c>
      <c r="AL129" s="196">
        <f t="shared" si="34"/>
        <v>984484.78651667619</v>
      </c>
      <c r="AM129" s="196">
        <f t="shared" si="34"/>
        <v>984484.78651667619</v>
      </c>
      <c r="AN129" s="196">
        <f t="shared" si="34"/>
        <v>984484.78651667619</v>
      </c>
      <c r="AO129" s="196">
        <f t="shared" si="34"/>
        <v>984484.78651667619</v>
      </c>
      <c r="AP129" s="196">
        <f t="shared" si="34"/>
        <v>984484.78651667619</v>
      </c>
      <c r="AQ129" s="196">
        <f t="shared" si="34"/>
        <v>984484.78651667619</v>
      </c>
      <c r="AR129" s="196">
        <f t="shared" si="34"/>
        <v>984484.78651667619</v>
      </c>
      <c r="AS129" s="196">
        <f t="shared" si="34"/>
        <v>984484.78651667619</v>
      </c>
      <c r="AT129" s="196">
        <f t="shared" si="34"/>
        <v>984484.78651667619</v>
      </c>
      <c r="AU129" s="196">
        <f t="shared" si="34"/>
        <v>984484.78651667619</v>
      </c>
      <c r="AV129" s="196">
        <f t="shared" si="34"/>
        <v>984484.78651667619</v>
      </c>
      <c r="AW129" s="196">
        <f t="shared" si="34"/>
        <v>984484.78651667619</v>
      </c>
      <c r="AX129" s="196">
        <f t="shared" si="34"/>
        <v>984484.78651667619</v>
      </c>
      <c r="AY129" s="196">
        <f t="shared" si="34"/>
        <v>984484.78651667619</v>
      </c>
      <c r="AZ129" s="196"/>
      <c r="BA129" s="196"/>
    </row>
    <row r="130" spans="1:53" ht="5.5" customHeight="1" x14ac:dyDescent="0.35">
      <c r="A130" s="178"/>
      <c r="B130" s="178"/>
      <c r="C130" s="178"/>
      <c r="D130" s="178"/>
      <c r="E130" s="178"/>
      <c r="F130" s="178"/>
      <c r="G130" s="246"/>
      <c r="H130" s="178"/>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96"/>
      <c r="BA130" s="196"/>
    </row>
    <row r="131" spans="1:53" ht="14.5" x14ac:dyDescent="0.35">
      <c r="A131" s="178"/>
      <c r="B131" s="178"/>
      <c r="C131" s="178"/>
      <c r="D131" s="178"/>
      <c r="E131" s="26" t="s">
        <v>875</v>
      </c>
      <c r="F131" s="26" t="s">
        <v>219</v>
      </c>
      <c r="G131" s="60" t="s">
        <v>842</v>
      </c>
      <c r="H131" s="243"/>
      <c r="I131" s="239">
        <f t="shared" ref="I131:AY131" si="35">I121-I126</f>
        <v>0</v>
      </c>
      <c r="J131" s="239">
        <f t="shared" si="35"/>
        <v>0</v>
      </c>
      <c r="K131" s="239">
        <f t="shared" si="35"/>
        <v>0</v>
      </c>
      <c r="L131" s="239">
        <f t="shared" si="35"/>
        <v>0</v>
      </c>
      <c r="M131" s="239">
        <f t="shared" si="35"/>
        <v>0</v>
      </c>
      <c r="N131" s="239">
        <f t="shared" si="35"/>
        <v>0</v>
      </c>
      <c r="O131" s="239">
        <f t="shared" si="35"/>
        <v>17505.344172129291</v>
      </c>
      <c r="P131" s="239">
        <f t="shared" si="35"/>
        <v>17960.483120604651</v>
      </c>
      <c r="Q131" s="239">
        <f t="shared" si="35"/>
        <v>18427.455681740423</v>
      </c>
      <c r="R131" s="239">
        <f t="shared" si="35"/>
        <v>18906.569529465516</v>
      </c>
      <c r="S131" s="239">
        <f>S121-S126</f>
        <v>19398.140337231685</v>
      </c>
      <c r="T131" s="239">
        <f t="shared" si="35"/>
        <v>19902.49198599963</v>
      </c>
      <c r="U131" s="239">
        <f t="shared" si="35"/>
        <v>20419.956777635729</v>
      </c>
      <c r="V131" s="239">
        <f t="shared" si="35"/>
        <v>20950.875653854222</v>
      </c>
      <c r="W131" s="239">
        <f t="shared" si="35"/>
        <v>21495.598420854425</v>
      </c>
      <c r="X131" s="239">
        <f t="shared" si="35"/>
        <v>22054.483979796642</v>
      </c>
      <c r="Y131" s="239">
        <f t="shared" si="35"/>
        <v>22627.900563271367</v>
      </c>
      <c r="Z131" s="239">
        <f t="shared" si="35"/>
        <v>23216.225977916503</v>
      </c>
      <c r="AA131" s="239">
        <f t="shared" si="35"/>
        <v>23819.847853342304</v>
      </c>
      <c r="AB131" s="239">
        <f t="shared" si="35"/>
        <v>24439.163897529244</v>
      </c>
      <c r="AC131" s="239">
        <f t="shared" si="35"/>
        <v>0</v>
      </c>
      <c r="AD131" s="239">
        <f t="shared" si="35"/>
        <v>104811.75342405541</v>
      </c>
      <c r="AE131" s="239">
        <f t="shared" si="35"/>
        <v>107536.85901308083</v>
      </c>
      <c r="AF131" s="239">
        <f t="shared" si="35"/>
        <v>110332.81734742108</v>
      </c>
      <c r="AG131" s="239">
        <f t="shared" si="35"/>
        <v>113201.47059845412</v>
      </c>
      <c r="AH131" s="239">
        <f t="shared" si="35"/>
        <v>116144.70883401367</v>
      </c>
      <c r="AI131" s="239">
        <f t="shared" si="35"/>
        <v>116144.70883401367</v>
      </c>
      <c r="AJ131" s="239">
        <f t="shared" si="35"/>
        <v>116144.70883401367</v>
      </c>
      <c r="AK131" s="239">
        <f t="shared" si="35"/>
        <v>116144.70883401367</v>
      </c>
      <c r="AL131" s="239">
        <f t="shared" si="35"/>
        <v>116144.70883401367</v>
      </c>
      <c r="AM131" s="239">
        <f t="shared" si="35"/>
        <v>116144.70883401367</v>
      </c>
      <c r="AN131" s="239">
        <f t="shared" si="35"/>
        <v>116144.70883401367</v>
      </c>
      <c r="AO131" s="239">
        <f t="shared" si="35"/>
        <v>116144.70883401367</v>
      </c>
      <c r="AP131" s="239">
        <f t="shared" si="35"/>
        <v>116144.70883401367</v>
      </c>
      <c r="AQ131" s="239">
        <f t="shared" si="35"/>
        <v>116144.70883401367</v>
      </c>
      <c r="AR131" s="239">
        <f t="shared" si="35"/>
        <v>116144.70883401367</v>
      </c>
      <c r="AS131" s="239">
        <f t="shared" si="35"/>
        <v>116144.70883401367</v>
      </c>
      <c r="AT131" s="239">
        <f t="shared" si="35"/>
        <v>116144.70883401367</v>
      </c>
      <c r="AU131" s="239">
        <f t="shared" si="35"/>
        <v>116144.70883401367</v>
      </c>
      <c r="AV131" s="239">
        <f t="shared" si="35"/>
        <v>116144.70883401367</v>
      </c>
      <c r="AW131" s="239">
        <f t="shared" si="35"/>
        <v>116144.70883401367</v>
      </c>
      <c r="AX131" s="239">
        <f t="shared" si="35"/>
        <v>116144.70883401367</v>
      </c>
      <c r="AY131" s="239">
        <f t="shared" si="35"/>
        <v>116144.70883401367</v>
      </c>
      <c r="AZ131" s="239"/>
      <c r="BA131" s="239"/>
    </row>
    <row r="132" spans="1:53" ht="14.5" x14ac:dyDescent="0.35">
      <c r="A132" s="178"/>
      <c r="B132" s="178"/>
      <c r="C132" s="178"/>
      <c r="D132" s="178"/>
      <c r="E132" s="26" t="s">
        <v>876</v>
      </c>
      <c r="F132" s="26" t="s">
        <v>219</v>
      </c>
      <c r="G132" s="60" t="s">
        <v>842</v>
      </c>
      <c r="H132" s="243"/>
      <c r="I132" s="239">
        <f>I123-I128</f>
        <v>0</v>
      </c>
      <c r="J132" s="239">
        <f t="shared" ref="I132:AY133" si="36">J123-J128</f>
        <v>0</v>
      </c>
      <c r="K132" s="239">
        <f t="shared" si="36"/>
        <v>0</v>
      </c>
      <c r="L132" s="239">
        <f t="shared" si="36"/>
        <v>0</v>
      </c>
      <c r="M132" s="239">
        <f t="shared" si="36"/>
        <v>0</v>
      </c>
      <c r="N132" s="239">
        <f t="shared" si="36"/>
        <v>0</v>
      </c>
      <c r="O132" s="239">
        <f t="shared" si="36"/>
        <v>4551.3894847536285</v>
      </c>
      <c r="P132" s="239">
        <f t="shared" si="36"/>
        <v>4669.7256113572221</v>
      </c>
      <c r="Q132" s="239">
        <f t="shared" si="36"/>
        <v>4791.1384772524762</v>
      </c>
      <c r="R132" s="239">
        <f t="shared" si="36"/>
        <v>4915.7080776610819</v>
      </c>
      <c r="S132" s="239">
        <f t="shared" si="36"/>
        <v>5043.5164876802592</v>
      </c>
      <c r="T132" s="239">
        <f>T123-T128</f>
        <v>5174.6479163599433</v>
      </c>
      <c r="U132" s="239">
        <f t="shared" si="36"/>
        <v>5309.1887621853093</v>
      </c>
      <c r="V132" s="239">
        <f t="shared" si="36"/>
        <v>5447.2276700021175</v>
      </c>
      <c r="W132" s="239">
        <f t="shared" si="36"/>
        <v>5588.8555894221354</v>
      </c>
      <c r="X132" s="239">
        <f t="shared" si="36"/>
        <v>5734.1658347471093</v>
      </c>
      <c r="Y132" s="239">
        <f t="shared" si="36"/>
        <v>5883.2541464505484</v>
      </c>
      <c r="Z132" s="239">
        <f t="shared" si="36"/>
        <v>6036.2187542582978</v>
      </c>
      <c r="AA132" s="239">
        <f t="shared" si="36"/>
        <v>6193.1604418689967</v>
      </c>
      <c r="AB132" s="239">
        <f t="shared" si="36"/>
        <v>6354.1826133576105</v>
      </c>
      <c r="AC132" s="239">
        <f t="shared" si="36"/>
        <v>0</v>
      </c>
      <c r="AD132" s="239">
        <f t="shared" si="36"/>
        <v>27251.055890254385</v>
      </c>
      <c r="AE132" s="239">
        <f t="shared" si="36"/>
        <v>27959.583343401086</v>
      </c>
      <c r="AF132" s="239">
        <f t="shared" si="36"/>
        <v>28686.532510329445</v>
      </c>
      <c r="AG132" s="239">
        <f t="shared" si="36"/>
        <v>29432.382355598034</v>
      </c>
      <c r="AH132" s="239">
        <f t="shared" si="36"/>
        <v>30197.624296843598</v>
      </c>
      <c r="AI132" s="239">
        <f t="shared" si="36"/>
        <v>30197.624296843598</v>
      </c>
      <c r="AJ132" s="239">
        <f t="shared" si="36"/>
        <v>30197.624296843598</v>
      </c>
      <c r="AK132" s="239">
        <f t="shared" si="36"/>
        <v>30197.624296843598</v>
      </c>
      <c r="AL132" s="239">
        <f t="shared" si="36"/>
        <v>30197.624296843598</v>
      </c>
      <c r="AM132" s="239">
        <f t="shared" si="36"/>
        <v>30197.624296843598</v>
      </c>
      <c r="AN132" s="239">
        <f t="shared" si="36"/>
        <v>30197.624296843598</v>
      </c>
      <c r="AO132" s="239">
        <f t="shared" si="36"/>
        <v>30197.624296843598</v>
      </c>
      <c r="AP132" s="239">
        <f t="shared" si="36"/>
        <v>30197.624296843598</v>
      </c>
      <c r="AQ132" s="239">
        <f t="shared" si="36"/>
        <v>30197.624296843598</v>
      </c>
      <c r="AR132" s="239">
        <f t="shared" si="36"/>
        <v>30197.624296843598</v>
      </c>
      <c r="AS132" s="239">
        <f t="shared" si="36"/>
        <v>30197.624296843598</v>
      </c>
      <c r="AT132" s="239">
        <f t="shared" si="36"/>
        <v>30197.624296843598</v>
      </c>
      <c r="AU132" s="239">
        <f t="shared" si="36"/>
        <v>30197.624296843598</v>
      </c>
      <c r="AV132" s="239">
        <f t="shared" si="36"/>
        <v>30197.624296843598</v>
      </c>
      <c r="AW132" s="239">
        <f t="shared" si="36"/>
        <v>30197.624296843598</v>
      </c>
      <c r="AX132" s="239">
        <f t="shared" si="36"/>
        <v>30197.624296843598</v>
      </c>
      <c r="AY132" s="239">
        <f t="shared" si="36"/>
        <v>30197.624296843598</v>
      </c>
      <c r="AZ132" s="239"/>
      <c r="BA132" s="239"/>
    </row>
    <row r="133" spans="1:53" ht="14.5" x14ac:dyDescent="0.35">
      <c r="A133" s="178"/>
      <c r="B133" s="178"/>
      <c r="C133" s="178"/>
      <c r="D133" s="178"/>
      <c r="E133" s="26" t="s">
        <v>877</v>
      </c>
      <c r="F133" s="26" t="s">
        <v>219</v>
      </c>
      <c r="G133" s="60" t="s">
        <v>842</v>
      </c>
      <c r="H133" s="243"/>
      <c r="I133" s="239">
        <f t="shared" si="36"/>
        <v>0</v>
      </c>
      <c r="J133" s="239">
        <f t="shared" si="36"/>
        <v>0</v>
      </c>
      <c r="K133" s="239">
        <f t="shared" si="36"/>
        <v>0</v>
      </c>
      <c r="L133" s="239">
        <f t="shared" si="36"/>
        <v>0</v>
      </c>
      <c r="M133" s="239">
        <f t="shared" si="36"/>
        <v>0</v>
      </c>
      <c r="N133" s="239">
        <f t="shared" si="36"/>
        <v>0</v>
      </c>
      <c r="O133" s="239">
        <f t="shared" si="36"/>
        <v>12953.954687375692</v>
      </c>
      <c r="P133" s="239">
        <f t="shared" si="36"/>
        <v>13290.7575092474</v>
      </c>
      <c r="Q133" s="239">
        <f t="shared" si="36"/>
        <v>13636.317204487859</v>
      </c>
      <c r="R133" s="239">
        <f t="shared" si="36"/>
        <v>13990.861451804521</v>
      </c>
      <c r="S133" s="239">
        <f t="shared" si="36"/>
        <v>14354.623849551543</v>
      </c>
      <c r="T133" s="239">
        <f t="shared" si="36"/>
        <v>14727.844069639803</v>
      </c>
      <c r="U133" s="239">
        <f t="shared" si="36"/>
        <v>15110.768015450449</v>
      </c>
      <c r="V133" s="239">
        <f t="shared" si="36"/>
        <v>15503.647983852075</v>
      </c>
      <c r="W133" s="239">
        <f t="shared" si="36"/>
        <v>15906.742831432261</v>
      </c>
      <c r="X133" s="239">
        <f t="shared" si="36"/>
        <v>16320.318145049619</v>
      </c>
      <c r="Y133" s="239">
        <f t="shared" si="36"/>
        <v>16744.646416820819</v>
      </c>
      <c r="Z133" s="239">
        <f t="shared" si="36"/>
        <v>17180.007223658147</v>
      </c>
      <c r="AA133" s="239">
        <f t="shared" si="36"/>
        <v>17626.687411473249</v>
      </c>
      <c r="AB133" s="239">
        <f t="shared" si="36"/>
        <v>18084.981284171576</v>
      </c>
      <c r="AC133" s="239">
        <f t="shared" si="36"/>
        <v>0</v>
      </c>
      <c r="AD133" s="239">
        <f t="shared" si="36"/>
        <v>77560.697533800965</v>
      </c>
      <c r="AE133" s="239">
        <f t="shared" si="36"/>
        <v>79577.275669679861</v>
      </c>
      <c r="AF133" s="239">
        <f t="shared" si="36"/>
        <v>81646.284837091574</v>
      </c>
      <c r="AG133" s="239">
        <f t="shared" si="36"/>
        <v>83769.088242855971</v>
      </c>
      <c r="AH133" s="239">
        <f t="shared" si="36"/>
        <v>85947.084537170129</v>
      </c>
      <c r="AI133" s="239">
        <f t="shared" si="36"/>
        <v>85947.084537170129</v>
      </c>
      <c r="AJ133" s="239">
        <f t="shared" si="36"/>
        <v>85947.084537170129</v>
      </c>
      <c r="AK133" s="239">
        <f t="shared" si="36"/>
        <v>85947.084537170129</v>
      </c>
      <c r="AL133" s="239">
        <f t="shared" si="36"/>
        <v>85947.084537170129</v>
      </c>
      <c r="AM133" s="239">
        <f t="shared" si="36"/>
        <v>85947.084537170129</v>
      </c>
      <c r="AN133" s="239">
        <f t="shared" si="36"/>
        <v>85947.084537170129</v>
      </c>
      <c r="AO133" s="239">
        <f t="shared" si="36"/>
        <v>85947.084537170129</v>
      </c>
      <c r="AP133" s="239">
        <f t="shared" si="36"/>
        <v>85947.084537170129</v>
      </c>
      <c r="AQ133" s="239">
        <f t="shared" si="36"/>
        <v>85947.084537170129</v>
      </c>
      <c r="AR133" s="239">
        <f t="shared" si="36"/>
        <v>85947.084537170129</v>
      </c>
      <c r="AS133" s="239">
        <f t="shared" si="36"/>
        <v>85947.084537170129</v>
      </c>
      <c r="AT133" s="239">
        <f t="shared" si="36"/>
        <v>85947.084537170129</v>
      </c>
      <c r="AU133" s="239">
        <f t="shared" si="36"/>
        <v>85947.084537170129</v>
      </c>
      <c r="AV133" s="239">
        <f t="shared" si="36"/>
        <v>85947.084537170129</v>
      </c>
      <c r="AW133" s="239">
        <f t="shared" si="36"/>
        <v>85947.084537170129</v>
      </c>
      <c r="AX133" s="239">
        <f t="shared" si="36"/>
        <v>85947.084537170129</v>
      </c>
      <c r="AY133" s="239">
        <f t="shared" si="36"/>
        <v>85947.084537170129</v>
      </c>
      <c r="AZ133" s="239"/>
      <c r="BA133" s="239"/>
    </row>
    <row r="134" spans="1:53" ht="5.5" customHeight="1" x14ac:dyDescent="0.35">
      <c r="A134" s="178"/>
      <c r="B134" s="178"/>
      <c r="C134" s="178"/>
      <c r="D134" s="178"/>
      <c r="E134" s="178"/>
      <c r="F134" s="178"/>
      <c r="G134" s="246"/>
      <c r="H134" s="178"/>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c r="AO134" s="196"/>
      <c r="AP134" s="196"/>
      <c r="AQ134" s="196"/>
      <c r="AR134" s="196"/>
      <c r="AS134" s="196"/>
      <c r="AT134" s="196"/>
      <c r="AU134" s="196"/>
      <c r="AV134" s="196"/>
      <c r="AW134" s="196"/>
      <c r="AX134" s="196"/>
      <c r="AY134" s="196"/>
      <c r="AZ134" s="196"/>
      <c r="BA134" s="196"/>
    </row>
    <row r="135" spans="1:53" ht="14.5" x14ac:dyDescent="0.35">
      <c r="A135" s="178"/>
      <c r="B135" s="178"/>
      <c r="C135" s="178"/>
      <c r="D135" s="178"/>
      <c r="E135" s="178" t="str">
        <f>E25</f>
        <v>Average Vehicle Occupancy -- Trucks</v>
      </c>
      <c r="F135" s="26" t="str">
        <f>F25</f>
        <v>USDOT BCA Guidance December 2025</v>
      </c>
      <c r="G135" s="60" t="str">
        <f>G25</f>
        <v>Figure</v>
      </c>
      <c r="H135" s="423">
        <f>H25</f>
        <v>1</v>
      </c>
      <c r="I135" s="239"/>
      <c r="J135" s="239"/>
      <c r="K135" s="239"/>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39"/>
      <c r="AV135" s="239"/>
      <c r="AW135" s="239"/>
      <c r="AX135" s="239"/>
      <c r="AY135" s="239"/>
      <c r="AZ135" s="239"/>
      <c r="BA135" s="239"/>
    </row>
    <row r="136" spans="1:53" ht="14.5" x14ac:dyDescent="0.35">
      <c r="A136" s="178"/>
      <c r="B136" s="178"/>
      <c r="C136" s="178"/>
      <c r="D136" s="178"/>
      <c r="E136" s="178" t="str">
        <f>E24</f>
        <v>Average Vehicle Occupancy -- Passenger Vehicles (all)</v>
      </c>
      <c r="F136" s="178" t="str">
        <f>F24</f>
        <v>USDOT BCA Guidance December 2025</v>
      </c>
      <c r="G136" s="60" t="str">
        <f>G24</f>
        <v>Figure</v>
      </c>
      <c r="H136" s="423">
        <f>H24</f>
        <v>1.52</v>
      </c>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6"/>
      <c r="BA136" s="196"/>
    </row>
    <row r="137" spans="1:53" ht="5.5" customHeight="1" x14ac:dyDescent="0.35">
      <c r="A137" s="178"/>
      <c r="B137" s="178"/>
      <c r="C137" s="178"/>
      <c r="D137" s="178"/>
      <c r="E137" s="178"/>
      <c r="F137" s="178"/>
      <c r="G137" s="246"/>
      <c r="H137" s="178"/>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c r="BA137" s="196"/>
    </row>
    <row r="138" spans="1:53" ht="14.5" x14ac:dyDescent="0.35">
      <c r="A138" s="178"/>
      <c r="B138" s="178"/>
      <c r="C138" s="178"/>
      <c r="D138" s="178"/>
      <c r="E138" s="51" t="s">
        <v>878</v>
      </c>
      <c r="F138" s="51" t="s">
        <v>219</v>
      </c>
      <c r="G138" s="65" t="s">
        <v>844</v>
      </c>
      <c r="H138" s="243"/>
      <c r="I138" s="265">
        <f t="shared" ref="I138:AY138" si="37">I132*$H135</f>
        <v>0</v>
      </c>
      <c r="J138" s="265">
        <f t="shared" si="37"/>
        <v>0</v>
      </c>
      <c r="K138" s="265">
        <f t="shared" si="37"/>
        <v>0</v>
      </c>
      <c r="L138" s="265">
        <f t="shared" si="37"/>
        <v>0</v>
      </c>
      <c r="M138" s="265">
        <f t="shared" si="37"/>
        <v>0</v>
      </c>
      <c r="N138" s="265">
        <f t="shared" si="37"/>
        <v>0</v>
      </c>
      <c r="O138" s="265">
        <f t="shared" si="37"/>
        <v>4551.3894847536285</v>
      </c>
      <c r="P138" s="265">
        <f t="shared" si="37"/>
        <v>4669.7256113572221</v>
      </c>
      <c r="Q138" s="265">
        <f t="shared" si="37"/>
        <v>4791.1384772524762</v>
      </c>
      <c r="R138" s="265">
        <f t="shared" si="37"/>
        <v>4915.7080776610819</v>
      </c>
      <c r="S138" s="265">
        <f t="shared" si="37"/>
        <v>5043.5164876802592</v>
      </c>
      <c r="T138" s="265">
        <f t="shared" si="37"/>
        <v>5174.6479163599433</v>
      </c>
      <c r="U138" s="265">
        <f t="shared" si="37"/>
        <v>5309.1887621853093</v>
      </c>
      <c r="V138" s="265">
        <f t="shared" si="37"/>
        <v>5447.2276700021175</v>
      </c>
      <c r="W138" s="265">
        <f t="shared" si="37"/>
        <v>5588.8555894221354</v>
      </c>
      <c r="X138" s="265">
        <f t="shared" si="37"/>
        <v>5734.1658347471093</v>
      </c>
      <c r="Y138" s="265">
        <f t="shared" si="37"/>
        <v>5883.2541464505484</v>
      </c>
      <c r="Z138" s="265">
        <f t="shared" si="37"/>
        <v>6036.2187542582978</v>
      </c>
      <c r="AA138" s="265">
        <f t="shared" si="37"/>
        <v>6193.1604418689967</v>
      </c>
      <c r="AB138" s="265">
        <f t="shared" si="37"/>
        <v>6354.1826133576105</v>
      </c>
      <c r="AC138" s="265">
        <f t="shared" si="37"/>
        <v>0</v>
      </c>
      <c r="AD138" s="265">
        <f t="shared" si="37"/>
        <v>27251.055890254385</v>
      </c>
      <c r="AE138" s="265">
        <f t="shared" si="37"/>
        <v>27959.583343401086</v>
      </c>
      <c r="AF138" s="265">
        <f t="shared" si="37"/>
        <v>28686.532510329445</v>
      </c>
      <c r="AG138" s="265">
        <f t="shared" si="37"/>
        <v>29432.382355598034</v>
      </c>
      <c r="AH138" s="265">
        <f t="shared" si="37"/>
        <v>30197.624296843598</v>
      </c>
      <c r="AI138" s="265">
        <f t="shared" si="37"/>
        <v>30197.624296843598</v>
      </c>
      <c r="AJ138" s="265">
        <f t="shared" si="37"/>
        <v>30197.624296843598</v>
      </c>
      <c r="AK138" s="265">
        <f t="shared" si="37"/>
        <v>30197.624296843598</v>
      </c>
      <c r="AL138" s="265">
        <f t="shared" si="37"/>
        <v>30197.624296843598</v>
      </c>
      <c r="AM138" s="265">
        <f t="shared" si="37"/>
        <v>30197.624296843598</v>
      </c>
      <c r="AN138" s="265">
        <f t="shared" si="37"/>
        <v>30197.624296843598</v>
      </c>
      <c r="AO138" s="265">
        <f t="shared" si="37"/>
        <v>30197.624296843598</v>
      </c>
      <c r="AP138" s="265">
        <f t="shared" si="37"/>
        <v>30197.624296843598</v>
      </c>
      <c r="AQ138" s="265">
        <f t="shared" si="37"/>
        <v>30197.624296843598</v>
      </c>
      <c r="AR138" s="265">
        <f t="shared" si="37"/>
        <v>30197.624296843598</v>
      </c>
      <c r="AS138" s="265">
        <f t="shared" si="37"/>
        <v>30197.624296843598</v>
      </c>
      <c r="AT138" s="265">
        <f t="shared" si="37"/>
        <v>30197.624296843598</v>
      </c>
      <c r="AU138" s="265">
        <f t="shared" si="37"/>
        <v>30197.624296843598</v>
      </c>
      <c r="AV138" s="265">
        <f t="shared" si="37"/>
        <v>30197.624296843598</v>
      </c>
      <c r="AW138" s="265">
        <f t="shared" si="37"/>
        <v>30197.624296843598</v>
      </c>
      <c r="AX138" s="265">
        <f t="shared" si="37"/>
        <v>30197.624296843598</v>
      </c>
      <c r="AY138" s="265">
        <f t="shared" si="37"/>
        <v>30197.624296843598</v>
      </c>
      <c r="AZ138" s="265"/>
      <c r="BA138" s="265"/>
    </row>
    <row r="139" spans="1:53" ht="14.5" x14ac:dyDescent="0.35">
      <c r="A139" s="178"/>
      <c r="B139" s="178"/>
      <c r="C139" s="178"/>
      <c r="D139" s="178"/>
      <c r="E139" s="51" t="s">
        <v>879</v>
      </c>
      <c r="F139" s="51" t="s">
        <v>219</v>
      </c>
      <c r="G139" s="65" t="s">
        <v>844</v>
      </c>
      <c r="H139" s="243"/>
      <c r="I139" s="265">
        <f t="shared" ref="I139:AY139" si="38">I133*$H136</f>
        <v>0</v>
      </c>
      <c r="J139" s="265">
        <f t="shared" si="38"/>
        <v>0</v>
      </c>
      <c r="K139" s="265">
        <f t="shared" si="38"/>
        <v>0</v>
      </c>
      <c r="L139" s="265">
        <f t="shared" si="38"/>
        <v>0</v>
      </c>
      <c r="M139" s="265">
        <f t="shared" si="38"/>
        <v>0</v>
      </c>
      <c r="N139" s="265">
        <f t="shared" si="38"/>
        <v>0</v>
      </c>
      <c r="O139" s="265">
        <f t="shared" si="38"/>
        <v>19690.011124811052</v>
      </c>
      <c r="P139" s="265">
        <f t="shared" si="38"/>
        <v>20201.95141405605</v>
      </c>
      <c r="Q139" s="265">
        <f t="shared" si="38"/>
        <v>20727.202150821548</v>
      </c>
      <c r="R139" s="265">
        <f t="shared" si="38"/>
        <v>21266.109406742871</v>
      </c>
      <c r="S139" s="265">
        <f t="shared" si="38"/>
        <v>21819.028251318345</v>
      </c>
      <c r="T139" s="265">
        <f t="shared" si="38"/>
        <v>22386.322985852501</v>
      </c>
      <c r="U139" s="265">
        <f t="shared" si="38"/>
        <v>22968.367383484681</v>
      </c>
      <c r="V139" s="265">
        <f t="shared" si="38"/>
        <v>23565.544935455157</v>
      </c>
      <c r="W139" s="265">
        <f t="shared" si="38"/>
        <v>24178.249103777038</v>
      </c>
      <c r="X139" s="265">
        <f t="shared" si="38"/>
        <v>24806.883580475424</v>
      </c>
      <c r="Y139" s="265">
        <f t="shared" si="38"/>
        <v>25451.862553567644</v>
      </c>
      <c r="Z139" s="265">
        <f t="shared" si="38"/>
        <v>26113.610979960384</v>
      </c>
      <c r="AA139" s="265">
        <f t="shared" si="38"/>
        <v>26792.564865439337</v>
      </c>
      <c r="AB139" s="265">
        <f t="shared" si="38"/>
        <v>27489.171551940795</v>
      </c>
      <c r="AC139" s="265">
        <f t="shared" si="38"/>
        <v>0</v>
      </c>
      <c r="AD139" s="265">
        <f t="shared" si="38"/>
        <v>117892.26025137746</v>
      </c>
      <c r="AE139" s="265">
        <f t="shared" si="38"/>
        <v>120957.4590179134</v>
      </c>
      <c r="AF139" s="265">
        <f t="shared" si="38"/>
        <v>124102.35295237919</v>
      </c>
      <c r="AG139" s="265">
        <f t="shared" si="38"/>
        <v>127329.01412914108</v>
      </c>
      <c r="AH139" s="265">
        <f t="shared" si="38"/>
        <v>130639.5684964986</v>
      </c>
      <c r="AI139" s="265">
        <f t="shared" si="38"/>
        <v>130639.5684964986</v>
      </c>
      <c r="AJ139" s="265">
        <f t="shared" si="38"/>
        <v>130639.5684964986</v>
      </c>
      <c r="AK139" s="265">
        <f t="shared" si="38"/>
        <v>130639.5684964986</v>
      </c>
      <c r="AL139" s="265">
        <f t="shared" si="38"/>
        <v>130639.5684964986</v>
      </c>
      <c r="AM139" s="265">
        <f t="shared" si="38"/>
        <v>130639.5684964986</v>
      </c>
      <c r="AN139" s="265">
        <f t="shared" si="38"/>
        <v>130639.5684964986</v>
      </c>
      <c r="AO139" s="265">
        <f t="shared" si="38"/>
        <v>130639.5684964986</v>
      </c>
      <c r="AP139" s="265">
        <f t="shared" si="38"/>
        <v>130639.5684964986</v>
      </c>
      <c r="AQ139" s="265">
        <f t="shared" si="38"/>
        <v>130639.5684964986</v>
      </c>
      <c r="AR139" s="265">
        <f t="shared" si="38"/>
        <v>130639.5684964986</v>
      </c>
      <c r="AS139" s="265">
        <f t="shared" si="38"/>
        <v>130639.5684964986</v>
      </c>
      <c r="AT139" s="265">
        <f t="shared" si="38"/>
        <v>130639.5684964986</v>
      </c>
      <c r="AU139" s="265">
        <f t="shared" si="38"/>
        <v>130639.5684964986</v>
      </c>
      <c r="AV139" s="265">
        <f t="shared" si="38"/>
        <v>130639.5684964986</v>
      </c>
      <c r="AW139" s="265">
        <f t="shared" si="38"/>
        <v>130639.5684964986</v>
      </c>
      <c r="AX139" s="265">
        <f t="shared" si="38"/>
        <v>130639.5684964986</v>
      </c>
      <c r="AY139" s="265">
        <f t="shared" si="38"/>
        <v>130639.5684964986</v>
      </c>
      <c r="AZ139" s="265"/>
      <c r="BA139" s="265"/>
    </row>
    <row r="140" spans="1:53" ht="5.5" customHeight="1" x14ac:dyDescent="0.35">
      <c r="A140" s="178"/>
      <c r="B140" s="178"/>
      <c r="C140" s="178"/>
      <c r="D140" s="178"/>
      <c r="E140" s="178"/>
      <c r="F140" s="178"/>
      <c r="G140" s="246"/>
      <c r="H140" s="178"/>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row>
    <row r="141" spans="1:53" ht="14.5" x14ac:dyDescent="0.35">
      <c r="A141" s="193"/>
      <c r="B141" s="193"/>
      <c r="C141" s="193"/>
      <c r="D141" s="193"/>
      <c r="E141" s="193" t="s">
        <v>880</v>
      </c>
      <c r="F141" s="193" t="s">
        <v>219</v>
      </c>
      <c r="G141" s="247" t="s">
        <v>353</v>
      </c>
      <c r="H141" s="193"/>
      <c r="I141" s="514">
        <f t="shared" ref="I141:AY141" si="39">I111/I121</f>
        <v>70</v>
      </c>
      <c r="J141" s="514">
        <f t="shared" si="39"/>
        <v>70</v>
      </c>
      <c r="K141" s="514">
        <f t="shared" si="39"/>
        <v>70</v>
      </c>
      <c r="L141" s="514">
        <f t="shared" si="39"/>
        <v>70</v>
      </c>
      <c r="M141" s="514">
        <f t="shared" si="39"/>
        <v>70</v>
      </c>
      <c r="N141" s="514">
        <f t="shared" si="39"/>
        <v>70</v>
      </c>
      <c r="O141" s="514">
        <f t="shared" si="39"/>
        <v>68.5</v>
      </c>
      <c r="P141" s="514">
        <f t="shared" si="39"/>
        <v>68.5</v>
      </c>
      <c r="Q141" s="514">
        <f t="shared" si="39"/>
        <v>68.5</v>
      </c>
      <c r="R141" s="514">
        <f t="shared" si="39"/>
        <v>68.5</v>
      </c>
      <c r="S141" s="514">
        <f t="shared" si="39"/>
        <v>68.5</v>
      </c>
      <c r="T141" s="514">
        <f t="shared" si="39"/>
        <v>68.5</v>
      </c>
      <c r="U141" s="514">
        <f t="shared" si="39"/>
        <v>68.5</v>
      </c>
      <c r="V141" s="514">
        <f t="shared" si="39"/>
        <v>68.5</v>
      </c>
      <c r="W141" s="514">
        <f t="shared" si="39"/>
        <v>68.5</v>
      </c>
      <c r="X141" s="514">
        <f t="shared" si="39"/>
        <v>68.5</v>
      </c>
      <c r="Y141" s="514">
        <f t="shared" si="39"/>
        <v>68.5</v>
      </c>
      <c r="Z141" s="514">
        <f t="shared" si="39"/>
        <v>68.5</v>
      </c>
      <c r="AA141" s="514">
        <f t="shared" si="39"/>
        <v>68.5</v>
      </c>
      <c r="AB141" s="514">
        <f t="shared" si="39"/>
        <v>68.5</v>
      </c>
      <c r="AC141" s="514">
        <f t="shared" si="39"/>
        <v>68.5</v>
      </c>
      <c r="AD141" s="514">
        <f t="shared" si="39"/>
        <v>63</v>
      </c>
      <c r="AE141" s="514">
        <f t="shared" si="39"/>
        <v>63</v>
      </c>
      <c r="AF141" s="514">
        <f t="shared" si="39"/>
        <v>63</v>
      </c>
      <c r="AG141" s="514">
        <f t="shared" si="39"/>
        <v>63</v>
      </c>
      <c r="AH141" s="514">
        <f t="shared" si="39"/>
        <v>63</v>
      </c>
      <c r="AI141" s="514">
        <f t="shared" si="39"/>
        <v>63</v>
      </c>
      <c r="AJ141" s="514">
        <f t="shared" si="39"/>
        <v>63</v>
      </c>
      <c r="AK141" s="514">
        <f t="shared" si="39"/>
        <v>63</v>
      </c>
      <c r="AL141" s="514">
        <f t="shared" si="39"/>
        <v>63</v>
      </c>
      <c r="AM141" s="514">
        <f t="shared" si="39"/>
        <v>63</v>
      </c>
      <c r="AN141" s="514">
        <f t="shared" si="39"/>
        <v>63</v>
      </c>
      <c r="AO141" s="514">
        <f t="shared" si="39"/>
        <v>63</v>
      </c>
      <c r="AP141" s="514">
        <f t="shared" si="39"/>
        <v>63</v>
      </c>
      <c r="AQ141" s="514">
        <f t="shared" si="39"/>
        <v>63</v>
      </c>
      <c r="AR141" s="514">
        <f t="shared" si="39"/>
        <v>63</v>
      </c>
      <c r="AS141" s="514">
        <f t="shared" si="39"/>
        <v>63</v>
      </c>
      <c r="AT141" s="514">
        <f t="shared" si="39"/>
        <v>63</v>
      </c>
      <c r="AU141" s="514">
        <f t="shared" si="39"/>
        <v>63</v>
      </c>
      <c r="AV141" s="514">
        <f t="shared" si="39"/>
        <v>63</v>
      </c>
      <c r="AW141" s="514">
        <f t="shared" si="39"/>
        <v>63</v>
      </c>
      <c r="AX141" s="514">
        <f t="shared" si="39"/>
        <v>63</v>
      </c>
      <c r="AY141" s="514">
        <f t="shared" si="39"/>
        <v>63</v>
      </c>
      <c r="AZ141" s="514"/>
      <c r="BA141" s="514"/>
    </row>
    <row r="142" spans="1:53" ht="14.5" x14ac:dyDescent="0.35">
      <c r="A142" s="193"/>
      <c r="B142" s="193"/>
      <c r="C142" s="193"/>
      <c r="D142" s="193"/>
      <c r="E142" s="193" t="s">
        <v>881</v>
      </c>
      <c r="F142" s="193" t="s">
        <v>219</v>
      </c>
      <c r="G142" s="247" t="s">
        <v>353</v>
      </c>
      <c r="H142" s="193"/>
      <c r="I142" s="514">
        <f t="shared" ref="I142:AY142" si="40">I116/SUM(I126)</f>
        <v>70</v>
      </c>
      <c r="J142" s="514">
        <f t="shared" si="40"/>
        <v>70</v>
      </c>
      <c r="K142" s="514">
        <f t="shared" si="40"/>
        <v>70</v>
      </c>
      <c r="L142" s="514">
        <f t="shared" si="40"/>
        <v>70</v>
      </c>
      <c r="M142" s="514">
        <f t="shared" si="40"/>
        <v>70</v>
      </c>
      <c r="N142" s="514">
        <f t="shared" si="40"/>
        <v>70</v>
      </c>
      <c r="O142" s="514">
        <f t="shared" si="40"/>
        <v>70</v>
      </c>
      <c r="P142" s="514">
        <f t="shared" si="40"/>
        <v>70</v>
      </c>
      <c r="Q142" s="514">
        <f t="shared" si="40"/>
        <v>70</v>
      </c>
      <c r="R142" s="514">
        <f t="shared" si="40"/>
        <v>70</v>
      </c>
      <c r="S142" s="514">
        <f t="shared" si="40"/>
        <v>70</v>
      </c>
      <c r="T142" s="514">
        <f t="shared" si="40"/>
        <v>70</v>
      </c>
      <c r="U142" s="514">
        <f t="shared" si="40"/>
        <v>70</v>
      </c>
      <c r="V142" s="514">
        <f t="shared" si="40"/>
        <v>70</v>
      </c>
      <c r="W142" s="514">
        <f t="shared" si="40"/>
        <v>70</v>
      </c>
      <c r="X142" s="514">
        <f t="shared" si="40"/>
        <v>70</v>
      </c>
      <c r="Y142" s="514">
        <f t="shared" si="40"/>
        <v>70</v>
      </c>
      <c r="Z142" s="514">
        <f t="shared" si="40"/>
        <v>70</v>
      </c>
      <c r="AA142" s="514">
        <f t="shared" si="40"/>
        <v>70</v>
      </c>
      <c r="AB142" s="514">
        <f t="shared" si="40"/>
        <v>70</v>
      </c>
      <c r="AC142" s="514">
        <f t="shared" si="40"/>
        <v>68.5</v>
      </c>
      <c r="AD142" s="514">
        <f t="shared" si="40"/>
        <v>68.5</v>
      </c>
      <c r="AE142" s="514">
        <f t="shared" si="40"/>
        <v>68.5</v>
      </c>
      <c r="AF142" s="514">
        <f t="shared" si="40"/>
        <v>68.5</v>
      </c>
      <c r="AG142" s="514">
        <f t="shared" si="40"/>
        <v>68.5</v>
      </c>
      <c r="AH142" s="514">
        <f t="shared" si="40"/>
        <v>68.5</v>
      </c>
      <c r="AI142" s="514">
        <f t="shared" si="40"/>
        <v>68.5</v>
      </c>
      <c r="AJ142" s="514">
        <f t="shared" si="40"/>
        <v>68.5</v>
      </c>
      <c r="AK142" s="514">
        <f t="shared" si="40"/>
        <v>68.5</v>
      </c>
      <c r="AL142" s="514">
        <f t="shared" si="40"/>
        <v>68.5</v>
      </c>
      <c r="AM142" s="514">
        <f t="shared" si="40"/>
        <v>68.5</v>
      </c>
      <c r="AN142" s="514">
        <f t="shared" si="40"/>
        <v>68.5</v>
      </c>
      <c r="AO142" s="514">
        <f t="shared" si="40"/>
        <v>68.5</v>
      </c>
      <c r="AP142" s="514">
        <f t="shared" si="40"/>
        <v>68.5</v>
      </c>
      <c r="AQ142" s="514">
        <f t="shared" si="40"/>
        <v>68.5</v>
      </c>
      <c r="AR142" s="514">
        <f t="shared" si="40"/>
        <v>68.5</v>
      </c>
      <c r="AS142" s="514">
        <f t="shared" si="40"/>
        <v>68.5</v>
      </c>
      <c r="AT142" s="514">
        <f t="shared" si="40"/>
        <v>68.5</v>
      </c>
      <c r="AU142" s="514">
        <f t="shared" si="40"/>
        <v>68.5</v>
      </c>
      <c r="AV142" s="514">
        <f t="shared" si="40"/>
        <v>68.5</v>
      </c>
      <c r="AW142" s="514">
        <f t="shared" si="40"/>
        <v>68.5</v>
      </c>
      <c r="AX142" s="514">
        <f t="shared" si="40"/>
        <v>68.5</v>
      </c>
      <c r="AY142" s="514">
        <f t="shared" si="40"/>
        <v>68.5</v>
      </c>
      <c r="AZ142" s="514"/>
      <c r="BA142" s="514"/>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BA51"/>
  <sheetViews>
    <sheetView zoomScale="90" zoomScaleNormal="90" workbookViewId="0">
      <pane xSplit="8" ySplit="7" topLeftCell="I8" activePane="bottomRight" state="frozen"/>
      <selection pane="topRight" activeCell="I5" sqref="I5"/>
      <selection pane="bottomLeft" activeCell="I5" sqref="I5"/>
      <selection pane="bottomRight" activeCell="J12" sqref="J12"/>
    </sheetView>
  </sheetViews>
  <sheetFormatPr defaultColWidth="0" defaultRowHeight="0" customHeight="1" zeroHeight="1" x14ac:dyDescent="0.35"/>
  <cols>
    <col min="1" max="1" width="1.453125" style="5" customWidth="1"/>
    <col min="2" max="3" width="1.453125" style="2" customWidth="1"/>
    <col min="4" max="4" width="1.453125" style="4" customWidth="1"/>
    <col min="5" max="5" width="48.54296875" style="4" customWidth="1"/>
    <col min="6" max="6" width="66.1796875" style="156" bestFit="1" customWidth="1"/>
    <col min="7" max="7" width="33" style="43" bestFit="1" customWidth="1"/>
    <col min="8" max="9" width="12.1796875" style="4" bestFit="1" customWidth="1"/>
    <col min="10" max="11" width="10.54296875" style="4" bestFit="1" customWidth="1"/>
    <col min="12" max="12" width="12.1796875" style="4" bestFit="1" customWidth="1"/>
    <col min="13" max="14" width="13.26953125" style="4" bestFit="1" customWidth="1"/>
    <col min="15" max="34" width="12.1796875" style="4" bestFit="1" customWidth="1"/>
    <col min="35" max="51" width="6.26953125" style="4" bestFit="1" customWidth="1"/>
    <col min="52" max="53" width="5.54296875" style="4" bestFit="1" customWidth="1"/>
    <col min="54" max="16384" width="9.1796875" hidden="1"/>
  </cols>
  <sheetData>
    <row r="1" spans="1:53" ht="15.5" x14ac:dyDescent="0.35">
      <c r="A1" s="364" t="s">
        <v>713</v>
      </c>
      <c r="B1" s="365"/>
      <c r="C1" s="365"/>
      <c r="D1" s="365"/>
      <c r="E1" s="365"/>
      <c r="F1" s="365"/>
      <c r="G1" s="41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6"/>
    </row>
    <row r="2" spans="1:53" ht="5.5" customHeight="1" x14ac:dyDescent="0.35">
      <c r="A2" s="178"/>
      <c r="B2" s="178"/>
      <c r="C2" s="178"/>
      <c r="D2" s="178"/>
      <c r="E2" s="178"/>
      <c r="F2" s="178"/>
      <c r="G2" s="242"/>
      <c r="H2" s="262"/>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row>
    <row r="3" spans="1:53" ht="14.5" x14ac:dyDescent="0.35">
      <c r="A3" s="4"/>
      <c r="C3" s="14"/>
      <c r="E3" s="180" t="s">
        <v>884</v>
      </c>
      <c r="F3" s="4"/>
      <c r="H3" s="37"/>
    </row>
    <row r="4" spans="1:53" ht="14.5" x14ac:dyDescent="0.35">
      <c r="A4" s="4"/>
      <c r="C4" s="14"/>
      <c r="E4" s="178" t="str">
        <f>'Guide for Reviewers'!B3</f>
        <v>I-35 McClain County</v>
      </c>
      <c r="F4" s="4"/>
      <c r="H4" s="37"/>
    </row>
    <row r="5" spans="1:53" ht="14.5" x14ac:dyDescent="0.35">
      <c r="E5" s="178" t="str">
        <f>'Guide for Reviewers'!B4</f>
        <v>Oklahoma Department of Transportation</v>
      </c>
      <c r="G5" s="8" t="s">
        <v>575</v>
      </c>
      <c r="H5" s="1"/>
      <c r="I5" s="555">
        <f>StockValueC!$H$12</f>
        <v>2023</v>
      </c>
      <c r="J5" s="1">
        <f>I5+1</f>
        <v>2024</v>
      </c>
      <c r="K5" s="1">
        <f t="shared" ref="K5:AY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c r="BA5" s="1"/>
    </row>
    <row r="6" spans="1:53" ht="15" customHeight="1" x14ac:dyDescent="0.35">
      <c r="E6" s="40" t="str">
        <f>'Discount Calc'!E$27</f>
        <v>Operations period flag</v>
      </c>
      <c r="F6" s="157">
        <f>'Discount Calc'!F$27</f>
        <v>0</v>
      </c>
      <c r="G6" s="154" t="str">
        <f>'Discount Calc'!G$27</f>
        <v>Factor</v>
      </c>
      <c r="H6" s="40">
        <f>'Discount Calc'!H$27</f>
        <v>20</v>
      </c>
      <c r="I6" s="40">
        <f>'Discount Calc'!I$27</f>
        <v>0</v>
      </c>
      <c r="J6" s="40">
        <f>'Discount Calc'!J$27</f>
        <v>0</v>
      </c>
      <c r="K6" s="40">
        <f>'Discount Calc'!K$27</f>
        <v>0</v>
      </c>
      <c r="L6" s="40">
        <f>'Discount Calc'!L$27</f>
        <v>0</v>
      </c>
      <c r="M6" s="40">
        <f>'Discount Calc'!M$27</f>
        <v>0</v>
      </c>
      <c r="N6" s="40">
        <f>'Discount Calc'!N$27</f>
        <v>0</v>
      </c>
      <c r="O6" s="40">
        <f>'Discount Calc'!O$27</f>
        <v>1</v>
      </c>
      <c r="P6" s="40">
        <f>'Discount Calc'!P$27</f>
        <v>1</v>
      </c>
      <c r="Q6" s="40">
        <f>'Discount Calc'!Q$27</f>
        <v>1</v>
      </c>
      <c r="R6" s="40">
        <f>'Discount Calc'!R$27</f>
        <v>1</v>
      </c>
      <c r="S6" s="40">
        <f>'Discount Calc'!S$27</f>
        <v>1</v>
      </c>
      <c r="T6" s="40">
        <f>'Discount Calc'!T$27</f>
        <v>1</v>
      </c>
      <c r="U6" s="40">
        <f>'Discount Calc'!U$27</f>
        <v>1</v>
      </c>
      <c r="V6" s="40">
        <f>'Discount Calc'!V$27</f>
        <v>1</v>
      </c>
      <c r="W6" s="40">
        <f>'Discount Calc'!W$27</f>
        <v>1</v>
      </c>
      <c r="X6" s="40">
        <f>'Discount Calc'!X$27</f>
        <v>1</v>
      </c>
      <c r="Y6" s="40">
        <f>'Discount Calc'!Y$27</f>
        <v>1</v>
      </c>
      <c r="Z6" s="40">
        <f>'Discount Calc'!Z$27</f>
        <v>1</v>
      </c>
      <c r="AA6" s="40">
        <f>'Discount Calc'!AA$27</f>
        <v>1</v>
      </c>
      <c r="AB6" s="40">
        <f>'Discount Calc'!AB$27</f>
        <v>1</v>
      </c>
      <c r="AC6" s="40">
        <f>'Discount Calc'!AC$27</f>
        <v>1</v>
      </c>
      <c r="AD6" s="40">
        <f>'Discount Calc'!AD$27</f>
        <v>1</v>
      </c>
      <c r="AE6" s="40">
        <f>'Discount Calc'!AE$27</f>
        <v>1</v>
      </c>
      <c r="AF6" s="40">
        <f>'Discount Calc'!AF$27</f>
        <v>1</v>
      </c>
      <c r="AG6" s="40">
        <f>'Discount Calc'!AG$27</f>
        <v>1</v>
      </c>
      <c r="AH6" s="40">
        <f>'Discount Calc'!AH$27</f>
        <v>1</v>
      </c>
      <c r="AI6" s="40">
        <f>'Discount Calc'!AI$27</f>
        <v>0</v>
      </c>
      <c r="AJ6" s="40">
        <f>'Discount Calc'!AJ$27</f>
        <v>0</v>
      </c>
      <c r="AK6" s="40">
        <f>'Discount Calc'!AK$27</f>
        <v>0</v>
      </c>
      <c r="AL6" s="40">
        <f>'Discount Calc'!AL$27</f>
        <v>0</v>
      </c>
      <c r="AM6" s="40">
        <f>'Discount Calc'!AM$27</f>
        <v>0</v>
      </c>
      <c r="AN6" s="40">
        <f>'Discount Calc'!AN$27</f>
        <v>0</v>
      </c>
      <c r="AO6" s="40">
        <f>'Discount Calc'!AO$27</f>
        <v>0</v>
      </c>
      <c r="AP6" s="40">
        <f>'Discount Calc'!AP$27</f>
        <v>0</v>
      </c>
      <c r="AQ6" s="40">
        <f>'Discount Calc'!AQ$27</f>
        <v>0</v>
      </c>
      <c r="AR6" s="40">
        <f>'Discount Calc'!AR$27</f>
        <v>0</v>
      </c>
      <c r="AS6" s="40">
        <f>'Discount Calc'!AS$27</f>
        <v>0</v>
      </c>
      <c r="AT6" s="40">
        <f>'Discount Calc'!AT$27</f>
        <v>0</v>
      </c>
      <c r="AU6" s="40">
        <f>'Discount Calc'!AU$27</f>
        <v>0</v>
      </c>
      <c r="AV6" s="40">
        <f>'Discount Calc'!AV$27</f>
        <v>0</v>
      </c>
      <c r="AW6" s="40">
        <f>'Discount Calc'!AW$27</f>
        <v>0</v>
      </c>
      <c r="AX6" s="40">
        <f>'Discount Calc'!AX$27</f>
        <v>0</v>
      </c>
      <c r="AY6" s="40">
        <f>'Discount Calc'!AY$27</f>
        <v>0</v>
      </c>
      <c r="AZ6" s="40"/>
      <c r="BA6" s="40"/>
    </row>
    <row r="7" spans="1:53" ht="14.5" x14ac:dyDescent="0.35">
      <c r="E7" s="1" t="s">
        <v>92</v>
      </c>
      <c r="F7" s="158" t="s">
        <v>823</v>
      </c>
      <c r="G7" s="8" t="s">
        <v>93</v>
      </c>
      <c r="H7" s="8"/>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3" ht="7.4" customHeight="1" x14ac:dyDescent="0.35">
      <c r="B8" s="4"/>
      <c r="E8" s="1"/>
      <c r="F8" s="158"/>
      <c r="G8" s="8"/>
      <c r="H8" s="8"/>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3" ht="14.5" x14ac:dyDescent="0.35">
      <c r="A9" s="5" t="s">
        <v>885</v>
      </c>
      <c r="E9" s="1"/>
      <c r="F9" s="158"/>
      <c r="G9" s="8"/>
      <c r="H9" s="8"/>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3" ht="14.5" x14ac:dyDescent="0.35">
      <c r="B10" s="5" t="s">
        <v>79</v>
      </c>
      <c r="E10" s="1"/>
      <c r="F10" s="158"/>
      <c r="G10" s="8"/>
      <c r="H10" s="8"/>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3" ht="9.25" customHeight="1" x14ac:dyDescent="0.35">
      <c r="E11" s="1"/>
      <c r="F11" s="158"/>
      <c r="G11" s="8"/>
      <c r="H11" s="8"/>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3" ht="14.5" x14ac:dyDescent="0.35">
      <c r="E12" s="4" t="s">
        <v>886</v>
      </c>
      <c r="F12" s="156" t="s">
        <v>887</v>
      </c>
      <c r="G12" s="43" t="s">
        <v>883</v>
      </c>
      <c r="H12" s="43"/>
      <c r="I12" s="248">
        <f>SUM('SegmentTraffic Inputs'!I$139)*I$6</f>
        <v>0</v>
      </c>
      <c r="J12" s="248">
        <f>SUM('SegmentTraffic Inputs'!J$139)*J$6</f>
        <v>0</v>
      </c>
      <c r="K12" s="248">
        <f>SUM('SegmentTraffic Inputs'!K$139)*K$6</f>
        <v>0</v>
      </c>
      <c r="L12" s="248">
        <f>SUM('SegmentTraffic Inputs'!L$139)*L$6</f>
        <v>0</v>
      </c>
      <c r="M12" s="248">
        <f>SUM('SegmentTraffic Inputs'!M$139)*M$6</f>
        <v>0</v>
      </c>
      <c r="N12" s="248">
        <f>SUM('SegmentTraffic Inputs'!N$139)*N$6</f>
        <v>0</v>
      </c>
      <c r="O12" s="248">
        <f>SUM('SegmentTraffic Inputs'!O$139)*O$6</f>
        <v>19690.011124811052</v>
      </c>
      <c r="P12" s="248">
        <f>SUM('SegmentTraffic Inputs'!P$139)*P$6</f>
        <v>20201.95141405605</v>
      </c>
      <c r="Q12" s="248">
        <f>SUM('SegmentTraffic Inputs'!Q$139)*Q$6</f>
        <v>20727.202150821548</v>
      </c>
      <c r="R12" s="248">
        <f>SUM('SegmentTraffic Inputs'!R$139)*R$6</f>
        <v>21266.109406742871</v>
      </c>
      <c r="S12" s="248">
        <f>SUM('SegmentTraffic Inputs'!S$139)*S$6</f>
        <v>21819.028251318345</v>
      </c>
      <c r="T12" s="248">
        <f>SUM('SegmentTraffic Inputs'!T$139)*T$6</f>
        <v>22386.322985852501</v>
      </c>
      <c r="U12" s="248">
        <f>SUM('SegmentTraffic Inputs'!U$139)*U$6</f>
        <v>22968.367383484681</v>
      </c>
      <c r="V12" s="248">
        <f>SUM('SegmentTraffic Inputs'!V$139)*V$6</f>
        <v>23565.544935455157</v>
      </c>
      <c r="W12" s="248">
        <f>SUM('SegmentTraffic Inputs'!W$139)*W$6</f>
        <v>24178.249103777038</v>
      </c>
      <c r="X12" s="248">
        <f>SUM('SegmentTraffic Inputs'!X$139)*X$6</f>
        <v>24806.883580475424</v>
      </c>
      <c r="Y12" s="248">
        <f>SUM('SegmentTraffic Inputs'!Y$139)*Y$6</f>
        <v>25451.862553567644</v>
      </c>
      <c r="Z12" s="248">
        <f>SUM('SegmentTraffic Inputs'!Z$139)*Z$6</f>
        <v>26113.610979960384</v>
      </c>
      <c r="AA12" s="248">
        <f>SUM('SegmentTraffic Inputs'!AA$139)*AA$6</f>
        <v>26792.564865439337</v>
      </c>
      <c r="AB12" s="248">
        <f>SUM('SegmentTraffic Inputs'!AB$139)*AB$6</f>
        <v>27489.171551940795</v>
      </c>
      <c r="AC12" s="248">
        <f>SUM('SegmentTraffic Inputs'!AC$139)*AC$6</f>
        <v>0</v>
      </c>
      <c r="AD12" s="248">
        <f>SUM('SegmentTraffic Inputs'!AD$139)*AD$6</f>
        <v>117892.26025137746</v>
      </c>
      <c r="AE12" s="248">
        <f>SUM('SegmentTraffic Inputs'!AE$139)*AE$6</f>
        <v>120957.4590179134</v>
      </c>
      <c r="AF12" s="248">
        <f>SUM('SegmentTraffic Inputs'!AF$139)*AF$6</f>
        <v>124102.35295237919</v>
      </c>
      <c r="AG12" s="248">
        <f>SUM('SegmentTraffic Inputs'!AG$139)*AG$6</f>
        <v>127329.01412914108</v>
      </c>
      <c r="AH12" s="248">
        <f>SUM('SegmentTraffic Inputs'!AH$139)*AH$6</f>
        <v>130639.5684964986</v>
      </c>
      <c r="AI12" s="248">
        <f>SUM('SegmentTraffic Inputs'!AI$139)*AI$6</f>
        <v>0</v>
      </c>
      <c r="AJ12" s="248">
        <f>SUM('SegmentTraffic Inputs'!AJ$139)*AJ$6</f>
        <v>0</v>
      </c>
      <c r="AK12" s="248">
        <f>SUM('SegmentTraffic Inputs'!AK$139)*AK$6</f>
        <v>0</v>
      </c>
      <c r="AL12" s="248">
        <f>SUM('SegmentTraffic Inputs'!AL$139)*AL$6</f>
        <v>0</v>
      </c>
      <c r="AM12" s="248">
        <f>SUM('SegmentTraffic Inputs'!AM$139)*AM$6</f>
        <v>0</v>
      </c>
      <c r="AN12" s="248">
        <f>SUM('SegmentTraffic Inputs'!AN$139)*AN$6</f>
        <v>0</v>
      </c>
      <c r="AO12" s="248">
        <f>SUM('SegmentTraffic Inputs'!AO$139)*AO$6</f>
        <v>0</v>
      </c>
      <c r="AP12" s="248">
        <f>SUM('SegmentTraffic Inputs'!AP$139)*AP$6</f>
        <v>0</v>
      </c>
      <c r="AQ12" s="248">
        <f>SUM('SegmentTraffic Inputs'!AQ$139)*AQ$6</f>
        <v>0</v>
      </c>
      <c r="AR12" s="248">
        <f>SUM('SegmentTraffic Inputs'!AR$139)*AR$6</f>
        <v>0</v>
      </c>
      <c r="AS12" s="248">
        <f>SUM('SegmentTraffic Inputs'!AS$139)*AS$6</f>
        <v>0</v>
      </c>
      <c r="AT12" s="248">
        <f>SUM('SegmentTraffic Inputs'!AT$139)*AT$6</f>
        <v>0</v>
      </c>
      <c r="AU12" s="248">
        <f>SUM('SegmentTraffic Inputs'!AU$139)*AU$6</f>
        <v>0</v>
      </c>
      <c r="AV12" s="248">
        <f>SUM('SegmentTraffic Inputs'!AV$139)*AV$6</f>
        <v>0</v>
      </c>
      <c r="AW12" s="248">
        <f>SUM('SegmentTraffic Inputs'!AW$139)*AW$6</f>
        <v>0</v>
      </c>
      <c r="AX12" s="248">
        <f>SUM('SegmentTraffic Inputs'!AX$139)*AX$6</f>
        <v>0</v>
      </c>
      <c r="AY12" s="248">
        <f>SUM('SegmentTraffic Inputs'!AY$139)*AY$6</f>
        <v>0</v>
      </c>
      <c r="AZ12" s="248"/>
      <c r="BA12" s="248"/>
    </row>
    <row r="13" spans="1:53" ht="14.5" x14ac:dyDescent="0.35">
      <c r="E13" s="4" t="s">
        <v>888</v>
      </c>
      <c r="F13" s="156" t="s">
        <v>887</v>
      </c>
      <c r="G13" s="43" t="s">
        <v>883</v>
      </c>
      <c r="H13" s="43"/>
      <c r="I13" s="248">
        <f>SUM('SegmentTraffic Inputs'!I$138)*I$6</f>
        <v>0</v>
      </c>
      <c r="J13" s="248">
        <f>SUM('SegmentTraffic Inputs'!J$138)*J$6</f>
        <v>0</v>
      </c>
      <c r="K13" s="248">
        <f>SUM('SegmentTraffic Inputs'!K$138)*K$6</f>
        <v>0</v>
      </c>
      <c r="L13" s="248">
        <f>SUM('SegmentTraffic Inputs'!L$138)*L$6</f>
        <v>0</v>
      </c>
      <c r="M13" s="248">
        <f>SUM('SegmentTraffic Inputs'!M$138)*M$6</f>
        <v>0</v>
      </c>
      <c r="N13" s="248">
        <f>SUM('SegmentTraffic Inputs'!N$138)*N$6</f>
        <v>0</v>
      </c>
      <c r="O13" s="248">
        <f>SUM('SegmentTraffic Inputs'!O$138)*O$6</f>
        <v>4551.3894847536285</v>
      </c>
      <c r="P13" s="248">
        <f>SUM('SegmentTraffic Inputs'!P$138)*P$6</f>
        <v>4669.7256113572221</v>
      </c>
      <c r="Q13" s="248">
        <f>SUM('SegmentTraffic Inputs'!Q$138)*Q$6</f>
        <v>4791.1384772524762</v>
      </c>
      <c r="R13" s="248">
        <f>SUM('SegmentTraffic Inputs'!R$138)*R$6</f>
        <v>4915.7080776610819</v>
      </c>
      <c r="S13" s="248">
        <f>SUM('SegmentTraffic Inputs'!S$138)*S$6</f>
        <v>5043.5164876802592</v>
      </c>
      <c r="T13" s="248">
        <f>SUM('SegmentTraffic Inputs'!T$138)*T$6</f>
        <v>5174.6479163599433</v>
      </c>
      <c r="U13" s="248">
        <f>SUM('SegmentTraffic Inputs'!U$138)*U$6</f>
        <v>5309.1887621853093</v>
      </c>
      <c r="V13" s="248">
        <f>SUM('SegmentTraffic Inputs'!V$138)*V$6</f>
        <v>5447.2276700021175</v>
      </c>
      <c r="W13" s="248">
        <f>SUM('SegmentTraffic Inputs'!W$138)*W$6</f>
        <v>5588.8555894221354</v>
      </c>
      <c r="X13" s="248">
        <f>SUM('SegmentTraffic Inputs'!X$138)*X$6</f>
        <v>5734.1658347471093</v>
      </c>
      <c r="Y13" s="248">
        <f>SUM('SegmentTraffic Inputs'!Y$138)*Y$6</f>
        <v>5883.2541464505484</v>
      </c>
      <c r="Z13" s="248">
        <f>SUM('SegmentTraffic Inputs'!Z$138)*Z$6</f>
        <v>6036.2187542582978</v>
      </c>
      <c r="AA13" s="248">
        <f>SUM('SegmentTraffic Inputs'!AA$138)*AA$6</f>
        <v>6193.1604418689967</v>
      </c>
      <c r="AB13" s="248">
        <f>SUM('SegmentTraffic Inputs'!AB$138)*AB$6</f>
        <v>6354.1826133576105</v>
      </c>
      <c r="AC13" s="248">
        <f>SUM('SegmentTraffic Inputs'!AC$138)*AC$6</f>
        <v>0</v>
      </c>
      <c r="AD13" s="248">
        <f>SUM('SegmentTraffic Inputs'!AD$138)*AD$6</f>
        <v>27251.055890254385</v>
      </c>
      <c r="AE13" s="248">
        <f>SUM('SegmentTraffic Inputs'!AE$138)*AE$6</f>
        <v>27959.583343401086</v>
      </c>
      <c r="AF13" s="248">
        <f>SUM('SegmentTraffic Inputs'!AF$138)*AF$6</f>
        <v>28686.532510329445</v>
      </c>
      <c r="AG13" s="248">
        <f>SUM('SegmentTraffic Inputs'!AG$138)*AG$6</f>
        <v>29432.382355598034</v>
      </c>
      <c r="AH13" s="248">
        <f>SUM('SegmentTraffic Inputs'!AH$138)*AH$6</f>
        <v>30197.624296843598</v>
      </c>
      <c r="AI13" s="248">
        <f>SUM('SegmentTraffic Inputs'!AI$138)*AI$6</f>
        <v>0</v>
      </c>
      <c r="AJ13" s="248">
        <f>SUM('SegmentTraffic Inputs'!AJ$138)*AJ$6</f>
        <v>0</v>
      </c>
      <c r="AK13" s="248">
        <f>SUM('SegmentTraffic Inputs'!AK$138)*AK$6</f>
        <v>0</v>
      </c>
      <c r="AL13" s="248">
        <f>SUM('SegmentTraffic Inputs'!AL$138)*AL$6</f>
        <v>0</v>
      </c>
      <c r="AM13" s="248">
        <f>SUM('SegmentTraffic Inputs'!AM$138)*AM$6</f>
        <v>0</v>
      </c>
      <c r="AN13" s="248">
        <f>SUM('SegmentTraffic Inputs'!AN$138)*AN$6</f>
        <v>0</v>
      </c>
      <c r="AO13" s="248">
        <f>SUM('SegmentTraffic Inputs'!AO$138)*AO$6</f>
        <v>0</v>
      </c>
      <c r="AP13" s="248">
        <f>SUM('SegmentTraffic Inputs'!AP$138)*AP$6</f>
        <v>0</v>
      </c>
      <c r="AQ13" s="248">
        <f>SUM('SegmentTraffic Inputs'!AQ$138)*AQ$6</f>
        <v>0</v>
      </c>
      <c r="AR13" s="248">
        <f>SUM('SegmentTraffic Inputs'!AR$138)*AR$6</f>
        <v>0</v>
      </c>
      <c r="AS13" s="248">
        <f>SUM('SegmentTraffic Inputs'!AS$138)*AS$6</f>
        <v>0</v>
      </c>
      <c r="AT13" s="248">
        <f>SUM('SegmentTraffic Inputs'!AT$138)*AT$6</f>
        <v>0</v>
      </c>
      <c r="AU13" s="248">
        <f>SUM('SegmentTraffic Inputs'!AU$138)*AU$6</f>
        <v>0</v>
      </c>
      <c r="AV13" s="248">
        <f>SUM('SegmentTraffic Inputs'!AV$138)*AV$6</f>
        <v>0</v>
      </c>
      <c r="AW13" s="248">
        <f>SUM('SegmentTraffic Inputs'!AW$138)*AW$6</f>
        <v>0</v>
      </c>
      <c r="AX13" s="248">
        <f>SUM('SegmentTraffic Inputs'!AX$138)*AX$6</f>
        <v>0</v>
      </c>
      <c r="AY13" s="248">
        <f>SUM('SegmentTraffic Inputs'!AY$138)*AY$6</f>
        <v>0</v>
      </c>
      <c r="AZ13" s="248"/>
      <c r="BA13" s="248"/>
    </row>
    <row r="14" spans="1:53" ht="7.4" customHeight="1" x14ac:dyDescent="0.35">
      <c r="B14" s="4"/>
      <c r="E14" s="1"/>
      <c r="F14" s="158"/>
      <c r="G14" s="8"/>
      <c r="H14" s="8"/>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88"/>
      <c r="AZ14" s="88"/>
      <c r="BA14" s="88"/>
    </row>
    <row r="15" spans="1:53" ht="14.5" x14ac:dyDescent="0.35">
      <c r="B15" s="5" t="s">
        <v>889</v>
      </c>
      <c r="E15" s="1"/>
      <c r="F15" s="158"/>
      <c r="G15" s="8"/>
      <c r="H15" s="8"/>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88"/>
      <c r="AZ15" s="88"/>
      <c r="BA15" s="88"/>
    </row>
    <row r="16" spans="1:53" ht="7.4" customHeight="1" x14ac:dyDescent="0.35">
      <c r="B16" s="4"/>
      <c r="E16" s="1"/>
      <c r="F16" s="158"/>
      <c r="G16" s="8"/>
      <c r="H16" s="8"/>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88"/>
      <c r="AZ16" s="88"/>
      <c r="BA16" s="88"/>
    </row>
    <row r="17" spans="1:53" ht="14.5" x14ac:dyDescent="0.35">
      <c r="B17" s="4"/>
      <c r="C17" s="1" t="s">
        <v>890</v>
      </c>
      <c r="E17" s="1"/>
      <c r="F17" s="158"/>
      <c r="G17" s="8"/>
      <c r="H17" s="8"/>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88"/>
      <c r="AZ17" s="88"/>
      <c r="BA17" s="88"/>
    </row>
    <row r="18" spans="1:53" ht="7.4" customHeight="1" x14ac:dyDescent="0.35">
      <c r="B18" s="4"/>
      <c r="E18" s="1"/>
      <c r="F18" s="158"/>
      <c r="G18" s="8"/>
      <c r="H18" s="8"/>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88"/>
      <c r="AZ18" s="88"/>
      <c r="BA18" s="88"/>
    </row>
    <row r="19" spans="1:53" ht="14.5" x14ac:dyDescent="0.35">
      <c r="D19" s="1" t="s">
        <v>891</v>
      </c>
      <c r="E19" s="1"/>
      <c r="F19" s="158"/>
      <c r="G19" s="8"/>
      <c r="H19" s="8"/>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row>
    <row r="20" spans="1:53" ht="14.5" x14ac:dyDescent="0.35">
      <c r="E20" s="4" t="s">
        <v>566</v>
      </c>
      <c r="F20" s="156" t="s">
        <v>892</v>
      </c>
      <c r="G20" s="43" t="s">
        <v>893</v>
      </c>
      <c r="H20" s="43"/>
      <c r="I20" s="248">
        <f>'Safety Inputs'!$H51*'INTERMEDIATE CALCS'!I$6</f>
        <v>0</v>
      </c>
      <c r="J20" s="248">
        <f>'Safety Inputs'!$H51*'INTERMEDIATE CALCS'!J$6</f>
        <v>0</v>
      </c>
      <c r="K20" s="248">
        <f>'Safety Inputs'!$H51*'INTERMEDIATE CALCS'!K$6</f>
        <v>0</v>
      </c>
      <c r="L20" s="248">
        <f>'Safety Inputs'!$H51*'INTERMEDIATE CALCS'!L$6</f>
        <v>0</v>
      </c>
      <c r="M20" s="248">
        <f>'Safety Inputs'!$H51*'INTERMEDIATE CALCS'!M$6</f>
        <v>0</v>
      </c>
      <c r="N20" s="248">
        <f>'Safety Inputs'!$H51*'INTERMEDIATE CALCS'!N$6</f>
        <v>0</v>
      </c>
      <c r="O20" s="248">
        <f>'Safety Inputs'!$H51*'INTERMEDIATE CALCS'!O$6</f>
        <v>3.5972020668376907</v>
      </c>
      <c r="P20" s="248">
        <f>'Safety Inputs'!$H51*'INTERMEDIATE CALCS'!P$6</f>
        <v>3.5972020668376907</v>
      </c>
      <c r="Q20" s="248">
        <f>'Safety Inputs'!$H51*'INTERMEDIATE CALCS'!Q$6</f>
        <v>3.5972020668376907</v>
      </c>
      <c r="R20" s="248">
        <f>'Safety Inputs'!$H51*'INTERMEDIATE CALCS'!R$6</f>
        <v>3.5972020668376907</v>
      </c>
      <c r="S20" s="248">
        <f>'Safety Inputs'!$H51*'INTERMEDIATE CALCS'!S$6</f>
        <v>3.5972020668376907</v>
      </c>
      <c r="T20" s="248">
        <f>'Safety Inputs'!$H51*'INTERMEDIATE CALCS'!T$6</f>
        <v>3.5972020668376907</v>
      </c>
      <c r="U20" s="248">
        <f>'Safety Inputs'!$H51*'INTERMEDIATE CALCS'!U$6</f>
        <v>3.5972020668376907</v>
      </c>
      <c r="V20" s="248">
        <f>'Safety Inputs'!$H51*'INTERMEDIATE CALCS'!V$6</f>
        <v>3.5972020668376907</v>
      </c>
      <c r="W20" s="248">
        <f>'Safety Inputs'!$H51*'INTERMEDIATE CALCS'!W$6</f>
        <v>3.5972020668376907</v>
      </c>
      <c r="X20" s="248">
        <f>'Safety Inputs'!$H51*'INTERMEDIATE CALCS'!X$6</f>
        <v>3.5972020668376907</v>
      </c>
      <c r="Y20" s="248">
        <f>'Safety Inputs'!$H51*'INTERMEDIATE CALCS'!Y$6</f>
        <v>3.5972020668376907</v>
      </c>
      <c r="Z20" s="248">
        <f>'Safety Inputs'!$H51*'INTERMEDIATE CALCS'!Z$6</f>
        <v>3.5972020668376907</v>
      </c>
      <c r="AA20" s="248">
        <f>'Safety Inputs'!$H51*'INTERMEDIATE CALCS'!AA$6</f>
        <v>3.5972020668376907</v>
      </c>
      <c r="AB20" s="248">
        <f>'Safety Inputs'!$H51*'INTERMEDIATE CALCS'!AB$6</f>
        <v>3.5972020668376907</v>
      </c>
      <c r="AC20" s="248">
        <f>'Safety Inputs'!$H51*'INTERMEDIATE CALCS'!AC$6</f>
        <v>3.5972020668376907</v>
      </c>
      <c r="AD20" s="248">
        <f>'Safety Inputs'!$H51*'INTERMEDIATE CALCS'!AD$6</f>
        <v>3.5972020668376907</v>
      </c>
      <c r="AE20" s="248">
        <f>'Safety Inputs'!$H51*'INTERMEDIATE CALCS'!AE$6</f>
        <v>3.5972020668376907</v>
      </c>
      <c r="AF20" s="248">
        <f>'Safety Inputs'!$H51*'INTERMEDIATE CALCS'!AF$6</f>
        <v>3.5972020668376907</v>
      </c>
      <c r="AG20" s="248">
        <f>'Safety Inputs'!$H51*'INTERMEDIATE CALCS'!AG$6</f>
        <v>3.5972020668376907</v>
      </c>
      <c r="AH20" s="248">
        <f>'Safety Inputs'!$H51*'INTERMEDIATE CALCS'!AH$6</f>
        <v>3.5972020668376907</v>
      </c>
      <c r="AI20" s="248">
        <f>'Safety Inputs'!$H51*'INTERMEDIATE CALCS'!AI$6</f>
        <v>0</v>
      </c>
      <c r="AJ20" s="248">
        <f>'Safety Inputs'!$H51*'INTERMEDIATE CALCS'!AJ$6</f>
        <v>0</v>
      </c>
      <c r="AK20" s="248">
        <f>'Safety Inputs'!$H51*'INTERMEDIATE CALCS'!AK$6</f>
        <v>0</v>
      </c>
      <c r="AL20" s="248">
        <f>'Safety Inputs'!$H51*'INTERMEDIATE CALCS'!AL$6</f>
        <v>0</v>
      </c>
      <c r="AM20" s="248">
        <f>'Safety Inputs'!$H51*'INTERMEDIATE CALCS'!AM$6</f>
        <v>0</v>
      </c>
      <c r="AN20" s="248">
        <f>'Safety Inputs'!$H51*'INTERMEDIATE CALCS'!AN$6</f>
        <v>0</v>
      </c>
      <c r="AO20" s="248">
        <f>'Safety Inputs'!$H51*'INTERMEDIATE CALCS'!AO$6</f>
        <v>0</v>
      </c>
      <c r="AP20" s="248">
        <f>'Safety Inputs'!$H51*'INTERMEDIATE CALCS'!AP$6</f>
        <v>0</v>
      </c>
      <c r="AQ20" s="248">
        <f>'Safety Inputs'!$H51*'INTERMEDIATE CALCS'!AQ$6</f>
        <v>0</v>
      </c>
      <c r="AR20" s="248">
        <f>'Safety Inputs'!$H51*'INTERMEDIATE CALCS'!AR$6</f>
        <v>0</v>
      </c>
      <c r="AS20" s="248">
        <f>'Safety Inputs'!$H51*'INTERMEDIATE CALCS'!AS$6</f>
        <v>0</v>
      </c>
      <c r="AT20" s="248">
        <f>'Safety Inputs'!$H51*'INTERMEDIATE CALCS'!AT$6</f>
        <v>0</v>
      </c>
      <c r="AU20" s="248">
        <f>'Safety Inputs'!$H51*'INTERMEDIATE CALCS'!AU$6</f>
        <v>0</v>
      </c>
      <c r="AV20" s="248">
        <f>'Safety Inputs'!$H51*'INTERMEDIATE CALCS'!AV$6</f>
        <v>0</v>
      </c>
      <c r="AW20" s="248">
        <f>'Safety Inputs'!$H51*'INTERMEDIATE CALCS'!AW$6</f>
        <v>0</v>
      </c>
      <c r="AX20" s="248">
        <f>'Safety Inputs'!$H51*'INTERMEDIATE CALCS'!AX$6</f>
        <v>0</v>
      </c>
      <c r="AY20" s="248">
        <f>'Safety Inputs'!$H51*'INTERMEDIATE CALCS'!AY$6</f>
        <v>0</v>
      </c>
      <c r="AZ20" s="248"/>
      <c r="BA20" s="248"/>
    </row>
    <row r="21" spans="1:53" ht="14.5" x14ac:dyDescent="0.35">
      <c r="E21" s="4" t="s">
        <v>1285</v>
      </c>
      <c r="F21" s="156" t="s">
        <v>892</v>
      </c>
      <c r="G21" s="43" t="s">
        <v>893</v>
      </c>
      <c r="H21" s="43"/>
      <c r="I21" s="248">
        <f>'Safety Inputs'!$H52*'INTERMEDIATE CALCS'!I$6</f>
        <v>0</v>
      </c>
      <c r="J21" s="248">
        <f>'Safety Inputs'!$H52*'INTERMEDIATE CALCS'!J$6</f>
        <v>0</v>
      </c>
      <c r="K21" s="248">
        <f>'Safety Inputs'!$H52*'INTERMEDIATE CALCS'!K$6</f>
        <v>0</v>
      </c>
      <c r="L21" s="248">
        <f>'Safety Inputs'!$H52*'INTERMEDIATE CALCS'!L$6</f>
        <v>0</v>
      </c>
      <c r="M21" s="248">
        <f>'Safety Inputs'!$H52*'INTERMEDIATE CALCS'!M$6</f>
        <v>0</v>
      </c>
      <c r="N21" s="248">
        <f>'Safety Inputs'!$H52*'INTERMEDIATE CALCS'!N$6</f>
        <v>0</v>
      </c>
      <c r="O21" s="248">
        <f>'Safety Inputs'!$H52*'INTERMEDIATE CALCS'!O$6</f>
        <v>1.0614694623455483</v>
      </c>
      <c r="P21" s="248">
        <f>'Safety Inputs'!$H52*'INTERMEDIATE CALCS'!P$6</f>
        <v>1.0614694623455483</v>
      </c>
      <c r="Q21" s="248">
        <f>'Safety Inputs'!$H52*'INTERMEDIATE CALCS'!Q$6</f>
        <v>1.0614694623455483</v>
      </c>
      <c r="R21" s="248">
        <f>'Safety Inputs'!$H52*'INTERMEDIATE CALCS'!R$6</f>
        <v>1.0614694623455483</v>
      </c>
      <c r="S21" s="248">
        <f>'Safety Inputs'!$H52*'INTERMEDIATE CALCS'!S$6</f>
        <v>1.0614694623455483</v>
      </c>
      <c r="T21" s="248">
        <f>'Safety Inputs'!$H52*'INTERMEDIATE CALCS'!T$6</f>
        <v>1.0614694623455483</v>
      </c>
      <c r="U21" s="248">
        <f>'Safety Inputs'!$H52*'INTERMEDIATE CALCS'!U$6</f>
        <v>1.0614694623455483</v>
      </c>
      <c r="V21" s="248">
        <f>'Safety Inputs'!$H52*'INTERMEDIATE CALCS'!V$6</f>
        <v>1.0614694623455483</v>
      </c>
      <c r="W21" s="248">
        <f>'Safety Inputs'!$H52*'INTERMEDIATE CALCS'!W$6</f>
        <v>1.0614694623455483</v>
      </c>
      <c r="X21" s="248">
        <f>'Safety Inputs'!$H52*'INTERMEDIATE CALCS'!X$6</f>
        <v>1.0614694623455483</v>
      </c>
      <c r="Y21" s="248">
        <f>'Safety Inputs'!$H52*'INTERMEDIATE CALCS'!Y$6</f>
        <v>1.0614694623455483</v>
      </c>
      <c r="Z21" s="248">
        <f>'Safety Inputs'!$H52*'INTERMEDIATE CALCS'!Z$6</f>
        <v>1.0614694623455483</v>
      </c>
      <c r="AA21" s="248">
        <f>'Safety Inputs'!$H52*'INTERMEDIATE CALCS'!AA$6</f>
        <v>1.0614694623455483</v>
      </c>
      <c r="AB21" s="248">
        <f>'Safety Inputs'!$H52*'INTERMEDIATE CALCS'!AB$6</f>
        <v>1.0614694623455483</v>
      </c>
      <c r="AC21" s="248">
        <f>'Safety Inputs'!$H52*'INTERMEDIATE CALCS'!AC$6</f>
        <v>1.0614694623455483</v>
      </c>
      <c r="AD21" s="248">
        <f>'Safety Inputs'!$H52*'INTERMEDIATE CALCS'!AD$6</f>
        <v>1.0614694623455483</v>
      </c>
      <c r="AE21" s="248">
        <f>'Safety Inputs'!$H52*'INTERMEDIATE CALCS'!AE$6</f>
        <v>1.0614694623455483</v>
      </c>
      <c r="AF21" s="248">
        <f>'Safety Inputs'!$H52*'INTERMEDIATE CALCS'!AF$6</f>
        <v>1.0614694623455483</v>
      </c>
      <c r="AG21" s="248">
        <f>'Safety Inputs'!$H52*'INTERMEDIATE CALCS'!AG$6</f>
        <v>1.0614694623455483</v>
      </c>
      <c r="AH21" s="248">
        <f>'Safety Inputs'!$H52*'INTERMEDIATE CALCS'!AH$6</f>
        <v>1.0614694623455483</v>
      </c>
      <c r="AI21" s="248">
        <f>'Safety Inputs'!$H52*'INTERMEDIATE CALCS'!AI$6</f>
        <v>0</v>
      </c>
      <c r="AJ21" s="248">
        <f>'Safety Inputs'!$H52*'INTERMEDIATE CALCS'!AJ$6</f>
        <v>0</v>
      </c>
      <c r="AK21" s="248">
        <f>'Safety Inputs'!$H52*'INTERMEDIATE CALCS'!AK$6</f>
        <v>0</v>
      </c>
      <c r="AL21" s="248">
        <f>'Safety Inputs'!$H52*'INTERMEDIATE CALCS'!AL$6</f>
        <v>0</v>
      </c>
      <c r="AM21" s="248">
        <f>'Safety Inputs'!$H52*'INTERMEDIATE CALCS'!AM$6</f>
        <v>0</v>
      </c>
      <c r="AN21" s="248">
        <f>'Safety Inputs'!$H52*'INTERMEDIATE CALCS'!AN$6</f>
        <v>0</v>
      </c>
      <c r="AO21" s="248">
        <f>'Safety Inputs'!$H52*'INTERMEDIATE CALCS'!AO$6</f>
        <v>0</v>
      </c>
      <c r="AP21" s="248">
        <f>'Safety Inputs'!$H52*'INTERMEDIATE CALCS'!AP$6</f>
        <v>0</v>
      </c>
      <c r="AQ21" s="248">
        <f>'Safety Inputs'!$H52*'INTERMEDIATE CALCS'!AQ$6</f>
        <v>0</v>
      </c>
      <c r="AR21" s="248">
        <f>'Safety Inputs'!$H52*'INTERMEDIATE CALCS'!AR$6</f>
        <v>0</v>
      </c>
      <c r="AS21" s="248">
        <f>'Safety Inputs'!$H52*'INTERMEDIATE CALCS'!AS$6</f>
        <v>0</v>
      </c>
      <c r="AT21" s="248">
        <f>'Safety Inputs'!$H52*'INTERMEDIATE CALCS'!AT$6</f>
        <v>0</v>
      </c>
      <c r="AU21" s="248">
        <f>'Safety Inputs'!$H52*'INTERMEDIATE CALCS'!AU$6</f>
        <v>0</v>
      </c>
      <c r="AV21" s="248">
        <f>'Safety Inputs'!$H52*'INTERMEDIATE CALCS'!AV$6</f>
        <v>0</v>
      </c>
      <c r="AW21" s="248">
        <f>'Safety Inputs'!$H52*'INTERMEDIATE CALCS'!AW$6</f>
        <v>0</v>
      </c>
      <c r="AX21" s="248">
        <f>'Safety Inputs'!$H52*'INTERMEDIATE CALCS'!AX$6</f>
        <v>0</v>
      </c>
      <c r="AY21" s="248">
        <f>'Safety Inputs'!$H52*'INTERMEDIATE CALCS'!AY$6</f>
        <v>0</v>
      </c>
      <c r="AZ21" s="248"/>
      <c r="BA21" s="248"/>
    </row>
    <row r="22" spans="1:53" ht="14.5" x14ac:dyDescent="0.35">
      <c r="E22" s="4" t="s">
        <v>1248</v>
      </c>
      <c r="F22" s="156" t="s">
        <v>892</v>
      </c>
      <c r="G22" s="43" t="s">
        <v>893</v>
      </c>
      <c r="H22" s="43"/>
      <c r="I22" s="248">
        <f>'Safety Inputs'!$H53*'INTERMEDIATE CALCS'!I$6</f>
        <v>0</v>
      </c>
      <c r="J22" s="248">
        <f>'Safety Inputs'!$H53*'INTERMEDIATE CALCS'!J$6</f>
        <v>0</v>
      </c>
      <c r="K22" s="248">
        <f>'Safety Inputs'!$H53*'INTERMEDIATE CALCS'!K$6</f>
        <v>0</v>
      </c>
      <c r="L22" s="248">
        <f>'Safety Inputs'!$H53*'INTERMEDIATE CALCS'!L$6</f>
        <v>0</v>
      </c>
      <c r="M22" s="248">
        <f>'Safety Inputs'!$H53*'INTERMEDIATE CALCS'!M$6</f>
        <v>0</v>
      </c>
      <c r="N22" s="248">
        <f>'Safety Inputs'!$H53*'INTERMEDIATE CALCS'!N$6</f>
        <v>0</v>
      </c>
      <c r="O22" s="248">
        <f>'Safety Inputs'!$H53*'INTERMEDIATE CALCS'!O$6</f>
        <v>0.23588210274345514</v>
      </c>
      <c r="P22" s="248">
        <f>'Safety Inputs'!$H53*'INTERMEDIATE CALCS'!P$6</f>
        <v>0.23588210274345514</v>
      </c>
      <c r="Q22" s="248">
        <f>'Safety Inputs'!$H53*'INTERMEDIATE CALCS'!Q$6</f>
        <v>0.23588210274345514</v>
      </c>
      <c r="R22" s="248">
        <f>'Safety Inputs'!$H53*'INTERMEDIATE CALCS'!R$6</f>
        <v>0.23588210274345514</v>
      </c>
      <c r="S22" s="248">
        <f>'Safety Inputs'!$H53*'INTERMEDIATE CALCS'!S$6</f>
        <v>0.23588210274345514</v>
      </c>
      <c r="T22" s="248">
        <f>'Safety Inputs'!$H53*'INTERMEDIATE CALCS'!T$6</f>
        <v>0.23588210274345514</v>
      </c>
      <c r="U22" s="248">
        <f>'Safety Inputs'!$H53*'INTERMEDIATE CALCS'!U$6</f>
        <v>0.23588210274345514</v>
      </c>
      <c r="V22" s="248">
        <f>'Safety Inputs'!$H53*'INTERMEDIATE CALCS'!V$6</f>
        <v>0.23588210274345514</v>
      </c>
      <c r="W22" s="248">
        <f>'Safety Inputs'!$H53*'INTERMEDIATE CALCS'!W$6</f>
        <v>0.23588210274345514</v>
      </c>
      <c r="X22" s="248">
        <f>'Safety Inputs'!$H53*'INTERMEDIATE CALCS'!X$6</f>
        <v>0.23588210274345514</v>
      </c>
      <c r="Y22" s="248">
        <f>'Safety Inputs'!$H53*'INTERMEDIATE CALCS'!Y$6</f>
        <v>0.23588210274345514</v>
      </c>
      <c r="Z22" s="248">
        <f>'Safety Inputs'!$H53*'INTERMEDIATE CALCS'!Z$6</f>
        <v>0.23588210274345514</v>
      </c>
      <c r="AA22" s="248">
        <f>'Safety Inputs'!$H53*'INTERMEDIATE CALCS'!AA$6</f>
        <v>0.23588210274345514</v>
      </c>
      <c r="AB22" s="248">
        <f>'Safety Inputs'!$H53*'INTERMEDIATE CALCS'!AB$6</f>
        <v>0.23588210274345514</v>
      </c>
      <c r="AC22" s="248">
        <f>'Safety Inputs'!$H53*'INTERMEDIATE CALCS'!AC$6</f>
        <v>0.23588210274345514</v>
      </c>
      <c r="AD22" s="248">
        <f>'Safety Inputs'!$H53*'INTERMEDIATE CALCS'!AD$6</f>
        <v>0.23588210274345514</v>
      </c>
      <c r="AE22" s="248">
        <f>'Safety Inputs'!$H53*'INTERMEDIATE CALCS'!AE$6</f>
        <v>0.23588210274345514</v>
      </c>
      <c r="AF22" s="248">
        <f>'Safety Inputs'!$H53*'INTERMEDIATE CALCS'!AF$6</f>
        <v>0.23588210274345514</v>
      </c>
      <c r="AG22" s="248">
        <f>'Safety Inputs'!$H53*'INTERMEDIATE CALCS'!AG$6</f>
        <v>0.23588210274345514</v>
      </c>
      <c r="AH22" s="248">
        <f>'Safety Inputs'!$H53*'INTERMEDIATE CALCS'!AH$6</f>
        <v>0.23588210274345514</v>
      </c>
      <c r="AI22" s="248">
        <f>'Safety Inputs'!$H53*'INTERMEDIATE CALCS'!AI$6</f>
        <v>0</v>
      </c>
      <c r="AJ22" s="248">
        <f>'Safety Inputs'!$H53*'INTERMEDIATE CALCS'!AJ$6</f>
        <v>0</v>
      </c>
      <c r="AK22" s="248">
        <f>'Safety Inputs'!$H53*'INTERMEDIATE CALCS'!AK$6</f>
        <v>0</v>
      </c>
      <c r="AL22" s="248">
        <f>'Safety Inputs'!$H53*'INTERMEDIATE CALCS'!AL$6</f>
        <v>0</v>
      </c>
      <c r="AM22" s="248">
        <f>'Safety Inputs'!$H53*'INTERMEDIATE CALCS'!AM$6</f>
        <v>0</v>
      </c>
      <c r="AN22" s="248">
        <f>'Safety Inputs'!$H53*'INTERMEDIATE CALCS'!AN$6</f>
        <v>0</v>
      </c>
      <c r="AO22" s="248">
        <f>'Safety Inputs'!$H53*'INTERMEDIATE CALCS'!AO$6</f>
        <v>0</v>
      </c>
      <c r="AP22" s="248">
        <f>'Safety Inputs'!$H53*'INTERMEDIATE CALCS'!AP$6</f>
        <v>0</v>
      </c>
      <c r="AQ22" s="248">
        <f>'Safety Inputs'!$H53*'INTERMEDIATE CALCS'!AQ$6</f>
        <v>0</v>
      </c>
      <c r="AR22" s="248">
        <f>'Safety Inputs'!$H53*'INTERMEDIATE CALCS'!AR$6</f>
        <v>0</v>
      </c>
      <c r="AS22" s="248">
        <f>'Safety Inputs'!$H53*'INTERMEDIATE CALCS'!AS$6</f>
        <v>0</v>
      </c>
      <c r="AT22" s="248">
        <f>'Safety Inputs'!$H53*'INTERMEDIATE CALCS'!AT$6</f>
        <v>0</v>
      </c>
      <c r="AU22" s="248">
        <f>'Safety Inputs'!$H53*'INTERMEDIATE CALCS'!AU$6</f>
        <v>0</v>
      </c>
      <c r="AV22" s="248">
        <f>'Safety Inputs'!$H53*'INTERMEDIATE CALCS'!AV$6</f>
        <v>0</v>
      </c>
      <c r="AW22" s="248">
        <f>'Safety Inputs'!$H53*'INTERMEDIATE CALCS'!AW$6</f>
        <v>0</v>
      </c>
      <c r="AX22" s="248">
        <f>'Safety Inputs'!$H53*'INTERMEDIATE CALCS'!AX$6</f>
        <v>0</v>
      </c>
      <c r="AY22" s="248">
        <f>'Safety Inputs'!$H53*'INTERMEDIATE CALCS'!AY$6</f>
        <v>0</v>
      </c>
      <c r="AZ22" s="248"/>
      <c r="BA22" s="248"/>
    </row>
    <row r="23" spans="1:53" ht="7.4" customHeight="1" x14ac:dyDescent="0.35">
      <c r="E23" s="1"/>
      <c r="F23" s="158"/>
      <c r="G23" s="8"/>
      <c r="H23" s="8"/>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88"/>
      <c r="AZ23" s="88"/>
      <c r="BA23" s="88"/>
    </row>
    <row r="24" spans="1:53" ht="14.5" x14ac:dyDescent="0.35">
      <c r="A24" s="5" t="s">
        <v>894</v>
      </c>
      <c r="B24" s="4"/>
      <c r="E24" s="129"/>
      <c r="F24" s="158"/>
      <c r="G24" s="8"/>
      <c r="H24" s="8"/>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3" ht="7.4" customHeight="1" x14ac:dyDescent="0.35">
      <c r="B25" s="4"/>
      <c r="E25" s="1"/>
      <c r="F25" s="158"/>
      <c r="G25" s="8"/>
      <c r="H25" s="8"/>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3" ht="14.5" x14ac:dyDescent="0.35">
      <c r="B26" s="2" t="s">
        <v>895</v>
      </c>
      <c r="C26" s="4"/>
      <c r="E26" s="1"/>
      <c r="F26" s="158"/>
      <c r="G26" s="8"/>
      <c r="H26" s="8"/>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3" ht="14.5" x14ac:dyDescent="0.35">
      <c r="B27" s="4"/>
      <c r="C27" s="2" t="s">
        <v>752</v>
      </c>
      <c r="D27" s="53"/>
      <c r="H27" s="43"/>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55"/>
      <c r="AM27" s="55"/>
      <c r="AN27" s="55"/>
      <c r="AO27" s="55"/>
      <c r="AP27" s="55"/>
      <c r="AQ27" s="55"/>
      <c r="AR27" s="55"/>
      <c r="AS27" s="55"/>
      <c r="AT27" s="55"/>
      <c r="AU27" s="55"/>
      <c r="AV27" s="55"/>
      <c r="AW27" s="55"/>
      <c r="AX27" s="55"/>
      <c r="AY27" s="55"/>
      <c r="AZ27" s="55"/>
      <c r="BA27" s="55"/>
    </row>
    <row r="28" spans="1:53" ht="14.5" x14ac:dyDescent="0.35">
      <c r="A28" s="111"/>
      <c r="B28" s="4"/>
      <c r="D28" s="53"/>
      <c r="E28" s="4" t="s">
        <v>896</v>
      </c>
      <c r="F28" s="165" t="s">
        <v>745</v>
      </c>
      <c r="G28" s="43" t="str">
        <f>'Project Costs'!$H$24&amp;"$"</f>
        <v>2024$</v>
      </c>
      <c r="H28" s="43"/>
      <c r="I28" s="556">
        <f>'Project Costs'!I64</f>
        <v>327709.29052218742</v>
      </c>
      <c r="J28" s="556">
        <f>'Project Costs'!J64</f>
        <v>377521.10268155992</v>
      </c>
      <c r="K28" s="556">
        <f>'Project Costs'!K64</f>
        <v>362420.25857429748</v>
      </c>
      <c r="L28" s="556">
        <f>'Project Costs'!L64</f>
        <v>348481.01785990136</v>
      </c>
      <c r="M28" s="556">
        <f>'Project Costs'!M64</f>
        <v>27923.158482363891</v>
      </c>
      <c r="N28" s="556">
        <f>'Project Costs'!N64</f>
        <v>0</v>
      </c>
      <c r="O28" s="556">
        <f>'Project Costs'!O64</f>
        <v>0</v>
      </c>
      <c r="P28" s="556">
        <f>'Project Costs'!P64</f>
        <v>0</v>
      </c>
      <c r="Q28" s="556">
        <f>'Project Costs'!Q64</f>
        <v>0</v>
      </c>
      <c r="R28" s="556">
        <f>'Project Costs'!R64</f>
        <v>0</v>
      </c>
      <c r="S28" s="556">
        <f>'Project Costs'!S64</f>
        <v>0</v>
      </c>
      <c r="T28" s="556">
        <f>'Project Costs'!T64</f>
        <v>0</v>
      </c>
      <c r="U28" s="556">
        <f>'Project Costs'!U64</f>
        <v>0</v>
      </c>
      <c r="V28" s="556">
        <f>'Project Costs'!V64</f>
        <v>0</v>
      </c>
      <c r="W28" s="556">
        <f>'Project Costs'!W64</f>
        <v>0</v>
      </c>
      <c r="X28" s="556">
        <f>'Project Costs'!X64</f>
        <v>0</v>
      </c>
      <c r="Y28" s="556">
        <f>'Project Costs'!Y64</f>
        <v>0</v>
      </c>
      <c r="Z28" s="556">
        <f>'Project Costs'!Z64</f>
        <v>0</v>
      </c>
      <c r="AA28" s="556">
        <f>'Project Costs'!AA64</f>
        <v>0</v>
      </c>
      <c r="AB28" s="556">
        <f>'Project Costs'!AB64</f>
        <v>0</v>
      </c>
      <c r="AC28" s="556">
        <f>'Project Costs'!AC64</f>
        <v>0</v>
      </c>
      <c r="AD28" s="556">
        <f>'Project Costs'!AD64</f>
        <v>0</v>
      </c>
      <c r="AE28" s="556">
        <f>'Project Costs'!AE64</f>
        <v>0</v>
      </c>
      <c r="AF28" s="556">
        <f>'Project Costs'!AF64</f>
        <v>0</v>
      </c>
      <c r="AG28" s="556">
        <f>'Project Costs'!AG64</f>
        <v>0</v>
      </c>
      <c r="AH28" s="556">
        <f>'Project Costs'!AH64</f>
        <v>0</v>
      </c>
      <c r="AI28" s="556">
        <f>'Project Costs'!AI64</f>
        <v>0</v>
      </c>
      <c r="AJ28" s="556">
        <f>'Project Costs'!AJ64</f>
        <v>0</v>
      </c>
      <c r="AK28" s="556">
        <f>'Project Costs'!AK64</f>
        <v>0</v>
      </c>
      <c r="AL28" s="556">
        <f>'Project Costs'!AL64</f>
        <v>0</v>
      </c>
      <c r="AM28" s="556">
        <f>'Project Costs'!AM64</f>
        <v>0</v>
      </c>
      <c r="AN28" s="556">
        <f>'Project Costs'!AN64</f>
        <v>0</v>
      </c>
      <c r="AO28" s="556">
        <f>'Project Costs'!AO64</f>
        <v>0</v>
      </c>
      <c r="AP28" s="556">
        <f>'Project Costs'!AP64</f>
        <v>0</v>
      </c>
      <c r="AQ28" s="556">
        <f>'Project Costs'!AQ64</f>
        <v>0</v>
      </c>
      <c r="AR28" s="556">
        <f>'Project Costs'!AR64</f>
        <v>0</v>
      </c>
      <c r="AS28" s="556">
        <f>'Project Costs'!AS64</f>
        <v>0</v>
      </c>
      <c r="AT28" s="556">
        <f>'Project Costs'!AT64</f>
        <v>0</v>
      </c>
      <c r="AU28" s="556">
        <f>'Project Costs'!AU64</f>
        <v>0</v>
      </c>
      <c r="AV28" s="556">
        <f>'Project Costs'!AV64</f>
        <v>0</v>
      </c>
      <c r="AW28" s="556">
        <f>'Project Costs'!AW64</f>
        <v>0</v>
      </c>
      <c r="AX28" s="556">
        <f>'Project Costs'!AX64</f>
        <v>0</v>
      </c>
      <c r="AY28" s="556">
        <f>'Project Costs'!AY64</f>
        <v>0</v>
      </c>
      <c r="AZ28" s="556"/>
      <c r="BA28" s="556"/>
    </row>
    <row r="29" spans="1:53" ht="14.5" x14ac:dyDescent="0.35">
      <c r="A29" s="54"/>
      <c r="B29" s="4"/>
      <c r="D29" s="53"/>
      <c r="E29" s="4" t="s">
        <v>897</v>
      </c>
      <c r="F29" s="156" t="s">
        <v>745</v>
      </c>
      <c r="G29" s="43" t="str">
        <f>'Project Costs'!$H$24&amp;"$"</f>
        <v>2024$</v>
      </c>
      <c r="H29" s="43"/>
      <c r="I29" s="556">
        <f>'Project Costs'!I65</f>
        <v>0</v>
      </c>
      <c r="J29" s="556">
        <f>'Project Costs'!J65</f>
        <v>0</v>
      </c>
      <c r="K29" s="556">
        <f>'Project Costs'!K65</f>
        <v>0</v>
      </c>
      <c r="L29" s="556">
        <f>'Project Costs'!L65</f>
        <v>0</v>
      </c>
      <c r="M29" s="556">
        <f>'Project Costs'!M65</f>
        <v>0</v>
      </c>
      <c r="N29" s="556">
        <f>'Project Costs'!N65</f>
        <v>0</v>
      </c>
      <c r="O29" s="556">
        <f>'Project Costs'!O65</f>
        <v>0</v>
      </c>
      <c r="P29" s="556">
        <f>'Project Costs'!P65</f>
        <v>0</v>
      </c>
      <c r="Q29" s="556">
        <f>'Project Costs'!Q65</f>
        <v>0</v>
      </c>
      <c r="R29" s="556">
        <f>'Project Costs'!R65</f>
        <v>0</v>
      </c>
      <c r="S29" s="556">
        <f>'Project Costs'!S65</f>
        <v>0</v>
      </c>
      <c r="T29" s="556">
        <f>'Project Costs'!T65</f>
        <v>0</v>
      </c>
      <c r="U29" s="556">
        <f>'Project Costs'!U65</f>
        <v>0</v>
      </c>
      <c r="V29" s="556">
        <f>'Project Costs'!V65</f>
        <v>0</v>
      </c>
      <c r="W29" s="556">
        <f>'Project Costs'!W65</f>
        <v>0</v>
      </c>
      <c r="X29" s="556">
        <f>'Project Costs'!X65</f>
        <v>0</v>
      </c>
      <c r="Y29" s="556">
        <f>'Project Costs'!Y65</f>
        <v>0</v>
      </c>
      <c r="Z29" s="556">
        <f>'Project Costs'!Z65</f>
        <v>0</v>
      </c>
      <c r="AA29" s="556">
        <f>'Project Costs'!AA65</f>
        <v>0</v>
      </c>
      <c r="AB29" s="556">
        <f>'Project Costs'!AB65</f>
        <v>0</v>
      </c>
      <c r="AC29" s="556">
        <f>'Project Costs'!AC65</f>
        <v>0</v>
      </c>
      <c r="AD29" s="556">
        <f>'Project Costs'!AD65</f>
        <v>0</v>
      </c>
      <c r="AE29" s="556">
        <f>'Project Costs'!AE65</f>
        <v>0</v>
      </c>
      <c r="AF29" s="556">
        <f>'Project Costs'!AF65</f>
        <v>0</v>
      </c>
      <c r="AG29" s="556">
        <f>'Project Costs'!AG65</f>
        <v>0</v>
      </c>
      <c r="AH29" s="556">
        <f>'Project Costs'!AH65</f>
        <v>0</v>
      </c>
      <c r="AI29" s="556">
        <f>'Project Costs'!AI65</f>
        <v>0</v>
      </c>
      <c r="AJ29" s="556">
        <f>'Project Costs'!AJ65</f>
        <v>0</v>
      </c>
      <c r="AK29" s="556">
        <f>'Project Costs'!AK65</f>
        <v>0</v>
      </c>
      <c r="AL29" s="556">
        <f>'Project Costs'!AL65</f>
        <v>0</v>
      </c>
      <c r="AM29" s="556">
        <f>'Project Costs'!AM65</f>
        <v>0</v>
      </c>
      <c r="AN29" s="556">
        <f>'Project Costs'!AN65</f>
        <v>0</v>
      </c>
      <c r="AO29" s="556">
        <f>'Project Costs'!AO65</f>
        <v>0</v>
      </c>
      <c r="AP29" s="556">
        <f>'Project Costs'!AP65</f>
        <v>0</v>
      </c>
      <c r="AQ29" s="556">
        <f>'Project Costs'!AQ65</f>
        <v>0</v>
      </c>
      <c r="AR29" s="556">
        <f>'Project Costs'!AR65</f>
        <v>0</v>
      </c>
      <c r="AS29" s="556">
        <f>'Project Costs'!AS65</f>
        <v>0</v>
      </c>
      <c r="AT29" s="556">
        <f>'Project Costs'!AT65</f>
        <v>0</v>
      </c>
      <c r="AU29" s="556">
        <f>'Project Costs'!AU65</f>
        <v>0</v>
      </c>
      <c r="AV29" s="556">
        <f>'Project Costs'!AV65</f>
        <v>0</v>
      </c>
      <c r="AW29" s="556">
        <f>'Project Costs'!AW65</f>
        <v>0</v>
      </c>
      <c r="AX29" s="556">
        <f>'Project Costs'!AX65</f>
        <v>0</v>
      </c>
      <c r="AY29" s="556">
        <f>'Project Costs'!AY65</f>
        <v>0</v>
      </c>
      <c r="AZ29" s="556"/>
      <c r="BA29" s="556"/>
    </row>
    <row r="30" spans="1:53" ht="14.5" x14ac:dyDescent="0.35">
      <c r="A30" s="111"/>
      <c r="B30" s="4"/>
      <c r="D30" s="53"/>
      <c r="E30" s="4" t="s">
        <v>764</v>
      </c>
      <c r="F30" s="156" t="s">
        <v>745</v>
      </c>
      <c r="G30" s="43" t="str">
        <f>'Project Costs'!$H$24&amp;"$"</f>
        <v>2024$</v>
      </c>
      <c r="H30" s="43"/>
      <c r="I30" s="556">
        <f>'Project Costs'!I66</f>
        <v>0</v>
      </c>
      <c r="J30" s="556">
        <f>'Project Costs'!J66</f>
        <v>0</v>
      </c>
      <c r="K30" s="556">
        <f>'Project Costs'!K66</f>
        <v>0</v>
      </c>
      <c r="L30" s="556">
        <f>'Project Costs'!L66</f>
        <v>0</v>
      </c>
      <c r="M30" s="556">
        <f>'Project Costs'!M66</f>
        <v>27502205.514585167</v>
      </c>
      <c r="N30" s="556">
        <f>'Project Costs'!N66</f>
        <v>7933328.5138226459</v>
      </c>
      <c r="O30" s="556">
        <f>'Project Costs'!O66</f>
        <v>0</v>
      </c>
      <c r="P30" s="556">
        <f>'Project Costs'!P66</f>
        <v>0</v>
      </c>
      <c r="Q30" s="556">
        <f>'Project Costs'!Q66</f>
        <v>0</v>
      </c>
      <c r="R30" s="556">
        <f>'Project Costs'!R66</f>
        <v>0</v>
      </c>
      <c r="S30" s="556">
        <f>'Project Costs'!S66</f>
        <v>0</v>
      </c>
      <c r="T30" s="556">
        <f>'Project Costs'!T66</f>
        <v>0</v>
      </c>
      <c r="U30" s="556">
        <f>'Project Costs'!U66</f>
        <v>0</v>
      </c>
      <c r="V30" s="556">
        <f>'Project Costs'!V66</f>
        <v>0</v>
      </c>
      <c r="W30" s="556">
        <f>'Project Costs'!W66</f>
        <v>0</v>
      </c>
      <c r="X30" s="556">
        <f>'Project Costs'!X66</f>
        <v>0</v>
      </c>
      <c r="Y30" s="556">
        <f>'Project Costs'!Y66</f>
        <v>0</v>
      </c>
      <c r="Z30" s="556">
        <f>'Project Costs'!Z66</f>
        <v>0</v>
      </c>
      <c r="AA30" s="556">
        <f>'Project Costs'!AA66</f>
        <v>0</v>
      </c>
      <c r="AB30" s="556">
        <f>'Project Costs'!AB66</f>
        <v>0</v>
      </c>
      <c r="AC30" s="556">
        <f>'Project Costs'!AC66</f>
        <v>0</v>
      </c>
      <c r="AD30" s="556">
        <f>'Project Costs'!AD66</f>
        <v>0</v>
      </c>
      <c r="AE30" s="556">
        <f>'Project Costs'!AE66</f>
        <v>0</v>
      </c>
      <c r="AF30" s="556">
        <f>'Project Costs'!AF66</f>
        <v>0</v>
      </c>
      <c r="AG30" s="556">
        <f>'Project Costs'!AG66</f>
        <v>0</v>
      </c>
      <c r="AH30" s="556">
        <f>'Project Costs'!AH66</f>
        <v>0</v>
      </c>
      <c r="AI30" s="556">
        <f>'Project Costs'!AI66</f>
        <v>0</v>
      </c>
      <c r="AJ30" s="556">
        <f>'Project Costs'!AJ66</f>
        <v>0</v>
      </c>
      <c r="AK30" s="556">
        <f>'Project Costs'!AK66</f>
        <v>0</v>
      </c>
      <c r="AL30" s="556">
        <f>'Project Costs'!AL66</f>
        <v>0</v>
      </c>
      <c r="AM30" s="556">
        <f>'Project Costs'!AM66</f>
        <v>0</v>
      </c>
      <c r="AN30" s="556">
        <f>'Project Costs'!AN66</f>
        <v>0</v>
      </c>
      <c r="AO30" s="556">
        <f>'Project Costs'!AO66</f>
        <v>0</v>
      </c>
      <c r="AP30" s="556">
        <f>'Project Costs'!AP66</f>
        <v>0</v>
      </c>
      <c r="AQ30" s="556">
        <f>'Project Costs'!AQ66</f>
        <v>0</v>
      </c>
      <c r="AR30" s="556">
        <f>'Project Costs'!AR66</f>
        <v>0</v>
      </c>
      <c r="AS30" s="556">
        <f>'Project Costs'!AS66</f>
        <v>0</v>
      </c>
      <c r="AT30" s="556">
        <f>'Project Costs'!AT66</f>
        <v>0</v>
      </c>
      <c r="AU30" s="556">
        <f>'Project Costs'!AU66</f>
        <v>0</v>
      </c>
      <c r="AV30" s="556">
        <f>'Project Costs'!AV66</f>
        <v>0</v>
      </c>
      <c r="AW30" s="556">
        <f>'Project Costs'!AW66</f>
        <v>0</v>
      </c>
      <c r="AX30" s="556">
        <f>'Project Costs'!AX66</f>
        <v>0</v>
      </c>
      <c r="AY30" s="556">
        <f>'Project Costs'!AY66</f>
        <v>0</v>
      </c>
      <c r="AZ30" s="556"/>
      <c r="BA30" s="556"/>
    </row>
    <row r="31" spans="1:53" ht="14.5" x14ac:dyDescent="0.35">
      <c r="B31" s="4"/>
      <c r="D31" s="53"/>
      <c r="E31" s="4" t="s">
        <v>898</v>
      </c>
      <c r="F31" s="165" t="s">
        <v>745</v>
      </c>
      <c r="G31" s="43" t="str">
        <f>'Project Costs'!$H$24&amp;"$"</f>
        <v>2024$</v>
      </c>
      <c r="H31" s="43"/>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row>
    <row r="32" spans="1:53" ht="7.4" customHeight="1" x14ac:dyDescent="0.35">
      <c r="B32" s="4"/>
      <c r="E32" s="1"/>
      <c r="F32" s="158"/>
      <c r="G32" s="8"/>
      <c r="H32" s="8"/>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3" ht="15" customHeight="1" x14ac:dyDescent="0.35">
      <c r="B33" s="4"/>
      <c r="C33" s="2" t="s">
        <v>899</v>
      </c>
      <c r="D33" s="53"/>
      <c r="E33" s="49"/>
      <c r="F33" s="237"/>
      <c r="G33" s="57"/>
      <c r="H33" s="57"/>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row>
    <row r="34" spans="1:53" ht="15" customHeight="1" x14ac:dyDescent="0.35">
      <c r="B34" s="4"/>
      <c r="D34" s="53"/>
      <c r="E34" s="26" t="s">
        <v>899</v>
      </c>
      <c r="F34" s="165" t="s">
        <v>745</v>
      </c>
      <c r="G34" s="43" t="str">
        <f>'Project Costs'!$H$24&amp;"$"</f>
        <v>2024$</v>
      </c>
      <c r="H34" s="43"/>
      <c r="I34" s="556">
        <f>'Project Costs'!I91</f>
        <v>0</v>
      </c>
      <c r="J34" s="556">
        <f>'Project Costs'!J91</f>
        <v>0</v>
      </c>
      <c r="K34" s="556">
        <f>'Project Costs'!K91</f>
        <v>0</v>
      </c>
      <c r="L34" s="556">
        <f>'Project Costs'!L91</f>
        <v>0</v>
      </c>
      <c r="M34" s="556">
        <f>'Project Costs'!M91</f>
        <v>0</v>
      </c>
      <c r="N34" s="556">
        <f>'Project Costs'!N91</f>
        <v>0</v>
      </c>
      <c r="O34" s="556">
        <f>'Project Costs'!O91</f>
        <v>0</v>
      </c>
      <c r="P34" s="556">
        <f>'Project Costs'!P91</f>
        <v>0</v>
      </c>
      <c r="Q34" s="556">
        <f>'Project Costs'!Q91</f>
        <v>0</v>
      </c>
      <c r="R34" s="556">
        <f>'Project Costs'!R91</f>
        <v>0</v>
      </c>
      <c r="S34" s="556">
        <f>'Project Costs'!S91</f>
        <v>0</v>
      </c>
      <c r="T34" s="556">
        <f>'Project Costs'!T91</f>
        <v>0</v>
      </c>
      <c r="U34" s="556">
        <f>'Project Costs'!U91</f>
        <v>0</v>
      </c>
      <c r="V34" s="556">
        <f>'Project Costs'!V91</f>
        <v>0</v>
      </c>
      <c r="W34" s="556">
        <f>'Project Costs'!W91</f>
        <v>0</v>
      </c>
      <c r="X34" s="556">
        <f>'Project Costs'!X91</f>
        <v>0</v>
      </c>
      <c r="Y34" s="556">
        <f>'Project Costs'!Y91</f>
        <v>0</v>
      </c>
      <c r="Z34" s="556">
        <f>'Project Costs'!Z91</f>
        <v>0</v>
      </c>
      <c r="AA34" s="556">
        <f>'Project Costs'!AA91</f>
        <v>0</v>
      </c>
      <c r="AB34" s="556">
        <f>'Project Costs'!AB91</f>
        <v>0</v>
      </c>
      <c r="AC34" s="556">
        <f>'Project Costs'!AC91</f>
        <v>0</v>
      </c>
      <c r="AD34" s="556">
        <f>'Project Costs'!AD91</f>
        <v>0</v>
      </c>
      <c r="AE34" s="556">
        <f>'Project Costs'!AE91</f>
        <v>0</v>
      </c>
      <c r="AF34" s="556">
        <f>'Project Costs'!AF91</f>
        <v>0</v>
      </c>
      <c r="AG34" s="556">
        <f>'Project Costs'!AG91</f>
        <v>0</v>
      </c>
      <c r="AH34" s="556">
        <f>'Project Costs'!AH91</f>
        <v>0</v>
      </c>
      <c r="AI34" s="556">
        <f>'Project Costs'!AI91</f>
        <v>0</v>
      </c>
      <c r="AJ34" s="556">
        <f>'Project Costs'!AJ91</f>
        <v>0</v>
      </c>
      <c r="AK34" s="556">
        <f>'Project Costs'!AK91</f>
        <v>0</v>
      </c>
      <c r="AL34" s="556">
        <f>'Project Costs'!AL91</f>
        <v>0</v>
      </c>
      <c r="AM34" s="556">
        <f>'Project Costs'!AM91</f>
        <v>0</v>
      </c>
      <c r="AN34" s="556">
        <f>'Project Costs'!AN91</f>
        <v>0</v>
      </c>
      <c r="AO34" s="556">
        <f>'Project Costs'!AO91</f>
        <v>0</v>
      </c>
      <c r="AP34" s="556">
        <f>'Project Costs'!AP91</f>
        <v>0</v>
      </c>
      <c r="AQ34" s="556">
        <f>'Project Costs'!AQ91</f>
        <v>0</v>
      </c>
      <c r="AR34" s="556">
        <f>'Project Costs'!AR91</f>
        <v>0</v>
      </c>
      <c r="AS34" s="556">
        <f>'Project Costs'!AS91</f>
        <v>0</v>
      </c>
      <c r="AT34" s="556">
        <f>'Project Costs'!AT91</f>
        <v>0</v>
      </c>
      <c r="AU34" s="556">
        <f>'Project Costs'!AU91</f>
        <v>0</v>
      </c>
      <c r="AV34" s="556">
        <f>'Project Costs'!AV91</f>
        <v>0</v>
      </c>
      <c r="AW34" s="556">
        <f>'Project Costs'!AW91</f>
        <v>0</v>
      </c>
      <c r="AX34" s="556">
        <f>'Project Costs'!AX91</f>
        <v>0</v>
      </c>
      <c r="AY34" s="556">
        <f>'Project Costs'!AY91</f>
        <v>0</v>
      </c>
      <c r="AZ34" s="556"/>
      <c r="BA34" s="556"/>
    </row>
    <row r="35" spans="1:53" ht="7.4" customHeight="1" x14ac:dyDescent="0.35">
      <c r="B35" s="4"/>
      <c r="E35" s="1"/>
      <c r="F35" s="158"/>
      <c r="G35" s="8"/>
      <c r="H35" s="8"/>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3" ht="14.5" x14ac:dyDescent="0.35">
      <c r="B36" s="4"/>
      <c r="C36" s="2" t="s">
        <v>900</v>
      </c>
      <c r="D36" s="53"/>
      <c r="H36" s="43"/>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row>
    <row r="37" spans="1:53" ht="15" customHeight="1" x14ac:dyDescent="0.35">
      <c r="A37" s="26"/>
      <c r="C37" s="62"/>
      <c r="D37" s="63"/>
      <c r="E37" s="26" t="s">
        <v>900</v>
      </c>
      <c r="F37" s="165" t="s">
        <v>745</v>
      </c>
      <c r="G37" s="43" t="str">
        <f>'Project Costs'!$H$24&amp;"$"</f>
        <v>2024$</v>
      </c>
      <c r="H37" s="43"/>
      <c r="I37" s="556">
        <f>'Project Costs'!I144</f>
        <v>0</v>
      </c>
      <c r="J37" s="556">
        <f>'Project Costs'!J144</f>
        <v>0</v>
      </c>
      <c r="K37" s="556">
        <f>'Project Costs'!K144</f>
        <v>0</v>
      </c>
      <c r="L37" s="556">
        <f>'Project Costs'!L144</f>
        <v>0</v>
      </c>
      <c r="M37" s="556">
        <f>'Project Costs'!M144</f>
        <v>0</v>
      </c>
      <c r="N37" s="556">
        <f>'Project Costs'!N144</f>
        <v>0</v>
      </c>
      <c r="O37" s="556">
        <f>'Project Costs'!O144</f>
        <v>0</v>
      </c>
      <c r="P37" s="556">
        <f>'Project Costs'!P144</f>
        <v>0</v>
      </c>
      <c r="Q37" s="556">
        <f>'Project Costs'!Q144</f>
        <v>0</v>
      </c>
      <c r="R37" s="556">
        <f>'Project Costs'!R144</f>
        <v>0</v>
      </c>
      <c r="S37" s="556">
        <f>'Project Costs'!S144</f>
        <v>0</v>
      </c>
      <c r="T37" s="556">
        <f>'Project Costs'!T144</f>
        <v>0</v>
      </c>
      <c r="U37" s="556">
        <f>'Project Costs'!U144</f>
        <v>0</v>
      </c>
      <c r="V37" s="556">
        <f>'Project Costs'!V144</f>
        <v>0</v>
      </c>
      <c r="W37" s="556">
        <f>'Project Costs'!W144</f>
        <v>0</v>
      </c>
      <c r="X37" s="556">
        <f>'Project Costs'!X144</f>
        <v>0</v>
      </c>
      <c r="Y37" s="556">
        <f>'Project Costs'!Y144</f>
        <v>0</v>
      </c>
      <c r="Z37" s="556">
        <f>'Project Costs'!Z144</f>
        <v>0</v>
      </c>
      <c r="AA37" s="556">
        <f>'Project Costs'!AA144</f>
        <v>0</v>
      </c>
      <c r="AB37" s="556">
        <f>'Project Costs'!AB144</f>
        <v>1955817.2404907115</v>
      </c>
      <c r="AC37" s="556">
        <f>'Project Costs'!AC144</f>
        <v>0</v>
      </c>
      <c r="AD37" s="556">
        <f>'Project Costs'!AD144</f>
        <v>0</v>
      </c>
      <c r="AE37" s="556">
        <f>'Project Costs'!AE144</f>
        <v>0</v>
      </c>
      <c r="AF37" s="556">
        <f>'Project Costs'!AF144</f>
        <v>0</v>
      </c>
      <c r="AG37" s="556">
        <f>'Project Costs'!AG144</f>
        <v>0</v>
      </c>
      <c r="AH37" s="556">
        <f>'Project Costs'!AH144</f>
        <v>0</v>
      </c>
      <c r="AI37" s="556">
        <f>'Project Costs'!AI144</f>
        <v>0</v>
      </c>
      <c r="AJ37" s="556">
        <f>'Project Costs'!AJ144</f>
        <v>0</v>
      </c>
      <c r="AK37" s="556">
        <f>'Project Costs'!AK144</f>
        <v>0</v>
      </c>
      <c r="AL37" s="556">
        <f>'Project Costs'!AL144</f>
        <v>0</v>
      </c>
      <c r="AM37" s="556">
        <f>'Project Costs'!AM144</f>
        <v>0</v>
      </c>
      <c r="AN37" s="556">
        <f>'Project Costs'!AN144</f>
        <v>0</v>
      </c>
      <c r="AO37" s="556">
        <f>'Project Costs'!AO144</f>
        <v>0</v>
      </c>
      <c r="AP37" s="556">
        <f>'Project Costs'!AP144</f>
        <v>0</v>
      </c>
      <c r="AQ37" s="556">
        <f>'Project Costs'!AQ144</f>
        <v>0</v>
      </c>
      <c r="AR37" s="556">
        <f>'Project Costs'!AR144</f>
        <v>0</v>
      </c>
      <c r="AS37" s="556">
        <f>'Project Costs'!AS144</f>
        <v>0</v>
      </c>
      <c r="AT37" s="556">
        <f>'Project Costs'!AT144</f>
        <v>0</v>
      </c>
      <c r="AU37" s="556">
        <f>'Project Costs'!AU144</f>
        <v>0</v>
      </c>
      <c r="AV37" s="556">
        <f>'Project Costs'!AV144</f>
        <v>0</v>
      </c>
      <c r="AW37" s="556">
        <f>'Project Costs'!AW144</f>
        <v>0</v>
      </c>
      <c r="AX37" s="556">
        <f>'Project Costs'!AX144</f>
        <v>0</v>
      </c>
      <c r="AY37" s="556">
        <f>'Project Costs'!AY144</f>
        <v>0</v>
      </c>
      <c r="AZ37" s="556"/>
      <c r="BA37" s="556"/>
    </row>
    <row r="38" spans="1:53" ht="7.4" customHeight="1" x14ac:dyDescent="0.35">
      <c r="B38" s="4"/>
      <c r="E38" s="1"/>
      <c r="F38" s="158"/>
      <c r="G38" s="8"/>
      <c r="H38" s="8"/>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3" ht="14.5" x14ac:dyDescent="0.35">
      <c r="A39" s="26"/>
      <c r="C39" s="64"/>
      <c r="D39" s="63"/>
      <c r="E39" s="26"/>
      <c r="F39" s="165"/>
      <c r="G39" s="60"/>
      <c r="H39" s="60"/>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row>
    <row r="40" spans="1:53" ht="14.5" x14ac:dyDescent="0.35">
      <c r="B40" s="2" t="s">
        <v>901</v>
      </c>
      <c r="C40" s="4"/>
      <c r="E40" s="1"/>
      <c r="F40" s="158"/>
      <c r="G40" s="8"/>
      <c r="H40" s="8"/>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3" ht="14.5" x14ac:dyDescent="0.35">
      <c r="B41" s="4"/>
      <c r="C41" s="2" t="s">
        <v>752</v>
      </c>
      <c r="D41" s="53"/>
      <c r="H41" s="43"/>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55"/>
      <c r="AM41" s="55"/>
      <c r="AN41" s="55"/>
      <c r="AO41" s="55"/>
      <c r="AP41" s="55"/>
      <c r="AQ41" s="55"/>
      <c r="AR41" s="55"/>
      <c r="AS41" s="55"/>
      <c r="AT41" s="55"/>
      <c r="AU41" s="55"/>
      <c r="AV41" s="55"/>
      <c r="AW41" s="55"/>
      <c r="AX41" s="55"/>
      <c r="AY41" s="55"/>
      <c r="AZ41" s="55"/>
      <c r="BA41" s="55"/>
    </row>
    <row r="42" spans="1:53" ht="14.5" x14ac:dyDescent="0.35">
      <c r="B42" s="4"/>
      <c r="D42" s="53"/>
      <c r="E42" s="4" t="s">
        <v>896</v>
      </c>
      <c r="F42" s="165" t="s">
        <v>745</v>
      </c>
      <c r="G42" s="43" t="str">
        <f>'Project Costs'!$H$24&amp;"$"</f>
        <v>2024$</v>
      </c>
      <c r="H42" s="43"/>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7"/>
      <c r="AM42" s="137"/>
      <c r="AN42" s="137"/>
      <c r="AO42" s="137"/>
      <c r="AP42" s="137"/>
      <c r="AQ42" s="137"/>
      <c r="AR42" s="137"/>
      <c r="AS42" s="137"/>
      <c r="AT42" s="137"/>
      <c r="AU42" s="137"/>
      <c r="AV42" s="137"/>
      <c r="AW42" s="137"/>
      <c r="AX42" s="137"/>
      <c r="AY42" s="137"/>
      <c r="AZ42" s="137"/>
      <c r="BA42" s="137"/>
    </row>
    <row r="43" spans="1:53" ht="14.5" x14ac:dyDescent="0.35">
      <c r="B43" s="4"/>
      <c r="D43" s="53"/>
      <c r="E43" s="4" t="s">
        <v>897</v>
      </c>
      <c r="F43" s="156" t="s">
        <v>745</v>
      </c>
      <c r="G43" s="43" t="str">
        <f>'Project Costs'!$H$24&amp;"$"</f>
        <v>2024$</v>
      </c>
      <c r="H43" s="43"/>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7"/>
      <c r="AM43" s="137"/>
      <c r="AN43" s="137"/>
      <c r="AO43" s="137"/>
      <c r="AP43" s="137"/>
      <c r="AQ43" s="137"/>
      <c r="AR43" s="137"/>
      <c r="AS43" s="137"/>
      <c r="AT43" s="137"/>
      <c r="AU43" s="137"/>
      <c r="AV43" s="137"/>
      <c r="AW43" s="137"/>
      <c r="AX43" s="137"/>
      <c r="AY43" s="137"/>
      <c r="AZ43" s="137"/>
      <c r="BA43" s="137"/>
    </row>
    <row r="44" spans="1:53" ht="14.5" x14ac:dyDescent="0.35">
      <c r="B44" s="4"/>
      <c r="D44" s="53"/>
      <c r="E44" s="4" t="s">
        <v>764</v>
      </c>
      <c r="F44" s="156" t="s">
        <v>745</v>
      </c>
      <c r="G44" s="43" t="str">
        <f>'Project Costs'!$H$24&amp;"$"</f>
        <v>2024$</v>
      </c>
      <c r="H44" s="43"/>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row>
    <row r="45" spans="1:53" ht="14.5" x14ac:dyDescent="0.35">
      <c r="B45" s="4"/>
      <c r="D45" s="53"/>
      <c r="E45" s="4" t="s">
        <v>898</v>
      </c>
      <c r="F45" s="165" t="s">
        <v>745</v>
      </c>
      <c r="G45" s="43" t="str">
        <f>'Project Costs'!$H$24&amp;"$"</f>
        <v>2024$</v>
      </c>
      <c r="H45" s="43"/>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row>
    <row r="46" spans="1:53" ht="7.4" customHeight="1" x14ac:dyDescent="0.35">
      <c r="E46" s="1"/>
      <c r="F46" s="158"/>
      <c r="G46" s="8"/>
      <c r="H46" s="8"/>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3" ht="15" customHeight="1" x14ac:dyDescent="0.35">
      <c r="C47" s="2" t="s">
        <v>899</v>
      </c>
      <c r="D47" s="53"/>
      <c r="E47" s="49"/>
      <c r="F47" s="237"/>
      <c r="G47" s="57"/>
      <c r="H47" s="57"/>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row>
    <row r="48" spans="1:53" ht="15" customHeight="1" x14ac:dyDescent="0.35">
      <c r="D48" s="53"/>
      <c r="E48" s="26" t="s">
        <v>899</v>
      </c>
      <c r="F48" s="165" t="s">
        <v>745</v>
      </c>
      <c r="G48" s="43" t="str">
        <f>'Project Costs'!$H$24&amp;"$"</f>
        <v>2024$</v>
      </c>
      <c r="H48" s="43"/>
      <c r="I48" s="556">
        <f>'Project Costs'!I92</f>
        <v>0</v>
      </c>
      <c r="J48" s="556">
        <f>'Project Costs'!J92</f>
        <v>0</v>
      </c>
      <c r="K48" s="556">
        <f>'Project Costs'!K92</f>
        <v>0</v>
      </c>
      <c r="L48" s="556">
        <f>'Project Costs'!L92</f>
        <v>0</v>
      </c>
      <c r="M48" s="556">
        <f>'Project Costs'!M92</f>
        <v>0</v>
      </c>
      <c r="N48" s="556">
        <f>'Project Costs'!N92</f>
        <v>0</v>
      </c>
      <c r="O48" s="556">
        <f>'Project Costs'!O92</f>
        <v>0</v>
      </c>
      <c r="P48" s="556">
        <f>'Project Costs'!P92</f>
        <v>0</v>
      </c>
      <c r="Q48" s="556">
        <f>'Project Costs'!Q92</f>
        <v>0</v>
      </c>
      <c r="R48" s="556">
        <f>'Project Costs'!R92</f>
        <v>0</v>
      </c>
      <c r="S48" s="556">
        <f>'Project Costs'!S92</f>
        <v>0</v>
      </c>
      <c r="T48" s="556">
        <f>'Project Costs'!T92</f>
        <v>0</v>
      </c>
      <c r="U48" s="556">
        <f>'Project Costs'!U92</f>
        <v>0</v>
      </c>
      <c r="V48" s="556">
        <f>'Project Costs'!V92</f>
        <v>0</v>
      </c>
      <c r="W48" s="556">
        <f>'Project Costs'!W92</f>
        <v>0</v>
      </c>
      <c r="X48" s="556">
        <f>'Project Costs'!X92</f>
        <v>0</v>
      </c>
      <c r="Y48" s="556">
        <f>'Project Costs'!Y92</f>
        <v>0</v>
      </c>
      <c r="Z48" s="556">
        <f>'Project Costs'!Z92</f>
        <v>0</v>
      </c>
      <c r="AA48" s="556">
        <f>'Project Costs'!AA92</f>
        <v>0</v>
      </c>
      <c r="AB48" s="556">
        <f>'Project Costs'!AB92</f>
        <v>0</v>
      </c>
      <c r="AC48" s="556">
        <f>'Project Costs'!AC92</f>
        <v>0</v>
      </c>
      <c r="AD48" s="556">
        <f>'Project Costs'!AD92</f>
        <v>0</v>
      </c>
      <c r="AE48" s="556">
        <f>'Project Costs'!AE92</f>
        <v>0</v>
      </c>
      <c r="AF48" s="556">
        <f>'Project Costs'!AF92</f>
        <v>0</v>
      </c>
      <c r="AG48" s="556">
        <f>'Project Costs'!AG92</f>
        <v>0</v>
      </c>
      <c r="AH48" s="556">
        <f>'Project Costs'!AH92</f>
        <v>0</v>
      </c>
      <c r="AI48" s="556">
        <f>'Project Costs'!AI92</f>
        <v>0</v>
      </c>
      <c r="AJ48" s="556">
        <f>'Project Costs'!AJ92</f>
        <v>0</v>
      </c>
      <c r="AK48" s="556">
        <f>'Project Costs'!AK92</f>
        <v>0</v>
      </c>
      <c r="AL48" s="556">
        <f>'Project Costs'!AL92</f>
        <v>0</v>
      </c>
      <c r="AM48" s="556">
        <f>'Project Costs'!AM92</f>
        <v>0</v>
      </c>
      <c r="AN48" s="556">
        <f>'Project Costs'!AN92</f>
        <v>0</v>
      </c>
      <c r="AO48" s="556">
        <f>'Project Costs'!AO92</f>
        <v>0</v>
      </c>
      <c r="AP48" s="556">
        <f>'Project Costs'!AP92</f>
        <v>0</v>
      </c>
      <c r="AQ48" s="556">
        <f>'Project Costs'!AQ92</f>
        <v>0</v>
      </c>
      <c r="AR48" s="556">
        <f>'Project Costs'!AR92</f>
        <v>0</v>
      </c>
      <c r="AS48" s="556">
        <f>'Project Costs'!AS92</f>
        <v>0</v>
      </c>
      <c r="AT48" s="556">
        <f>'Project Costs'!AT92</f>
        <v>0</v>
      </c>
      <c r="AU48" s="556">
        <f>'Project Costs'!AU92</f>
        <v>0</v>
      </c>
      <c r="AV48" s="556">
        <f>'Project Costs'!AV92</f>
        <v>0</v>
      </c>
      <c r="AW48" s="556">
        <f>'Project Costs'!AW92</f>
        <v>0</v>
      </c>
      <c r="AX48" s="556">
        <f>'Project Costs'!AX92</f>
        <v>0</v>
      </c>
      <c r="AY48" s="556">
        <f>'Project Costs'!AY92</f>
        <v>0</v>
      </c>
      <c r="AZ48" s="556"/>
      <c r="BA48" s="556"/>
    </row>
    <row r="49" spans="1:53" ht="7.4" customHeight="1" x14ac:dyDescent="0.35">
      <c r="E49" s="1"/>
      <c r="F49" s="158"/>
      <c r="G49" s="8"/>
      <c r="H49" s="8"/>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3" ht="14.5" x14ac:dyDescent="0.35">
      <c r="C50" s="2" t="s">
        <v>900</v>
      </c>
      <c r="D50" s="53"/>
      <c r="H50" s="43"/>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row>
    <row r="51" spans="1:53" ht="15" customHeight="1" x14ac:dyDescent="0.35">
      <c r="A51" s="26"/>
      <c r="B51" s="26"/>
      <c r="C51" s="62"/>
      <c r="D51" s="63"/>
      <c r="E51" s="26" t="s">
        <v>900</v>
      </c>
      <c r="F51" s="165" t="s">
        <v>745</v>
      </c>
      <c r="G51" s="43" t="str">
        <f>'Project Costs'!$H$24&amp;"$"</f>
        <v>2024$</v>
      </c>
      <c r="H51" s="43"/>
      <c r="I51" s="556">
        <f>'Project Costs'!I145</f>
        <v>0</v>
      </c>
      <c r="J51" s="556">
        <f>'Project Costs'!J145</f>
        <v>0</v>
      </c>
      <c r="K51" s="556">
        <f>'Project Costs'!K145</f>
        <v>0</v>
      </c>
      <c r="L51" s="556">
        <f>'Project Costs'!L145</f>
        <v>1955817.2404907115</v>
      </c>
      <c r="M51" s="556">
        <f>'Project Costs'!M145</f>
        <v>0</v>
      </c>
      <c r="N51" s="556">
        <f>'Project Costs'!N145</f>
        <v>0</v>
      </c>
      <c r="O51" s="556">
        <f>'Project Costs'!O145</f>
        <v>0</v>
      </c>
      <c r="P51" s="556">
        <f>'Project Costs'!P145</f>
        <v>0</v>
      </c>
      <c r="Q51" s="556">
        <f>'Project Costs'!Q145</f>
        <v>0</v>
      </c>
      <c r="R51" s="556">
        <f>'Project Costs'!R145</f>
        <v>0</v>
      </c>
      <c r="S51" s="556">
        <f>'Project Costs'!S145</f>
        <v>0</v>
      </c>
      <c r="T51" s="556">
        <f>'Project Costs'!T145</f>
        <v>1955817.2404907115</v>
      </c>
      <c r="U51" s="556">
        <f>'Project Costs'!U145</f>
        <v>0</v>
      </c>
      <c r="V51" s="556">
        <f>'Project Costs'!V145</f>
        <v>0</v>
      </c>
      <c r="W51" s="556">
        <f>'Project Costs'!W145</f>
        <v>0</v>
      </c>
      <c r="X51" s="556">
        <f>'Project Costs'!X145</f>
        <v>0</v>
      </c>
      <c r="Y51" s="556">
        <f>'Project Costs'!Y145</f>
        <v>0</v>
      </c>
      <c r="Z51" s="556">
        <f>'Project Costs'!Z145</f>
        <v>0</v>
      </c>
      <c r="AA51" s="556">
        <f>'Project Costs'!AA145</f>
        <v>0</v>
      </c>
      <c r="AB51" s="556">
        <f>'Project Costs'!AB145</f>
        <v>1955817.2404907115</v>
      </c>
      <c r="AC51" s="556">
        <f>'Project Costs'!AC145</f>
        <v>0</v>
      </c>
      <c r="AD51" s="556">
        <f>'Project Costs'!AD145</f>
        <v>0</v>
      </c>
      <c r="AE51" s="556">
        <f>'Project Costs'!AE145</f>
        <v>0</v>
      </c>
      <c r="AF51" s="556">
        <f>'Project Costs'!AF145</f>
        <v>0</v>
      </c>
      <c r="AG51" s="556">
        <f>'Project Costs'!AG145</f>
        <v>0</v>
      </c>
      <c r="AH51" s="556">
        <f>'Project Costs'!AH145</f>
        <v>0</v>
      </c>
      <c r="AI51" s="556">
        <f>'Project Costs'!AI145</f>
        <v>0</v>
      </c>
      <c r="AJ51" s="556">
        <f>'Project Costs'!AJ145</f>
        <v>0</v>
      </c>
      <c r="AK51" s="556">
        <f>'Project Costs'!AK145</f>
        <v>0</v>
      </c>
      <c r="AL51" s="556">
        <f>'Project Costs'!AL145</f>
        <v>0</v>
      </c>
      <c r="AM51" s="556">
        <f>'Project Costs'!AM145</f>
        <v>0</v>
      </c>
      <c r="AN51" s="556">
        <f>'Project Costs'!AN145</f>
        <v>0</v>
      </c>
      <c r="AO51" s="556">
        <f>'Project Costs'!AO145</f>
        <v>0</v>
      </c>
      <c r="AP51" s="556">
        <f>'Project Costs'!AP145</f>
        <v>0</v>
      </c>
      <c r="AQ51" s="556">
        <f>'Project Costs'!AQ145</f>
        <v>0</v>
      </c>
      <c r="AR51" s="556">
        <f>'Project Costs'!AR145</f>
        <v>0</v>
      </c>
      <c r="AS51" s="556">
        <f>'Project Costs'!AS145</f>
        <v>0</v>
      </c>
      <c r="AT51" s="556">
        <f>'Project Costs'!AT145</f>
        <v>0</v>
      </c>
      <c r="AU51" s="556">
        <f>'Project Costs'!AU145</f>
        <v>0</v>
      </c>
      <c r="AV51" s="556">
        <f>'Project Costs'!AV145</f>
        <v>0</v>
      </c>
      <c r="AW51" s="556">
        <f>'Project Costs'!AW145</f>
        <v>0</v>
      </c>
      <c r="AX51" s="556">
        <f>'Project Costs'!AX145</f>
        <v>0</v>
      </c>
      <c r="AY51" s="556">
        <f>'Project Costs'!AY145</f>
        <v>0</v>
      </c>
      <c r="AZ51" s="556"/>
      <c r="BA51" s="556"/>
    </row>
  </sheetData>
  <conditionalFormatting sqref="AL27:BA29">
    <cfRule type="expression" dxfId="6" priority="11">
      <formula>#REF!=1</formula>
    </cfRule>
  </conditionalFormatting>
  <conditionalFormatting sqref="AL34:BA34">
    <cfRule type="expression" dxfId="5" priority="4">
      <formula>#REF!=1</formula>
    </cfRule>
  </conditionalFormatting>
  <conditionalFormatting sqref="AL37:BA37">
    <cfRule type="expression" dxfId="4" priority="3">
      <formula>#REF!=1</formula>
    </cfRule>
  </conditionalFormatting>
  <conditionalFormatting sqref="AL41:BA43">
    <cfRule type="expression" dxfId="3" priority="7">
      <formula>#REF!=1</formula>
    </cfRule>
  </conditionalFormatting>
  <conditionalFormatting sqref="AL48:BA48">
    <cfRule type="expression" dxfId="2" priority="2">
      <formula>#REF!=1</formula>
    </cfRule>
  </conditionalFormatting>
  <conditionalFormatting sqref="AL51:BA51">
    <cfRule type="expression" dxfId="1" priority="1">
      <formula>#REF!=1</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BB95"/>
  <sheetViews>
    <sheetView zoomScale="90" zoomScaleNormal="90" workbookViewId="0">
      <pane xSplit="8" ySplit="7" topLeftCell="I8" activePane="bottomRight" state="frozen"/>
      <selection activeCell="I10" sqref="I10"/>
      <selection pane="topRight" activeCell="I10" sqref="I10"/>
      <selection pane="bottomLeft" activeCell="I10" sqref="I10"/>
      <selection pane="bottomRight" activeCell="I8" sqref="I8"/>
    </sheetView>
  </sheetViews>
  <sheetFormatPr defaultColWidth="0" defaultRowHeight="14.5" zeroHeight="1" x14ac:dyDescent="0.35"/>
  <cols>
    <col min="1" max="3" width="1.453125" style="4" customWidth="1"/>
    <col min="4" max="4" width="1.81640625" style="4" customWidth="1"/>
    <col min="5" max="5" width="40.453125" style="4" customWidth="1"/>
    <col min="6" max="6" width="73.453125" style="4" bestFit="1" customWidth="1"/>
    <col min="7" max="8" width="20.81640625" style="4" customWidth="1"/>
    <col min="9" max="53" width="12.453125" style="4" customWidth="1"/>
    <col min="54" max="54" width="9.1796875" style="4" customWidth="1"/>
    <col min="55" max="16384" width="9.1796875" hidden="1"/>
  </cols>
  <sheetData>
    <row r="1" spans="1:54" ht="15.5" x14ac:dyDescent="0.35">
      <c r="A1" s="368" t="s">
        <v>902</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70"/>
    </row>
    <row r="2" spans="1:54" ht="5.25" customHeight="1" x14ac:dyDescent="0.35"/>
    <row r="3" spans="1:54" x14ac:dyDescent="0.35">
      <c r="E3" s="180" t="s">
        <v>903</v>
      </c>
    </row>
    <row r="4" spans="1:54" x14ac:dyDescent="0.35">
      <c r="E4" s="178" t="str">
        <f>'Guide for Reviewers'!B3</f>
        <v>I-35 McClain County</v>
      </c>
    </row>
    <row r="5" spans="1:54" x14ac:dyDescent="0.35">
      <c r="E5" s="178" t="str">
        <f>'Guide for Reviewers'!B4</f>
        <v>Oklahoma Department of Transportation</v>
      </c>
      <c r="G5" s="1" t="s">
        <v>575</v>
      </c>
      <c r="H5" s="1"/>
      <c r="I5" s="555">
        <f>StockValueC!$H$12</f>
        <v>2023</v>
      </c>
      <c r="J5" s="1">
        <f>I5+1</f>
        <v>2024</v>
      </c>
      <c r="K5" s="1">
        <f t="shared" ref="K5:BA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f t="shared" si="0"/>
        <v>2066</v>
      </c>
      <c r="BA5" s="1">
        <f t="shared" si="0"/>
        <v>2067</v>
      </c>
    </row>
    <row r="6" spans="1:54" x14ac:dyDescent="0.35">
      <c r="E6" s="178"/>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4" x14ac:dyDescent="0.35">
      <c r="E7" s="1" t="s">
        <v>92</v>
      </c>
      <c r="F7" s="1" t="s">
        <v>823</v>
      </c>
      <c r="G7" s="8" t="s">
        <v>93</v>
      </c>
      <c r="H7" s="8" t="s">
        <v>904</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4" x14ac:dyDescent="0.35">
      <c r="B8" s="53"/>
      <c r="C8" s="53"/>
      <c r="D8" s="53"/>
      <c r="E8" s="49" t="str">
        <f>'INTERMEDIATE CALCS'!E12</f>
        <v>Travel Time Savings - Auto</v>
      </c>
      <c r="F8" s="49" t="str">
        <f>'INTERMEDIATE CALCS'!F12</f>
        <v>negative = increase in PHT, positive = decrease in PHT</v>
      </c>
      <c r="G8" s="57" t="str">
        <f>'INTERMEDIATE CALCS'!G12</f>
        <v>PHT</v>
      </c>
      <c r="H8" s="305">
        <f>SUM(I8:BA8)</f>
        <v>948377.53513501259</v>
      </c>
      <c r="I8" s="70">
        <f>_xlfn.IFNA('INTERMEDIATE CALCS'!I12,0)</f>
        <v>0</v>
      </c>
      <c r="J8" s="70">
        <f>_xlfn.IFNA('INTERMEDIATE CALCS'!J12,0)</f>
        <v>0</v>
      </c>
      <c r="K8" s="70">
        <f>_xlfn.IFNA('INTERMEDIATE CALCS'!K12,0)</f>
        <v>0</v>
      </c>
      <c r="L8" s="70">
        <f>_xlfn.IFNA('INTERMEDIATE CALCS'!L12,0)</f>
        <v>0</v>
      </c>
      <c r="M8" s="70">
        <f>_xlfn.IFNA('INTERMEDIATE CALCS'!M12,0)</f>
        <v>0</v>
      </c>
      <c r="N8" s="70">
        <f>_xlfn.IFNA('INTERMEDIATE CALCS'!N12,0)</f>
        <v>0</v>
      </c>
      <c r="O8" s="70">
        <f>_xlfn.IFNA('INTERMEDIATE CALCS'!O12,0)</f>
        <v>19690.011124811052</v>
      </c>
      <c r="P8" s="70">
        <f>_xlfn.IFNA('INTERMEDIATE CALCS'!P12,0)</f>
        <v>20201.95141405605</v>
      </c>
      <c r="Q8" s="70">
        <f>_xlfn.IFNA('INTERMEDIATE CALCS'!Q12,0)</f>
        <v>20727.202150821548</v>
      </c>
      <c r="R8" s="70">
        <f>_xlfn.IFNA('INTERMEDIATE CALCS'!R12,0)</f>
        <v>21266.109406742871</v>
      </c>
      <c r="S8" s="70">
        <f>_xlfn.IFNA('INTERMEDIATE CALCS'!S12,0)</f>
        <v>21819.028251318345</v>
      </c>
      <c r="T8" s="70">
        <f>_xlfn.IFNA('INTERMEDIATE CALCS'!T12,0)</f>
        <v>22386.322985852501</v>
      </c>
      <c r="U8" s="70">
        <f>_xlfn.IFNA('INTERMEDIATE CALCS'!U12,0)</f>
        <v>22968.367383484681</v>
      </c>
      <c r="V8" s="70">
        <f>_xlfn.IFNA('INTERMEDIATE CALCS'!V12,0)</f>
        <v>23565.544935455157</v>
      </c>
      <c r="W8" s="70">
        <f>_xlfn.IFNA('INTERMEDIATE CALCS'!W12,0)</f>
        <v>24178.249103777038</v>
      </c>
      <c r="X8" s="70">
        <f>_xlfn.IFNA('INTERMEDIATE CALCS'!X12,0)</f>
        <v>24806.883580475424</v>
      </c>
      <c r="Y8" s="70">
        <f>_xlfn.IFNA('INTERMEDIATE CALCS'!Y12,0)</f>
        <v>25451.862553567644</v>
      </c>
      <c r="Z8" s="70">
        <f>_xlfn.IFNA('INTERMEDIATE CALCS'!Z12,0)</f>
        <v>26113.610979960384</v>
      </c>
      <c r="AA8" s="70">
        <f>_xlfn.IFNA('INTERMEDIATE CALCS'!AA12,0)</f>
        <v>26792.564865439337</v>
      </c>
      <c r="AB8" s="70">
        <f>_xlfn.IFNA('INTERMEDIATE CALCS'!AB12,0)</f>
        <v>27489.171551940795</v>
      </c>
      <c r="AC8" s="70">
        <f>_xlfn.IFNA('INTERMEDIATE CALCS'!AC12,0)</f>
        <v>0</v>
      </c>
      <c r="AD8" s="70">
        <f>_xlfn.IFNA('INTERMEDIATE CALCS'!AD12,0)</f>
        <v>117892.26025137746</v>
      </c>
      <c r="AE8" s="70">
        <f>_xlfn.IFNA('INTERMEDIATE CALCS'!AE12,0)</f>
        <v>120957.4590179134</v>
      </c>
      <c r="AF8" s="70">
        <f>_xlfn.IFNA('INTERMEDIATE CALCS'!AF12,0)</f>
        <v>124102.35295237919</v>
      </c>
      <c r="AG8" s="70">
        <f>_xlfn.IFNA('INTERMEDIATE CALCS'!AG12,0)</f>
        <v>127329.01412914108</v>
      </c>
      <c r="AH8" s="70">
        <f>_xlfn.IFNA('INTERMEDIATE CALCS'!AH12,0)</f>
        <v>130639.5684964986</v>
      </c>
      <c r="AI8" s="70">
        <f>_xlfn.IFNA('INTERMEDIATE CALCS'!AI12,0)</f>
        <v>0</v>
      </c>
      <c r="AJ8" s="70">
        <f>_xlfn.IFNA('INTERMEDIATE CALCS'!AJ12,0)</f>
        <v>0</v>
      </c>
      <c r="AK8" s="70">
        <f>_xlfn.IFNA('INTERMEDIATE CALCS'!AK12,0)</f>
        <v>0</v>
      </c>
      <c r="AL8" s="70">
        <f>_xlfn.IFNA('INTERMEDIATE CALCS'!AL12,0)</f>
        <v>0</v>
      </c>
      <c r="AM8" s="70">
        <f>_xlfn.IFNA('INTERMEDIATE CALCS'!AM12,0)</f>
        <v>0</v>
      </c>
      <c r="AN8" s="70">
        <f>_xlfn.IFNA('INTERMEDIATE CALCS'!AN12,0)</f>
        <v>0</v>
      </c>
      <c r="AO8" s="70">
        <f>_xlfn.IFNA('INTERMEDIATE CALCS'!AO12,0)</f>
        <v>0</v>
      </c>
      <c r="AP8" s="70">
        <f>_xlfn.IFNA('INTERMEDIATE CALCS'!AP12,0)</f>
        <v>0</v>
      </c>
      <c r="AQ8" s="70">
        <f>_xlfn.IFNA('INTERMEDIATE CALCS'!AQ12,0)</f>
        <v>0</v>
      </c>
      <c r="AR8" s="70">
        <f>_xlfn.IFNA('INTERMEDIATE CALCS'!AR12,0)</f>
        <v>0</v>
      </c>
      <c r="AS8" s="70">
        <f>_xlfn.IFNA('INTERMEDIATE CALCS'!AS12,0)</f>
        <v>0</v>
      </c>
      <c r="AT8" s="70">
        <f>_xlfn.IFNA('INTERMEDIATE CALCS'!AT12,0)</f>
        <v>0</v>
      </c>
      <c r="AU8" s="70">
        <f>_xlfn.IFNA('INTERMEDIATE CALCS'!AU12,0)</f>
        <v>0</v>
      </c>
      <c r="AV8" s="70">
        <f>_xlfn.IFNA('INTERMEDIATE CALCS'!AV12,0)</f>
        <v>0</v>
      </c>
      <c r="AW8" s="70">
        <f>_xlfn.IFNA('INTERMEDIATE CALCS'!AW12,0)</f>
        <v>0</v>
      </c>
      <c r="AX8" s="70">
        <f>_xlfn.IFNA('INTERMEDIATE CALCS'!AX12,0)</f>
        <v>0</v>
      </c>
      <c r="AY8" s="70">
        <f>_xlfn.IFNA('INTERMEDIATE CALCS'!AY12,0)</f>
        <v>0</v>
      </c>
      <c r="AZ8" s="70">
        <f>_xlfn.IFNA('INTERMEDIATE CALCS'!AZ12,0)</f>
        <v>0</v>
      </c>
      <c r="BA8" s="70">
        <f>_xlfn.IFNA('INTERMEDIATE CALCS'!BA12,0)</f>
        <v>0</v>
      </c>
    </row>
    <row r="9" spans="1:54" x14ac:dyDescent="0.35">
      <c r="E9" s="49" t="str">
        <f>'INTERMEDIATE CALCS'!E13</f>
        <v>Travel Time Savings - Truck</v>
      </c>
      <c r="F9" s="49" t="str">
        <f>'INTERMEDIATE CALCS'!F13</f>
        <v>negative = increase in PHT, positive = decrease in PHT</v>
      </c>
      <c r="G9" s="57" t="str">
        <f>'INTERMEDIATE CALCS'!G13</f>
        <v>PHT</v>
      </c>
      <c r="H9" s="305">
        <f t="shared" ref="H9:H12" si="1">SUM(I9:BA9)</f>
        <v>219219.55826378328</v>
      </c>
      <c r="I9" s="70">
        <f>_xlfn.IFNA('INTERMEDIATE CALCS'!I13,0)</f>
        <v>0</v>
      </c>
      <c r="J9" s="70">
        <f>_xlfn.IFNA('INTERMEDIATE CALCS'!J13,0)</f>
        <v>0</v>
      </c>
      <c r="K9" s="70">
        <f>_xlfn.IFNA('INTERMEDIATE CALCS'!K13,0)</f>
        <v>0</v>
      </c>
      <c r="L9" s="70">
        <f>_xlfn.IFNA('INTERMEDIATE CALCS'!L13,0)</f>
        <v>0</v>
      </c>
      <c r="M9" s="70">
        <f>_xlfn.IFNA('INTERMEDIATE CALCS'!M13,0)</f>
        <v>0</v>
      </c>
      <c r="N9" s="70">
        <f>_xlfn.IFNA('INTERMEDIATE CALCS'!N13,0)</f>
        <v>0</v>
      </c>
      <c r="O9" s="70">
        <f>_xlfn.IFNA('INTERMEDIATE CALCS'!O13,0)</f>
        <v>4551.3894847536285</v>
      </c>
      <c r="P9" s="70">
        <f>_xlfn.IFNA('INTERMEDIATE CALCS'!P13,0)</f>
        <v>4669.7256113572221</v>
      </c>
      <c r="Q9" s="70">
        <f>_xlfn.IFNA('INTERMEDIATE CALCS'!Q13,0)</f>
        <v>4791.1384772524762</v>
      </c>
      <c r="R9" s="70">
        <f>_xlfn.IFNA('INTERMEDIATE CALCS'!R13,0)</f>
        <v>4915.7080776610819</v>
      </c>
      <c r="S9" s="70">
        <f>_xlfn.IFNA('INTERMEDIATE CALCS'!S13,0)</f>
        <v>5043.5164876802592</v>
      </c>
      <c r="T9" s="70">
        <f>_xlfn.IFNA('INTERMEDIATE CALCS'!T13,0)</f>
        <v>5174.6479163599433</v>
      </c>
      <c r="U9" s="70">
        <f>_xlfn.IFNA('INTERMEDIATE CALCS'!U13,0)</f>
        <v>5309.1887621853093</v>
      </c>
      <c r="V9" s="70">
        <f>_xlfn.IFNA('INTERMEDIATE CALCS'!V13,0)</f>
        <v>5447.2276700021175</v>
      </c>
      <c r="W9" s="70">
        <f>_xlfn.IFNA('INTERMEDIATE CALCS'!W13,0)</f>
        <v>5588.8555894221354</v>
      </c>
      <c r="X9" s="70">
        <f>_xlfn.IFNA('INTERMEDIATE CALCS'!X13,0)</f>
        <v>5734.1658347471093</v>
      </c>
      <c r="Y9" s="70">
        <f>_xlfn.IFNA('INTERMEDIATE CALCS'!Y13,0)</f>
        <v>5883.2541464505484</v>
      </c>
      <c r="Z9" s="70">
        <f>_xlfn.IFNA('INTERMEDIATE CALCS'!Z13,0)</f>
        <v>6036.2187542582978</v>
      </c>
      <c r="AA9" s="70">
        <f>_xlfn.IFNA('INTERMEDIATE CALCS'!AA13,0)</f>
        <v>6193.1604418689967</v>
      </c>
      <c r="AB9" s="70">
        <f>_xlfn.IFNA('INTERMEDIATE CALCS'!AB13,0)</f>
        <v>6354.1826133576105</v>
      </c>
      <c r="AC9" s="70">
        <f>_xlfn.IFNA('INTERMEDIATE CALCS'!AC13,0)</f>
        <v>0</v>
      </c>
      <c r="AD9" s="70">
        <f>_xlfn.IFNA('INTERMEDIATE CALCS'!AD13,0)</f>
        <v>27251.055890254385</v>
      </c>
      <c r="AE9" s="70">
        <f>_xlfn.IFNA('INTERMEDIATE CALCS'!AE13,0)</f>
        <v>27959.583343401086</v>
      </c>
      <c r="AF9" s="70">
        <f>_xlfn.IFNA('INTERMEDIATE CALCS'!AF13,0)</f>
        <v>28686.532510329445</v>
      </c>
      <c r="AG9" s="70">
        <f>_xlfn.IFNA('INTERMEDIATE CALCS'!AG13,0)</f>
        <v>29432.382355598034</v>
      </c>
      <c r="AH9" s="70">
        <f>_xlfn.IFNA('INTERMEDIATE CALCS'!AH13,0)</f>
        <v>30197.624296843598</v>
      </c>
      <c r="AI9" s="70">
        <f>_xlfn.IFNA('INTERMEDIATE CALCS'!AI13,0)</f>
        <v>0</v>
      </c>
      <c r="AJ9" s="70">
        <f>_xlfn.IFNA('INTERMEDIATE CALCS'!AJ13,0)</f>
        <v>0</v>
      </c>
      <c r="AK9" s="70">
        <f>_xlfn.IFNA('INTERMEDIATE CALCS'!AK13,0)</f>
        <v>0</v>
      </c>
      <c r="AL9" s="70">
        <f>_xlfn.IFNA('INTERMEDIATE CALCS'!AL13,0)</f>
        <v>0</v>
      </c>
      <c r="AM9" s="70">
        <f>_xlfn.IFNA('INTERMEDIATE CALCS'!AM13,0)</f>
        <v>0</v>
      </c>
      <c r="AN9" s="70">
        <f>_xlfn.IFNA('INTERMEDIATE CALCS'!AN13,0)</f>
        <v>0</v>
      </c>
      <c r="AO9" s="70">
        <f>_xlfn.IFNA('INTERMEDIATE CALCS'!AO13,0)</f>
        <v>0</v>
      </c>
      <c r="AP9" s="70">
        <f>_xlfn.IFNA('INTERMEDIATE CALCS'!AP13,0)</f>
        <v>0</v>
      </c>
      <c r="AQ9" s="70">
        <f>_xlfn.IFNA('INTERMEDIATE CALCS'!AQ13,0)</f>
        <v>0</v>
      </c>
      <c r="AR9" s="70">
        <f>_xlfn.IFNA('INTERMEDIATE CALCS'!AR13,0)</f>
        <v>0</v>
      </c>
      <c r="AS9" s="70">
        <f>_xlfn.IFNA('INTERMEDIATE CALCS'!AS13,0)</f>
        <v>0</v>
      </c>
      <c r="AT9" s="70">
        <f>_xlfn.IFNA('INTERMEDIATE CALCS'!AT13,0)</f>
        <v>0</v>
      </c>
      <c r="AU9" s="70">
        <f>_xlfn.IFNA('INTERMEDIATE CALCS'!AU13,0)</f>
        <v>0</v>
      </c>
      <c r="AV9" s="70">
        <f>_xlfn.IFNA('INTERMEDIATE CALCS'!AV13,0)</f>
        <v>0</v>
      </c>
      <c r="AW9" s="70">
        <f>_xlfn.IFNA('INTERMEDIATE CALCS'!AW13,0)</f>
        <v>0</v>
      </c>
      <c r="AX9" s="70">
        <f>_xlfn.IFNA('INTERMEDIATE CALCS'!AX13,0)</f>
        <v>0</v>
      </c>
      <c r="AY9" s="70">
        <f>_xlfn.IFNA('INTERMEDIATE CALCS'!AY13,0)</f>
        <v>0</v>
      </c>
      <c r="AZ9" s="70">
        <f>_xlfn.IFNA('INTERMEDIATE CALCS'!AZ13,0)</f>
        <v>0</v>
      </c>
      <c r="BA9" s="70">
        <f>_xlfn.IFNA('INTERMEDIATE CALCS'!BA13,0)</f>
        <v>0</v>
      </c>
    </row>
    <row r="10" spans="1:54" x14ac:dyDescent="0.35">
      <c r="A10" s="49"/>
      <c r="B10" s="49"/>
      <c r="C10" s="49"/>
      <c r="D10" s="49"/>
      <c r="E10" s="49" t="str">
        <f>"Safety - "&amp;'INTERMEDIATE CALCS'!E20</f>
        <v>Safety - PDO</v>
      </c>
      <c r="F10" s="49" t="s">
        <v>905</v>
      </c>
      <c r="G10" s="198" t="str">
        <f>'INTERMEDIATE CALCS'!G20</f>
        <v># per year</v>
      </c>
      <c r="H10" s="305">
        <f t="shared" si="1"/>
        <v>71.944041336753813</v>
      </c>
      <c r="I10" s="70">
        <f>'INTERMEDIATE CALCS'!I20</f>
        <v>0</v>
      </c>
      <c r="J10" s="70">
        <f>'INTERMEDIATE CALCS'!J20</f>
        <v>0</v>
      </c>
      <c r="K10" s="70">
        <f>'INTERMEDIATE CALCS'!K20</f>
        <v>0</v>
      </c>
      <c r="L10" s="70">
        <f>'INTERMEDIATE CALCS'!L20</f>
        <v>0</v>
      </c>
      <c r="M10" s="70">
        <f>'INTERMEDIATE CALCS'!M20</f>
        <v>0</v>
      </c>
      <c r="N10" s="70">
        <f>'INTERMEDIATE CALCS'!N20</f>
        <v>0</v>
      </c>
      <c r="O10" s="70">
        <f>'INTERMEDIATE CALCS'!O20</f>
        <v>3.5972020668376907</v>
      </c>
      <c r="P10" s="70">
        <f>'INTERMEDIATE CALCS'!P20</f>
        <v>3.5972020668376907</v>
      </c>
      <c r="Q10" s="70">
        <f>'INTERMEDIATE CALCS'!Q20</f>
        <v>3.5972020668376907</v>
      </c>
      <c r="R10" s="70">
        <f>'INTERMEDIATE CALCS'!R20</f>
        <v>3.5972020668376907</v>
      </c>
      <c r="S10" s="70">
        <f>'INTERMEDIATE CALCS'!S20</f>
        <v>3.5972020668376907</v>
      </c>
      <c r="T10" s="70">
        <f>'INTERMEDIATE CALCS'!T20</f>
        <v>3.5972020668376907</v>
      </c>
      <c r="U10" s="70">
        <f>'INTERMEDIATE CALCS'!U20</f>
        <v>3.5972020668376907</v>
      </c>
      <c r="V10" s="70">
        <f>'INTERMEDIATE CALCS'!V20</f>
        <v>3.5972020668376907</v>
      </c>
      <c r="W10" s="70">
        <f>'INTERMEDIATE CALCS'!W20</f>
        <v>3.5972020668376907</v>
      </c>
      <c r="X10" s="70">
        <f>'INTERMEDIATE CALCS'!X20</f>
        <v>3.5972020668376907</v>
      </c>
      <c r="Y10" s="70">
        <f>'INTERMEDIATE CALCS'!Y20</f>
        <v>3.5972020668376907</v>
      </c>
      <c r="Z10" s="70">
        <f>'INTERMEDIATE CALCS'!Z20</f>
        <v>3.5972020668376907</v>
      </c>
      <c r="AA10" s="70">
        <f>'INTERMEDIATE CALCS'!AA20</f>
        <v>3.5972020668376907</v>
      </c>
      <c r="AB10" s="70">
        <f>'INTERMEDIATE CALCS'!AB20</f>
        <v>3.5972020668376907</v>
      </c>
      <c r="AC10" s="70">
        <f>'INTERMEDIATE CALCS'!AC20</f>
        <v>3.5972020668376907</v>
      </c>
      <c r="AD10" s="70">
        <f>'INTERMEDIATE CALCS'!AD20</f>
        <v>3.5972020668376907</v>
      </c>
      <c r="AE10" s="70">
        <f>'INTERMEDIATE CALCS'!AE20</f>
        <v>3.5972020668376907</v>
      </c>
      <c r="AF10" s="70">
        <f>'INTERMEDIATE CALCS'!AF20</f>
        <v>3.5972020668376907</v>
      </c>
      <c r="AG10" s="70">
        <f>'INTERMEDIATE CALCS'!AG20</f>
        <v>3.5972020668376907</v>
      </c>
      <c r="AH10" s="70">
        <f>'INTERMEDIATE CALCS'!AH20</f>
        <v>3.5972020668376907</v>
      </c>
      <c r="AI10" s="70">
        <f>'INTERMEDIATE CALCS'!AI20</f>
        <v>0</v>
      </c>
      <c r="AJ10" s="70">
        <f>'INTERMEDIATE CALCS'!AJ20</f>
        <v>0</v>
      </c>
      <c r="AK10" s="70">
        <f>'INTERMEDIATE CALCS'!AK20</f>
        <v>0</v>
      </c>
      <c r="AL10" s="70">
        <f>'INTERMEDIATE CALCS'!AL20</f>
        <v>0</v>
      </c>
      <c r="AM10" s="70">
        <f>'INTERMEDIATE CALCS'!AM20</f>
        <v>0</v>
      </c>
      <c r="AN10" s="70">
        <f>'INTERMEDIATE CALCS'!AN20</f>
        <v>0</v>
      </c>
      <c r="AO10" s="70">
        <f>'INTERMEDIATE CALCS'!AO20</f>
        <v>0</v>
      </c>
      <c r="AP10" s="70">
        <f>'INTERMEDIATE CALCS'!AP20</f>
        <v>0</v>
      </c>
      <c r="AQ10" s="70">
        <f>'INTERMEDIATE CALCS'!AQ20</f>
        <v>0</v>
      </c>
      <c r="AR10" s="70">
        <f>'INTERMEDIATE CALCS'!AR20</f>
        <v>0</v>
      </c>
      <c r="AS10" s="70">
        <f>'INTERMEDIATE CALCS'!AS20</f>
        <v>0</v>
      </c>
      <c r="AT10" s="70">
        <f>'INTERMEDIATE CALCS'!AT20</f>
        <v>0</v>
      </c>
      <c r="AU10" s="70">
        <f>'INTERMEDIATE CALCS'!AU20</f>
        <v>0</v>
      </c>
      <c r="AV10" s="70">
        <f>'INTERMEDIATE CALCS'!AV20</f>
        <v>0</v>
      </c>
      <c r="AW10" s="70">
        <f>'INTERMEDIATE CALCS'!AW20</f>
        <v>0</v>
      </c>
      <c r="AX10" s="70">
        <f>'INTERMEDIATE CALCS'!AX20</f>
        <v>0</v>
      </c>
      <c r="AY10" s="70">
        <f>'INTERMEDIATE CALCS'!AY20</f>
        <v>0</v>
      </c>
      <c r="AZ10" s="70">
        <f>'INTERMEDIATE CALCS'!AZ20</f>
        <v>0</v>
      </c>
      <c r="BA10" s="70">
        <f>'INTERMEDIATE CALCS'!BA20</f>
        <v>0</v>
      </c>
      <c r="BB10" s="49"/>
    </row>
    <row r="11" spans="1:54" x14ac:dyDescent="0.35">
      <c r="A11" s="49"/>
      <c r="B11" s="49"/>
      <c r="C11" s="49"/>
      <c r="D11" s="49"/>
      <c r="E11" s="49" t="str">
        <f>"Safety - "&amp;'INTERMEDIATE CALCS'!E21</f>
        <v>Safety - Injured</v>
      </c>
      <c r="F11" s="49" t="s">
        <v>905</v>
      </c>
      <c r="G11" s="198" t="str">
        <f>'INTERMEDIATE CALCS'!G21</f>
        <v># per year</v>
      </c>
      <c r="H11" s="305">
        <f t="shared" si="1"/>
        <v>21.229389246910976</v>
      </c>
      <c r="I11" s="70">
        <f>'INTERMEDIATE CALCS'!I21</f>
        <v>0</v>
      </c>
      <c r="J11" s="70">
        <f>'INTERMEDIATE CALCS'!J21</f>
        <v>0</v>
      </c>
      <c r="K11" s="70">
        <f>'INTERMEDIATE CALCS'!K21</f>
        <v>0</v>
      </c>
      <c r="L11" s="70">
        <f>'INTERMEDIATE CALCS'!L21</f>
        <v>0</v>
      </c>
      <c r="M11" s="70">
        <f>'INTERMEDIATE CALCS'!M21</f>
        <v>0</v>
      </c>
      <c r="N11" s="70">
        <f>'INTERMEDIATE CALCS'!N21</f>
        <v>0</v>
      </c>
      <c r="O11" s="70">
        <f>'INTERMEDIATE CALCS'!O21</f>
        <v>1.0614694623455483</v>
      </c>
      <c r="P11" s="70">
        <f>'INTERMEDIATE CALCS'!P21</f>
        <v>1.0614694623455483</v>
      </c>
      <c r="Q11" s="70">
        <f>'INTERMEDIATE CALCS'!Q21</f>
        <v>1.0614694623455483</v>
      </c>
      <c r="R11" s="70">
        <f>'INTERMEDIATE CALCS'!R21</f>
        <v>1.0614694623455483</v>
      </c>
      <c r="S11" s="70">
        <f>'INTERMEDIATE CALCS'!S21</f>
        <v>1.0614694623455483</v>
      </c>
      <c r="T11" s="70">
        <f>'INTERMEDIATE CALCS'!T21</f>
        <v>1.0614694623455483</v>
      </c>
      <c r="U11" s="70">
        <f>'INTERMEDIATE CALCS'!U21</f>
        <v>1.0614694623455483</v>
      </c>
      <c r="V11" s="70">
        <f>'INTERMEDIATE CALCS'!V21</f>
        <v>1.0614694623455483</v>
      </c>
      <c r="W11" s="70">
        <f>'INTERMEDIATE CALCS'!W21</f>
        <v>1.0614694623455483</v>
      </c>
      <c r="X11" s="70">
        <f>'INTERMEDIATE CALCS'!X21</f>
        <v>1.0614694623455483</v>
      </c>
      <c r="Y11" s="70">
        <f>'INTERMEDIATE CALCS'!Y21</f>
        <v>1.0614694623455483</v>
      </c>
      <c r="Z11" s="70">
        <f>'INTERMEDIATE CALCS'!Z21</f>
        <v>1.0614694623455483</v>
      </c>
      <c r="AA11" s="70">
        <f>'INTERMEDIATE CALCS'!AA21</f>
        <v>1.0614694623455483</v>
      </c>
      <c r="AB11" s="70">
        <f>'INTERMEDIATE CALCS'!AB21</f>
        <v>1.0614694623455483</v>
      </c>
      <c r="AC11" s="70">
        <f>'INTERMEDIATE CALCS'!AC21</f>
        <v>1.0614694623455483</v>
      </c>
      <c r="AD11" s="70">
        <f>'INTERMEDIATE CALCS'!AD21</f>
        <v>1.0614694623455483</v>
      </c>
      <c r="AE11" s="70">
        <f>'INTERMEDIATE CALCS'!AE21</f>
        <v>1.0614694623455483</v>
      </c>
      <c r="AF11" s="70">
        <f>'INTERMEDIATE CALCS'!AF21</f>
        <v>1.0614694623455483</v>
      </c>
      <c r="AG11" s="70">
        <f>'INTERMEDIATE CALCS'!AG21</f>
        <v>1.0614694623455483</v>
      </c>
      <c r="AH11" s="70">
        <f>'INTERMEDIATE CALCS'!AH21</f>
        <v>1.0614694623455483</v>
      </c>
      <c r="AI11" s="70">
        <f>'INTERMEDIATE CALCS'!AI21</f>
        <v>0</v>
      </c>
      <c r="AJ11" s="70">
        <f>'INTERMEDIATE CALCS'!AJ21</f>
        <v>0</v>
      </c>
      <c r="AK11" s="70">
        <f>'INTERMEDIATE CALCS'!AK21</f>
        <v>0</v>
      </c>
      <c r="AL11" s="70">
        <f>'INTERMEDIATE CALCS'!AL21</f>
        <v>0</v>
      </c>
      <c r="AM11" s="70">
        <f>'INTERMEDIATE CALCS'!AM21</f>
        <v>0</v>
      </c>
      <c r="AN11" s="70">
        <f>'INTERMEDIATE CALCS'!AN21</f>
        <v>0</v>
      </c>
      <c r="AO11" s="70">
        <f>'INTERMEDIATE CALCS'!AO21</f>
        <v>0</v>
      </c>
      <c r="AP11" s="70">
        <f>'INTERMEDIATE CALCS'!AP21</f>
        <v>0</v>
      </c>
      <c r="AQ11" s="70">
        <f>'INTERMEDIATE CALCS'!AQ21</f>
        <v>0</v>
      </c>
      <c r="AR11" s="70">
        <f>'INTERMEDIATE CALCS'!AR21</f>
        <v>0</v>
      </c>
      <c r="AS11" s="70">
        <f>'INTERMEDIATE CALCS'!AS21</f>
        <v>0</v>
      </c>
      <c r="AT11" s="70">
        <f>'INTERMEDIATE CALCS'!AT21</f>
        <v>0</v>
      </c>
      <c r="AU11" s="70">
        <f>'INTERMEDIATE CALCS'!AU21</f>
        <v>0</v>
      </c>
      <c r="AV11" s="70">
        <f>'INTERMEDIATE CALCS'!AV21</f>
        <v>0</v>
      </c>
      <c r="AW11" s="70">
        <f>'INTERMEDIATE CALCS'!AW21</f>
        <v>0</v>
      </c>
      <c r="AX11" s="70">
        <f>'INTERMEDIATE CALCS'!AX21</f>
        <v>0</v>
      </c>
      <c r="AY11" s="70">
        <f>'INTERMEDIATE CALCS'!AY21</f>
        <v>0</v>
      </c>
      <c r="AZ11" s="70">
        <f>'INTERMEDIATE CALCS'!AZ21</f>
        <v>0</v>
      </c>
      <c r="BA11" s="70">
        <f>'INTERMEDIATE CALCS'!BA21</f>
        <v>0</v>
      </c>
      <c r="BB11" s="49"/>
    </row>
    <row r="12" spans="1:54" x14ac:dyDescent="0.35">
      <c r="A12" s="49"/>
      <c r="B12" s="49"/>
      <c r="C12" s="49"/>
      <c r="D12" s="49"/>
      <c r="E12" s="49" t="str">
        <f>"Safety - "&amp;'INTERMEDIATE CALCS'!E22</f>
        <v>Safety - Fatal</v>
      </c>
      <c r="F12" s="49" t="s">
        <v>905</v>
      </c>
      <c r="G12" s="198" t="str">
        <f>'INTERMEDIATE CALCS'!G22</f>
        <v># per year</v>
      </c>
      <c r="H12" s="305">
        <f t="shared" si="1"/>
        <v>4.7176420548691027</v>
      </c>
      <c r="I12" s="70">
        <f>'INTERMEDIATE CALCS'!I22</f>
        <v>0</v>
      </c>
      <c r="J12" s="70">
        <f>'INTERMEDIATE CALCS'!J22</f>
        <v>0</v>
      </c>
      <c r="K12" s="70">
        <f>'INTERMEDIATE CALCS'!K22</f>
        <v>0</v>
      </c>
      <c r="L12" s="70">
        <f>'INTERMEDIATE CALCS'!L22</f>
        <v>0</v>
      </c>
      <c r="M12" s="70">
        <f>'INTERMEDIATE CALCS'!M22</f>
        <v>0</v>
      </c>
      <c r="N12" s="70">
        <f>'INTERMEDIATE CALCS'!N22</f>
        <v>0</v>
      </c>
      <c r="O12" s="70">
        <f>'INTERMEDIATE CALCS'!O22</f>
        <v>0.23588210274345514</v>
      </c>
      <c r="P12" s="70">
        <f>'INTERMEDIATE CALCS'!P22</f>
        <v>0.23588210274345514</v>
      </c>
      <c r="Q12" s="70">
        <f>'INTERMEDIATE CALCS'!Q22</f>
        <v>0.23588210274345514</v>
      </c>
      <c r="R12" s="70">
        <f>'INTERMEDIATE CALCS'!R22</f>
        <v>0.23588210274345514</v>
      </c>
      <c r="S12" s="70">
        <f>'INTERMEDIATE CALCS'!S22</f>
        <v>0.23588210274345514</v>
      </c>
      <c r="T12" s="70">
        <f>'INTERMEDIATE CALCS'!T22</f>
        <v>0.23588210274345514</v>
      </c>
      <c r="U12" s="70">
        <f>'INTERMEDIATE CALCS'!U22</f>
        <v>0.23588210274345514</v>
      </c>
      <c r="V12" s="70">
        <f>'INTERMEDIATE CALCS'!V22</f>
        <v>0.23588210274345514</v>
      </c>
      <c r="W12" s="70">
        <f>'INTERMEDIATE CALCS'!W22</f>
        <v>0.23588210274345514</v>
      </c>
      <c r="X12" s="70">
        <f>'INTERMEDIATE CALCS'!X22</f>
        <v>0.23588210274345514</v>
      </c>
      <c r="Y12" s="70">
        <f>'INTERMEDIATE CALCS'!Y22</f>
        <v>0.23588210274345514</v>
      </c>
      <c r="Z12" s="70">
        <f>'INTERMEDIATE CALCS'!Z22</f>
        <v>0.23588210274345514</v>
      </c>
      <c r="AA12" s="70">
        <f>'INTERMEDIATE CALCS'!AA22</f>
        <v>0.23588210274345514</v>
      </c>
      <c r="AB12" s="70">
        <f>'INTERMEDIATE CALCS'!AB22</f>
        <v>0.23588210274345514</v>
      </c>
      <c r="AC12" s="70">
        <f>'INTERMEDIATE CALCS'!AC22</f>
        <v>0.23588210274345514</v>
      </c>
      <c r="AD12" s="70">
        <f>'INTERMEDIATE CALCS'!AD22</f>
        <v>0.23588210274345514</v>
      </c>
      <c r="AE12" s="70">
        <f>'INTERMEDIATE CALCS'!AE22</f>
        <v>0.23588210274345514</v>
      </c>
      <c r="AF12" s="70">
        <f>'INTERMEDIATE CALCS'!AF22</f>
        <v>0.23588210274345514</v>
      </c>
      <c r="AG12" s="70">
        <f>'INTERMEDIATE CALCS'!AG22</f>
        <v>0.23588210274345514</v>
      </c>
      <c r="AH12" s="70">
        <f>'INTERMEDIATE CALCS'!AH22</f>
        <v>0.23588210274345514</v>
      </c>
      <c r="AI12" s="70">
        <f>'INTERMEDIATE CALCS'!AI22</f>
        <v>0</v>
      </c>
      <c r="AJ12" s="70">
        <f>'INTERMEDIATE CALCS'!AJ22</f>
        <v>0</v>
      </c>
      <c r="AK12" s="70">
        <f>'INTERMEDIATE CALCS'!AK22</f>
        <v>0</v>
      </c>
      <c r="AL12" s="70">
        <f>'INTERMEDIATE CALCS'!AL22</f>
        <v>0</v>
      </c>
      <c r="AM12" s="70">
        <f>'INTERMEDIATE CALCS'!AM22</f>
        <v>0</v>
      </c>
      <c r="AN12" s="70">
        <f>'INTERMEDIATE CALCS'!AN22</f>
        <v>0</v>
      </c>
      <c r="AO12" s="70">
        <f>'INTERMEDIATE CALCS'!AO22</f>
        <v>0</v>
      </c>
      <c r="AP12" s="70">
        <f>'INTERMEDIATE CALCS'!AP22</f>
        <v>0</v>
      </c>
      <c r="AQ12" s="70">
        <f>'INTERMEDIATE CALCS'!AQ22</f>
        <v>0</v>
      </c>
      <c r="AR12" s="70">
        <f>'INTERMEDIATE CALCS'!AR22</f>
        <v>0</v>
      </c>
      <c r="AS12" s="70">
        <f>'INTERMEDIATE CALCS'!AS22</f>
        <v>0</v>
      </c>
      <c r="AT12" s="70">
        <f>'INTERMEDIATE CALCS'!AT22</f>
        <v>0</v>
      </c>
      <c r="AU12" s="70">
        <f>'INTERMEDIATE CALCS'!AU22</f>
        <v>0</v>
      </c>
      <c r="AV12" s="70">
        <f>'INTERMEDIATE CALCS'!AV22</f>
        <v>0</v>
      </c>
      <c r="AW12" s="70">
        <f>'INTERMEDIATE CALCS'!AW22</f>
        <v>0</v>
      </c>
      <c r="AX12" s="70">
        <f>'INTERMEDIATE CALCS'!AX22</f>
        <v>0</v>
      </c>
      <c r="AY12" s="70">
        <f>'INTERMEDIATE CALCS'!AY22</f>
        <v>0</v>
      </c>
      <c r="AZ12" s="70">
        <f>'INTERMEDIATE CALCS'!AZ22</f>
        <v>0</v>
      </c>
      <c r="BA12" s="70">
        <f>'INTERMEDIATE CALCS'!BA22</f>
        <v>0</v>
      </c>
      <c r="BB12" s="49"/>
    </row>
    <row r="13" spans="1:54" x14ac:dyDescent="0.35">
      <c r="A13" s="49"/>
      <c r="B13" s="49"/>
      <c r="C13" s="49"/>
      <c r="D13" s="49"/>
      <c r="E13" s="49" t="s">
        <v>78</v>
      </c>
      <c r="F13" s="49" t="s">
        <v>906</v>
      </c>
      <c r="G13" s="198" t="str">
        <f>'Resid Value Calc'!G37</f>
        <v>2024$</v>
      </c>
      <c r="H13" s="305">
        <f t="shared" ref="H13:H16" si="2">SUM(I13:BA13)</f>
        <v>11811844.676135939</v>
      </c>
      <c r="I13" s="70">
        <f>'Resid Value Calc'!I37</f>
        <v>0</v>
      </c>
      <c r="J13" s="70">
        <f>'Resid Value Calc'!J37</f>
        <v>0</v>
      </c>
      <c r="K13" s="70">
        <f>'Resid Value Calc'!K37</f>
        <v>0</v>
      </c>
      <c r="L13" s="70">
        <f>'Resid Value Calc'!L37</f>
        <v>0</v>
      </c>
      <c r="M13" s="70">
        <f>'Resid Value Calc'!M37</f>
        <v>0</v>
      </c>
      <c r="N13" s="70">
        <f>'Resid Value Calc'!N37</f>
        <v>0</v>
      </c>
      <c r="O13" s="70">
        <f>'Resid Value Calc'!O37</f>
        <v>0</v>
      </c>
      <c r="P13" s="70">
        <f>'Resid Value Calc'!P37</f>
        <v>0</v>
      </c>
      <c r="Q13" s="70">
        <f>'Resid Value Calc'!Q37</f>
        <v>0</v>
      </c>
      <c r="R13" s="70">
        <f>'Resid Value Calc'!R37</f>
        <v>0</v>
      </c>
      <c r="S13" s="70">
        <f>'Resid Value Calc'!S37</f>
        <v>0</v>
      </c>
      <c r="T13" s="70">
        <f>'Resid Value Calc'!T37</f>
        <v>0</v>
      </c>
      <c r="U13" s="70">
        <f>'Resid Value Calc'!U37</f>
        <v>0</v>
      </c>
      <c r="V13" s="70">
        <f>'Resid Value Calc'!V37</f>
        <v>0</v>
      </c>
      <c r="W13" s="70">
        <f>'Resid Value Calc'!W37</f>
        <v>0</v>
      </c>
      <c r="X13" s="70">
        <f>'Resid Value Calc'!X37</f>
        <v>0</v>
      </c>
      <c r="Y13" s="70">
        <f>'Resid Value Calc'!Y37</f>
        <v>0</v>
      </c>
      <c r="Z13" s="70">
        <f>'Resid Value Calc'!Z37</f>
        <v>0</v>
      </c>
      <c r="AA13" s="70">
        <f>'Resid Value Calc'!AA37</f>
        <v>0</v>
      </c>
      <c r="AB13" s="70">
        <f>'Resid Value Calc'!AB37</f>
        <v>0</v>
      </c>
      <c r="AC13" s="70">
        <f>'Resid Value Calc'!AC37</f>
        <v>0</v>
      </c>
      <c r="AD13" s="70">
        <f>'Resid Value Calc'!AD37</f>
        <v>0</v>
      </c>
      <c r="AE13" s="70">
        <f>'Resid Value Calc'!AE37</f>
        <v>0</v>
      </c>
      <c r="AF13" s="70">
        <f>'Resid Value Calc'!AF37</f>
        <v>0</v>
      </c>
      <c r="AG13" s="70">
        <f>'Resid Value Calc'!AG37</f>
        <v>0</v>
      </c>
      <c r="AH13" s="70">
        <f>'Resid Value Calc'!AH37</f>
        <v>11811844.676135939</v>
      </c>
      <c r="AI13" s="70">
        <f>'Resid Value Calc'!AI37</f>
        <v>0</v>
      </c>
      <c r="AJ13" s="70">
        <f>'Resid Value Calc'!AJ37</f>
        <v>0</v>
      </c>
      <c r="AK13" s="70">
        <f>'Resid Value Calc'!AK37</f>
        <v>0</v>
      </c>
      <c r="AL13" s="70">
        <f>'Resid Value Calc'!AL37</f>
        <v>0</v>
      </c>
      <c r="AM13" s="70">
        <f>'Resid Value Calc'!AM37</f>
        <v>0</v>
      </c>
      <c r="AN13" s="70">
        <f>'Resid Value Calc'!AN37</f>
        <v>0</v>
      </c>
      <c r="AO13" s="70">
        <f>'Resid Value Calc'!AO37</f>
        <v>0</v>
      </c>
      <c r="AP13" s="70">
        <f>'Resid Value Calc'!AP37</f>
        <v>0</v>
      </c>
      <c r="AQ13" s="70">
        <f>'Resid Value Calc'!AQ37</f>
        <v>0</v>
      </c>
      <c r="AR13" s="70">
        <f>'Resid Value Calc'!AR37</f>
        <v>0</v>
      </c>
      <c r="AS13" s="70">
        <f>'Resid Value Calc'!AS37</f>
        <v>0</v>
      </c>
      <c r="AT13" s="70">
        <f>'Resid Value Calc'!AT37</f>
        <v>0</v>
      </c>
      <c r="AU13" s="70">
        <f>'Resid Value Calc'!AU37</f>
        <v>0</v>
      </c>
      <c r="AV13" s="70">
        <f>'Resid Value Calc'!AV37</f>
        <v>0</v>
      </c>
      <c r="AW13" s="70">
        <f>'Resid Value Calc'!AW37</f>
        <v>0</v>
      </c>
      <c r="AX13" s="70">
        <f>'Resid Value Calc'!AX37</f>
        <v>0</v>
      </c>
      <c r="AY13" s="70">
        <f>'Resid Value Calc'!AY37</f>
        <v>0</v>
      </c>
      <c r="AZ13" s="70">
        <f>'Resid Value Calc'!AZ37</f>
        <v>0</v>
      </c>
      <c r="BA13" s="70">
        <f>'Resid Value Calc'!BA37</f>
        <v>0</v>
      </c>
      <c r="BB13" s="49"/>
    </row>
    <row r="14" spans="1:54" x14ac:dyDescent="0.35">
      <c r="E14" s="49" t="str">
        <f>'Costs Calc'!E52</f>
        <v>Change in O&amp;M Costs</v>
      </c>
      <c r="F14" s="49" t="str">
        <f>'Costs Calc'!F52</f>
        <v>negative = increase in O&amp;M costs; positive = decrease in O&amp;M costs</v>
      </c>
      <c r="G14" s="198" t="str">
        <f>'Costs Calc'!G52</f>
        <v>2024$</v>
      </c>
      <c r="H14" s="305">
        <f t="shared" si="2"/>
        <v>0</v>
      </c>
      <c r="I14" s="70">
        <f>'Costs Calc'!I52</f>
        <v>0</v>
      </c>
      <c r="J14" s="70">
        <f>'Costs Calc'!J52</f>
        <v>0</v>
      </c>
      <c r="K14" s="70">
        <f>'Costs Calc'!K52</f>
        <v>0</v>
      </c>
      <c r="L14" s="70">
        <f>'Costs Calc'!L52</f>
        <v>0</v>
      </c>
      <c r="M14" s="70">
        <f>'Costs Calc'!M52</f>
        <v>0</v>
      </c>
      <c r="N14" s="70">
        <f>'Costs Calc'!N52</f>
        <v>0</v>
      </c>
      <c r="O14" s="70">
        <f>'Costs Calc'!O52</f>
        <v>0</v>
      </c>
      <c r="P14" s="70">
        <f>'Costs Calc'!P52</f>
        <v>0</v>
      </c>
      <c r="Q14" s="70">
        <f>'Costs Calc'!Q52</f>
        <v>0</v>
      </c>
      <c r="R14" s="70">
        <f>'Costs Calc'!R52</f>
        <v>0</v>
      </c>
      <c r="S14" s="70">
        <f>'Costs Calc'!S52</f>
        <v>0</v>
      </c>
      <c r="T14" s="70">
        <f>'Costs Calc'!T52</f>
        <v>0</v>
      </c>
      <c r="U14" s="70">
        <f>'Costs Calc'!U52</f>
        <v>0</v>
      </c>
      <c r="V14" s="70">
        <f>'Costs Calc'!V52</f>
        <v>0</v>
      </c>
      <c r="W14" s="70">
        <f>'Costs Calc'!W52</f>
        <v>0</v>
      </c>
      <c r="X14" s="70">
        <f>'Costs Calc'!X52</f>
        <v>0</v>
      </c>
      <c r="Y14" s="70">
        <f>'Costs Calc'!Y52</f>
        <v>0</v>
      </c>
      <c r="Z14" s="70">
        <f>'Costs Calc'!Z52</f>
        <v>0</v>
      </c>
      <c r="AA14" s="70">
        <f>'Costs Calc'!AA52</f>
        <v>0</v>
      </c>
      <c r="AB14" s="70">
        <f>'Costs Calc'!AB52</f>
        <v>0</v>
      </c>
      <c r="AC14" s="70">
        <f>'Costs Calc'!AC52</f>
        <v>0</v>
      </c>
      <c r="AD14" s="70">
        <f>'Costs Calc'!AD52</f>
        <v>0</v>
      </c>
      <c r="AE14" s="70">
        <f>'Costs Calc'!AE52</f>
        <v>0</v>
      </c>
      <c r="AF14" s="70">
        <f>'Costs Calc'!AF52</f>
        <v>0</v>
      </c>
      <c r="AG14" s="70">
        <f>'Costs Calc'!AG52</f>
        <v>0</v>
      </c>
      <c r="AH14" s="70">
        <f>'Costs Calc'!AH52</f>
        <v>0</v>
      </c>
      <c r="AI14" s="70">
        <f>'Costs Calc'!AI52</f>
        <v>0</v>
      </c>
      <c r="AJ14" s="70">
        <f>'Costs Calc'!AJ52</f>
        <v>0</v>
      </c>
      <c r="AK14" s="70">
        <f>'Costs Calc'!AK52</f>
        <v>0</v>
      </c>
      <c r="AL14" s="70">
        <f>'Costs Calc'!AL52</f>
        <v>0</v>
      </c>
      <c r="AM14" s="70">
        <f>'Costs Calc'!AM52</f>
        <v>0</v>
      </c>
      <c r="AN14" s="70">
        <f>'Costs Calc'!AN52</f>
        <v>0</v>
      </c>
      <c r="AO14" s="70">
        <f>'Costs Calc'!AO52</f>
        <v>0</v>
      </c>
      <c r="AP14" s="70">
        <f>'Costs Calc'!AP52</f>
        <v>0</v>
      </c>
      <c r="AQ14" s="70">
        <f>'Costs Calc'!AQ52</f>
        <v>0</v>
      </c>
      <c r="AR14" s="70">
        <f>'Costs Calc'!AR52</f>
        <v>0</v>
      </c>
      <c r="AS14" s="70">
        <f>'Costs Calc'!AS52</f>
        <v>0</v>
      </c>
      <c r="AT14" s="70">
        <f>'Costs Calc'!AT52</f>
        <v>0</v>
      </c>
      <c r="AU14" s="70">
        <f>'Costs Calc'!AU52</f>
        <v>0</v>
      </c>
      <c r="AV14" s="70">
        <f>'Costs Calc'!AV52</f>
        <v>0</v>
      </c>
      <c r="AW14" s="70">
        <f>'Costs Calc'!AW52</f>
        <v>0</v>
      </c>
      <c r="AX14" s="70">
        <f>'Costs Calc'!AX52</f>
        <v>0</v>
      </c>
      <c r="AY14" s="70">
        <f>'Costs Calc'!AY52</f>
        <v>0</v>
      </c>
      <c r="AZ14" s="70">
        <f>'Costs Calc'!AZ52</f>
        <v>0</v>
      </c>
      <c r="BA14" s="70">
        <f>'Costs Calc'!BA52</f>
        <v>0</v>
      </c>
      <c r="BB14" s="49"/>
    </row>
    <row r="15" spans="1:54" x14ac:dyDescent="0.35">
      <c r="E15" s="49" t="str">
        <f>'Costs Calc'!E53</f>
        <v>Change in R&amp;R Costs</v>
      </c>
      <c r="F15" s="49" t="str">
        <f>'Costs Calc'!F53</f>
        <v>negative = increase in R&amp;R costs; positive = decrease in R&amp;R costs</v>
      </c>
      <c r="G15" s="198" t="str">
        <f>'Costs Calc'!G53</f>
        <v>2024$</v>
      </c>
      <c r="H15" s="305">
        <f t="shared" si="2"/>
        <v>3911634.4809814231</v>
      </c>
      <c r="I15" s="70">
        <f>'Costs Calc'!I53</f>
        <v>0</v>
      </c>
      <c r="J15" s="70">
        <f>'Costs Calc'!J53</f>
        <v>0</v>
      </c>
      <c r="K15" s="70">
        <f>'Costs Calc'!K53</f>
        <v>0</v>
      </c>
      <c r="L15" s="70">
        <f>'Costs Calc'!L53</f>
        <v>1955817.2404907115</v>
      </c>
      <c r="M15" s="70">
        <f>'Costs Calc'!M53</f>
        <v>0</v>
      </c>
      <c r="N15" s="70">
        <f>'Costs Calc'!N53</f>
        <v>0</v>
      </c>
      <c r="O15" s="70">
        <f>'Costs Calc'!O53</f>
        <v>0</v>
      </c>
      <c r="P15" s="70">
        <f>'Costs Calc'!P53</f>
        <v>0</v>
      </c>
      <c r="Q15" s="70">
        <f>'Costs Calc'!Q53</f>
        <v>0</v>
      </c>
      <c r="R15" s="70">
        <f>'Costs Calc'!R53</f>
        <v>0</v>
      </c>
      <c r="S15" s="70">
        <f>'Costs Calc'!S53</f>
        <v>0</v>
      </c>
      <c r="T15" s="70">
        <f>'Costs Calc'!T53</f>
        <v>1955817.2404907115</v>
      </c>
      <c r="U15" s="70">
        <f>'Costs Calc'!U53</f>
        <v>0</v>
      </c>
      <c r="V15" s="70">
        <f>'Costs Calc'!V53</f>
        <v>0</v>
      </c>
      <c r="W15" s="70">
        <f>'Costs Calc'!W53</f>
        <v>0</v>
      </c>
      <c r="X15" s="70">
        <f>'Costs Calc'!X53</f>
        <v>0</v>
      </c>
      <c r="Y15" s="70">
        <f>'Costs Calc'!Y53</f>
        <v>0</v>
      </c>
      <c r="Z15" s="70">
        <f>'Costs Calc'!Z53</f>
        <v>0</v>
      </c>
      <c r="AA15" s="70">
        <f>'Costs Calc'!AA53</f>
        <v>0</v>
      </c>
      <c r="AB15" s="70">
        <f>'Costs Calc'!AB53</f>
        <v>0</v>
      </c>
      <c r="AC15" s="70">
        <f>'Costs Calc'!AC53</f>
        <v>0</v>
      </c>
      <c r="AD15" s="70">
        <f>'Costs Calc'!AD53</f>
        <v>0</v>
      </c>
      <c r="AE15" s="70">
        <f>'Costs Calc'!AE53</f>
        <v>0</v>
      </c>
      <c r="AF15" s="70">
        <f>'Costs Calc'!AF53</f>
        <v>0</v>
      </c>
      <c r="AG15" s="70">
        <f>'Costs Calc'!AG53</f>
        <v>0</v>
      </c>
      <c r="AH15" s="70">
        <f>'Costs Calc'!AH53</f>
        <v>0</v>
      </c>
      <c r="AI15" s="70">
        <f>'Costs Calc'!AI53</f>
        <v>0</v>
      </c>
      <c r="AJ15" s="70">
        <f>'Costs Calc'!AJ53</f>
        <v>0</v>
      </c>
      <c r="AK15" s="70">
        <f>'Costs Calc'!AK53</f>
        <v>0</v>
      </c>
      <c r="AL15" s="70">
        <f>'Costs Calc'!AL53</f>
        <v>0</v>
      </c>
      <c r="AM15" s="70">
        <f>'Costs Calc'!AM53</f>
        <v>0</v>
      </c>
      <c r="AN15" s="70">
        <f>'Costs Calc'!AN53</f>
        <v>0</v>
      </c>
      <c r="AO15" s="70">
        <f>'Costs Calc'!AO53</f>
        <v>0</v>
      </c>
      <c r="AP15" s="70">
        <f>'Costs Calc'!AP53</f>
        <v>0</v>
      </c>
      <c r="AQ15" s="70">
        <f>'Costs Calc'!AQ53</f>
        <v>0</v>
      </c>
      <c r="AR15" s="70">
        <f>'Costs Calc'!AR53</f>
        <v>0</v>
      </c>
      <c r="AS15" s="70">
        <f>'Costs Calc'!AS53</f>
        <v>0</v>
      </c>
      <c r="AT15" s="70">
        <f>'Costs Calc'!AT53</f>
        <v>0</v>
      </c>
      <c r="AU15" s="70">
        <f>'Costs Calc'!AU53</f>
        <v>0</v>
      </c>
      <c r="AV15" s="70">
        <f>'Costs Calc'!AV53</f>
        <v>0</v>
      </c>
      <c r="AW15" s="70">
        <f>'Costs Calc'!AW53</f>
        <v>0</v>
      </c>
      <c r="AX15" s="70">
        <f>'Costs Calc'!AX53</f>
        <v>0</v>
      </c>
      <c r="AY15" s="70">
        <f>'Costs Calc'!AY53</f>
        <v>0</v>
      </c>
      <c r="AZ15" s="70">
        <f>'Costs Calc'!AZ53</f>
        <v>0</v>
      </c>
      <c r="BA15" s="70">
        <f>'Costs Calc'!BA53</f>
        <v>0</v>
      </c>
      <c r="BB15" s="49"/>
    </row>
    <row r="16" spans="1:54" x14ac:dyDescent="0.35">
      <c r="E16" s="49" t="str">
        <f>'Costs Calc'!E50</f>
        <v>Capital Costs (above No Build)</v>
      </c>
      <c r="F16" s="49" t="str">
        <f>'Costs Calc'!F50</f>
        <v>Calculation</v>
      </c>
      <c r="G16" s="198" t="str">
        <f>'Costs Calc'!G50</f>
        <v>2024$</v>
      </c>
      <c r="H16" s="305">
        <f t="shared" si="2"/>
        <v>36879588.856528126</v>
      </c>
      <c r="I16" s="70">
        <f>'Costs Calc'!I50</f>
        <v>327709.29052218742</v>
      </c>
      <c r="J16" s="70">
        <f>'Costs Calc'!J50</f>
        <v>377521.10268155992</v>
      </c>
      <c r="K16" s="70">
        <f>'Costs Calc'!K50</f>
        <v>362420.25857429748</v>
      </c>
      <c r="L16" s="70">
        <f>'Costs Calc'!L50</f>
        <v>348481.01785990136</v>
      </c>
      <c r="M16" s="70">
        <f>'Costs Calc'!M50</f>
        <v>27530128.673067532</v>
      </c>
      <c r="N16" s="70">
        <f>'Costs Calc'!N50</f>
        <v>7933328.5138226459</v>
      </c>
      <c r="O16" s="70">
        <f>'Costs Calc'!O50</f>
        <v>0</v>
      </c>
      <c r="P16" s="70">
        <f>'Costs Calc'!P50</f>
        <v>0</v>
      </c>
      <c r="Q16" s="70">
        <f>'Costs Calc'!Q50</f>
        <v>0</v>
      </c>
      <c r="R16" s="70">
        <f>'Costs Calc'!R50</f>
        <v>0</v>
      </c>
      <c r="S16" s="70">
        <f>'Costs Calc'!S50</f>
        <v>0</v>
      </c>
      <c r="T16" s="70">
        <f>'Costs Calc'!T50</f>
        <v>0</v>
      </c>
      <c r="U16" s="70">
        <f>'Costs Calc'!U50</f>
        <v>0</v>
      </c>
      <c r="V16" s="70">
        <f>'Costs Calc'!V50</f>
        <v>0</v>
      </c>
      <c r="W16" s="70">
        <f>'Costs Calc'!W50</f>
        <v>0</v>
      </c>
      <c r="X16" s="70">
        <f>'Costs Calc'!X50</f>
        <v>0</v>
      </c>
      <c r="Y16" s="70">
        <f>'Costs Calc'!Y50</f>
        <v>0</v>
      </c>
      <c r="Z16" s="70">
        <f>'Costs Calc'!Z50</f>
        <v>0</v>
      </c>
      <c r="AA16" s="70">
        <f>'Costs Calc'!AA50</f>
        <v>0</v>
      </c>
      <c r="AB16" s="70">
        <f>'Costs Calc'!AB50</f>
        <v>0</v>
      </c>
      <c r="AC16" s="70">
        <f>'Costs Calc'!AC50</f>
        <v>0</v>
      </c>
      <c r="AD16" s="70">
        <f>'Costs Calc'!AD50</f>
        <v>0</v>
      </c>
      <c r="AE16" s="70">
        <f>'Costs Calc'!AE50</f>
        <v>0</v>
      </c>
      <c r="AF16" s="70">
        <f>'Costs Calc'!AF50</f>
        <v>0</v>
      </c>
      <c r="AG16" s="70">
        <f>'Costs Calc'!AG50</f>
        <v>0</v>
      </c>
      <c r="AH16" s="70">
        <f>'Costs Calc'!AH50</f>
        <v>0</v>
      </c>
      <c r="AI16" s="70">
        <f>'Costs Calc'!AI50</f>
        <v>0</v>
      </c>
      <c r="AJ16" s="70">
        <f>'Costs Calc'!AJ50</f>
        <v>0</v>
      </c>
      <c r="AK16" s="70">
        <f>'Costs Calc'!AK50</f>
        <v>0</v>
      </c>
      <c r="AL16" s="70">
        <f>'Costs Calc'!AL50</f>
        <v>0</v>
      </c>
      <c r="AM16" s="70">
        <f>'Costs Calc'!AM50</f>
        <v>0</v>
      </c>
      <c r="AN16" s="70">
        <f>'Costs Calc'!AN50</f>
        <v>0</v>
      </c>
      <c r="AO16" s="70">
        <f>'Costs Calc'!AO50</f>
        <v>0</v>
      </c>
      <c r="AP16" s="70">
        <f>'Costs Calc'!AP50</f>
        <v>0</v>
      </c>
      <c r="AQ16" s="70">
        <f>'Costs Calc'!AQ50</f>
        <v>0</v>
      </c>
      <c r="AR16" s="70">
        <f>'Costs Calc'!AR50</f>
        <v>0</v>
      </c>
      <c r="AS16" s="70">
        <f>'Costs Calc'!AS50</f>
        <v>0</v>
      </c>
      <c r="AT16" s="70">
        <f>'Costs Calc'!AT50</f>
        <v>0</v>
      </c>
      <c r="AU16" s="70">
        <f>'Costs Calc'!AU50</f>
        <v>0</v>
      </c>
      <c r="AV16" s="70">
        <f>'Costs Calc'!AV50</f>
        <v>0</v>
      </c>
      <c r="AW16" s="70">
        <f>'Costs Calc'!AW50</f>
        <v>0</v>
      </c>
      <c r="AX16" s="70">
        <f>'Costs Calc'!AX50</f>
        <v>0</v>
      </c>
      <c r="AY16" s="70">
        <f>'Costs Calc'!AY50</f>
        <v>0</v>
      </c>
      <c r="AZ16" s="70">
        <f>'Costs Calc'!AZ50</f>
        <v>0</v>
      </c>
      <c r="BA16" s="70">
        <f>'Costs Calc'!BA50</f>
        <v>0</v>
      </c>
      <c r="BB16" s="49"/>
    </row>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sheetData>
  <conditionalFormatting sqref="AL10:BA12">
    <cfRule type="expression" dxfId="0" priority="1">
      <formula>#REF!=1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99FF"/>
  </sheetPr>
  <dimension ref="A1:BB96"/>
  <sheetViews>
    <sheetView zoomScale="90" zoomScaleNormal="90" workbookViewId="0">
      <pane xSplit="8" ySplit="7" topLeftCell="I8" activePane="bottomRight" state="frozen"/>
      <selection activeCell="I10" sqref="I10"/>
      <selection pane="topRight" activeCell="I10" sqref="I10"/>
      <selection pane="bottomLeft" activeCell="I10" sqref="I10"/>
      <selection pane="bottomRight" activeCell="A10" sqref="A10:XFD11"/>
    </sheetView>
  </sheetViews>
  <sheetFormatPr defaultColWidth="0" defaultRowHeight="15" customHeight="1" zeroHeight="1" x14ac:dyDescent="0.35"/>
  <cols>
    <col min="1" max="4" width="1.453125" style="4" customWidth="1"/>
    <col min="5" max="5" width="40.453125" style="4" customWidth="1"/>
    <col min="6" max="6" width="12.453125" style="4" customWidth="1"/>
    <col min="7" max="7" width="20.453125" style="4" customWidth="1"/>
    <col min="8" max="8" width="4.453125" style="4" customWidth="1"/>
    <col min="9" max="9" width="13.81640625" style="4" customWidth="1"/>
    <col min="10" max="10" width="14.1796875" style="4" customWidth="1"/>
    <col min="11" max="35" width="11.453125" style="4" customWidth="1"/>
    <col min="36" max="36" width="19.453125" style="4" customWidth="1"/>
    <col min="37" max="53" width="11.453125" style="4" customWidth="1"/>
    <col min="54" max="54" width="5.453125" style="4" customWidth="1"/>
    <col min="55" max="16384" width="9.1796875" hidden="1"/>
  </cols>
  <sheetData>
    <row r="1" spans="1:54" ht="15" customHeight="1" x14ac:dyDescent="0.35">
      <c r="A1" s="371" t="s">
        <v>907</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84"/>
    </row>
    <row r="2" spans="1:54" ht="5.25" customHeight="1" x14ac:dyDescent="0.35"/>
    <row r="3" spans="1:54" ht="14.5" x14ac:dyDescent="0.35">
      <c r="E3" s="180" t="s">
        <v>908</v>
      </c>
    </row>
    <row r="4" spans="1:54" ht="14.5" x14ac:dyDescent="0.35">
      <c r="E4" s="178" t="str">
        <f>'Guide for Reviewers'!B3</f>
        <v>I-35 McClain County</v>
      </c>
    </row>
    <row r="5" spans="1:54" ht="14.5" x14ac:dyDescent="0.35">
      <c r="E5" s="178" t="str">
        <f>'Guide for Reviewers'!B4</f>
        <v>Oklahoma Department of Transportation</v>
      </c>
      <c r="G5" s="99" t="s">
        <v>575</v>
      </c>
      <c r="H5" s="99"/>
      <c r="I5" s="555">
        <f>StockValueC!$H$12</f>
        <v>2023</v>
      </c>
      <c r="J5" s="1">
        <f>I5+1</f>
        <v>2024</v>
      </c>
      <c r="K5" s="1">
        <f t="shared" ref="K5:BA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f t="shared" si="0"/>
        <v>2066</v>
      </c>
      <c r="BA5" s="1">
        <f t="shared" si="0"/>
        <v>2067</v>
      </c>
    </row>
    <row r="6" spans="1:54" ht="15" customHeight="1" x14ac:dyDescent="0.35">
      <c r="E6" s="49" t="str">
        <f>StockValueC!E13</f>
        <v>Base Year (for valuation 2020 = 2020$s)</v>
      </c>
      <c r="F6" s="49">
        <f>StockValueC!H13</f>
        <v>2024</v>
      </c>
    </row>
    <row r="7" spans="1:54" ht="14.5" x14ac:dyDescent="0.35">
      <c r="E7" s="1" t="s">
        <v>92</v>
      </c>
      <c r="F7" s="1" t="s">
        <v>823</v>
      </c>
      <c r="G7" s="100" t="s">
        <v>93</v>
      </c>
      <c r="H7" s="100"/>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row>
    <row r="8" spans="1:54" ht="14.5" x14ac:dyDescent="0.35">
      <c r="A8" s="53"/>
      <c r="B8" s="53"/>
      <c r="C8" s="53"/>
      <c r="D8" s="53"/>
      <c r="E8" s="4" t="str">
        <f>'Summarized Quantified Calcs'!E8</f>
        <v>Travel Time Savings - Auto</v>
      </c>
      <c r="G8" s="17" t="str">
        <f>Values!$F$6&amp;"$ per hour"</f>
        <v>2024$ per hour</v>
      </c>
      <c r="H8" s="17"/>
      <c r="I8" s="132">
        <f>StockValueC!$H$56</f>
        <v>21.8</v>
      </c>
      <c r="J8" s="132">
        <f>StockValueC!$H$56</f>
        <v>21.8</v>
      </c>
      <c r="K8" s="132">
        <f>StockValueC!$H$56</f>
        <v>21.8</v>
      </c>
      <c r="L8" s="132">
        <f>StockValueC!$H$56</f>
        <v>21.8</v>
      </c>
      <c r="M8" s="132">
        <f>StockValueC!$H$56</f>
        <v>21.8</v>
      </c>
      <c r="N8" s="132">
        <f>StockValueC!$H$56</f>
        <v>21.8</v>
      </c>
      <c r="O8" s="132">
        <f>StockValueC!$H$56</f>
        <v>21.8</v>
      </c>
      <c r="P8" s="132">
        <f>StockValueC!$H$56</f>
        <v>21.8</v>
      </c>
      <c r="Q8" s="132">
        <f>StockValueC!$H$56</f>
        <v>21.8</v>
      </c>
      <c r="R8" s="132">
        <f>StockValueC!$H$56</f>
        <v>21.8</v>
      </c>
      <c r="S8" s="132">
        <f>StockValueC!$H$56</f>
        <v>21.8</v>
      </c>
      <c r="T8" s="132">
        <f>StockValueC!$H$56</f>
        <v>21.8</v>
      </c>
      <c r="U8" s="132">
        <f>StockValueC!$H$56</f>
        <v>21.8</v>
      </c>
      <c r="V8" s="132">
        <f>StockValueC!$H$56</f>
        <v>21.8</v>
      </c>
      <c r="W8" s="132">
        <f>StockValueC!$H$56</f>
        <v>21.8</v>
      </c>
      <c r="X8" s="132">
        <f>StockValueC!$H$56</f>
        <v>21.8</v>
      </c>
      <c r="Y8" s="132">
        <f>StockValueC!$H$56</f>
        <v>21.8</v>
      </c>
      <c r="Z8" s="132">
        <f>StockValueC!$H$56</f>
        <v>21.8</v>
      </c>
      <c r="AA8" s="132">
        <f>StockValueC!$H$56</f>
        <v>21.8</v>
      </c>
      <c r="AB8" s="132">
        <f>StockValueC!$H$56</f>
        <v>21.8</v>
      </c>
      <c r="AC8" s="132">
        <f>StockValueC!$H$56</f>
        <v>21.8</v>
      </c>
      <c r="AD8" s="132">
        <f>StockValueC!$H$56</f>
        <v>21.8</v>
      </c>
      <c r="AE8" s="132">
        <f>StockValueC!$H$56</f>
        <v>21.8</v>
      </c>
      <c r="AF8" s="132">
        <f>StockValueC!$H$56</f>
        <v>21.8</v>
      </c>
      <c r="AG8" s="132">
        <f>StockValueC!$H$56</f>
        <v>21.8</v>
      </c>
      <c r="AH8" s="132">
        <f>StockValueC!$H$56</f>
        <v>21.8</v>
      </c>
      <c r="AI8" s="132">
        <f>StockValueC!$H$56</f>
        <v>21.8</v>
      </c>
      <c r="AJ8" s="132">
        <f>StockValueC!$H$56</f>
        <v>21.8</v>
      </c>
      <c r="AK8" s="132">
        <f>StockValueC!$H$56</f>
        <v>21.8</v>
      </c>
      <c r="AL8" s="132">
        <f>StockValueC!$H$56</f>
        <v>21.8</v>
      </c>
      <c r="AM8" s="132">
        <f>StockValueC!$H$56</f>
        <v>21.8</v>
      </c>
      <c r="AN8" s="132">
        <f>StockValueC!$H$56</f>
        <v>21.8</v>
      </c>
      <c r="AO8" s="132">
        <f>StockValueC!$H$56</f>
        <v>21.8</v>
      </c>
      <c r="AP8" s="132">
        <f>StockValueC!$H$56</f>
        <v>21.8</v>
      </c>
      <c r="AQ8" s="132">
        <f>StockValueC!$H$56</f>
        <v>21.8</v>
      </c>
      <c r="AR8" s="132">
        <f>StockValueC!$H$56</f>
        <v>21.8</v>
      </c>
      <c r="AS8" s="132">
        <f>StockValueC!$H$56</f>
        <v>21.8</v>
      </c>
      <c r="AT8" s="132">
        <f>StockValueC!$H$56</f>
        <v>21.8</v>
      </c>
      <c r="AU8" s="132">
        <f>StockValueC!$H$56</f>
        <v>21.8</v>
      </c>
      <c r="AV8" s="132">
        <f>StockValueC!$H$56</f>
        <v>21.8</v>
      </c>
      <c r="AW8" s="132">
        <f>StockValueC!$H$56</f>
        <v>21.8</v>
      </c>
      <c r="AX8" s="132">
        <f>StockValueC!$H$56</f>
        <v>21.8</v>
      </c>
      <c r="AY8" s="132">
        <f>StockValueC!$H$56</f>
        <v>21.8</v>
      </c>
      <c r="AZ8" s="132">
        <f>StockValueC!$H$56</f>
        <v>21.8</v>
      </c>
      <c r="BA8" s="132">
        <f>StockValueC!$H$56</f>
        <v>21.8</v>
      </c>
    </row>
    <row r="9" spans="1:54" ht="14.5" x14ac:dyDescent="0.35">
      <c r="E9" s="4" t="str">
        <f>'Summarized Quantified Calcs'!E9</f>
        <v>Travel Time Savings - Truck</v>
      </c>
      <c r="G9" s="17" t="str">
        <f>Values!$F$6&amp;"$ per hour"</f>
        <v>2024$ per hour</v>
      </c>
      <c r="H9" s="17"/>
      <c r="I9" s="132">
        <f>StockValueC!$H$81</f>
        <v>37.200000000000003</v>
      </c>
      <c r="J9" s="132">
        <f>StockValueC!$H$81</f>
        <v>37.200000000000003</v>
      </c>
      <c r="K9" s="132">
        <f>StockValueC!$H$81</f>
        <v>37.200000000000003</v>
      </c>
      <c r="L9" s="132">
        <f>StockValueC!$H$81</f>
        <v>37.200000000000003</v>
      </c>
      <c r="M9" s="132">
        <f>StockValueC!$H$81</f>
        <v>37.200000000000003</v>
      </c>
      <c r="N9" s="132">
        <f>StockValueC!$H$81</f>
        <v>37.200000000000003</v>
      </c>
      <c r="O9" s="132">
        <f>StockValueC!$H$81</f>
        <v>37.200000000000003</v>
      </c>
      <c r="P9" s="132">
        <f>StockValueC!$H$81</f>
        <v>37.200000000000003</v>
      </c>
      <c r="Q9" s="132">
        <f>StockValueC!$H$81</f>
        <v>37.200000000000003</v>
      </c>
      <c r="R9" s="132">
        <f>StockValueC!$H$81</f>
        <v>37.200000000000003</v>
      </c>
      <c r="S9" s="132">
        <f>StockValueC!$H$81</f>
        <v>37.200000000000003</v>
      </c>
      <c r="T9" s="132">
        <f>StockValueC!$H$81</f>
        <v>37.200000000000003</v>
      </c>
      <c r="U9" s="132">
        <f>StockValueC!$H$81</f>
        <v>37.200000000000003</v>
      </c>
      <c r="V9" s="132">
        <f>StockValueC!$H$81</f>
        <v>37.200000000000003</v>
      </c>
      <c r="W9" s="132">
        <f>StockValueC!$H$81</f>
        <v>37.200000000000003</v>
      </c>
      <c r="X9" s="132">
        <f>StockValueC!$H$81</f>
        <v>37.200000000000003</v>
      </c>
      <c r="Y9" s="132">
        <f>StockValueC!$H$81</f>
        <v>37.200000000000003</v>
      </c>
      <c r="Z9" s="132">
        <f>StockValueC!$H$81</f>
        <v>37.200000000000003</v>
      </c>
      <c r="AA9" s="132">
        <f>StockValueC!$H$81</f>
        <v>37.200000000000003</v>
      </c>
      <c r="AB9" s="132">
        <f>StockValueC!$H$81</f>
        <v>37.200000000000003</v>
      </c>
      <c r="AC9" s="132">
        <f>StockValueC!$H$81</f>
        <v>37.200000000000003</v>
      </c>
      <c r="AD9" s="132">
        <f>StockValueC!$H$81</f>
        <v>37.200000000000003</v>
      </c>
      <c r="AE9" s="132">
        <f>StockValueC!$H$81</f>
        <v>37.200000000000003</v>
      </c>
      <c r="AF9" s="132">
        <f>StockValueC!$H$81</f>
        <v>37.200000000000003</v>
      </c>
      <c r="AG9" s="132">
        <f>StockValueC!$H$81</f>
        <v>37.200000000000003</v>
      </c>
      <c r="AH9" s="132">
        <f>StockValueC!$H$81</f>
        <v>37.200000000000003</v>
      </c>
      <c r="AI9" s="132">
        <f>StockValueC!$H$81</f>
        <v>37.200000000000003</v>
      </c>
      <c r="AJ9" s="132">
        <f>StockValueC!$H$81</f>
        <v>37.200000000000003</v>
      </c>
      <c r="AK9" s="132">
        <f>StockValueC!$H$81</f>
        <v>37.200000000000003</v>
      </c>
      <c r="AL9" s="132">
        <f>StockValueC!$H$81</f>
        <v>37.200000000000003</v>
      </c>
      <c r="AM9" s="132">
        <f>StockValueC!$H$81</f>
        <v>37.200000000000003</v>
      </c>
      <c r="AN9" s="132">
        <f>StockValueC!$H$81</f>
        <v>37.200000000000003</v>
      </c>
      <c r="AO9" s="132">
        <f>StockValueC!$H$81</f>
        <v>37.200000000000003</v>
      </c>
      <c r="AP9" s="132">
        <f>StockValueC!$H$81</f>
        <v>37.200000000000003</v>
      </c>
      <c r="AQ9" s="132">
        <f>StockValueC!$H$81</f>
        <v>37.200000000000003</v>
      </c>
      <c r="AR9" s="132">
        <f>StockValueC!$H$81</f>
        <v>37.200000000000003</v>
      </c>
      <c r="AS9" s="132">
        <f>StockValueC!$H$81</f>
        <v>37.200000000000003</v>
      </c>
      <c r="AT9" s="132">
        <f>StockValueC!$H$81</f>
        <v>37.200000000000003</v>
      </c>
      <c r="AU9" s="132">
        <f>StockValueC!$H$81</f>
        <v>37.200000000000003</v>
      </c>
      <c r="AV9" s="132">
        <f>StockValueC!$H$81</f>
        <v>37.200000000000003</v>
      </c>
      <c r="AW9" s="132">
        <f>StockValueC!$H$81</f>
        <v>37.200000000000003</v>
      </c>
      <c r="AX9" s="132">
        <f>StockValueC!$H$81</f>
        <v>37.200000000000003</v>
      </c>
      <c r="AY9" s="132">
        <f>StockValueC!$H$81</f>
        <v>37.200000000000003</v>
      </c>
      <c r="AZ9" s="132">
        <f>StockValueC!$H$81</f>
        <v>37.200000000000003</v>
      </c>
      <c r="BA9" s="132">
        <f>StockValueC!$H$81</f>
        <v>37.200000000000003</v>
      </c>
    </row>
    <row r="10" spans="1:54" ht="14.5" x14ac:dyDescent="0.35">
      <c r="E10" s="4" t="str">
        <f>'Summarized Quantified Calcs'!E10</f>
        <v>Safety - PDO</v>
      </c>
      <c r="G10" s="4" t="str">
        <f>Values!$F$6&amp;"$ per Injury"</f>
        <v>2024$ per Injury</v>
      </c>
      <c r="I10" s="4">
        <f>StockValueC!$H$882</f>
        <v>9700</v>
      </c>
      <c r="J10" s="4">
        <f>StockValueC!$H$882</f>
        <v>9700</v>
      </c>
      <c r="K10" s="4">
        <f>StockValueC!$H$882</f>
        <v>9700</v>
      </c>
      <c r="L10" s="4">
        <f>StockValueC!$H$882</f>
        <v>9700</v>
      </c>
      <c r="M10" s="4">
        <f>StockValueC!$H$882</f>
        <v>9700</v>
      </c>
      <c r="N10" s="4">
        <f>StockValueC!$H$882</f>
        <v>9700</v>
      </c>
      <c r="O10" s="4">
        <f>StockValueC!$H$882</f>
        <v>9700</v>
      </c>
      <c r="P10" s="4">
        <f>StockValueC!$H$882</f>
        <v>9700</v>
      </c>
      <c r="Q10" s="4">
        <f>StockValueC!$H$882</f>
        <v>9700</v>
      </c>
      <c r="R10" s="4">
        <f>StockValueC!$H$882</f>
        <v>9700</v>
      </c>
      <c r="S10" s="4">
        <f>StockValueC!$H$882</f>
        <v>9700</v>
      </c>
      <c r="T10" s="4">
        <f>StockValueC!$H$882</f>
        <v>9700</v>
      </c>
      <c r="U10" s="4">
        <f>StockValueC!$H$882</f>
        <v>9700</v>
      </c>
      <c r="V10" s="4">
        <f>StockValueC!$H$882</f>
        <v>9700</v>
      </c>
      <c r="W10" s="4">
        <f>StockValueC!$H$882</f>
        <v>9700</v>
      </c>
      <c r="X10" s="4">
        <f>StockValueC!$H$882</f>
        <v>9700</v>
      </c>
      <c r="Y10" s="4">
        <f>StockValueC!$H$882</f>
        <v>9700</v>
      </c>
      <c r="Z10" s="4">
        <f>StockValueC!$H$882</f>
        <v>9700</v>
      </c>
      <c r="AA10" s="4">
        <f>StockValueC!$H$882</f>
        <v>9700</v>
      </c>
      <c r="AB10" s="4">
        <f>StockValueC!$H$882</f>
        <v>9700</v>
      </c>
      <c r="AC10" s="4">
        <f>StockValueC!$H$882</f>
        <v>9700</v>
      </c>
      <c r="AD10" s="4">
        <f>StockValueC!$H$882</f>
        <v>9700</v>
      </c>
      <c r="AE10" s="4">
        <f>StockValueC!$H$882</f>
        <v>9700</v>
      </c>
      <c r="AF10" s="4">
        <f>StockValueC!$H$882</f>
        <v>9700</v>
      </c>
      <c r="AG10" s="4">
        <f>StockValueC!$H$882</f>
        <v>9700</v>
      </c>
      <c r="AH10" s="4">
        <f>StockValueC!$H$882</f>
        <v>9700</v>
      </c>
      <c r="AI10" s="4">
        <f>StockValueC!$H$882</f>
        <v>9700</v>
      </c>
      <c r="AJ10" s="4">
        <f>StockValueC!$H$882</f>
        <v>9700</v>
      </c>
      <c r="AK10" s="4">
        <f>StockValueC!$H$882</f>
        <v>9700</v>
      </c>
      <c r="AL10" s="4">
        <f>StockValueC!$H$882</f>
        <v>9700</v>
      </c>
      <c r="AM10" s="4">
        <f>StockValueC!$H$882</f>
        <v>9700</v>
      </c>
      <c r="AN10" s="4">
        <f>StockValueC!$H$882</f>
        <v>9700</v>
      </c>
      <c r="AO10" s="4">
        <f>StockValueC!$H$882</f>
        <v>9700</v>
      </c>
      <c r="AP10" s="4">
        <f>StockValueC!$H$882</f>
        <v>9700</v>
      </c>
      <c r="AQ10" s="4">
        <f>StockValueC!$H$882</f>
        <v>9700</v>
      </c>
      <c r="AR10" s="4">
        <f>StockValueC!$H$882</f>
        <v>9700</v>
      </c>
      <c r="AS10" s="4">
        <f>StockValueC!$H$882</f>
        <v>9700</v>
      </c>
      <c r="AT10" s="4">
        <f>StockValueC!$H$882</f>
        <v>9700</v>
      </c>
      <c r="AU10" s="4">
        <f>StockValueC!$H$882</f>
        <v>9700</v>
      </c>
      <c r="AV10" s="4">
        <f>StockValueC!$H$882</f>
        <v>9700</v>
      </c>
      <c r="AW10" s="4">
        <f>StockValueC!$H$882</f>
        <v>9700</v>
      </c>
      <c r="AX10" s="4">
        <f>StockValueC!$H$882</f>
        <v>9700</v>
      </c>
      <c r="AY10" s="4">
        <f>StockValueC!$H$882</f>
        <v>9700</v>
      </c>
      <c r="AZ10" s="4">
        <f>StockValueC!$H$882</f>
        <v>9700</v>
      </c>
      <c r="BA10" s="4">
        <f>StockValueC!$H$882</f>
        <v>9700</v>
      </c>
    </row>
    <row r="11" spans="1:54" ht="14.5" x14ac:dyDescent="0.35">
      <c r="E11" s="4" t="str">
        <f>'Summarized Quantified Calcs'!E11</f>
        <v>Safety - Injured</v>
      </c>
      <c r="G11" s="4" t="str">
        <f>Values!$F$6&amp;"$ per Injury"</f>
        <v>2024$ per Injury</v>
      </c>
      <c r="I11" s="151">
        <f>StockValueC!$H$877</f>
        <v>342400</v>
      </c>
      <c r="J11" s="151">
        <f>StockValueC!$H$877</f>
        <v>342400</v>
      </c>
      <c r="K11" s="151">
        <f>StockValueC!$H$877</f>
        <v>342400</v>
      </c>
      <c r="L11" s="151">
        <f>StockValueC!$H$877</f>
        <v>342400</v>
      </c>
      <c r="M11" s="151">
        <f>StockValueC!$H$877</f>
        <v>342400</v>
      </c>
      <c r="N11" s="151">
        <f>StockValueC!$H$877</f>
        <v>342400</v>
      </c>
      <c r="O11" s="151">
        <f>StockValueC!$H$877</f>
        <v>342400</v>
      </c>
      <c r="P11" s="151">
        <f>StockValueC!$H$877</f>
        <v>342400</v>
      </c>
      <c r="Q11" s="151">
        <f>StockValueC!$H$877</f>
        <v>342400</v>
      </c>
      <c r="R11" s="151">
        <f>StockValueC!$H$877</f>
        <v>342400</v>
      </c>
      <c r="S11" s="151">
        <f>StockValueC!$H$877</f>
        <v>342400</v>
      </c>
      <c r="T11" s="151">
        <f>StockValueC!$H$877</f>
        <v>342400</v>
      </c>
      <c r="U11" s="151">
        <f>StockValueC!$H$877</f>
        <v>342400</v>
      </c>
      <c r="V11" s="151">
        <f>StockValueC!$H$877</f>
        <v>342400</v>
      </c>
      <c r="W11" s="151">
        <f>StockValueC!$H$877</f>
        <v>342400</v>
      </c>
      <c r="X11" s="151">
        <f>StockValueC!$H$877</f>
        <v>342400</v>
      </c>
      <c r="Y11" s="151">
        <f>StockValueC!$H$877</f>
        <v>342400</v>
      </c>
      <c r="Z11" s="151">
        <f>StockValueC!$H$877</f>
        <v>342400</v>
      </c>
      <c r="AA11" s="151">
        <f>StockValueC!$H$877</f>
        <v>342400</v>
      </c>
      <c r="AB11" s="151">
        <f>StockValueC!$H$877</f>
        <v>342400</v>
      </c>
      <c r="AC11" s="151">
        <f>StockValueC!$H$877</f>
        <v>342400</v>
      </c>
      <c r="AD11" s="151">
        <f>StockValueC!$H$877</f>
        <v>342400</v>
      </c>
      <c r="AE11" s="151">
        <f>StockValueC!$H$877</f>
        <v>342400</v>
      </c>
      <c r="AF11" s="151">
        <f>StockValueC!$H$877</f>
        <v>342400</v>
      </c>
      <c r="AG11" s="151">
        <f>StockValueC!$H$877</f>
        <v>342400</v>
      </c>
      <c r="AH11" s="151">
        <f>StockValueC!$H$877</f>
        <v>342400</v>
      </c>
      <c r="AI11" s="151">
        <f>StockValueC!$H$877</f>
        <v>342400</v>
      </c>
      <c r="AJ11" s="151">
        <f>StockValueC!$H$877</f>
        <v>342400</v>
      </c>
      <c r="AK11" s="151">
        <f>StockValueC!$H$877</f>
        <v>342400</v>
      </c>
      <c r="AL11" s="151">
        <f>StockValueC!$H$877</f>
        <v>342400</v>
      </c>
      <c r="AM11" s="151">
        <f>StockValueC!$H$877</f>
        <v>342400</v>
      </c>
      <c r="AN11" s="151">
        <f>StockValueC!$H$877</f>
        <v>342400</v>
      </c>
      <c r="AO11" s="151">
        <f>StockValueC!$H$877</f>
        <v>342400</v>
      </c>
      <c r="AP11" s="151">
        <f>StockValueC!$H$877</f>
        <v>342400</v>
      </c>
      <c r="AQ11" s="151">
        <f>StockValueC!$H$877</f>
        <v>342400</v>
      </c>
      <c r="AR11" s="151">
        <f>StockValueC!$H$877</f>
        <v>342400</v>
      </c>
      <c r="AS11" s="151">
        <f>StockValueC!$H$877</f>
        <v>342400</v>
      </c>
      <c r="AT11" s="151">
        <f>StockValueC!$H$877</f>
        <v>342400</v>
      </c>
      <c r="AU11" s="151">
        <f>StockValueC!$H$877</f>
        <v>342400</v>
      </c>
      <c r="AV11" s="151">
        <f>StockValueC!$H$877</f>
        <v>342400</v>
      </c>
      <c r="AW11" s="151">
        <f>StockValueC!$H$877</f>
        <v>342400</v>
      </c>
      <c r="AX11" s="151">
        <f>StockValueC!$H$877</f>
        <v>342400</v>
      </c>
      <c r="AY11" s="151">
        <f>StockValueC!$H$877</f>
        <v>342400</v>
      </c>
      <c r="AZ11" s="151">
        <f>StockValueC!$H$877</f>
        <v>342400</v>
      </c>
      <c r="BA11" s="151">
        <f>StockValueC!$H$877</f>
        <v>342400</v>
      </c>
    </row>
    <row r="12" spans="1:54" ht="14.5" x14ac:dyDescent="0.35">
      <c r="E12" s="4" t="str">
        <f>'Summarized Quantified Calcs'!E12</f>
        <v>Safety - Fatal</v>
      </c>
      <c r="G12" s="4" t="str">
        <f>Values!$F$6&amp;"$ per Injury"</f>
        <v>2024$ per Injury</v>
      </c>
      <c r="I12" s="151">
        <f>StockValueC!$H$878</f>
        <v>15366900</v>
      </c>
      <c r="J12" s="151">
        <f>StockValueC!$H$878</f>
        <v>15366900</v>
      </c>
      <c r="K12" s="151">
        <f>StockValueC!$H$878</f>
        <v>15366900</v>
      </c>
      <c r="L12" s="151">
        <f>StockValueC!$H$878</f>
        <v>15366900</v>
      </c>
      <c r="M12" s="151">
        <f>StockValueC!$H$878</f>
        <v>15366900</v>
      </c>
      <c r="N12" s="151">
        <f>StockValueC!$H$878</f>
        <v>15366900</v>
      </c>
      <c r="O12" s="151">
        <f>StockValueC!$H$878</f>
        <v>15366900</v>
      </c>
      <c r="P12" s="151">
        <f>StockValueC!$H$878</f>
        <v>15366900</v>
      </c>
      <c r="Q12" s="151">
        <f>StockValueC!$H$878</f>
        <v>15366900</v>
      </c>
      <c r="R12" s="151">
        <f>StockValueC!$H$878</f>
        <v>15366900</v>
      </c>
      <c r="S12" s="151">
        <f>StockValueC!$H$878</f>
        <v>15366900</v>
      </c>
      <c r="T12" s="151">
        <f>StockValueC!$H$878</f>
        <v>15366900</v>
      </c>
      <c r="U12" s="151">
        <f>StockValueC!$H$878</f>
        <v>15366900</v>
      </c>
      <c r="V12" s="151">
        <f>StockValueC!$H$878</f>
        <v>15366900</v>
      </c>
      <c r="W12" s="151">
        <f>StockValueC!$H$878</f>
        <v>15366900</v>
      </c>
      <c r="X12" s="151">
        <f>StockValueC!$H$878</f>
        <v>15366900</v>
      </c>
      <c r="Y12" s="151">
        <f>StockValueC!$H$878</f>
        <v>15366900</v>
      </c>
      <c r="Z12" s="151">
        <f>StockValueC!$H$878</f>
        <v>15366900</v>
      </c>
      <c r="AA12" s="151">
        <f>StockValueC!$H$878</f>
        <v>15366900</v>
      </c>
      <c r="AB12" s="151">
        <f>StockValueC!$H$878</f>
        <v>15366900</v>
      </c>
      <c r="AC12" s="151">
        <f>StockValueC!$H$878</f>
        <v>15366900</v>
      </c>
      <c r="AD12" s="151">
        <f>StockValueC!$H$878</f>
        <v>15366900</v>
      </c>
      <c r="AE12" s="151">
        <f>StockValueC!$H$878</f>
        <v>15366900</v>
      </c>
      <c r="AF12" s="151">
        <f>StockValueC!$H$878</f>
        <v>15366900</v>
      </c>
      <c r="AG12" s="151">
        <f>StockValueC!$H$878</f>
        <v>15366900</v>
      </c>
      <c r="AH12" s="151">
        <f>StockValueC!$H$878</f>
        <v>15366900</v>
      </c>
      <c r="AI12" s="151">
        <f>StockValueC!$H$878</f>
        <v>15366900</v>
      </c>
      <c r="AJ12" s="151">
        <f>StockValueC!$H$878</f>
        <v>15366900</v>
      </c>
      <c r="AK12" s="151">
        <f>StockValueC!$H$878</f>
        <v>15366900</v>
      </c>
      <c r="AL12" s="151">
        <f>StockValueC!$H$878</f>
        <v>15366900</v>
      </c>
      <c r="AM12" s="151">
        <f>StockValueC!$H$878</f>
        <v>15366900</v>
      </c>
      <c r="AN12" s="151">
        <f>StockValueC!$H$878</f>
        <v>15366900</v>
      </c>
      <c r="AO12" s="151">
        <f>StockValueC!$H$878</f>
        <v>15366900</v>
      </c>
      <c r="AP12" s="151">
        <f>StockValueC!$H$878</f>
        <v>15366900</v>
      </c>
      <c r="AQ12" s="151">
        <f>StockValueC!$H$878</f>
        <v>15366900</v>
      </c>
      <c r="AR12" s="151">
        <f>StockValueC!$H$878</f>
        <v>15366900</v>
      </c>
      <c r="AS12" s="151">
        <f>StockValueC!$H$878</f>
        <v>15366900</v>
      </c>
      <c r="AT12" s="151">
        <f>StockValueC!$H$878</f>
        <v>15366900</v>
      </c>
      <c r="AU12" s="151">
        <f>StockValueC!$H$878</f>
        <v>15366900</v>
      </c>
      <c r="AV12" s="151">
        <f>StockValueC!$H$878</f>
        <v>15366900</v>
      </c>
      <c r="AW12" s="151">
        <f>StockValueC!$H$878</f>
        <v>15366900</v>
      </c>
      <c r="AX12" s="151">
        <f>StockValueC!$H$878</f>
        <v>15366900</v>
      </c>
      <c r="AY12" s="151">
        <f>StockValueC!$H$878</f>
        <v>15366900</v>
      </c>
      <c r="AZ12" s="151">
        <f>StockValueC!$H$878</f>
        <v>15366900</v>
      </c>
      <c r="BA12" s="151">
        <f>StockValueC!$H$878</f>
        <v>15366900</v>
      </c>
    </row>
    <row r="13" spans="1:54" ht="14.5" x14ac:dyDescent="0.35">
      <c r="E13" s="4" t="str">
        <f>'Summarized Quantified Calcs'!E13</f>
        <v>Residual Value</v>
      </c>
      <c r="G13" s="4" t="s">
        <v>131</v>
      </c>
      <c r="I13" s="131">
        <f>1</f>
        <v>1</v>
      </c>
      <c r="J13" s="131">
        <f>1</f>
        <v>1</v>
      </c>
      <c r="K13" s="131">
        <f>1</f>
        <v>1</v>
      </c>
      <c r="L13" s="131">
        <f>1</f>
        <v>1</v>
      </c>
      <c r="M13" s="131">
        <f>1</f>
        <v>1</v>
      </c>
      <c r="N13" s="131">
        <f>1</f>
        <v>1</v>
      </c>
      <c r="O13" s="131">
        <f>1</f>
        <v>1</v>
      </c>
      <c r="P13" s="131">
        <f>1</f>
        <v>1</v>
      </c>
      <c r="Q13" s="131">
        <f>1</f>
        <v>1</v>
      </c>
      <c r="R13" s="131">
        <f>1</f>
        <v>1</v>
      </c>
      <c r="S13" s="131">
        <f>1</f>
        <v>1</v>
      </c>
      <c r="T13" s="131">
        <f>1</f>
        <v>1</v>
      </c>
      <c r="U13" s="131">
        <f>1</f>
        <v>1</v>
      </c>
      <c r="V13" s="131">
        <f>1</f>
        <v>1</v>
      </c>
      <c r="W13" s="131">
        <f>1</f>
        <v>1</v>
      </c>
      <c r="X13" s="131">
        <f>1</f>
        <v>1</v>
      </c>
      <c r="Y13" s="131">
        <f>1</f>
        <v>1</v>
      </c>
      <c r="Z13" s="131">
        <f>1</f>
        <v>1</v>
      </c>
      <c r="AA13" s="131">
        <f>1</f>
        <v>1</v>
      </c>
      <c r="AB13" s="131">
        <f>1</f>
        <v>1</v>
      </c>
      <c r="AC13" s="131">
        <f>1</f>
        <v>1</v>
      </c>
      <c r="AD13" s="131">
        <f>1</f>
        <v>1</v>
      </c>
      <c r="AE13" s="131">
        <f>1</f>
        <v>1</v>
      </c>
      <c r="AF13" s="131">
        <f>1</f>
        <v>1</v>
      </c>
      <c r="AG13" s="131">
        <f>1</f>
        <v>1</v>
      </c>
      <c r="AH13" s="131">
        <f>1</f>
        <v>1</v>
      </c>
      <c r="AI13" s="131">
        <f>1</f>
        <v>1</v>
      </c>
      <c r="AJ13" s="131">
        <f>1</f>
        <v>1</v>
      </c>
      <c r="AK13" s="131">
        <f>1</f>
        <v>1</v>
      </c>
      <c r="AL13" s="131">
        <f>1</f>
        <v>1</v>
      </c>
      <c r="AM13" s="131">
        <f>1</f>
        <v>1</v>
      </c>
      <c r="AN13" s="131">
        <f>1</f>
        <v>1</v>
      </c>
      <c r="AO13" s="131">
        <f>1</f>
        <v>1</v>
      </c>
      <c r="AP13" s="131">
        <f>1</f>
        <v>1</v>
      </c>
      <c r="AQ13" s="131">
        <f>1</f>
        <v>1</v>
      </c>
      <c r="AR13" s="131">
        <f>1</f>
        <v>1</v>
      </c>
      <c r="AS13" s="131">
        <f>1</f>
        <v>1</v>
      </c>
      <c r="AT13" s="131">
        <f>1</f>
        <v>1</v>
      </c>
      <c r="AU13" s="131">
        <f>1</f>
        <v>1</v>
      </c>
      <c r="AV13" s="131">
        <f>1</f>
        <v>1</v>
      </c>
      <c r="AW13" s="131">
        <f>1</f>
        <v>1</v>
      </c>
      <c r="AX13" s="131">
        <f>1</f>
        <v>1</v>
      </c>
      <c r="AY13" s="131">
        <f>1</f>
        <v>1</v>
      </c>
      <c r="AZ13" s="131">
        <f>1</f>
        <v>1</v>
      </c>
      <c r="BA13" s="131">
        <f>1</f>
        <v>1</v>
      </c>
    </row>
    <row r="14" spans="1:54" ht="14.5" x14ac:dyDescent="0.35">
      <c r="E14" s="4" t="str">
        <f>'Summarized Quantified Calcs'!E14</f>
        <v>Change in O&amp;M Costs</v>
      </c>
      <c r="G14" s="4" t="s">
        <v>131</v>
      </c>
      <c r="I14" s="131">
        <f>1</f>
        <v>1</v>
      </c>
      <c r="J14" s="131">
        <f>1</f>
        <v>1</v>
      </c>
      <c r="K14" s="131">
        <f>1</f>
        <v>1</v>
      </c>
      <c r="L14" s="131">
        <f>1</f>
        <v>1</v>
      </c>
      <c r="M14" s="131">
        <f>1</f>
        <v>1</v>
      </c>
      <c r="N14" s="131">
        <f>1</f>
        <v>1</v>
      </c>
      <c r="O14" s="131">
        <f>1</f>
        <v>1</v>
      </c>
      <c r="P14" s="131">
        <f>1</f>
        <v>1</v>
      </c>
      <c r="Q14" s="131">
        <f>1</f>
        <v>1</v>
      </c>
      <c r="R14" s="131">
        <f>1</f>
        <v>1</v>
      </c>
      <c r="S14" s="131">
        <f>1</f>
        <v>1</v>
      </c>
      <c r="T14" s="131">
        <f>1</f>
        <v>1</v>
      </c>
      <c r="U14" s="131">
        <f>1</f>
        <v>1</v>
      </c>
      <c r="V14" s="131">
        <f>1</f>
        <v>1</v>
      </c>
      <c r="W14" s="131">
        <f>1</f>
        <v>1</v>
      </c>
      <c r="X14" s="131">
        <f>1</f>
        <v>1</v>
      </c>
      <c r="Y14" s="131">
        <f>1</f>
        <v>1</v>
      </c>
      <c r="Z14" s="131">
        <f>1</f>
        <v>1</v>
      </c>
      <c r="AA14" s="131">
        <f>1</f>
        <v>1</v>
      </c>
      <c r="AB14" s="131">
        <f>1</f>
        <v>1</v>
      </c>
      <c r="AC14" s="131">
        <f>1</f>
        <v>1</v>
      </c>
      <c r="AD14" s="131">
        <f>1</f>
        <v>1</v>
      </c>
      <c r="AE14" s="131">
        <f>1</f>
        <v>1</v>
      </c>
      <c r="AF14" s="131">
        <f>1</f>
        <v>1</v>
      </c>
      <c r="AG14" s="131">
        <f>1</f>
        <v>1</v>
      </c>
      <c r="AH14" s="131">
        <f>1</f>
        <v>1</v>
      </c>
      <c r="AI14" s="131">
        <f>1</f>
        <v>1</v>
      </c>
      <c r="AJ14" s="131">
        <f>1</f>
        <v>1</v>
      </c>
      <c r="AK14" s="131">
        <f>1</f>
        <v>1</v>
      </c>
      <c r="AL14" s="131">
        <f>1</f>
        <v>1</v>
      </c>
      <c r="AM14" s="131">
        <f>1</f>
        <v>1</v>
      </c>
      <c r="AN14" s="131">
        <f>1</f>
        <v>1</v>
      </c>
      <c r="AO14" s="131">
        <f>1</f>
        <v>1</v>
      </c>
      <c r="AP14" s="131">
        <f>1</f>
        <v>1</v>
      </c>
      <c r="AQ14" s="131">
        <f>1</f>
        <v>1</v>
      </c>
      <c r="AR14" s="131">
        <f>1</f>
        <v>1</v>
      </c>
      <c r="AS14" s="131">
        <f>1</f>
        <v>1</v>
      </c>
      <c r="AT14" s="131">
        <f>1</f>
        <v>1</v>
      </c>
      <c r="AU14" s="131">
        <f>1</f>
        <v>1</v>
      </c>
      <c r="AV14" s="131">
        <f>1</f>
        <v>1</v>
      </c>
      <c r="AW14" s="131">
        <f>1</f>
        <v>1</v>
      </c>
      <c r="AX14" s="131">
        <f>1</f>
        <v>1</v>
      </c>
      <c r="AY14" s="131">
        <f>1</f>
        <v>1</v>
      </c>
      <c r="AZ14" s="131">
        <f>1</f>
        <v>1</v>
      </c>
      <c r="BA14" s="131">
        <f>1</f>
        <v>1</v>
      </c>
    </row>
    <row r="15" spans="1:54" ht="14.5" x14ac:dyDescent="0.35">
      <c r="E15" s="4" t="str">
        <f>'Summarized Quantified Calcs'!E15</f>
        <v>Change in R&amp;R Costs</v>
      </c>
      <c r="G15" s="4" t="s">
        <v>131</v>
      </c>
      <c r="I15" s="131">
        <f>1</f>
        <v>1</v>
      </c>
      <c r="J15" s="131">
        <f>1</f>
        <v>1</v>
      </c>
      <c r="K15" s="131">
        <f>1</f>
        <v>1</v>
      </c>
      <c r="L15" s="131">
        <f>1</f>
        <v>1</v>
      </c>
      <c r="M15" s="131">
        <f>1</f>
        <v>1</v>
      </c>
      <c r="N15" s="131">
        <f>1</f>
        <v>1</v>
      </c>
      <c r="O15" s="131">
        <f>1</f>
        <v>1</v>
      </c>
      <c r="P15" s="131">
        <f>1</f>
        <v>1</v>
      </c>
      <c r="Q15" s="131">
        <f>1</f>
        <v>1</v>
      </c>
      <c r="R15" s="131">
        <f>1</f>
        <v>1</v>
      </c>
      <c r="S15" s="131">
        <f>1</f>
        <v>1</v>
      </c>
      <c r="T15" s="131">
        <f>1</f>
        <v>1</v>
      </c>
      <c r="U15" s="131">
        <f>1</f>
        <v>1</v>
      </c>
      <c r="V15" s="131">
        <f>1</f>
        <v>1</v>
      </c>
      <c r="W15" s="131">
        <f>1</f>
        <v>1</v>
      </c>
      <c r="X15" s="131">
        <f>1</f>
        <v>1</v>
      </c>
      <c r="Y15" s="131">
        <f>1</f>
        <v>1</v>
      </c>
      <c r="Z15" s="131">
        <f>1</f>
        <v>1</v>
      </c>
      <c r="AA15" s="131">
        <f>1</f>
        <v>1</v>
      </c>
      <c r="AB15" s="131">
        <f>1</f>
        <v>1</v>
      </c>
      <c r="AC15" s="131">
        <f>1</f>
        <v>1</v>
      </c>
      <c r="AD15" s="131">
        <f>1</f>
        <v>1</v>
      </c>
      <c r="AE15" s="131">
        <f>1</f>
        <v>1</v>
      </c>
      <c r="AF15" s="131">
        <f>1</f>
        <v>1</v>
      </c>
      <c r="AG15" s="131">
        <f>1</f>
        <v>1</v>
      </c>
      <c r="AH15" s="131">
        <f>1</f>
        <v>1</v>
      </c>
      <c r="AI15" s="131">
        <f>1</f>
        <v>1</v>
      </c>
      <c r="AJ15" s="131">
        <f>1</f>
        <v>1</v>
      </c>
      <c r="AK15" s="131">
        <f>1</f>
        <v>1</v>
      </c>
      <c r="AL15" s="131">
        <f>1</f>
        <v>1</v>
      </c>
      <c r="AM15" s="131">
        <f>1</f>
        <v>1</v>
      </c>
      <c r="AN15" s="131">
        <f>1</f>
        <v>1</v>
      </c>
      <c r="AO15" s="131">
        <f>1</f>
        <v>1</v>
      </c>
      <c r="AP15" s="131">
        <f>1</f>
        <v>1</v>
      </c>
      <c r="AQ15" s="131">
        <f>1</f>
        <v>1</v>
      </c>
      <c r="AR15" s="131">
        <f>1</f>
        <v>1</v>
      </c>
      <c r="AS15" s="131">
        <f>1</f>
        <v>1</v>
      </c>
      <c r="AT15" s="131">
        <f>1</f>
        <v>1</v>
      </c>
      <c r="AU15" s="131">
        <f>1</f>
        <v>1</v>
      </c>
      <c r="AV15" s="131">
        <f>1</f>
        <v>1</v>
      </c>
      <c r="AW15" s="131">
        <f>1</f>
        <v>1</v>
      </c>
      <c r="AX15" s="131">
        <f>1</f>
        <v>1</v>
      </c>
      <c r="AY15" s="131">
        <f>1</f>
        <v>1</v>
      </c>
      <c r="AZ15" s="131">
        <f>1</f>
        <v>1</v>
      </c>
      <c r="BA15" s="131">
        <f>1</f>
        <v>1</v>
      </c>
    </row>
    <row r="16" spans="1:54" ht="14.5" x14ac:dyDescent="0.35">
      <c r="E16" s="4" t="str">
        <f>'Summarized Quantified Calcs'!E16</f>
        <v>Capital Costs (above No Build)</v>
      </c>
      <c r="G16" s="4" t="s">
        <v>131</v>
      </c>
      <c r="I16" s="131">
        <f>1</f>
        <v>1</v>
      </c>
      <c r="J16" s="131">
        <f>1</f>
        <v>1</v>
      </c>
      <c r="K16" s="131">
        <f>1</f>
        <v>1</v>
      </c>
      <c r="L16" s="131">
        <f>1</f>
        <v>1</v>
      </c>
      <c r="M16" s="131">
        <f>1</f>
        <v>1</v>
      </c>
      <c r="N16" s="131">
        <f>1</f>
        <v>1</v>
      </c>
      <c r="O16" s="131">
        <f>1</f>
        <v>1</v>
      </c>
      <c r="P16" s="131">
        <f>1</f>
        <v>1</v>
      </c>
      <c r="Q16" s="131">
        <f>1</f>
        <v>1</v>
      </c>
      <c r="R16" s="131">
        <f>1</f>
        <v>1</v>
      </c>
      <c r="S16" s="131">
        <f>1</f>
        <v>1</v>
      </c>
      <c r="T16" s="131">
        <f>1</f>
        <v>1</v>
      </c>
      <c r="U16" s="131">
        <f>1</f>
        <v>1</v>
      </c>
      <c r="V16" s="131">
        <f>1</f>
        <v>1</v>
      </c>
      <c r="W16" s="131">
        <f>1</f>
        <v>1</v>
      </c>
      <c r="X16" s="131">
        <f>1</f>
        <v>1</v>
      </c>
      <c r="Y16" s="131">
        <f>1</f>
        <v>1</v>
      </c>
      <c r="Z16" s="131">
        <f>1</f>
        <v>1</v>
      </c>
      <c r="AA16" s="131">
        <f>1</f>
        <v>1</v>
      </c>
      <c r="AB16" s="131">
        <f>1</f>
        <v>1</v>
      </c>
      <c r="AC16" s="131">
        <f>1</f>
        <v>1</v>
      </c>
      <c r="AD16" s="131">
        <f>1</f>
        <v>1</v>
      </c>
      <c r="AE16" s="131">
        <f>1</f>
        <v>1</v>
      </c>
      <c r="AF16" s="131">
        <f>1</f>
        <v>1</v>
      </c>
      <c r="AG16" s="131">
        <f>1</f>
        <v>1</v>
      </c>
      <c r="AH16" s="131">
        <f>1</f>
        <v>1</v>
      </c>
      <c r="AI16" s="131">
        <f>1</f>
        <v>1</v>
      </c>
      <c r="AJ16" s="131">
        <f>1</f>
        <v>1</v>
      </c>
      <c r="AK16" s="131">
        <f>1</f>
        <v>1</v>
      </c>
      <c r="AL16" s="131">
        <f>1</f>
        <v>1</v>
      </c>
      <c r="AM16" s="131">
        <f>1</f>
        <v>1</v>
      </c>
      <c r="AN16" s="131">
        <f>1</f>
        <v>1</v>
      </c>
      <c r="AO16" s="131">
        <f>1</f>
        <v>1</v>
      </c>
      <c r="AP16" s="131">
        <f>1</f>
        <v>1</v>
      </c>
      <c r="AQ16" s="131">
        <f>1</f>
        <v>1</v>
      </c>
      <c r="AR16" s="131">
        <f>1</f>
        <v>1</v>
      </c>
      <c r="AS16" s="131">
        <f>1</f>
        <v>1</v>
      </c>
      <c r="AT16" s="131">
        <f>1</f>
        <v>1</v>
      </c>
      <c r="AU16" s="131">
        <f>1</f>
        <v>1</v>
      </c>
      <c r="AV16" s="131">
        <f>1</f>
        <v>1</v>
      </c>
      <c r="AW16" s="131">
        <f>1</f>
        <v>1</v>
      </c>
      <c r="AX16" s="131">
        <f>1</f>
        <v>1</v>
      </c>
      <c r="AY16" s="131">
        <f>1</f>
        <v>1</v>
      </c>
      <c r="AZ16" s="131">
        <f>1</f>
        <v>1</v>
      </c>
      <c r="BA16" s="131">
        <f>1</f>
        <v>1</v>
      </c>
    </row>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sheetData>
  <pageMargins left="0.7" right="0.7" top="0.75" bottom="0.75" header="0.3" footer="0.3"/>
  <ignoredErrors>
    <ignoredError sqref="I9:BA9"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99FF"/>
  </sheetPr>
  <dimension ref="A1:BB102"/>
  <sheetViews>
    <sheetView zoomScale="90" zoomScaleNormal="90" workbookViewId="0">
      <pane xSplit="8" ySplit="7" topLeftCell="I8" activePane="bottomRight" state="frozen"/>
      <selection activeCell="I10" sqref="I10"/>
      <selection pane="topRight" activeCell="I10" sqref="I10"/>
      <selection pane="bottomLeft" activeCell="I10" sqref="I10"/>
      <selection pane="bottomRight" activeCell="H9" sqref="H9"/>
    </sheetView>
  </sheetViews>
  <sheetFormatPr defaultColWidth="0" defaultRowHeight="15" customHeight="1" zeroHeight="1" x14ac:dyDescent="0.35"/>
  <cols>
    <col min="1" max="4" width="1.453125" style="4" customWidth="1"/>
    <col min="5" max="5" width="40.453125" style="4" customWidth="1"/>
    <col min="6" max="6" width="12.453125" style="4" customWidth="1"/>
    <col min="7" max="8" width="20.54296875" style="4" customWidth="1"/>
    <col min="9" max="53" width="11.453125" style="4" customWidth="1"/>
    <col min="54" max="54" width="5.453125" style="4" customWidth="1"/>
    <col min="55" max="16384" width="9.1796875" hidden="1"/>
  </cols>
  <sheetData>
    <row r="1" spans="1:54" ht="15" customHeight="1" x14ac:dyDescent="0.35">
      <c r="A1" s="371" t="s">
        <v>907</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84"/>
    </row>
    <row r="2" spans="1:54" ht="5.25" customHeight="1" x14ac:dyDescent="0.35"/>
    <row r="3" spans="1:54" ht="14.5" x14ac:dyDescent="0.35">
      <c r="E3" s="180" t="s">
        <v>909</v>
      </c>
    </row>
    <row r="4" spans="1:54" ht="14.5" x14ac:dyDescent="0.35">
      <c r="E4" s="178" t="str">
        <f>'Guide for Reviewers'!B3</f>
        <v>I-35 McClain County</v>
      </c>
    </row>
    <row r="5" spans="1:54" ht="14.5" x14ac:dyDescent="0.35">
      <c r="E5" s="178" t="str">
        <f>'Guide for Reviewers'!B4</f>
        <v>Oklahoma Department of Transportation</v>
      </c>
      <c r="G5" s="99" t="s">
        <v>575</v>
      </c>
      <c r="H5" s="99"/>
      <c r="I5" s="555">
        <f>StockValueC!$H$12</f>
        <v>2023</v>
      </c>
      <c r="J5" s="1">
        <f>I5+1</f>
        <v>2024</v>
      </c>
      <c r="K5" s="1">
        <f t="shared" ref="K5:BA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f t="shared" si="0"/>
        <v>2066</v>
      </c>
      <c r="BA5" s="1">
        <f t="shared" si="0"/>
        <v>2067</v>
      </c>
    </row>
    <row r="6" spans="1:54" ht="14.5" x14ac:dyDescent="0.35">
      <c r="E6" s="49" t="str">
        <f>StockValueC!E13</f>
        <v>Base Year (for valuation 2020 = 2020$s)</v>
      </c>
      <c r="F6" s="49">
        <f>StockValueC!H13</f>
        <v>2024</v>
      </c>
    </row>
    <row r="7" spans="1:54" ht="14.5" x14ac:dyDescent="0.35">
      <c r="E7" s="1" t="s">
        <v>92</v>
      </c>
      <c r="F7" s="1" t="s">
        <v>823</v>
      </c>
      <c r="G7" s="100" t="s">
        <v>93</v>
      </c>
      <c r="H7" s="8" t="s">
        <v>904</v>
      </c>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row>
    <row r="8" spans="1:54" ht="14.5" x14ac:dyDescent="0.35">
      <c r="A8" s="53"/>
      <c r="B8" s="53"/>
      <c r="C8" s="53"/>
      <c r="D8" s="53"/>
      <c r="E8" s="4" t="str">
        <f>Values!E8</f>
        <v>Travel Time Savings - Auto</v>
      </c>
      <c r="G8" s="107" t="str">
        <f>StockValueC!$H$13&amp;"$"</f>
        <v>2024$</v>
      </c>
      <c r="H8" s="305">
        <f>SUM(I8:BA8)</f>
        <v>20674630.265943274</v>
      </c>
      <c r="I8" s="48">
        <f>'Summarized Quantified Calcs'!I8*Values!I8</f>
        <v>0</v>
      </c>
      <c r="J8" s="48">
        <f>'Summarized Quantified Calcs'!J8*Values!J8</f>
        <v>0</v>
      </c>
      <c r="K8" s="48">
        <f>'Summarized Quantified Calcs'!K8*Values!K8</f>
        <v>0</v>
      </c>
      <c r="L8" s="48">
        <f>'Summarized Quantified Calcs'!L8*Values!L8</f>
        <v>0</v>
      </c>
      <c r="M8" s="48">
        <f>'Summarized Quantified Calcs'!M8*Values!M8</f>
        <v>0</v>
      </c>
      <c r="N8" s="48">
        <f>'Summarized Quantified Calcs'!N8*Values!N8</f>
        <v>0</v>
      </c>
      <c r="O8" s="48">
        <f>'Summarized Quantified Calcs'!O8*Values!O8</f>
        <v>429242.24252088094</v>
      </c>
      <c r="P8" s="48">
        <f>'Summarized Quantified Calcs'!P8*Values!P8</f>
        <v>440402.54082642187</v>
      </c>
      <c r="Q8" s="48">
        <f>'Summarized Quantified Calcs'!Q8*Values!Q8</f>
        <v>451853.00688790972</v>
      </c>
      <c r="R8" s="48">
        <f>'Summarized Quantified Calcs'!R8*Values!R8</f>
        <v>463601.18506699463</v>
      </c>
      <c r="S8" s="48">
        <f>'Summarized Quantified Calcs'!S8*Values!S8</f>
        <v>475654.81587873993</v>
      </c>
      <c r="T8" s="48">
        <f>'Summarized Quantified Calcs'!T8*Values!T8</f>
        <v>488021.84109158453</v>
      </c>
      <c r="U8" s="48">
        <f>'Summarized Quantified Calcs'!U8*Values!U8</f>
        <v>500710.40895996609</v>
      </c>
      <c r="V8" s="48">
        <f>'Summarized Quantified Calcs'!V8*Values!V8</f>
        <v>513728.8795929224</v>
      </c>
      <c r="W8" s="48">
        <f>'Summarized Quantified Calcs'!W8*Values!W8</f>
        <v>527085.83046233945</v>
      </c>
      <c r="X8" s="48">
        <f>'Summarized Quantified Calcs'!X8*Values!X8</f>
        <v>540790.06205436424</v>
      </c>
      <c r="Y8" s="48">
        <f>'Summarized Quantified Calcs'!Y8*Values!Y8</f>
        <v>554850.6036677747</v>
      </c>
      <c r="Z8" s="48">
        <f>'Summarized Quantified Calcs'!Z8*Values!Z8</f>
        <v>569276.71936313633</v>
      </c>
      <c r="AA8" s="48">
        <f>'Summarized Quantified Calcs'!AA8*Values!AA8</f>
        <v>584077.91406657756</v>
      </c>
      <c r="AB8" s="48">
        <f>'Summarized Quantified Calcs'!AB8*Values!AB8</f>
        <v>599263.93983230938</v>
      </c>
      <c r="AC8" s="48">
        <f>'Summarized Quantified Calcs'!AC8*Values!AC8</f>
        <v>0</v>
      </c>
      <c r="AD8" s="48">
        <f>'Summarized Quantified Calcs'!AD8*Values!AD8</f>
        <v>2570051.2734800288</v>
      </c>
      <c r="AE8" s="48">
        <f>'Summarized Quantified Calcs'!AE8*Values!AE8</f>
        <v>2636872.6065905122</v>
      </c>
      <c r="AF8" s="48">
        <f>'Summarized Quantified Calcs'!AF8*Values!AF8</f>
        <v>2705431.2943618665</v>
      </c>
      <c r="AG8" s="48">
        <f>'Summarized Quantified Calcs'!AG8*Values!AG8</f>
        <v>2775772.5080152759</v>
      </c>
      <c r="AH8" s="48">
        <f>'Summarized Quantified Calcs'!AH8*Values!AH8</f>
        <v>2847942.5932236696</v>
      </c>
      <c r="AI8" s="48">
        <f>'Summarized Quantified Calcs'!AI8*Values!AI8</f>
        <v>0</v>
      </c>
      <c r="AJ8" s="48">
        <f>'Summarized Quantified Calcs'!AJ8*Values!AJ8</f>
        <v>0</v>
      </c>
      <c r="AK8" s="48">
        <f>'Summarized Quantified Calcs'!AK8*Values!AK8</f>
        <v>0</v>
      </c>
      <c r="AL8" s="48">
        <f>'Summarized Quantified Calcs'!AL8*Values!AL8</f>
        <v>0</v>
      </c>
      <c r="AM8" s="48">
        <f>'Summarized Quantified Calcs'!AM8*Values!AM8</f>
        <v>0</v>
      </c>
      <c r="AN8" s="48">
        <f>'Summarized Quantified Calcs'!AN8*Values!AN8</f>
        <v>0</v>
      </c>
      <c r="AO8" s="48">
        <f>'Summarized Quantified Calcs'!AO8*Values!AO8</f>
        <v>0</v>
      </c>
      <c r="AP8" s="48">
        <f>'Summarized Quantified Calcs'!AP8*Values!AP8</f>
        <v>0</v>
      </c>
      <c r="AQ8" s="48">
        <f>'Summarized Quantified Calcs'!AQ8*Values!AQ8</f>
        <v>0</v>
      </c>
      <c r="AR8" s="48">
        <f>'Summarized Quantified Calcs'!AR8*Values!AR8</f>
        <v>0</v>
      </c>
      <c r="AS8" s="48">
        <f>'Summarized Quantified Calcs'!AS8*Values!AS8</f>
        <v>0</v>
      </c>
      <c r="AT8" s="48">
        <f>'Summarized Quantified Calcs'!AT8*Values!AT8</f>
        <v>0</v>
      </c>
      <c r="AU8" s="48">
        <f>'Summarized Quantified Calcs'!AU8*Values!AU8</f>
        <v>0</v>
      </c>
      <c r="AV8" s="48">
        <f>'Summarized Quantified Calcs'!AV8*Values!AV8</f>
        <v>0</v>
      </c>
      <c r="AW8" s="48">
        <f>'Summarized Quantified Calcs'!AW8*Values!AW8</f>
        <v>0</v>
      </c>
      <c r="AX8" s="48">
        <f>'Summarized Quantified Calcs'!AX8*Values!AX8</f>
        <v>0</v>
      </c>
      <c r="AY8" s="48">
        <f>'Summarized Quantified Calcs'!AY8*Values!AY8</f>
        <v>0</v>
      </c>
      <c r="AZ8" s="48">
        <f>'Summarized Quantified Calcs'!AZ8*Values!AZ8</f>
        <v>0</v>
      </c>
      <c r="BA8" s="48">
        <f>'Summarized Quantified Calcs'!BA8*Values!BA8</f>
        <v>0</v>
      </c>
    </row>
    <row r="9" spans="1:54" ht="14.5" x14ac:dyDescent="0.35">
      <c r="E9" s="4" t="str">
        <f>Values!E9</f>
        <v>Travel Time Savings - Truck</v>
      </c>
      <c r="G9" s="107" t="str">
        <f>StockValueC!$H$13&amp;"$"</f>
        <v>2024$</v>
      </c>
      <c r="H9" s="305">
        <f t="shared" ref="H9:H12" si="1">SUM(I9:BA9)</f>
        <v>8154967.5674127396</v>
      </c>
      <c r="I9" s="48">
        <f>'Summarized Quantified Calcs'!I9*Values!I9</f>
        <v>0</v>
      </c>
      <c r="J9" s="48">
        <f>'Summarized Quantified Calcs'!J9*Values!J9</f>
        <v>0</v>
      </c>
      <c r="K9" s="48">
        <f>'Summarized Quantified Calcs'!K9*Values!K9</f>
        <v>0</v>
      </c>
      <c r="L9" s="48">
        <f>'Summarized Quantified Calcs'!L9*Values!L9</f>
        <v>0</v>
      </c>
      <c r="M9" s="48">
        <f>'Summarized Quantified Calcs'!M9*Values!M9</f>
        <v>0</v>
      </c>
      <c r="N9" s="48">
        <f>'Summarized Quantified Calcs'!N9*Values!N9</f>
        <v>0</v>
      </c>
      <c r="O9" s="48">
        <f>'Summarized Quantified Calcs'!O9*Values!O9</f>
        <v>169311.688832835</v>
      </c>
      <c r="P9" s="48">
        <f>'Summarized Quantified Calcs'!P9*Values!P9</f>
        <v>173713.79274248867</v>
      </c>
      <c r="Q9" s="48">
        <f>'Summarized Quantified Calcs'!Q9*Values!Q9</f>
        <v>178230.35135379212</v>
      </c>
      <c r="R9" s="48">
        <f>'Summarized Quantified Calcs'!R9*Values!R9</f>
        <v>182864.34048899225</v>
      </c>
      <c r="S9" s="48">
        <f>'Summarized Quantified Calcs'!S9*Values!S9</f>
        <v>187618.81334170565</v>
      </c>
      <c r="T9" s="48">
        <f>'Summarized Quantified Calcs'!T9*Values!T9</f>
        <v>192496.9024885899</v>
      </c>
      <c r="U9" s="48">
        <f>'Summarized Quantified Calcs'!U9*Values!U9</f>
        <v>197501.82195329352</v>
      </c>
      <c r="V9" s="48">
        <f>'Summarized Quantified Calcs'!V9*Values!V9</f>
        <v>202636.86932407878</v>
      </c>
      <c r="W9" s="48">
        <f>'Summarized Quantified Calcs'!W9*Values!W9</f>
        <v>207905.42792650344</v>
      </c>
      <c r="X9" s="48">
        <f>'Summarized Quantified Calcs'!X9*Values!X9</f>
        <v>213310.9690525925</v>
      </c>
      <c r="Y9" s="48">
        <f>'Summarized Quantified Calcs'!Y9*Values!Y9</f>
        <v>218857.05424796042</v>
      </c>
      <c r="Z9" s="48">
        <f>'Summarized Quantified Calcs'!Z9*Values!Z9</f>
        <v>224547.33765840871</v>
      </c>
      <c r="AA9" s="48">
        <f>'Summarized Quantified Calcs'!AA9*Values!AA9</f>
        <v>230385.5684375267</v>
      </c>
      <c r="AB9" s="48">
        <f>'Summarized Quantified Calcs'!AB9*Values!AB9</f>
        <v>236375.59321690313</v>
      </c>
      <c r="AC9" s="48">
        <f>'Summarized Quantified Calcs'!AC9*Values!AC9</f>
        <v>0</v>
      </c>
      <c r="AD9" s="48">
        <f>'Summarized Quantified Calcs'!AD9*Values!AD9</f>
        <v>1013739.2791174632</v>
      </c>
      <c r="AE9" s="48">
        <f>'Summarized Quantified Calcs'!AE9*Values!AE9</f>
        <v>1040096.5003745204</v>
      </c>
      <c r="AF9" s="48">
        <f>'Summarized Quantified Calcs'!AF9*Values!AF9</f>
        <v>1067139.0093842554</v>
      </c>
      <c r="AG9" s="48">
        <f>'Summarized Quantified Calcs'!AG9*Values!AG9</f>
        <v>1094884.6236282471</v>
      </c>
      <c r="AH9" s="48">
        <f>'Summarized Quantified Calcs'!AH9*Values!AH9</f>
        <v>1123351.6238425819</v>
      </c>
      <c r="AI9" s="48">
        <f>'Summarized Quantified Calcs'!AI9*Values!AI9</f>
        <v>0</v>
      </c>
      <c r="AJ9" s="48">
        <f>'Summarized Quantified Calcs'!AJ9*Values!AJ9</f>
        <v>0</v>
      </c>
      <c r="AK9" s="48">
        <f>'Summarized Quantified Calcs'!AK9*Values!AK9</f>
        <v>0</v>
      </c>
      <c r="AL9" s="48">
        <f>'Summarized Quantified Calcs'!AL9*Values!AL9</f>
        <v>0</v>
      </c>
      <c r="AM9" s="48">
        <f>'Summarized Quantified Calcs'!AM9*Values!AM9</f>
        <v>0</v>
      </c>
      <c r="AN9" s="48">
        <f>'Summarized Quantified Calcs'!AN9*Values!AN9</f>
        <v>0</v>
      </c>
      <c r="AO9" s="48">
        <f>'Summarized Quantified Calcs'!AO9*Values!AO9</f>
        <v>0</v>
      </c>
      <c r="AP9" s="48">
        <f>'Summarized Quantified Calcs'!AP9*Values!AP9</f>
        <v>0</v>
      </c>
      <c r="AQ9" s="48">
        <f>'Summarized Quantified Calcs'!AQ9*Values!AQ9</f>
        <v>0</v>
      </c>
      <c r="AR9" s="48">
        <f>'Summarized Quantified Calcs'!AR9*Values!AR9</f>
        <v>0</v>
      </c>
      <c r="AS9" s="48">
        <f>'Summarized Quantified Calcs'!AS9*Values!AS9</f>
        <v>0</v>
      </c>
      <c r="AT9" s="48">
        <f>'Summarized Quantified Calcs'!AT9*Values!AT9</f>
        <v>0</v>
      </c>
      <c r="AU9" s="48">
        <f>'Summarized Quantified Calcs'!AU9*Values!AU9</f>
        <v>0</v>
      </c>
      <c r="AV9" s="48">
        <f>'Summarized Quantified Calcs'!AV9*Values!AV9</f>
        <v>0</v>
      </c>
      <c r="AW9" s="48">
        <f>'Summarized Quantified Calcs'!AW9*Values!AW9</f>
        <v>0</v>
      </c>
      <c r="AX9" s="48">
        <f>'Summarized Quantified Calcs'!AX9*Values!AX9</f>
        <v>0</v>
      </c>
      <c r="AY9" s="48">
        <f>'Summarized Quantified Calcs'!AY9*Values!AY9</f>
        <v>0</v>
      </c>
      <c r="AZ9" s="48">
        <f>'Summarized Quantified Calcs'!AZ9*Values!AZ9</f>
        <v>0</v>
      </c>
      <c r="BA9" s="48">
        <f>'Summarized Quantified Calcs'!BA9*Values!BA9</f>
        <v>0</v>
      </c>
    </row>
    <row r="10" spans="1:54" ht="14.5" x14ac:dyDescent="0.35">
      <c r="E10" s="4" t="str">
        <f>Values!E10</f>
        <v>Safety - PDO</v>
      </c>
      <c r="G10" s="107" t="str">
        <f>StockValueC!$H$13&amp;"$"</f>
        <v>2024$</v>
      </c>
      <c r="H10" s="305">
        <f t="shared" si="1"/>
        <v>697857.2009665122</v>
      </c>
      <c r="I10" s="48">
        <f>'Summarized Quantified Calcs'!I10*Values!I10</f>
        <v>0</v>
      </c>
      <c r="J10" s="48">
        <f>'Summarized Quantified Calcs'!J10*Values!J10</f>
        <v>0</v>
      </c>
      <c r="K10" s="48">
        <f>'Summarized Quantified Calcs'!K10*Values!K10</f>
        <v>0</v>
      </c>
      <c r="L10" s="48">
        <f>'Summarized Quantified Calcs'!L10*Values!L10</f>
        <v>0</v>
      </c>
      <c r="M10" s="48">
        <f>'Summarized Quantified Calcs'!M10*Values!M10</f>
        <v>0</v>
      </c>
      <c r="N10" s="48">
        <f>'Summarized Quantified Calcs'!N10*Values!N10</f>
        <v>0</v>
      </c>
      <c r="O10" s="48">
        <f>'Summarized Quantified Calcs'!O10*Values!O10</f>
        <v>34892.860048325601</v>
      </c>
      <c r="P10" s="48">
        <f>'Summarized Quantified Calcs'!P10*Values!P10</f>
        <v>34892.860048325601</v>
      </c>
      <c r="Q10" s="48">
        <f>'Summarized Quantified Calcs'!Q10*Values!Q10</f>
        <v>34892.860048325601</v>
      </c>
      <c r="R10" s="48">
        <f>'Summarized Quantified Calcs'!R10*Values!R10</f>
        <v>34892.860048325601</v>
      </c>
      <c r="S10" s="48">
        <f>'Summarized Quantified Calcs'!S10*Values!S10</f>
        <v>34892.860048325601</v>
      </c>
      <c r="T10" s="48">
        <f>'Summarized Quantified Calcs'!T10*Values!T10</f>
        <v>34892.860048325601</v>
      </c>
      <c r="U10" s="48">
        <f>'Summarized Quantified Calcs'!U10*Values!U10</f>
        <v>34892.860048325601</v>
      </c>
      <c r="V10" s="48">
        <f>'Summarized Quantified Calcs'!V10*Values!V10</f>
        <v>34892.860048325601</v>
      </c>
      <c r="W10" s="48">
        <f>'Summarized Quantified Calcs'!W10*Values!W10</f>
        <v>34892.860048325601</v>
      </c>
      <c r="X10" s="48">
        <f>'Summarized Quantified Calcs'!X10*Values!X10</f>
        <v>34892.860048325601</v>
      </c>
      <c r="Y10" s="48">
        <f>'Summarized Quantified Calcs'!Y10*Values!Y10</f>
        <v>34892.860048325601</v>
      </c>
      <c r="Z10" s="48">
        <f>'Summarized Quantified Calcs'!Z10*Values!Z10</f>
        <v>34892.860048325601</v>
      </c>
      <c r="AA10" s="48">
        <f>'Summarized Quantified Calcs'!AA10*Values!AA10</f>
        <v>34892.860048325601</v>
      </c>
      <c r="AB10" s="48">
        <f>'Summarized Quantified Calcs'!AB10*Values!AB10</f>
        <v>34892.860048325601</v>
      </c>
      <c r="AC10" s="48">
        <f>'Summarized Quantified Calcs'!AC10*Values!AC10</f>
        <v>34892.860048325601</v>
      </c>
      <c r="AD10" s="48">
        <f>'Summarized Quantified Calcs'!AD10*Values!AD10</f>
        <v>34892.860048325601</v>
      </c>
      <c r="AE10" s="48">
        <f>'Summarized Quantified Calcs'!AE10*Values!AE10</f>
        <v>34892.860048325601</v>
      </c>
      <c r="AF10" s="48">
        <f>'Summarized Quantified Calcs'!AF10*Values!AF10</f>
        <v>34892.860048325601</v>
      </c>
      <c r="AG10" s="48">
        <f>'Summarized Quantified Calcs'!AG10*Values!AG10</f>
        <v>34892.860048325601</v>
      </c>
      <c r="AH10" s="48">
        <f>'Summarized Quantified Calcs'!AH10*Values!AH10</f>
        <v>34892.860048325601</v>
      </c>
      <c r="AI10" s="48">
        <f>'Summarized Quantified Calcs'!AI10*Values!AI10</f>
        <v>0</v>
      </c>
      <c r="AJ10" s="48">
        <f>'Summarized Quantified Calcs'!AJ10*Values!AJ10</f>
        <v>0</v>
      </c>
      <c r="AK10" s="48">
        <f>'Summarized Quantified Calcs'!AK10*Values!AK10</f>
        <v>0</v>
      </c>
      <c r="AL10" s="48">
        <f>'Summarized Quantified Calcs'!AL10*Values!AL10</f>
        <v>0</v>
      </c>
      <c r="AM10" s="48">
        <f>'Summarized Quantified Calcs'!AM10*Values!AM10</f>
        <v>0</v>
      </c>
      <c r="AN10" s="48">
        <f>'Summarized Quantified Calcs'!AN10*Values!AN10</f>
        <v>0</v>
      </c>
      <c r="AO10" s="48">
        <f>'Summarized Quantified Calcs'!AO10*Values!AO10</f>
        <v>0</v>
      </c>
      <c r="AP10" s="48">
        <f>'Summarized Quantified Calcs'!AP10*Values!AP10</f>
        <v>0</v>
      </c>
      <c r="AQ10" s="48">
        <f>'Summarized Quantified Calcs'!AQ10*Values!AQ10</f>
        <v>0</v>
      </c>
      <c r="AR10" s="48">
        <f>'Summarized Quantified Calcs'!AR10*Values!AR10</f>
        <v>0</v>
      </c>
      <c r="AS10" s="48">
        <f>'Summarized Quantified Calcs'!AS10*Values!AS10</f>
        <v>0</v>
      </c>
      <c r="AT10" s="48">
        <f>'Summarized Quantified Calcs'!AT10*Values!AT10</f>
        <v>0</v>
      </c>
      <c r="AU10" s="48">
        <f>'Summarized Quantified Calcs'!AU10*Values!AU10</f>
        <v>0</v>
      </c>
      <c r="AV10" s="48">
        <f>'Summarized Quantified Calcs'!AV10*Values!AV10</f>
        <v>0</v>
      </c>
      <c r="AW10" s="48">
        <f>'Summarized Quantified Calcs'!AW10*Values!AW10</f>
        <v>0</v>
      </c>
      <c r="AX10" s="48">
        <f>'Summarized Quantified Calcs'!AX10*Values!AX10</f>
        <v>0</v>
      </c>
      <c r="AY10" s="48">
        <f>'Summarized Quantified Calcs'!AY10*Values!AY10</f>
        <v>0</v>
      </c>
      <c r="AZ10" s="48">
        <f>'Summarized Quantified Calcs'!AZ10*Values!AZ10</f>
        <v>0</v>
      </c>
      <c r="BA10" s="48">
        <f>'Summarized Quantified Calcs'!BA10*Values!BA10</f>
        <v>0</v>
      </c>
    </row>
    <row r="11" spans="1:54" ht="14.5" x14ac:dyDescent="0.35">
      <c r="E11" s="4" t="str">
        <f>Values!E11</f>
        <v>Safety - Injured</v>
      </c>
      <c r="G11" s="107" t="str">
        <f>StockValueC!$H$13&amp;"$"</f>
        <v>2024$</v>
      </c>
      <c r="H11" s="305">
        <f t="shared" si="1"/>
        <v>7268942.878142315</v>
      </c>
      <c r="I11" s="48">
        <f>'Summarized Quantified Calcs'!I11*Values!I11</f>
        <v>0</v>
      </c>
      <c r="J11" s="48">
        <f>'Summarized Quantified Calcs'!J11*Values!J11</f>
        <v>0</v>
      </c>
      <c r="K11" s="48">
        <f>'Summarized Quantified Calcs'!K11*Values!K11</f>
        <v>0</v>
      </c>
      <c r="L11" s="48">
        <f>'Summarized Quantified Calcs'!L11*Values!L11</f>
        <v>0</v>
      </c>
      <c r="M11" s="48">
        <f>'Summarized Quantified Calcs'!M11*Values!M11</f>
        <v>0</v>
      </c>
      <c r="N11" s="48">
        <f>'Summarized Quantified Calcs'!N11*Values!N11</f>
        <v>0</v>
      </c>
      <c r="O11" s="48">
        <f>'Summarized Quantified Calcs'!O11*Values!O11</f>
        <v>363447.14390711574</v>
      </c>
      <c r="P11" s="48">
        <f>'Summarized Quantified Calcs'!P11*Values!P11</f>
        <v>363447.14390711574</v>
      </c>
      <c r="Q11" s="48">
        <f>'Summarized Quantified Calcs'!Q11*Values!Q11</f>
        <v>363447.14390711574</v>
      </c>
      <c r="R11" s="48">
        <f>'Summarized Quantified Calcs'!R11*Values!R11</f>
        <v>363447.14390711574</v>
      </c>
      <c r="S11" s="48">
        <f>'Summarized Quantified Calcs'!S11*Values!S11</f>
        <v>363447.14390711574</v>
      </c>
      <c r="T11" s="48">
        <f>'Summarized Quantified Calcs'!T11*Values!T11</f>
        <v>363447.14390711574</v>
      </c>
      <c r="U11" s="48">
        <f>'Summarized Quantified Calcs'!U11*Values!U11</f>
        <v>363447.14390711574</v>
      </c>
      <c r="V11" s="48">
        <f>'Summarized Quantified Calcs'!V11*Values!V11</f>
        <v>363447.14390711574</v>
      </c>
      <c r="W11" s="48">
        <f>'Summarized Quantified Calcs'!W11*Values!W11</f>
        <v>363447.14390711574</v>
      </c>
      <c r="X11" s="48">
        <f>'Summarized Quantified Calcs'!X11*Values!X11</f>
        <v>363447.14390711574</v>
      </c>
      <c r="Y11" s="48">
        <f>'Summarized Quantified Calcs'!Y11*Values!Y11</f>
        <v>363447.14390711574</v>
      </c>
      <c r="Z11" s="48">
        <f>'Summarized Quantified Calcs'!Z11*Values!Z11</f>
        <v>363447.14390711574</v>
      </c>
      <c r="AA11" s="48">
        <f>'Summarized Quantified Calcs'!AA11*Values!AA11</f>
        <v>363447.14390711574</v>
      </c>
      <c r="AB11" s="48">
        <f>'Summarized Quantified Calcs'!AB11*Values!AB11</f>
        <v>363447.14390711574</v>
      </c>
      <c r="AC11" s="48">
        <f>'Summarized Quantified Calcs'!AC11*Values!AC11</f>
        <v>363447.14390711574</v>
      </c>
      <c r="AD11" s="48">
        <f>'Summarized Quantified Calcs'!AD11*Values!AD11</f>
        <v>363447.14390711574</v>
      </c>
      <c r="AE11" s="48">
        <f>'Summarized Quantified Calcs'!AE11*Values!AE11</f>
        <v>363447.14390711574</v>
      </c>
      <c r="AF11" s="48">
        <f>'Summarized Quantified Calcs'!AF11*Values!AF11</f>
        <v>363447.14390711574</v>
      </c>
      <c r="AG11" s="48">
        <f>'Summarized Quantified Calcs'!AG11*Values!AG11</f>
        <v>363447.14390711574</v>
      </c>
      <c r="AH11" s="48">
        <f>'Summarized Quantified Calcs'!AH11*Values!AH11</f>
        <v>363447.14390711574</v>
      </c>
      <c r="AI11" s="48">
        <f>'Summarized Quantified Calcs'!AI11*Values!AI11</f>
        <v>0</v>
      </c>
      <c r="AJ11" s="48">
        <f>'Summarized Quantified Calcs'!AJ11*Values!AJ11</f>
        <v>0</v>
      </c>
      <c r="AK11" s="48">
        <f>'Summarized Quantified Calcs'!AK11*Values!AK11</f>
        <v>0</v>
      </c>
      <c r="AL11" s="48">
        <f>'Summarized Quantified Calcs'!AL11*Values!AL11</f>
        <v>0</v>
      </c>
      <c r="AM11" s="48">
        <f>'Summarized Quantified Calcs'!AM11*Values!AM11</f>
        <v>0</v>
      </c>
      <c r="AN11" s="48">
        <f>'Summarized Quantified Calcs'!AN11*Values!AN11</f>
        <v>0</v>
      </c>
      <c r="AO11" s="48">
        <f>'Summarized Quantified Calcs'!AO11*Values!AO11</f>
        <v>0</v>
      </c>
      <c r="AP11" s="48">
        <f>'Summarized Quantified Calcs'!AP11*Values!AP11</f>
        <v>0</v>
      </c>
      <c r="AQ11" s="48">
        <f>'Summarized Quantified Calcs'!AQ11*Values!AQ11</f>
        <v>0</v>
      </c>
      <c r="AR11" s="48">
        <f>'Summarized Quantified Calcs'!AR11*Values!AR11</f>
        <v>0</v>
      </c>
      <c r="AS11" s="48">
        <f>'Summarized Quantified Calcs'!AS11*Values!AS11</f>
        <v>0</v>
      </c>
      <c r="AT11" s="48">
        <f>'Summarized Quantified Calcs'!AT11*Values!AT11</f>
        <v>0</v>
      </c>
      <c r="AU11" s="48">
        <f>'Summarized Quantified Calcs'!AU11*Values!AU11</f>
        <v>0</v>
      </c>
      <c r="AV11" s="48">
        <f>'Summarized Quantified Calcs'!AV11*Values!AV11</f>
        <v>0</v>
      </c>
      <c r="AW11" s="48">
        <f>'Summarized Quantified Calcs'!AW11*Values!AW11</f>
        <v>0</v>
      </c>
      <c r="AX11" s="48">
        <f>'Summarized Quantified Calcs'!AX11*Values!AX11</f>
        <v>0</v>
      </c>
      <c r="AY11" s="48">
        <f>'Summarized Quantified Calcs'!AY11*Values!AY11</f>
        <v>0</v>
      </c>
      <c r="AZ11" s="48">
        <f>'Summarized Quantified Calcs'!AZ11*Values!AZ11</f>
        <v>0</v>
      </c>
      <c r="BA11" s="48">
        <f>'Summarized Quantified Calcs'!BA11*Values!BA11</f>
        <v>0</v>
      </c>
    </row>
    <row r="12" spans="1:54" ht="14.5" x14ac:dyDescent="0.35">
      <c r="E12" s="4" t="str">
        <f>Values!E12</f>
        <v>Safety - Fatal</v>
      </c>
      <c r="G12" s="107" t="str">
        <f>StockValueC!$H$13&amp;"$"</f>
        <v>2024$</v>
      </c>
      <c r="H12" s="305">
        <f t="shared" si="1"/>
        <v>72495533.692968026</v>
      </c>
      <c r="I12" s="48">
        <f>'Summarized Quantified Calcs'!I12*Values!I12</f>
        <v>0</v>
      </c>
      <c r="J12" s="48">
        <f>'Summarized Quantified Calcs'!J12*Values!J12</f>
        <v>0</v>
      </c>
      <c r="K12" s="48">
        <f>'Summarized Quantified Calcs'!K12*Values!K12</f>
        <v>0</v>
      </c>
      <c r="L12" s="48">
        <f>'Summarized Quantified Calcs'!L12*Values!L12</f>
        <v>0</v>
      </c>
      <c r="M12" s="48">
        <f>'Summarized Quantified Calcs'!M12*Values!M12</f>
        <v>0</v>
      </c>
      <c r="N12" s="48">
        <f>'Summarized Quantified Calcs'!N12*Values!N12</f>
        <v>0</v>
      </c>
      <c r="O12" s="48">
        <f>'Summarized Quantified Calcs'!O12*Values!O12</f>
        <v>3624776.6846484006</v>
      </c>
      <c r="P12" s="48">
        <f>'Summarized Quantified Calcs'!P12*Values!P12</f>
        <v>3624776.6846484006</v>
      </c>
      <c r="Q12" s="48">
        <f>'Summarized Quantified Calcs'!Q12*Values!Q12</f>
        <v>3624776.6846484006</v>
      </c>
      <c r="R12" s="48">
        <f>'Summarized Quantified Calcs'!R12*Values!R12</f>
        <v>3624776.6846484006</v>
      </c>
      <c r="S12" s="48">
        <f>'Summarized Quantified Calcs'!S12*Values!S12</f>
        <v>3624776.6846484006</v>
      </c>
      <c r="T12" s="48">
        <f>'Summarized Quantified Calcs'!T12*Values!T12</f>
        <v>3624776.6846484006</v>
      </c>
      <c r="U12" s="48">
        <f>'Summarized Quantified Calcs'!U12*Values!U12</f>
        <v>3624776.6846484006</v>
      </c>
      <c r="V12" s="48">
        <f>'Summarized Quantified Calcs'!V12*Values!V12</f>
        <v>3624776.6846484006</v>
      </c>
      <c r="W12" s="48">
        <f>'Summarized Quantified Calcs'!W12*Values!W12</f>
        <v>3624776.6846484006</v>
      </c>
      <c r="X12" s="48">
        <f>'Summarized Quantified Calcs'!X12*Values!X12</f>
        <v>3624776.6846484006</v>
      </c>
      <c r="Y12" s="48">
        <f>'Summarized Quantified Calcs'!Y12*Values!Y12</f>
        <v>3624776.6846484006</v>
      </c>
      <c r="Z12" s="48">
        <f>'Summarized Quantified Calcs'!Z12*Values!Z12</f>
        <v>3624776.6846484006</v>
      </c>
      <c r="AA12" s="48">
        <f>'Summarized Quantified Calcs'!AA12*Values!AA12</f>
        <v>3624776.6846484006</v>
      </c>
      <c r="AB12" s="48">
        <f>'Summarized Quantified Calcs'!AB12*Values!AB12</f>
        <v>3624776.6846484006</v>
      </c>
      <c r="AC12" s="48">
        <f>'Summarized Quantified Calcs'!AC12*Values!AC12</f>
        <v>3624776.6846484006</v>
      </c>
      <c r="AD12" s="48">
        <f>'Summarized Quantified Calcs'!AD12*Values!AD12</f>
        <v>3624776.6846484006</v>
      </c>
      <c r="AE12" s="48">
        <f>'Summarized Quantified Calcs'!AE12*Values!AE12</f>
        <v>3624776.6846484006</v>
      </c>
      <c r="AF12" s="48">
        <f>'Summarized Quantified Calcs'!AF12*Values!AF12</f>
        <v>3624776.6846484006</v>
      </c>
      <c r="AG12" s="48">
        <f>'Summarized Quantified Calcs'!AG12*Values!AG12</f>
        <v>3624776.6846484006</v>
      </c>
      <c r="AH12" s="48">
        <f>'Summarized Quantified Calcs'!AH12*Values!AH12</f>
        <v>3624776.6846484006</v>
      </c>
      <c r="AI12" s="48">
        <f>'Summarized Quantified Calcs'!AI12*Values!AI12</f>
        <v>0</v>
      </c>
      <c r="AJ12" s="48">
        <f>'Summarized Quantified Calcs'!AJ12*Values!AJ12</f>
        <v>0</v>
      </c>
      <c r="AK12" s="48">
        <f>'Summarized Quantified Calcs'!AK12*Values!AK12</f>
        <v>0</v>
      </c>
      <c r="AL12" s="48">
        <f>'Summarized Quantified Calcs'!AL12*Values!AL12</f>
        <v>0</v>
      </c>
      <c r="AM12" s="48">
        <f>'Summarized Quantified Calcs'!AM12*Values!AM12</f>
        <v>0</v>
      </c>
      <c r="AN12" s="48">
        <f>'Summarized Quantified Calcs'!AN12*Values!AN12</f>
        <v>0</v>
      </c>
      <c r="AO12" s="48">
        <f>'Summarized Quantified Calcs'!AO12*Values!AO12</f>
        <v>0</v>
      </c>
      <c r="AP12" s="48">
        <f>'Summarized Quantified Calcs'!AP12*Values!AP12</f>
        <v>0</v>
      </c>
      <c r="AQ12" s="48">
        <f>'Summarized Quantified Calcs'!AQ12*Values!AQ12</f>
        <v>0</v>
      </c>
      <c r="AR12" s="48">
        <f>'Summarized Quantified Calcs'!AR12*Values!AR12</f>
        <v>0</v>
      </c>
      <c r="AS12" s="48">
        <f>'Summarized Quantified Calcs'!AS12*Values!AS12</f>
        <v>0</v>
      </c>
      <c r="AT12" s="48">
        <f>'Summarized Quantified Calcs'!AT12*Values!AT12</f>
        <v>0</v>
      </c>
      <c r="AU12" s="48">
        <f>'Summarized Quantified Calcs'!AU12*Values!AU12</f>
        <v>0</v>
      </c>
      <c r="AV12" s="48">
        <f>'Summarized Quantified Calcs'!AV12*Values!AV12</f>
        <v>0</v>
      </c>
      <c r="AW12" s="48">
        <f>'Summarized Quantified Calcs'!AW12*Values!AW12</f>
        <v>0</v>
      </c>
      <c r="AX12" s="48">
        <f>'Summarized Quantified Calcs'!AX12*Values!AX12</f>
        <v>0</v>
      </c>
      <c r="AY12" s="48">
        <f>'Summarized Quantified Calcs'!AY12*Values!AY12</f>
        <v>0</v>
      </c>
      <c r="AZ12" s="48">
        <f>'Summarized Quantified Calcs'!AZ12*Values!AZ12</f>
        <v>0</v>
      </c>
      <c r="BA12" s="48">
        <f>'Summarized Quantified Calcs'!BA12*Values!BA12</f>
        <v>0</v>
      </c>
    </row>
    <row r="13" spans="1:54" ht="14.5" x14ac:dyDescent="0.35">
      <c r="E13" s="4" t="str">
        <f>Values!E13</f>
        <v>Residual Value</v>
      </c>
      <c r="G13" s="107" t="str">
        <f>StockValueC!$H$13&amp;"$"</f>
        <v>2024$</v>
      </c>
      <c r="H13" s="305">
        <f t="shared" ref="H13:H16" si="2">SUM(I13:BA13)</f>
        <v>11811844.676135939</v>
      </c>
      <c r="I13" s="48">
        <f>'Summarized Quantified Calcs'!I13*Values!I12</f>
        <v>0</v>
      </c>
      <c r="J13" s="48">
        <f>'Summarized Quantified Calcs'!J13*Values!J13</f>
        <v>0</v>
      </c>
      <c r="K13" s="48">
        <f>'Summarized Quantified Calcs'!K13*Values!K13</f>
        <v>0</v>
      </c>
      <c r="L13" s="48">
        <f>'Summarized Quantified Calcs'!L13*Values!L13</f>
        <v>0</v>
      </c>
      <c r="M13" s="48">
        <f>'Summarized Quantified Calcs'!M13*Values!M13</f>
        <v>0</v>
      </c>
      <c r="N13" s="48">
        <f>'Summarized Quantified Calcs'!N13*Values!N13</f>
        <v>0</v>
      </c>
      <c r="O13" s="48">
        <f>'Summarized Quantified Calcs'!O13*Values!O13</f>
        <v>0</v>
      </c>
      <c r="P13" s="48">
        <f>'Summarized Quantified Calcs'!P13*Values!P13</f>
        <v>0</v>
      </c>
      <c r="Q13" s="48">
        <f>'Summarized Quantified Calcs'!Q13*Values!Q13</f>
        <v>0</v>
      </c>
      <c r="R13" s="48">
        <f>'Summarized Quantified Calcs'!R13*Values!R13</f>
        <v>0</v>
      </c>
      <c r="S13" s="48">
        <f>'Summarized Quantified Calcs'!S13*Values!S13</f>
        <v>0</v>
      </c>
      <c r="T13" s="48">
        <f>'Summarized Quantified Calcs'!T13*Values!T13</f>
        <v>0</v>
      </c>
      <c r="U13" s="48">
        <f>'Summarized Quantified Calcs'!U13*Values!U13</f>
        <v>0</v>
      </c>
      <c r="V13" s="48">
        <f>'Summarized Quantified Calcs'!V13*Values!V13</f>
        <v>0</v>
      </c>
      <c r="W13" s="48">
        <f>'Summarized Quantified Calcs'!W13*Values!W13</f>
        <v>0</v>
      </c>
      <c r="X13" s="48">
        <f>'Summarized Quantified Calcs'!X13*Values!X13</f>
        <v>0</v>
      </c>
      <c r="Y13" s="48">
        <f>'Summarized Quantified Calcs'!Y13*Values!Y13</f>
        <v>0</v>
      </c>
      <c r="Z13" s="48">
        <f>'Summarized Quantified Calcs'!Z13*Values!Z13</f>
        <v>0</v>
      </c>
      <c r="AA13" s="48">
        <f>'Summarized Quantified Calcs'!AA13*Values!AA13</f>
        <v>0</v>
      </c>
      <c r="AB13" s="48">
        <f>'Summarized Quantified Calcs'!AB13*Values!AB13</f>
        <v>0</v>
      </c>
      <c r="AC13" s="48">
        <f>'Summarized Quantified Calcs'!AC13*Values!AC13</f>
        <v>0</v>
      </c>
      <c r="AD13" s="48">
        <f>'Summarized Quantified Calcs'!AD13*Values!AD13</f>
        <v>0</v>
      </c>
      <c r="AE13" s="48">
        <f>'Summarized Quantified Calcs'!AE13*Values!AE13</f>
        <v>0</v>
      </c>
      <c r="AF13" s="48">
        <f>'Summarized Quantified Calcs'!AF13*Values!AF13</f>
        <v>0</v>
      </c>
      <c r="AG13" s="48">
        <f>'Summarized Quantified Calcs'!AG13*Values!AG13</f>
        <v>0</v>
      </c>
      <c r="AH13" s="48">
        <f>'Summarized Quantified Calcs'!AH13*Values!AH13</f>
        <v>11811844.676135939</v>
      </c>
      <c r="AI13" s="48">
        <f>'Summarized Quantified Calcs'!AI13*Values!AI13</f>
        <v>0</v>
      </c>
      <c r="AJ13" s="48">
        <f>'Summarized Quantified Calcs'!AJ13*Values!AJ13</f>
        <v>0</v>
      </c>
      <c r="AK13" s="48">
        <f>'Summarized Quantified Calcs'!AK13*Values!AK13</f>
        <v>0</v>
      </c>
      <c r="AL13" s="48">
        <f>'Summarized Quantified Calcs'!AL13*Values!AL13</f>
        <v>0</v>
      </c>
      <c r="AM13" s="48">
        <f>'Summarized Quantified Calcs'!AM13*Values!AM13</f>
        <v>0</v>
      </c>
      <c r="AN13" s="48">
        <f>'Summarized Quantified Calcs'!AN13*Values!AN13</f>
        <v>0</v>
      </c>
      <c r="AO13" s="48">
        <f>'Summarized Quantified Calcs'!AO13*Values!AO13</f>
        <v>0</v>
      </c>
      <c r="AP13" s="48">
        <f>'Summarized Quantified Calcs'!AP13*Values!AP13</f>
        <v>0</v>
      </c>
      <c r="AQ13" s="48">
        <f>'Summarized Quantified Calcs'!AQ13*Values!AQ13</f>
        <v>0</v>
      </c>
      <c r="AR13" s="48">
        <f>'Summarized Quantified Calcs'!AR13*Values!AR13</f>
        <v>0</v>
      </c>
      <c r="AS13" s="48">
        <f>'Summarized Quantified Calcs'!AS13*Values!AS13</f>
        <v>0</v>
      </c>
      <c r="AT13" s="48">
        <f>'Summarized Quantified Calcs'!AT13*Values!AT13</f>
        <v>0</v>
      </c>
      <c r="AU13" s="48">
        <f>'Summarized Quantified Calcs'!AU13*Values!AU13</f>
        <v>0</v>
      </c>
      <c r="AV13" s="48">
        <f>'Summarized Quantified Calcs'!AV13*Values!AV13</f>
        <v>0</v>
      </c>
      <c r="AW13" s="48">
        <f>'Summarized Quantified Calcs'!AW13*Values!AW13</f>
        <v>0</v>
      </c>
      <c r="AX13" s="48">
        <f>'Summarized Quantified Calcs'!AX13*Values!AX13</f>
        <v>0</v>
      </c>
      <c r="AY13" s="48">
        <f>'Summarized Quantified Calcs'!AY13*Values!AY13</f>
        <v>0</v>
      </c>
      <c r="AZ13" s="48">
        <f>'Summarized Quantified Calcs'!AZ13*Values!AZ13</f>
        <v>0</v>
      </c>
      <c r="BA13" s="48">
        <f>'Summarized Quantified Calcs'!BA13*Values!BA13</f>
        <v>0</v>
      </c>
    </row>
    <row r="14" spans="1:54" ht="14.5" x14ac:dyDescent="0.35">
      <c r="E14" s="4" t="str">
        <f>Values!E14</f>
        <v>Change in O&amp;M Costs</v>
      </c>
      <c r="G14" s="107" t="str">
        <f>StockValueC!$H$13&amp;"$"</f>
        <v>2024$</v>
      </c>
      <c r="H14" s="305">
        <f t="shared" si="2"/>
        <v>0</v>
      </c>
      <c r="I14" s="48">
        <f>'Summarized Quantified Calcs'!I14*Values!I14</f>
        <v>0</v>
      </c>
      <c r="J14" s="48">
        <f>'Summarized Quantified Calcs'!J14*Values!J14</f>
        <v>0</v>
      </c>
      <c r="K14" s="48">
        <f>'Summarized Quantified Calcs'!K14*Values!K14</f>
        <v>0</v>
      </c>
      <c r="L14" s="48">
        <f>'Summarized Quantified Calcs'!L14*Values!L14</f>
        <v>0</v>
      </c>
      <c r="M14" s="48">
        <f>'Summarized Quantified Calcs'!M14*Values!M14</f>
        <v>0</v>
      </c>
      <c r="N14" s="48">
        <f>'Summarized Quantified Calcs'!N14*Values!N14</f>
        <v>0</v>
      </c>
      <c r="O14" s="48">
        <f>'Summarized Quantified Calcs'!O14*Values!O14</f>
        <v>0</v>
      </c>
      <c r="P14" s="48">
        <f>'Summarized Quantified Calcs'!P14*Values!P14</f>
        <v>0</v>
      </c>
      <c r="Q14" s="48">
        <f>'Summarized Quantified Calcs'!Q14*Values!Q14</f>
        <v>0</v>
      </c>
      <c r="R14" s="48">
        <f>'Summarized Quantified Calcs'!R14*Values!R14</f>
        <v>0</v>
      </c>
      <c r="S14" s="48">
        <f>'Summarized Quantified Calcs'!S14*Values!S14</f>
        <v>0</v>
      </c>
      <c r="T14" s="48">
        <f>'Summarized Quantified Calcs'!T14*Values!T14</f>
        <v>0</v>
      </c>
      <c r="U14" s="48">
        <f>'Summarized Quantified Calcs'!U14*Values!U14</f>
        <v>0</v>
      </c>
      <c r="V14" s="48">
        <f>'Summarized Quantified Calcs'!V14*Values!V14</f>
        <v>0</v>
      </c>
      <c r="W14" s="48">
        <f>'Summarized Quantified Calcs'!W14*Values!W14</f>
        <v>0</v>
      </c>
      <c r="X14" s="48">
        <f>'Summarized Quantified Calcs'!X14*Values!X14</f>
        <v>0</v>
      </c>
      <c r="Y14" s="48">
        <f>'Summarized Quantified Calcs'!Y14*Values!Y14</f>
        <v>0</v>
      </c>
      <c r="Z14" s="48">
        <f>'Summarized Quantified Calcs'!Z14*Values!Z14</f>
        <v>0</v>
      </c>
      <c r="AA14" s="48">
        <f>'Summarized Quantified Calcs'!AA14*Values!AA14</f>
        <v>0</v>
      </c>
      <c r="AB14" s="48">
        <f>'Summarized Quantified Calcs'!AB14*Values!AB14</f>
        <v>0</v>
      </c>
      <c r="AC14" s="48">
        <f>'Summarized Quantified Calcs'!AC14*Values!AC14</f>
        <v>0</v>
      </c>
      <c r="AD14" s="48">
        <f>'Summarized Quantified Calcs'!AD14*Values!AD14</f>
        <v>0</v>
      </c>
      <c r="AE14" s="48">
        <f>'Summarized Quantified Calcs'!AE14*Values!AE14</f>
        <v>0</v>
      </c>
      <c r="AF14" s="48">
        <f>'Summarized Quantified Calcs'!AF14*Values!AF14</f>
        <v>0</v>
      </c>
      <c r="AG14" s="48">
        <f>'Summarized Quantified Calcs'!AG14*Values!AG14</f>
        <v>0</v>
      </c>
      <c r="AH14" s="48">
        <f>'Summarized Quantified Calcs'!AH14*Values!AH14</f>
        <v>0</v>
      </c>
      <c r="AI14" s="48">
        <f>'Summarized Quantified Calcs'!AI14*Values!AI14</f>
        <v>0</v>
      </c>
      <c r="AJ14" s="48">
        <f>'Summarized Quantified Calcs'!AJ14*Values!AJ14</f>
        <v>0</v>
      </c>
      <c r="AK14" s="48">
        <f>'Summarized Quantified Calcs'!AK14*Values!AK14</f>
        <v>0</v>
      </c>
      <c r="AL14" s="48">
        <f>'Summarized Quantified Calcs'!AL14*Values!AL14</f>
        <v>0</v>
      </c>
      <c r="AM14" s="48">
        <f>'Summarized Quantified Calcs'!AM14*Values!AM14</f>
        <v>0</v>
      </c>
      <c r="AN14" s="48">
        <f>'Summarized Quantified Calcs'!AN14*Values!AN14</f>
        <v>0</v>
      </c>
      <c r="AO14" s="48">
        <f>'Summarized Quantified Calcs'!AO14*Values!AO14</f>
        <v>0</v>
      </c>
      <c r="AP14" s="48">
        <f>'Summarized Quantified Calcs'!AP14*Values!AP14</f>
        <v>0</v>
      </c>
      <c r="AQ14" s="48">
        <f>'Summarized Quantified Calcs'!AQ14*Values!AQ14</f>
        <v>0</v>
      </c>
      <c r="AR14" s="48">
        <f>'Summarized Quantified Calcs'!AR14*Values!AR14</f>
        <v>0</v>
      </c>
      <c r="AS14" s="48">
        <f>'Summarized Quantified Calcs'!AS14*Values!AS14</f>
        <v>0</v>
      </c>
      <c r="AT14" s="48">
        <f>'Summarized Quantified Calcs'!AT14*Values!AT14</f>
        <v>0</v>
      </c>
      <c r="AU14" s="48">
        <f>'Summarized Quantified Calcs'!AU14*Values!AU14</f>
        <v>0</v>
      </c>
      <c r="AV14" s="48">
        <f>'Summarized Quantified Calcs'!AV14*Values!AV14</f>
        <v>0</v>
      </c>
      <c r="AW14" s="48">
        <f>'Summarized Quantified Calcs'!AW14*Values!AW14</f>
        <v>0</v>
      </c>
      <c r="AX14" s="48">
        <f>'Summarized Quantified Calcs'!AX14*Values!AX14</f>
        <v>0</v>
      </c>
      <c r="AY14" s="48">
        <f>'Summarized Quantified Calcs'!AY14*Values!AY14</f>
        <v>0</v>
      </c>
      <c r="AZ14" s="48">
        <f>'Summarized Quantified Calcs'!AZ14*Values!AZ14</f>
        <v>0</v>
      </c>
      <c r="BA14" s="48">
        <f>'Summarized Quantified Calcs'!BA14*Values!BA14</f>
        <v>0</v>
      </c>
    </row>
    <row r="15" spans="1:54" ht="14.5" x14ac:dyDescent="0.35">
      <c r="E15" s="4" t="str">
        <f>Values!E15</f>
        <v>Change in R&amp;R Costs</v>
      </c>
      <c r="G15" s="107" t="str">
        <f>StockValueC!$H$13&amp;"$"</f>
        <v>2024$</v>
      </c>
      <c r="H15" s="305">
        <f t="shared" si="2"/>
        <v>3911634.4809814231</v>
      </c>
      <c r="I15" s="48">
        <f>'Summarized Quantified Calcs'!I15*Values!I15</f>
        <v>0</v>
      </c>
      <c r="J15" s="48">
        <f>'Summarized Quantified Calcs'!J15*Values!J15</f>
        <v>0</v>
      </c>
      <c r="K15" s="48">
        <f>'Summarized Quantified Calcs'!K15*Values!K15</f>
        <v>0</v>
      </c>
      <c r="L15" s="48">
        <f>'Summarized Quantified Calcs'!L15*Values!L15</f>
        <v>1955817.2404907115</v>
      </c>
      <c r="M15" s="48">
        <f>'Summarized Quantified Calcs'!M15*Values!M15</f>
        <v>0</v>
      </c>
      <c r="N15" s="48">
        <f>'Summarized Quantified Calcs'!N15*Values!N15</f>
        <v>0</v>
      </c>
      <c r="O15" s="48">
        <f>'Summarized Quantified Calcs'!O15*Values!O15</f>
        <v>0</v>
      </c>
      <c r="P15" s="48">
        <f>'Summarized Quantified Calcs'!P15*Values!P15</f>
        <v>0</v>
      </c>
      <c r="Q15" s="48">
        <f>'Summarized Quantified Calcs'!Q15*Values!Q15</f>
        <v>0</v>
      </c>
      <c r="R15" s="48">
        <f>'Summarized Quantified Calcs'!R15*Values!R15</f>
        <v>0</v>
      </c>
      <c r="S15" s="48">
        <f>'Summarized Quantified Calcs'!S15*Values!S15</f>
        <v>0</v>
      </c>
      <c r="T15" s="48">
        <f>'Summarized Quantified Calcs'!T15*Values!T15</f>
        <v>1955817.2404907115</v>
      </c>
      <c r="U15" s="48">
        <f>'Summarized Quantified Calcs'!U15*Values!U15</f>
        <v>0</v>
      </c>
      <c r="V15" s="48">
        <f>'Summarized Quantified Calcs'!V15*Values!V15</f>
        <v>0</v>
      </c>
      <c r="W15" s="48">
        <f>'Summarized Quantified Calcs'!W15*Values!W15</f>
        <v>0</v>
      </c>
      <c r="X15" s="48">
        <f>'Summarized Quantified Calcs'!X15*Values!X15</f>
        <v>0</v>
      </c>
      <c r="Y15" s="48">
        <f>'Summarized Quantified Calcs'!Y15*Values!Y15</f>
        <v>0</v>
      </c>
      <c r="Z15" s="48">
        <f>'Summarized Quantified Calcs'!Z15*Values!Z15</f>
        <v>0</v>
      </c>
      <c r="AA15" s="48">
        <f>'Summarized Quantified Calcs'!AA15*Values!AA15</f>
        <v>0</v>
      </c>
      <c r="AB15" s="48">
        <f>'Summarized Quantified Calcs'!AB15*Values!AB15</f>
        <v>0</v>
      </c>
      <c r="AC15" s="48">
        <f>'Summarized Quantified Calcs'!AC15*Values!AC15</f>
        <v>0</v>
      </c>
      <c r="AD15" s="48">
        <f>'Summarized Quantified Calcs'!AD15*Values!AD15</f>
        <v>0</v>
      </c>
      <c r="AE15" s="48">
        <f>'Summarized Quantified Calcs'!AE15*Values!AE15</f>
        <v>0</v>
      </c>
      <c r="AF15" s="48">
        <f>'Summarized Quantified Calcs'!AF15*Values!AF15</f>
        <v>0</v>
      </c>
      <c r="AG15" s="48">
        <f>'Summarized Quantified Calcs'!AG15*Values!AG15</f>
        <v>0</v>
      </c>
      <c r="AH15" s="48">
        <f>'Summarized Quantified Calcs'!AH15*Values!AH15</f>
        <v>0</v>
      </c>
      <c r="AI15" s="48">
        <f>'Summarized Quantified Calcs'!AI15*Values!AI15</f>
        <v>0</v>
      </c>
      <c r="AJ15" s="48">
        <f>'Summarized Quantified Calcs'!AJ15*Values!AJ15</f>
        <v>0</v>
      </c>
      <c r="AK15" s="48">
        <f>'Summarized Quantified Calcs'!AK15*Values!AK15</f>
        <v>0</v>
      </c>
      <c r="AL15" s="48">
        <f>'Summarized Quantified Calcs'!AL15*Values!AL15</f>
        <v>0</v>
      </c>
      <c r="AM15" s="48">
        <f>'Summarized Quantified Calcs'!AM15*Values!AM15</f>
        <v>0</v>
      </c>
      <c r="AN15" s="48">
        <f>'Summarized Quantified Calcs'!AN15*Values!AN15</f>
        <v>0</v>
      </c>
      <c r="AO15" s="48">
        <f>'Summarized Quantified Calcs'!AO15*Values!AO15</f>
        <v>0</v>
      </c>
      <c r="AP15" s="48">
        <f>'Summarized Quantified Calcs'!AP15*Values!AP15</f>
        <v>0</v>
      </c>
      <c r="AQ15" s="48">
        <f>'Summarized Quantified Calcs'!AQ15*Values!AQ15</f>
        <v>0</v>
      </c>
      <c r="AR15" s="48">
        <f>'Summarized Quantified Calcs'!AR15*Values!AR15</f>
        <v>0</v>
      </c>
      <c r="AS15" s="48">
        <f>'Summarized Quantified Calcs'!AS15*Values!AS15</f>
        <v>0</v>
      </c>
      <c r="AT15" s="48">
        <f>'Summarized Quantified Calcs'!AT15*Values!AT15</f>
        <v>0</v>
      </c>
      <c r="AU15" s="48">
        <f>'Summarized Quantified Calcs'!AU15*Values!AU15</f>
        <v>0</v>
      </c>
      <c r="AV15" s="48">
        <f>'Summarized Quantified Calcs'!AV15*Values!AV15</f>
        <v>0</v>
      </c>
      <c r="AW15" s="48">
        <f>'Summarized Quantified Calcs'!AW15*Values!AW15</f>
        <v>0</v>
      </c>
      <c r="AX15" s="48">
        <f>'Summarized Quantified Calcs'!AX15*Values!AX15</f>
        <v>0</v>
      </c>
      <c r="AY15" s="48">
        <f>'Summarized Quantified Calcs'!AY15*Values!AY15</f>
        <v>0</v>
      </c>
      <c r="AZ15" s="48">
        <f>'Summarized Quantified Calcs'!AZ15*Values!AZ15</f>
        <v>0</v>
      </c>
      <c r="BA15" s="48">
        <f>'Summarized Quantified Calcs'!BA15*Values!BA15</f>
        <v>0</v>
      </c>
    </row>
    <row r="16" spans="1:54" ht="14.5" x14ac:dyDescent="0.35">
      <c r="E16" s="4" t="str">
        <f>Values!E16</f>
        <v>Capital Costs (above No Build)</v>
      </c>
      <c r="G16" s="107" t="str">
        <f>StockValueC!$H$13&amp;"$"</f>
        <v>2024$</v>
      </c>
      <c r="H16" s="305">
        <f t="shared" si="2"/>
        <v>36879588.856528126</v>
      </c>
      <c r="I16" s="48">
        <f>'Summarized Quantified Calcs'!I16*Values!I16</f>
        <v>327709.29052218742</v>
      </c>
      <c r="J16" s="48">
        <f>'Summarized Quantified Calcs'!J16*Values!J16</f>
        <v>377521.10268155992</v>
      </c>
      <c r="K16" s="48">
        <f>'Summarized Quantified Calcs'!K16*Values!K16</f>
        <v>362420.25857429748</v>
      </c>
      <c r="L16" s="48">
        <f>'Summarized Quantified Calcs'!L16*Values!L16</f>
        <v>348481.01785990136</v>
      </c>
      <c r="M16" s="48">
        <f>'Summarized Quantified Calcs'!M16*Values!M16</f>
        <v>27530128.673067532</v>
      </c>
      <c r="N16" s="48">
        <f>'Summarized Quantified Calcs'!N16*Values!N16</f>
        <v>7933328.5138226459</v>
      </c>
      <c r="O16" s="48">
        <f>'Summarized Quantified Calcs'!O16*Values!O16</f>
        <v>0</v>
      </c>
      <c r="P16" s="48">
        <f>'Summarized Quantified Calcs'!P16*Values!P16</f>
        <v>0</v>
      </c>
      <c r="Q16" s="48">
        <f>'Summarized Quantified Calcs'!Q16*Values!Q16</f>
        <v>0</v>
      </c>
      <c r="R16" s="48">
        <f>'Summarized Quantified Calcs'!R16*Values!R16</f>
        <v>0</v>
      </c>
      <c r="S16" s="48">
        <f>'Summarized Quantified Calcs'!S16*Values!S16</f>
        <v>0</v>
      </c>
      <c r="T16" s="48">
        <f>'Summarized Quantified Calcs'!T16*Values!T16</f>
        <v>0</v>
      </c>
      <c r="U16" s="48">
        <f>'Summarized Quantified Calcs'!U16*Values!U16</f>
        <v>0</v>
      </c>
      <c r="V16" s="48">
        <f>'Summarized Quantified Calcs'!V16*Values!V16</f>
        <v>0</v>
      </c>
      <c r="W16" s="48">
        <f>'Summarized Quantified Calcs'!W16*Values!W16</f>
        <v>0</v>
      </c>
      <c r="X16" s="48">
        <f>'Summarized Quantified Calcs'!X16*Values!X16</f>
        <v>0</v>
      </c>
      <c r="Y16" s="48">
        <f>'Summarized Quantified Calcs'!Y16*Values!Y16</f>
        <v>0</v>
      </c>
      <c r="Z16" s="48">
        <f>'Summarized Quantified Calcs'!Z16*Values!Z16</f>
        <v>0</v>
      </c>
      <c r="AA16" s="48">
        <f>'Summarized Quantified Calcs'!AA16*Values!AA16</f>
        <v>0</v>
      </c>
      <c r="AB16" s="48">
        <f>'Summarized Quantified Calcs'!AB16*Values!AB16</f>
        <v>0</v>
      </c>
      <c r="AC16" s="48">
        <f>'Summarized Quantified Calcs'!AC16*Values!AC16</f>
        <v>0</v>
      </c>
      <c r="AD16" s="48">
        <f>'Summarized Quantified Calcs'!AD16*Values!AD16</f>
        <v>0</v>
      </c>
      <c r="AE16" s="48">
        <f>'Summarized Quantified Calcs'!AE16*Values!AE16</f>
        <v>0</v>
      </c>
      <c r="AF16" s="48">
        <f>'Summarized Quantified Calcs'!AF16*Values!AF16</f>
        <v>0</v>
      </c>
      <c r="AG16" s="48">
        <f>'Summarized Quantified Calcs'!AG16*Values!AG16</f>
        <v>0</v>
      </c>
      <c r="AH16" s="48">
        <f>'Summarized Quantified Calcs'!AH16*Values!AH16</f>
        <v>0</v>
      </c>
      <c r="AI16" s="48">
        <f>'Summarized Quantified Calcs'!AI16*Values!AI16</f>
        <v>0</v>
      </c>
      <c r="AJ16" s="48">
        <f>'Summarized Quantified Calcs'!AJ16*Values!AJ16</f>
        <v>0</v>
      </c>
      <c r="AK16" s="48">
        <f>'Summarized Quantified Calcs'!AK16*Values!AK16</f>
        <v>0</v>
      </c>
      <c r="AL16" s="48">
        <f>'Summarized Quantified Calcs'!AL16*Values!AL16</f>
        <v>0</v>
      </c>
      <c r="AM16" s="48">
        <f>'Summarized Quantified Calcs'!AM16*Values!AM16</f>
        <v>0</v>
      </c>
      <c r="AN16" s="48">
        <f>'Summarized Quantified Calcs'!AN16*Values!AN16</f>
        <v>0</v>
      </c>
      <c r="AO16" s="48">
        <f>'Summarized Quantified Calcs'!AO16*Values!AO16</f>
        <v>0</v>
      </c>
      <c r="AP16" s="48">
        <f>'Summarized Quantified Calcs'!AP16*Values!AP16</f>
        <v>0</v>
      </c>
      <c r="AQ16" s="48">
        <f>'Summarized Quantified Calcs'!AQ16*Values!AQ16</f>
        <v>0</v>
      </c>
      <c r="AR16" s="48">
        <f>'Summarized Quantified Calcs'!AR16*Values!AR16</f>
        <v>0</v>
      </c>
      <c r="AS16" s="48">
        <f>'Summarized Quantified Calcs'!AS16*Values!AS16</f>
        <v>0</v>
      </c>
      <c r="AT16" s="48">
        <f>'Summarized Quantified Calcs'!AT16*Values!AT16</f>
        <v>0</v>
      </c>
      <c r="AU16" s="48">
        <f>'Summarized Quantified Calcs'!AU16*Values!AU16</f>
        <v>0</v>
      </c>
      <c r="AV16" s="48">
        <f>'Summarized Quantified Calcs'!AV16*Values!AV16</f>
        <v>0</v>
      </c>
      <c r="AW16" s="48">
        <f>'Summarized Quantified Calcs'!AW16*Values!AW16</f>
        <v>0</v>
      </c>
      <c r="AX16" s="48">
        <f>'Summarized Quantified Calcs'!AX16*Values!AX16</f>
        <v>0</v>
      </c>
      <c r="AY16" s="48">
        <f>'Summarized Quantified Calcs'!AY16*Values!AY16</f>
        <v>0</v>
      </c>
      <c r="AZ16" s="48">
        <f>'Summarized Quantified Calcs'!AZ16*Values!AZ16</f>
        <v>0</v>
      </c>
      <c r="BA16" s="48">
        <f>'Summarized Quantified Calcs'!BA16*Values!BA16</f>
        <v>0</v>
      </c>
    </row>
    <row r="17" spans="5:53" ht="15" customHeight="1" x14ac:dyDescent="0.35">
      <c r="E17" s="102" t="s">
        <v>910</v>
      </c>
      <c r="F17" s="101"/>
      <c r="G17" s="139" t="str">
        <f>StockValueC!$H$13&amp;"$"</f>
        <v>2024$</v>
      </c>
      <c r="H17" s="139"/>
      <c r="I17" s="104">
        <f t="shared" ref="I17:BA17" si="3">SUM(I8:I15)</f>
        <v>0</v>
      </c>
      <c r="J17" s="104">
        <f t="shared" si="3"/>
        <v>0</v>
      </c>
      <c r="K17" s="104">
        <f t="shared" si="3"/>
        <v>0</v>
      </c>
      <c r="L17" s="104">
        <f t="shared" si="3"/>
        <v>1955817.2404907115</v>
      </c>
      <c r="M17" s="104">
        <f t="shared" si="3"/>
        <v>0</v>
      </c>
      <c r="N17" s="104">
        <f t="shared" si="3"/>
        <v>0</v>
      </c>
      <c r="O17" s="104">
        <f t="shared" si="3"/>
        <v>4621670.6199575579</v>
      </c>
      <c r="P17" s="104">
        <f t="shared" si="3"/>
        <v>4637233.0221727528</v>
      </c>
      <c r="Q17" s="104">
        <f t="shared" si="3"/>
        <v>4653200.0468455441</v>
      </c>
      <c r="R17" s="104">
        <f t="shared" si="3"/>
        <v>4669582.2141598286</v>
      </c>
      <c r="S17" s="104">
        <f t="shared" si="3"/>
        <v>4686390.3178242873</v>
      </c>
      <c r="T17" s="104">
        <f t="shared" si="3"/>
        <v>6659452.6726747276</v>
      </c>
      <c r="U17" s="104">
        <f t="shared" si="3"/>
        <v>4721328.9195171017</v>
      </c>
      <c r="V17" s="104">
        <f t="shared" si="3"/>
        <v>4739482.437520843</v>
      </c>
      <c r="W17" s="104">
        <f t="shared" si="3"/>
        <v>4758107.9469926851</v>
      </c>
      <c r="X17" s="104">
        <f t="shared" si="3"/>
        <v>4777217.7197107989</v>
      </c>
      <c r="Y17" s="104">
        <f t="shared" si="3"/>
        <v>4796824.3465195773</v>
      </c>
      <c r="Z17" s="104">
        <f t="shared" si="3"/>
        <v>4816940.7456253869</v>
      </c>
      <c r="AA17" s="104">
        <f t="shared" si="3"/>
        <v>4837580.171107946</v>
      </c>
      <c r="AB17" s="104">
        <f t="shared" si="3"/>
        <v>4858756.2216530545</v>
      </c>
      <c r="AC17" s="104">
        <f t="shared" si="3"/>
        <v>4023116.6886038422</v>
      </c>
      <c r="AD17" s="104">
        <f t="shared" si="3"/>
        <v>7606907.2412013337</v>
      </c>
      <c r="AE17" s="104">
        <f t="shared" si="3"/>
        <v>7700085.7955688741</v>
      </c>
      <c r="AF17" s="104">
        <f t="shared" si="3"/>
        <v>7795686.9923499636</v>
      </c>
      <c r="AG17" s="104">
        <f t="shared" si="3"/>
        <v>7893773.8202473652</v>
      </c>
      <c r="AH17" s="104">
        <f t="shared" si="3"/>
        <v>19806255.581806034</v>
      </c>
      <c r="AI17" s="104">
        <f t="shared" si="3"/>
        <v>0</v>
      </c>
      <c r="AJ17" s="104">
        <f t="shared" si="3"/>
        <v>0</v>
      </c>
      <c r="AK17" s="104">
        <f t="shared" si="3"/>
        <v>0</v>
      </c>
      <c r="AL17" s="104">
        <f t="shared" si="3"/>
        <v>0</v>
      </c>
      <c r="AM17" s="104">
        <f t="shared" si="3"/>
        <v>0</v>
      </c>
      <c r="AN17" s="104">
        <f t="shared" si="3"/>
        <v>0</v>
      </c>
      <c r="AO17" s="104">
        <f t="shared" si="3"/>
        <v>0</v>
      </c>
      <c r="AP17" s="104">
        <f t="shared" si="3"/>
        <v>0</v>
      </c>
      <c r="AQ17" s="104">
        <f t="shared" si="3"/>
        <v>0</v>
      </c>
      <c r="AR17" s="104">
        <f t="shared" si="3"/>
        <v>0</v>
      </c>
      <c r="AS17" s="104">
        <f t="shared" si="3"/>
        <v>0</v>
      </c>
      <c r="AT17" s="104">
        <f t="shared" si="3"/>
        <v>0</v>
      </c>
      <c r="AU17" s="104">
        <f t="shared" si="3"/>
        <v>0</v>
      </c>
      <c r="AV17" s="104">
        <f t="shared" si="3"/>
        <v>0</v>
      </c>
      <c r="AW17" s="104">
        <f t="shared" si="3"/>
        <v>0</v>
      </c>
      <c r="AX17" s="104">
        <f t="shared" si="3"/>
        <v>0</v>
      </c>
      <c r="AY17" s="104">
        <f t="shared" si="3"/>
        <v>0</v>
      </c>
      <c r="AZ17" s="104">
        <f t="shared" si="3"/>
        <v>0</v>
      </c>
      <c r="BA17" s="104">
        <f t="shared" si="3"/>
        <v>0</v>
      </c>
    </row>
    <row r="18" spans="5:53" ht="15" customHeight="1" x14ac:dyDescent="0.35">
      <c r="E18" s="102" t="s">
        <v>911</v>
      </c>
      <c r="F18" s="101"/>
      <c r="G18" s="139" t="str">
        <f>StockValueC!$H$13&amp;"$"</f>
        <v>2024$</v>
      </c>
      <c r="H18" s="139"/>
      <c r="I18" s="104">
        <f>SUM($I$17:I17)</f>
        <v>0</v>
      </c>
      <c r="J18" s="104">
        <f>SUM($I$17:J17)</f>
        <v>0</v>
      </c>
      <c r="K18" s="104">
        <f>SUM($I$17:K17)</f>
        <v>0</v>
      </c>
      <c r="L18" s="104">
        <f>SUM($I$17:L17)</f>
        <v>1955817.2404907115</v>
      </c>
      <c r="M18" s="104">
        <f>SUM($I$17:M17)</f>
        <v>1955817.2404907115</v>
      </c>
      <c r="N18" s="104">
        <f>SUM($I$17:N17)</f>
        <v>1955817.2404907115</v>
      </c>
      <c r="O18" s="104">
        <f>SUM($I$17:O17)</f>
        <v>6577487.8604482692</v>
      </c>
      <c r="P18" s="104">
        <f>SUM($I$17:P17)</f>
        <v>11214720.882621022</v>
      </c>
      <c r="Q18" s="104">
        <f>SUM($I$17:Q17)</f>
        <v>15867920.929466566</v>
      </c>
      <c r="R18" s="104">
        <f>SUM($I$17:R17)</f>
        <v>20537503.143626396</v>
      </c>
      <c r="S18" s="104">
        <f>SUM($I$17:S17)</f>
        <v>25223893.461450681</v>
      </c>
      <c r="T18" s="104">
        <f>SUM($I$17:T17)</f>
        <v>31883346.134125408</v>
      </c>
      <c r="U18" s="104">
        <f>SUM($I$17:U17)</f>
        <v>36604675.053642511</v>
      </c>
      <c r="V18" s="104">
        <f>SUM($I$17:V17)</f>
        <v>41344157.491163358</v>
      </c>
      <c r="W18" s="104">
        <f>SUM($I$17:W17)</f>
        <v>46102265.438156046</v>
      </c>
      <c r="X18" s="104">
        <f>SUM($I$17:X17)</f>
        <v>50879483.157866843</v>
      </c>
      <c r="Y18" s="104">
        <f>SUM($I$17:Y17)</f>
        <v>55676307.504386418</v>
      </c>
      <c r="Z18" s="104">
        <f>SUM($I$17:Z17)</f>
        <v>60493248.250011802</v>
      </c>
      <c r="AA18" s="104">
        <f>SUM($I$17:AA17)</f>
        <v>65330828.42111975</v>
      </c>
      <c r="AB18" s="104">
        <f>SUM($I$17:AB17)</f>
        <v>70189584.642772809</v>
      </c>
      <c r="AC18" s="104">
        <f>SUM($I$17:AC17)</f>
        <v>74212701.331376657</v>
      </c>
      <c r="AD18" s="104">
        <f>SUM($I$17:AD17)</f>
        <v>81819608.572577983</v>
      </c>
      <c r="AE18" s="104">
        <f>SUM($I$17:AE17)</f>
        <v>89519694.368146852</v>
      </c>
      <c r="AF18" s="104">
        <f>SUM($I$17:AF17)</f>
        <v>97315381.360496819</v>
      </c>
      <c r="AG18" s="104">
        <f>SUM($I$17:AG17)</f>
        <v>105209155.18074419</v>
      </c>
      <c r="AH18" s="104">
        <f>SUM($I$17:AH17)</f>
        <v>125015410.76255022</v>
      </c>
      <c r="AI18" s="104">
        <f>SUM($I$17:AI17)</f>
        <v>125015410.76255022</v>
      </c>
      <c r="AJ18" s="104">
        <f>SUM($I$17:AJ17)</f>
        <v>125015410.76255022</v>
      </c>
      <c r="AK18" s="104">
        <f>SUM($I$17:AK17)</f>
        <v>125015410.76255022</v>
      </c>
      <c r="AL18" s="104">
        <f>SUM($I$17:AL17)</f>
        <v>125015410.76255022</v>
      </c>
      <c r="AM18" s="104">
        <f>SUM($I$17:AM17)</f>
        <v>125015410.76255022</v>
      </c>
      <c r="AN18" s="104">
        <f>SUM($I$17:AN17)</f>
        <v>125015410.76255022</v>
      </c>
      <c r="AO18" s="104">
        <f>SUM($I$17:AO17)</f>
        <v>125015410.76255022</v>
      </c>
      <c r="AP18" s="104">
        <f>SUM($I$17:AP17)</f>
        <v>125015410.76255022</v>
      </c>
      <c r="AQ18" s="104">
        <f>SUM($I$17:AQ17)</f>
        <v>125015410.76255022</v>
      </c>
      <c r="AR18" s="104">
        <f>SUM($I$17:AR17)</f>
        <v>125015410.76255022</v>
      </c>
      <c r="AS18" s="104">
        <f>SUM($I$17:AS17)</f>
        <v>125015410.76255022</v>
      </c>
      <c r="AT18" s="104">
        <f>SUM($I$17:AT17)</f>
        <v>125015410.76255022</v>
      </c>
      <c r="AU18" s="104">
        <f>SUM($I$17:AU17)</f>
        <v>125015410.76255022</v>
      </c>
      <c r="AV18" s="104">
        <f>SUM($I$17:AV17)</f>
        <v>125015410.76255022</v>
      </c>
      <c r="AW18" s="104">
        <f>SUM($I$17:AW17)</f>
        <v>125015410.76255022</v>
      </c>
      <c r="AX18" s="104">
        <f>SUM($I$17:AX17)</f>
        <v>125015410.76255022</v>
      </c>
      <c r="AY18" s="104">
        <f>SUM($I$17:AY17)</f>
        <v>125015410.76255022</v>
      </c>
      <c r="AZ18" s="104">
        <f>SUM($I$17:AZ17)</f>
        <v>125015410.76255022</v>
      </c>
      <c r="BA18" s="104">
        <f>SUM($I$17:BA17)</f>
        <v>125015410.76255022</v>
      </c>
    </row>
    <row r="19" spans="5:53" ht="15" customHeight="1" x14ac:dyDescent="0.35">
      <c r="E19" s="106" t="s">
        <v>912</v>
      </c>
      <c r="F19" s="105"/>
      <c r="G19" s="139" t="str">
        <f>StockValueC!$H$13&amp;"$"</f>
        <v>2024$</v>
      </c>
      <c r="H19" s="139"/>
      <c r="I19" s="104">
        <f t="shared" ref="I19:BA19" si="4">SUM(I16:I16)</f>
        <v>327709.29052218742</v>
      </c>
      <c r="J19" s="104">
        <f t="shared" si="4"/>
        <v>377521.10268155992</v>
      </c>
      <c r="K19" s="104">
        <f t="shared" si="4"/>
        <v>362420.25857429748</v>
      </c>
      <c r="L19" s="104">
        <f t="shared" si="4"/>
        <v>348481.01785990136</v>
      </c>
      <c r="M19" s="104">
        <f t="shared" si="4"/>
        <v>27530128.673067532</v>
      </c>
      <c r="N19" s="104">
        <f t="shared" si="4"/>
        <v>7933328.5138226459</v>
      </c>
      <c r="O19" s="104">
        <f t="shared" si="4"/>
        <v>0</v>
      </c>
      <c r="P19" s="104">
        <f t="shared" si="4"/>
        <v>0</v>
      </c>
      <c r="Q19" s="104">
        <f t="shared" si="4"/>
        <v>0</v>
      </c>
      <c r="R19" s="104">
        <f t="shared" si="4"/>
        <v>0</v>
      </c>
      <c r="S19" s="104">
        <f t="shared" si="4"/>
        <v>0</v>
      </c>
      <c r="T19" s="104">
        <f t="shared" si="4"/>
        <v>0</v>
      </c>
      <c r="U19" s="104">
        <f t="shared" si="4"/>
        <v>0</v>
      </c>
      <c r="V19" s="104">
        <f t="shared" si="4"/>
        <v>0</v>
      </c>
      <c r="W19" s="104">
        <f t="shared" si="4"/>
        <v>0</v>
      </c>
      <c r="X19" s="104">
        <f t="shared" si="4"/>
        <v>0</v>
      </c>
      <c r="Y19" s="104">
        <f t="shared" si="4"/>
        <v>0</v>
      </c>
      <c r="Z19" s="104">
        <f t="shared" si="4"/>
        <v>0</v>
      </c>
      <c r="AA19" s="104">
        <f t="shared" si="4"/>
        <v>0</v>
      </c>
      <c r="AB19" s="104">
        <f t="shared" si="4"/>
        <v>0</v>
      </c>
      <c r="AC19" s="104">
        <f t="shared" si="4"/>
        <v>0</v>
      </c>
      <c r="AD19" s="104">
        <f t="shared" si="4"/>
        <v>0</v>
      </c>
      <c r="AE19" s="104">
        <f t="shared" si="4"/>
        <v>0</v>
      </c>
      <c r="AF19" s="104">
        <f t="shared" si="4"/>
        <v>0</v>
      </c>
      <c r="AG19" s="104">
        <f t="shared" si="4"/>
        <v>0</v>
      </c>
      <c r="AH19" s="104">
        <f t="shared" si="4"/>
        <v>0</v>
      </c>
      <c r="AI19" s="104">
        <f t="shared" si="4"/>
        <v>0</v>
      </c>
      <c r="AJ19" s="104">
        <f t="shared" si="4"/>
        <v>0</v>
      </c>
      <c r="AK19" s="104">
        <f t="shared" si="4"/>
        <v>0</v>
      </c>
      <c r="AL19" s="104">
        <f t="shared" si="4"/>
        <v>0</v>
      </c>
      <c r="AM19" s="104">
        <f t="shared" si="4"/>
        <v>0</v>
      </c>
      <c r="AN19" s="104">
        <f t="shared" si="4"/>
        <v>0</v>
      </c>
      <c r="AO19" s="104">
        <f t="shared" si="4"/>
        <v>0</v>
      </c>
      <c r="AP19" s="104">
        <f t="shared" si="4"/>
        <v>0</v>
      </c>
      <c r="AQ19" s="104">
        <f t="shared" si="4"/>
        <v>0</v>
      </c>
      <c r="AR19" s="104">
        <f t="shared" si="4"/>
        <v>0</v>
      </c>
      <c r="AS19" s="104">
        <f t="shared" si="4"/>
        <v>0</v>
      </c>
      <c r="AT19" s="104">
        <f t="shared" si="4"/>
        <v>0</v>
      </c>
      <c r="AU19" s="104">
        <f t="shared" si="4"/>
        <v>0</v>
      </c>
      <c r="AV19" s="104">
        <f t="shared" si="4"/>
        <v>0</v>
      </c>
      <c r="AW19" s="104">
        <f t="shared" si="4"/>
        <v>0</v>
      </c>
      <c r="AX19" s="104">
        <f t="shared" si="4"/>
        <v>0</v>
      </c>
      <c r="AY19" s="104">
        <f t="shared" si="4"/>
        <v>0</v>
      </c>
      <c r="AZ19" s="104">
        <f t="shared" si="4"/>
        <v>0</v>
      </c>
      <c r="BA19" s="104">
        <f t="shared" si="4"/>
        <v>0</v>
      </c>
    </row>
    <row r="20" spans="5:53" ht="15" customHeight="1" x14ac:dyDescent="0.35">
      <c r="E20" s="106" t="s">
        <v>913</v>
      </c>
      <c r="F20" s="105"/>
      <c r="G20" s="139" t="str">
        <f>StockValueC!$H$13&amp;"$"</f>
        <v>2024$</v>
      </c>
      <c r="H20" s="139"/>
      <c r="I20" s="104">
        <f>SUM($I$19:I19)</f>
        <v>327709.29052218742</v>
      </c>
      <c r="J20" s="104">
        <f>SUM($I$19:J19)</f>
        <v>705230.39320374734</v>
      </c>
      <c r="K20" s="104">
        <f>SUM($I$19:K19)</f>
        <v>1067650.6517780449</v>
      </c>
      <c r="L20" s="104">
        <f>SUM($I$19:L19)</f>
        <v>1416131.6696379462</v>
      </c>
      <c r="M20" s="104">
        <f>SUM($I$19:M19)</f>
        <v>28946260.342705477</v>
      </c>
      <c r="N20" s="104">
        <f>SUM($I$19:N19)</f>
        <v>36879588.856528126</v>
      </c>
      <c r="O20" s="104">
        <f>SUM($I$19:O19)</f>
        <v>36879588.856528126</v>
      </c>
      <c r="P20" s="104">
        <f>SUM($I$19:P19)</f>
        <v>36879588.856528126</v>
      </c>
      <c r="Q20" s="104">
        <f>SUM($I$19:Q19)</f>
        <v>36879588.856528126</v>
      </c>
      <c r="R20" s="104">
        <f>SUM($I$19:R19)</f>
        <v>36879588.856528126</v>
      </c>
      <c r="S20" s="104">
        <f>SUM($I$19:S19)</f>
        <v>36879588.856528126</v>
      </c>
      <c r="T20" s="104">
        <f>SUM($I$19:T19)</f>
        <v>36879588.856528126</v>
      </c>
      <c r="U20" s="104">
        <f>SUM($I$19:U19)</f>
        <v>36879588.856528126</v>
      </c>
      <c r="V20" s="104">
        <f>SUM($I$19:V19)</f>
        <v>36879588.856528126</v>
      </c>
      <c r="W20" s="104">
        <f>SUM($I$19:W19)</f>
        <v>36879588.856528126</v>
      </c>
      <c r="X20" s="104">
        <f>SUM($I$19:X19)</f>
        <v>36879588.856528126</v>
      </c>
      <c r="Y20" s="104">
        <f>SUM($I$19:Y19)</f>
        <v>36879588.856528126</v>
      </c>
      <c r="Z20" s="104">
        <f>SUM($I$19:Z19)</f>
        <v>36879588.856528126</v>
      </c>
      <c r="AA20" s="104">
        <f>SUM($I$19:AA19)</f>
        <v>36879588.856528126</v>
      </c>
      <c r="AB20" s="104">
        <f>SUM($I$19:AB19)</f>
        <v>36879588.856528126</v>
      </c>
      <c r="AC20" s="104">
        <f>SUM($I$19:AC19)</f>
        <v>36879588.856528126</v>
      </c>
      <c r="AD20" s="104">
        <f>SUM($I$19:AD19)</f>
        <v>36879588.856528126</v>
      </c>
      <c r="AE20" s="104">
        <f>SUM($I$19:AE19)</f>
        <v>36879588.856528126</v>
      </c>
      <c r="AF20" s="104">
        <f>SUM($I$19:AF19)</f>
        <v>36879588.856528126</v>
      </c>
      <c r="AG20" s="104">
        <f>SUM($I$19:AG19)</f>
        <v>36879588.856528126</v>
      </c>
      <c r="AH20" s="104">
        <f>SUM($I$19:AH19)</f>
        <v>36879588.856528126</v>
      </c>
      <c r="AI20" s="104">
        <f>SUM($I$19:AI19)</f>
        <v>36879588.856528126</v>
      </c>
      <c r="AJ20" s="104">
        <f>SUM($I$19:AJ19)</f>
        <v>36879588.856528126</v>
      </c>
      <c r="AK20" s="104">
        <f>SUM($I$19:AK19)</f>
        <v>36879588.856528126</v>
      </c>
      <c r="AL20" s="104">
        <f>SUM($I$19:AL19)</f>
        <v>36879588.856528126</v>
      </c>
      <c r="AM20" s="104">
        <f>SUM($I$19:AM19)</f>
        <v>36879588.856528126</v>
      </c>
      <c r="AN20" s="104">
        <f>SUM($I$19:AN19)</f>
        <v>36879588.856528126</v>
      </c>
      <c r="AO20" s="104">
        <f>SUM($I$19:AO19)</f>
        <v>36879588.856528126</v>
      </c>
      <c r="AP20" s="104">
        <f>SUM($I$19:AP19)</f>
        <v>36879588.856528126</v>
      </c>
      <c r="AQ20" s="104">
        <f>SUM($I$19:AQ19)</f>
        <v>36879588.856528126</v>
      </c>
      <c r="AR20" s="104">
        <f>SUM($I$19:AR19)</f>
        <v>36879588.856528126</v>
      </c>
      <c r="AS20" s="104">
        <f>SUM($I$19:AS19)</f>
        <v>36879588.856528126</v>
      </c>
      <c r="AT20" s="104">
        <f>SUM($I$19:AT19)</f>
        <v>36879588.856528126</v>
      </c>
      <c r="AU20" s="104">
        <f>SUM($I$19:AU19)</f>
        <v>36879588.856528126</v>
      </c>
      <c r="AV20" s="104">
        <f>SUM($I$19:AV19)</f>
        <v>36879588.856528126</v>
      </c>
      <c r="AW20" s="104">
        <f>SUM($I$19:AW19)</f>
        <v>36879588.856528126</v>
      </c>
      <c r="AX20" s="104">
        <f>SUM($I$19:AX19)</f>
        <v>36879588.856528126</v>
      </c>
      <c r="AY20" s="104">
        <f>SUM($I$19:AY19)</f>
        <v>36879588.856528126</v>
      </c>
      <c r="AZ20" s="104">
        <f>SUM($I$19:AZ19)</f>
        <v>36879588.856528126</v>
      </c>
      <c r="BA20" s="104">
        <f>SUM($I$19:BA19)</f>
        <v>36879588.856528126</v>
      </c>
    </row>
    <row r="21" spans="5:53" ht="15" customHeight="1" x14ac:dyDescent="0.35">
      <c r="E21" s="106" t="s">
        <v>914</v>
      </c>
      <c r="F21" s="105"/>
      <c r="G21" s="139" t="str">
        <f>StockValueC!$H$13&amp;"$"</f>
        <v>2024$</v>
      </c>
      <c r="H21" s="139"/>
      <c r="I21" s="104">
        <f t="shared" ref="I21:BA21" si="5">I17-I19</f>
        <v>-327709.29052218742</v>
      </c>
      <c r="J21" s="104">
        <f t="shared" si="5"/>
        <v>-377521.10268155992</v>
      </c>
      <c r="K21" s="104">
        <f t="shared" si="5"/>
        <v>-362420.25857429748</v>
      </c>
      <c r="L21" s="104">
        <f t="shared" si="5"/>
        <v>1607336.2226308102</v>
      </c>
      <c r="M21" s="104">
        <f t="shared" si="5"/>
        <v>-27530128.673067532</v>
      </c>
      <c r="N21" s="104">
        <f t="shared" si="5"/>
        <v>-7933328.5138226459</v>
      </c>
      <c r="O21" s="104">
        <f t="shared" si="5"/>
        <v>4621670.6199575579</v>
      </c>
      <c r="P21" s="104">
        <f t="shared" si="5"/>
        <v>4637233.0221727528</v>
      </c>
      <c r="Q21" s="104">
        <f t="shared" si="5"/>
        <v>4653200.0468455441</v>
      </c>
      <c r="R21" s="104">
        <f t="shared" si="5"/>
        <v>4669582.2141598286</v>
      </c>
      <c r="S21" s="104">
        <f t="shared" si="5"/>
        <v>4686390.3178242873</v>
      </c>
      <c r="T21" s="104">
        <f t="shared" si="5"/>
        <v>6659452.6726747276</v>
      </c>
      <c r="U21" s="104">
        <f t="shared" si="5"/>
        <v>4721328.9195171017</v>
      </c>
      <c r="V21" s="104">
        <f t="shared" si="5"/>
        <v>4739482.437520843</v>
      </c>
      <c r="W21" s="104">
        <f t="shared" si="5"/>
        <v>4758107.9469926851</v>
      </c>
      <c r="X21" s="104">
        <f t="shared" si="5"/>
        <v>4777217.7197107989</v>
      </c>
      <c r="Y21" s="104">
        <f t="shared" si="5"/>
        <v>4796824.3465195773</v>
      </c>
      <c r="Z21" s="104">
        <f t="shared" si="5"/>
        <v>4816940.7456253869</v>
      </c>
      <c r="AA21" s="104">
        <f t="shared" si="5"/>
        <v>4837580.171107946</v>
      </c>
      <c r="AB21" s="104">
        <f t="shared" si="5"/>
        <v>4858756.2216530545</v>
      </c>
      <c r="AC21" s="104">
        <f t="shared" si="5"/>
        <v>4023116.6886038422</v>
      </c>
      <c r="AD21" s="104">
        <f t="shared" si="5"/>
        <v>7606907.2412013337</v>
      </c>
      <c r="AE21" s="104">
        <f t="shared" si="5"/>
        <v>7700085.7955688741</v>
      </c>
      <c r="AF21" s="104">
        <f t="shared" si="5"/>
        <v>7795686.9923499636</v>
      </c>
      <c r="AG21" s="104">
        <f t="shared" si="5"/>
        <v>7893773.8202473652</v>
      </c>
      <c r="AH21" s="104">
        <f t="shared" si="5"/>
        <v>19806255.581806034</v>
      </c>
      <c r="AI21" s="104">
        <f t="shared" si="5"/>
        <v>0</v>
      </c>
      <c r="AJ21" s="104">
        <f t="shared" si="5"/>
        <v>0</v>
      </c>
      <c r="AK21" s="104">
        <f t="shared" si="5"/>
        <v>0</v>
      </c>
      <c r="AL21" s="104">
        <f t="shared" si="5"/>
        <v>0</v>
      </c>
      <c r="AM21" s="104">
        <f t="shared" si="5"/>
        <v>0</v>
      </c>
      <c r="AN21" s="104">
        <f t="shared" si="5"/>
        <v>0</v>
      </c>
      <c r="AO21" s="104">
        <f t="shared" si="5"/>
        <v>0</v>
      </c>
      <c r="AP21" s="104">
        <f t="shared" si="5"/>
        <v>0</v>
      </c>
      <c r="AQ21" s="104">
        <f t="shared" si="5"/>
        <v>0</v>
      </c>
      <c r="AR21" s="104">
        <f t="shared" si="5"/>
        <v>0</v>
      </c>
      <c r="AS21" s="104">
        <f t="shared" si="5"/>
        <v>0</v>
      </c>
      <c r="AT21" s="104">
        <f t="shared" si="5"/>
        <v>0</v>
      </c>
      <c r="AU21" s="104">
        <f t="shared" si="5"/>
        <v>0</v>
      </c>
      <c r="AV21" s="104">
        <f t="shared" si="5"/>
        <v>0</v>
      </c>
      <c r="AW21" s="104">
        <f t="shared" si="5"/>
        <v>0</v>
      </c>
      <c r="AX21" s="104">
        <f t="shared" si="5"/>
        <v>0</v>
      </c>
      <c r="AY21" s="104">
        <f t="shared" si="5"/>
        <v>0</v>
      </c>
      <c r="AZ21" s="104">
        <f t="shared" si="5"/>
        <v>0</v>
      </c>
      <c r="BA21" s="104">
        <f t="shared" si="5"/>
        <v>0</v>
      </c>
    </row>
    <row r="22" spans="5:53" ht="15" customHeight="1" x14ac:dyDescent="0.35">
      <c r="E22" s="106" t="s">
        <v>915</v>
      </c>
      <c r="F22" s="105"/>
      <c r="G22" s="139" t="str">
        <f>StockValueC!$H$13&amp;"$"</f>
        <v>2024$</v>
      </c>
      <c r="H22" s="139"/>
      <c r="I22" s="104">
        <f>SUM($I21:I21)</f>
        <v>-327709.29052218742</v>
      </c>
      <c r="J22" s="104">
        <f>SUM($I21:J21)</f>
        <v>-705230.39320374734</v>
      </c>
      <c r="K22" s="104">
        <f>SUM($I21:K21)</f>
        <v>-1067650.6517780449</v>
      </c>
      <c r="L22" s="104">
        <f>SUM($I21:L21)</f>
        <v>539685.57085276535</v>
      </c>
      <c r="M22" s="104">
        <f>SUM($I21:M21)</f>
        <v>-26990443.102214769</v>
      </c>
      <c r="N22" s="104">
        <f>SUM($I21:N21)</f>
        <v>-34923771.616037413</v>
      </c>
      <c r="O22" s="104">
        <f>SUM($I21:O21)</f>
        <v>-30302100.996079855</v>
      </c>
      <c r="P22" s="104">
        <f>SUM($I21:P21)</f>
        <v>-25664867.973907102</v>
      </c>
      <c r="Q22" s="104">
        <f>SUM($I21:Q21)</f>
        <v>-21011667.927061558</v>
      </c>
      <c r="R22" s="104">
        <f>SUM($I21:R21)</f>
        <v>-16342085.71290173</v>
      </c>
      <c r="S22" s="104">
        <f>SUM($I21:S21)</f>
        <v>-11655695.395077443</v>
      </c>
      <c r="T22" s="104">
        <f>SUM($I21:T21)</f>
        <v>-4996242.7224027151</v>
      </c>
      <c r="U22" s="104">
        <f>SUM($I21:U21)</f>
        <v>-274913.8028856134</v>
      </c>
      <c r="V22" s="104">
        <f>SUM($I21:V21)</f>
        <v>4464568.6346352296</v>
      </c>
      <c r="W22" s="104">
        <f>SUM($I21:W21)</f>
        <v>9222676.5816279147</v>
      </c>
      <c r="X22" s="104">
        <f>SUM($I21:X21)</f>
        <v>13999894.301338714</v>
      </c>
      <c r="Y22" s="104">
        <f>SUM($I21:Y21)</f>
        <v>18796718.647858292</v>
      </c>
      <c r="Z22" s="104">
        <f>SUM($I21:Z21)</f>
        <v>23613659.39348368</v>
      </c>
      <c r="AA22" s="104">
        <f>SUM($I21:AA21)</f>
        <v>28451239.564591624</v>
      </c>
      <c r="AB22" s="104">
        <f>SUM($I21:AB21)</f>
        <v>33309995.786244679</v>
      </c>
      <c r="AC22" s="104">
        <f>SUM($I21:AC21)</f>
        <v>37333112.474848524</v>
      </c>
      <c r="AD22" s="104">
        <f>SUM($I21:AD21)</f>
        <v>44940019.716049857</v>
      </c>
      <c r="AE22" s="104">
        <f>SUM($I21:AE21)</f>
        <v>52640105.511618733</v>
      </c>
      <c r="AF22" s="104">
        <f>SUM($I21:AF21)</f>
        <v>60435792.503968701</v>
      </c>
      <c r="AG22" s="104">
        <f>SUM($I21:AG21)</f>
        <v>68329566.324216068</v>
      </c>
      <c r="AH22" s="104">
        <f>SUM($I21:AH21)</f>
        <v>88135821.906022102</v>
      </c>
      <c r="AI22" s="104">
        <f>SUM($I21:AI21)</f>
        <v>88135821.906022102</v>
      </c>
      <c r="AJ22" s="104">
        <f>SUM($I21:AJ21)</f>
        <v>88135821.906022102</v>
      </c>
      <c r="AK22" s="104">
        <f>SUM($I21:AK21)</f>
        <v>88135821.906022102</v>
      </c>
      <c r="AL22" s="104">
        <f>SUM($I21:AL21)</f>
        <v>88135821.906022102</v>
      </c>
      <c r="AM22" s="104">
        <f>SUM($I21:AM21)</f>
        <v>88135821.906022102</v>
      </c>
      <c r="AN22" s="104">
        <f>SUM($I21:AN21)</f>
        <v>88135821.906022102</v>
      </c>
      <c r="AO22" s="104">
        <f>SUM($I21:AO21)</f>
        <v>88135821.906022102</v>
      </c>
      <c r="AP22" s="104">
        <f>SUM($I21:AP21)</f>
        <v>88135821.906022102</v>
      </c>
      <c r="AQ22" s="104">
        <f>SUM($I21:AQ21)</f>
        <v>88135821.906022102</v>
      </c>
      <c r="AR22" s="104">
        <f>SUM($I21:AR21)</f>
        <v>88135821.906022102</v>
      </c>
      <c r="AS22" s="104">
        <f>SUM($I21:AS21)</f>
        <v>88135821.906022102</v>
      </c>
      <c r="AT22" s="104">
        <f>SUM($I21:AT21)</f>
        <v>88135821.906022102</v>
      </c>
      <c r="AU22" s="104">
        <f>SUM($I21:AU21)</f>
        <v>88135821.906022102</v>
      </c>
      <c r="AV22" s="104">
        <f>SUM($I21:AV21)</f>
        <v>88135821.906022102</v>
      </c>
      <c r="AW22" s="104">
        <f>SUM($I21:AW21)</f>
        <v>88135821.906022102</v>
      </c>
      <c r="AX22" s="104">
        <f>SUM($I21:AX21)</f>
        <v>88135821.906022102</v>
      </c>
      <c r="AY22" s="104">
        <f>SUM($I21:AY21)</f>
        <v>88135821.906022102</v>
      </c>
      <c r="AZ22" s="104">
        <f>SUM($I21:AZ21)</f>
        <v>88135821.906022102</v>
      </c>
      <c r="BA22" s="104">
        <f>SUM($I21:BA21)</f>
        <v>88135821.906022102</v>
      </c>
    </row>
    <row r="23" spans="5:53" ht="15" customHeight="1" x14ac:dyDescent="0.35"/>
    <row r="24" spans="5:53" ht="15" customHeight="1" x14ac:dyDescent="0.35"/>
    <row r="25" spans="5:53" ht="15" customHeight="1" x14ac:dyDescent="0.35"/>
    <row r="26" spans="5:53" ht="15" customHeight="1" x14ac:dyDescent="0.35"/>
    <row r="27" spans="5:53" ht="15" customHeight="1" x14ac:dyDescent="0.35"/>
    <row r="28" spans="5:53" ht="15" customHeight="1" x14ac:dyDescent="0.35"/>
    <row r="29" spans="5:53" ht="15" customHeight="1" x14ac:dyDescent="0.35"/>
    <row r="30" spans="5:53" ht="15" customHeight="1" x14ac:dyDescent="0.35"/>
    <row r="31" spans="5:53" ht="15" customHeight="1" x14ac:dyDescent="0.35"/>
    <row r="32" spans="5:53"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99FF"/>
  </sheetPr>
  <dimension ref="A1:BB106"/>
  <sheetViews>
    <sheetView zoomScale="90" zoomScaleNormal="90" workbookViewId="0">
      <pane xSplit="8" ySplit="7" topLeftCell="I8" activePane="bottomRight" state="frozen"/>
      <selection activeCell="I10" sqref="I10"/>
      <selection pane="topRight" activeCell="I10" sqref="I10"/>
      <selection pane="bottomLeft" activeCell="I10" sqref="I10"/>
      <selection pane="bottomRight" activeCell="H9" sqref="H9"/>
    </sheetView>
  </sheetViews>
  <sheetFormatPr defaultColWidth="0" defaultRowHeight="15" customHeight="1" zeroHeight="1" x14ac:dyDescent="0.35"/>
  <cols>
    <col min="1" max="4" width="1.453125" style="4" customWidth="1"/>
    <col min="5" max="5" width="40.453125" style="4" customWidth="1"/>
    <col min="6" max="6" width="12.453125" style="4" customWidth="1"/>
    <col min="7" max="8" width="20.54296875" style="4" customWidth="1"/>
    <col min="9" max="53" width="11.453125" style="4" customWidth="1"/>
    <col min="54" max="54" width="5.453125" style="4" customWidth="1"/>
    <col min="55" max="16384" width="9.1796875" hidden="1"/>
  </cols>
  <sheetData>
    <row r="1" spans="1:54" ht="15" customHeight="1" x14ac:dyDescent="0.35">
      <c r="A1" s="373" t="s">
        <v>907</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4"/>
      <c r="AR1" s="374"/>
      <c r="AS1" s="374"/>
      <c r="AT1" s="374"/>
      <c r="AU1" s="374"/>
      <c r="AV1" s="374"/>
      <c r="AW1" s="374"/>
      <c r="AX1" s="374"/>
      <c r="AY1" s="374"/>
      <c r="AZ1" s="374"/>
      <c r="BA1" s="374"/>
      <c r="BB1" s="383"/>
    </row>
    <row r="2" spans="1:54" ht="5.25" customHeight="1" x14ac:dyDescent="0.35"/>
    <row r="3" spans="1:54" ht="14.5" x14ac:dyDescent="0.35">
      <c r="E3" s="180" t="s">
        <v>916</v>
      </c>
    </row>
    <row r="4" spans="1:54" ht="14.5" x14ac:dyDescent="0.35">
      <c r="E4" s="178" t="str">
        <f>'Guide for Reviewers'!B3</f>
        <v>I-35 McClain County</v>
      </c>
    </row>
    <row r="5" spans="1:54" ht="14.5" x14ac:dyDescent="0.35">
      <c r="E5" s="178" t="str">
        <f>'Guide for Reviewers'!B4</f>
        <v>Oklahoma Department of Transportation</v>
      </c>
      <c r="G5" s="99" t="s">
        <v>575</v>
      </c>
      <c r="H5" s="99"/>
      <c r="I5" s="555">
        <f>StockValueC!$H$12</f>
        <v>2023</v>
      </c>
      <c r="J5" s="1">
        <f>I5+1</f>
        <v>2024</v>
      </c>
      <c r="K5" s="1">
        <f t="shared" ref="K5:BA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f t="shared" si="0"/>
        <v>2066</v>
      </c>
      <c r="BA5" s="1">
        <f t="shared" si="0"/>
        <v>2067</v>
      </c>
    </row>
    <row r="6" spans="1:54" ht="14.5" x14ac:dyDescent="0.35">
      <c r="E6" s="49" t="str">
        <f>StockValueC!$E$13</f>
        <v>Base Year (for valuation 2020 = 2020$s)</v>
      </c>
      <c r="F6" s="49">
        <f>StockValueC!$H$13</f>
        <v>2024</v>
      </c>
      <c r="G6" s="96" t="s">
        <v>917</v>
      </c>
      <c r="H6" s="40"/>
      <c r="I6" s="40">
        <f>'Discount Calc'!I$25</f>
        <v>1</v>
      </c>
      <c r="J6" s="40">
        <f>'Discount Calc'!J$25</f>
        <v>1</v>
      </c>
      <c r="K6" s="40">
        <f>'Discount Calc'!K$25</f>
        <v>1</v>
      </c>
      <c r="L6" s="40">
        <f>'Discount Calc'!L$25</f>
        <v>1</v>
      </c>
      <c r="M6" s="40">
        <f>'Discount Calc'!M$25</f>
        <v>1</v>
      </c>
      <c r="N6" s="40">
        <f>'Discount Calc'!N$25</f>
        <v>1</v>
      </c>
      <c r="O6" s="40">
        <f>'Discount Calc'!O$25</f>
        <v>1</v>
      </c>
      <c r="P6" s="40">
        <f>'Discount Calc'!P$25</f>
        <v>1</v>
      </c>
      <c r="Q6" s="40">
        <f>'Discount Calc'!Q$25</f>
        <v>1</v>
      </c>
      <c r="R6" s="40">
        <f>'Discount Calc'!R$25</f>
        <v>1</v>
      </c>
      <c r="S6" s="40">
        <f>'Discount Calc'!S$25</f>
        <v>1</v>
      </c>
      <c r="T6" s="40">
        <f>'Discount Calc'!T$25</f>
        <v>1</v>
      </c>
      <c r="U6" s="40">
        <f>'Discount Calc'!U$25</f>
        <v>1</v>
      </c>
      <c r="V6" s="40">
        <f>'Discount Calc'!V$25</f>
        <v>1</v>
      </c>
      <c r="W6" s="40">
        <f>'Discount Calc'!W$25</f>
        <v>1</v>
      </c>
      <c r="X6" s="40">
        <f>'Discount Calc'!X$25</f>
        <v>1</v>
      </c>
      <c r="Y6" s="40">
        <f>'Discount Calc'!Y$25</f>
        <v>1</v>
      </c>
      <c r="Z6" s="40">
        <f>'Discount Calc'!Z$25</f>
        <v>1</v>
      </c>
      <c r="AA6" s="40">
        <f>'Discount Calc'!AA$25</f>
        <v>1</v>
      </c>
      <c r="AB6" s="40">
        <f>'Discount Calc'!AB$25</f>
        <v>1</v>
      </c>
      <c r="AC6" s="40">
        <f>'Discount Calc'!AC$25</f>
        <v>1</v>
      </c>
      <c r="AD6" s="40">
        <f>'Discount Calc'!AD$25</f>
        <v>1</v>
      </c>
      <c r="AE6" s="40">
        <f>'Discount Calc'!AE$25</f>
        <v>1</v>
      </c>
      <c r="AF6" s="40">
        <f>'Discount Calc'!AF$25</f>
        <v>1</v>
      </c>
      <c r="AG6" s="40">
        <f>'Discount Calc'!AG$25</f>
        <v>1</v>
      </c>
      <c r="AH6" s="40">
        <f>'Discount Calc'!AH$25</f>
        <v>1</v>
      </c>
      <c r="AI6" s="40">
        <f>'Discount Calc'!AI$25</f>
        <v>0</v>
      </c>
      <c r="AJ6" s="40">
        <f>'Discount Calc'!AJ$25</f>
        <v>0</v>
      </c>
      <c r="AK6" s="40">
        <f>'Discount Calc'!AK$25</f>
        <v>0</v>
      </c>
      <c r="AL6" s="40">
        <f>'Discount Calc'!AL$25</f>
        <v>0</v>
      </c>
      <c r="AM6" s="40">
        <f>'Discount Calc'!AM$25</f>
        <v>0</v>
      </c>
      <c r="AN6" s="40">
        <f>'Discount Calc'!AN$25</f>
        <v>0</v>
      </c>
      <c r="AO6" s="40">
        <f>'Discount Calc'!AO$25</f>
        <v>0</v>
      </c>
      <c r="AP6" s="40">
        <f>'Discount Calc'!AP$25</f>
        <v>0</v>
      </c>
      <c r="AQ6" s="40">
        <f>'Discount Calc'!AQ$25</f>
        <v>0</v>
      </c>
      <c r="AR6" s="40">
        <f>'Discount Calc'!AR$25</f>
        <v>0</v>
      </c>
      <c r="AS6" s="40">
        <f>'Discount Calc'!AS$25</f>
        <v>0</v>
      </c>
      <c r="AT6" s="40">
        <f>'Discount Calc'!AT$25</f>
        <v>0</v>
      </c>
      <c r="AU6" s="40">
        <f>'Discount Calc'!AU$25</f>
        <v>0</v>
      </c>
      <c r="AV6" s="40">
        <f>'Discount Calc'!AV$25</f>
        <v>0</v>
      </c>
      <c r="AW6" s="40">
        <f>'Discount Calc'!AW$25</f>
        <v>0</v>
      </c>
      <c r="AX6" s="40">
        <f>'Discount Calc'!AX$25</f>
        <v>0</v>
      </c>
      <c r="AY6" s="40">
        <f>'Discount Calc'!AY$25</f>
        <v>0</v>
      </c>
      <c r="AZ6" s="40">
        <f>'Discount Calc'!AZ$25</f>
        <v>0</v>
      </c>
      <c r="BA6" s="40">
        <f>'Discount Calc'!BA$25</f>
        <v>0</v>
      </c>
    </row>
    <row r="7" spans="1:54" ht="14.5" x14ac:dyDescent="0.35">
      <c r="E7" s="1" t="s">
        <v>92</v>
      </c>
      <c r="F7" s="1" t="s">
        <v>823</v>
      </c>
      <c r="G7" s="100" t="s">
        <v>93</v>
      </c>
      <c r="H7" s="8" t="s">
        <v>904</v>
      </c>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row>
    <row r="8" spans="1:54" ht="14.5" x14ac:dyDescent="0.35">
      <c r="A8" s="53"/>
      <c r="B8" s="53"/>
      <c r="C8" s="53"/>
      <c r="D8" s="53"/>
      <c r="E8" s="4" t="str">
        <f>'UnDisc Results'!E8</f>
        <v>Travel Time Savings - Auto</v>
      </c>
      <c r="G8" s="128" t="str">
        <f>'UnDisc Results'!G8&amp;" in "&amp;$F$6</f>
        <v>2024$ in 2024</v>
      </c>
      <c r="H8" s="305">
        <f>SUM(I8:BA8)</f>
        <v>6366744.9809368365</v>
      </c>
      <c r="I8" s="48">
        <f>'UnDisc Results'!I8*'Discount Calc'!I$13</f>
        <v>0</v>
      </c>
      <c r="J8" s="48">
        <f>'UnDisc Results'!J8*'Discount Calc'!J$13</f>
        <v>0</v>
      </c>
      <c r="K8" s="48">
        <f>'UnDisc Results'!K8*'Discount Calc'!K$13</f>
        <v>0</v>
      </c>
      <c r="L8" s="48">
        <f>'UnDisc Results'!L8*'Discount Calc'!L$13</f>
        <v>0</v>
      </c>
      <c r="M8" s="48">
        <f>'UnDisc Results'!M8*'Discount Calc'!M$13</f>
        <v>0</v>
      </c>
      <c r="N8" s="48">
        <f>'UnDisc Results'!N8*'Discount Calc'!N$13</f>
        <v>0</v>
      </c>
      <c r="O8" s="48">
        <f>'UnDisc Results'!O8*'Discount Calc'!O$13</f>
        <v>306043.78656796511</v>
      </c>
      <c r="P8" s="48">
        <f>'UnDisc Results'!P8*'Discount Calc'!P$13</f>
        <v>293458.8084287204</v>
      </c>
      <c r="Q8" s="48">
        <f>'UnDisc Results'!Q8*'Discount Calc'!Q$13</f>
        <v>281391.34340922214</v>
      </c>
      <c r="R8" s="48">
        <f>'UnDisc Results'!R8*'Discount Calc'!R$13</f>
        <v>269820.11059613217</v>
      </c>
      <c r="S8" s="48">
        <f>'UnDisc Results'!S8*'Discount Calc'!S$13</f>
        <v>258724.70417909688</v>
      </c>
      <c r="T8" s="48">
        <f>'UnDisc Results'!T8*'Discount Calc'!T$13</f>
        <v>248085.55746518873</v>
      </c>
      <c r="U8" s="48">
        <f>'UnDisc Results'!U8*'Discount Calc'!U$13</f>
        <v>237883.90837316241</v>
      </c>
      <c r="V8" s="48">
        <f>'UnDisc Results'!V8*'Discount Calc'!V$13</f>
        <v>228101.76634660127</v>
      </c>
      <c r="W8" s="48">
        <f>'UnDisc Results'!W8*'Discount Calc'!W$13</f>
        <v>218721.88062767603</v>
      </c>
      <c r="X8" s="48">
        <f>'UnDisc Results'!X8*'Discount Calc'!X$13</f>
        <v>209727.70983551146</v>
      </c>
      <c r="Y8" s="48">
        <f>'UnDisc Results'!Y8*'Discount Calc'!Y$13</f>
        <v>201103.3927955454</v>
      </c>
      <c r="Z8" s="48">
        <f>'UnDisc Results'!Z8*'Discount Calc'!Z$13</f>
        <v>192833.7205684387</v>
      </c>
      <c r="AA8" s="48">
        <f>'UnDisc Results'!AA8*'Discount Calc'!AA$13</f>
        <v>184904.10962917571</v>
      </c>
      <c r="AB8" s="48">
        <f>'UnDisc Results'!AB8*'Discount Calc'!AB$13</f>
        <v>177300.57614909767</v>
      </c>
      <c r="AC8" s="48">
        <f>'UnDisc Results'!AC8*'Discount Calc'!AC$13</f>
        <v>0</v>
      </c>
      <c r="AD8" s="48">
        <f>'UnDisc Results'!AD8*'Discount Calc'!AD$13</f>
        <v>664150.08727322239</v>
      </c>
      <c r="AE8" s="48">
        <f>'UnDisc Results'!AE8*'Discount Calc'!AE$13</f>
        <v>636839.2425629223</v>
      </c>
      <c r="AF8" s="48">
        <f>'UnDisc Results'!AF8*'Discount Calc'!AF$13</f>
        <v>610651.4606257556</v>
      </c>
      <c r="AG8" s="48">
        <f>'UnDisc Results'!AG8*'Discount Calc'!AG$13</f>
        <v>585540.55944114528</v>
      </c>
      <c r="AH8" s="48">
        <f>'UnDisc Results'!AH8*'Discount Calc'!AH$13</f>
        <v>561462.25606225641</v>
      </c>
      <c r="AI8" s="48">
        <f>'UnDisc Results'!AI8*'Discount Calc'!AI$13</f>
        <v>0</v>
      </c>
      <c r="AJ8" s="48">
        <f>'UnDisc Results'!AJ8*'Discount Calc'!AJ$13</f>
        <v>0</v>
      </c>
      <c r="AK8" s="48">
        <f>'UnDisc Results'!AK8*'Discount Calc'!AK$13</f>
        <v>0</v>
      </c>
      <c r="AL8" s="48">
        <f>'UnDisc Results'!AL8*'Discount Calc'!AL$13</f>
        <v>0</v>
      </c>
      <c r="AM8" s="48">
        <f>'UnDisc Results'!AM8*'Discount Calc'!AM$13</f>
        <v>0</v>
      </c>
      <c r="AN8" s="48">
        <f>'UnDisc Results'!AN8*'Discount Calc'!AN$13</f>
        <v>0</v>
      </c>
      <c r="AO8" s="48">
        <f>'UnDisc Results'!AO8*'Discount Calc'!AO$13</f>
        <v>0</v>
      </c>
      <c r="AP8" s="48">
        <f>'UnDisc Results'!AP8*'Discount Calc'!AP$13</f>
        <v>0</v>
      </c>
      <c r="AQ8" s="48">
        <f>'UnDisc Results'!AQ8*'Discount Calc'!AQ$13</f>
        <v>0</v>
      </c>
      <c r="AR8" s="48">
        <f>'UnDisc Results'!AR8*'Discount Calc'!AR$13</f>
        <v>0</v>
      </c>
      <c r="AS8" s="48">
        <f>'UnDisc Results'!AS8*'Discount Calc'!AS$13</f>
        <v>0</v>
      </c>
      <c r="AT8" s="48">
        <f>'UnDisc Results'!AT8*'Discount Calc'!AT$13</f>
        <v>0</v>
      </c>
      <c r="AU8" s="48">
        <f>'UnDisc Results'!AU8*'Discount Calc'!AU$13</f>
        <v>0</v>
      </c>
      <c r="AV8" s="48">
        <f>'UnDisc Results'!AV8*'Discount Calc'!AV$13</f>
        <v>0</v>
      </c>
      <c r="AW8" s="48">
        <f>'UnDisc Results'!AW8*'Discount Calc'!AW$13</f>
        <v>0</v>
      </c>
      <c r="AX8" s="48">
        <f>'UnDisc Results'!AX8*'Discount Calc'!AX$13</f>
        <v>0</v>
      </c>
      <c r="AY8" s="48">
        <f>'UnDisc Results'!AY8*'Discount Calc'!AY$13</f>
        <v>0</v>
      </c>
      <c r="AZ8" s="48">
        <f>'UnDisc Results'!AZ8*'Discount Calc'!AZ$13</f>
        <v>0</v>
      </c>
      <c r="BA8" s="48">
        <f>'UnDisc Results'!BA8*'Discount Calc'!BA$13</f>
        <v>0</v>
      </c>
    </row>
    <row r="9" spans="1:54" ht="14.5" x14ac:dyDescent="0.35">
      <c r="E9" s="4" t="str">
        <f>'UnDisc Results'!E9</f>
        <v>Travel Time Savings - Truck</v>
      </c>
      <c r="G9" s="17" t="str">
        <f>'UnDisc Results'!G9&amp;" in "&amp;$F$6</f>
        <v>2024$ in 2024</v>
      </c>
      <c r="H9" s="305">
        <f t="shared" ref="H9:H12" si="1">SUM(I9:BA9)</f>
        <v>2511319.3397733965</v>
      </c>
      <c r="I9" s="48">
        <f>'UnDisc Results'!I9*'Discount Calc'!I$13</f>
        <v>0</v>
      </c>
      <c r="J9" s="48">
        <f>'UnDisc Results'!J9*'Discount Calc'!J$13</f>
        <v>0</v>
      </c>
      <c r="K9" s="48">
        <f>'UnDisc Results'!K9*'Discount Calc'!K$13</f>
        <v>0</v>
      </c>
      <c r="L9" s="48">
        <f>'UnDisc Results'!L9*'Discount Calc'!L$13</f>
        <v>0</v>
      </c>
      <c r="M9" s="48">
        <f>'UnDisc Results'!M9*'Discount Calc'!M$13</f>
        <v>0</v>
      </c>
      <c r="N9" s="48">
        <f>'UnDisc Results'!N9*'Discount Calc'!N$13</f>
        <v>0</v>
      </c>
      <c r="O9" s="48">
        <f>'UnDisc Results'!O9*'Discount Calc'!O$13</f>
        <v>120716.89416285072</v>
      </c>
      <c r="P9" s="48">
        <f>'UnDisc Results'!P9*'Discount Calc'!P$13</f>
        <v>115752.83496363065</v>
      </c>
      <c r="Q9" s="48">
        <f>'UnDisc Results'!Q9*'Discount Calc'!Q$13</f>
        <v>110992.90530157402</v>
      </c>
      <c r="R9" s="48">
        <f>'UnDisc Results'!R9*'Discount Calc'!R$13</f>
        <v>106428.71106487467</v>
      </c>
      <c r="S9" s="48">
        <f>'UnDisc Results'!S9*'Discount Calc'!S$13</f>
        <v>102052.20332015064</v>
      </c>
      <c r="T9" s="48">
        <f>'UnDisc Results'!T9*'Discount Calc'!T$13</f>
        <v>97855.664118200468</v>
      </c>
      <c r="U9" s="48">
        <f>'UnDisc Results'!U9*'Discount Calc'!U$13</f>
        <v>93831.692883433469</v>
      </c>
      <c r="V9" s="48">
        <f>'UnDisc Results'!V9*'Discount Calc'!V$13</f>
        <v>89973.193362993072</v>
      </c>
      <c r="W9" s="48">
        <f>'UnDisc Results'!W9*'Discount Calc'!W$13</f>
        <v>86273.361112551647</v>
      </c>
      <c r="X9" s="48">
        <f>'UnDisc Results'!X9*'Discount Calc'!X$13</f>
        <v>82725.671496708397</v>
      </c>
      <c r="Y9" s="48">
        <f>'UnDisc Results'!Y9*'Discount Calc'!Y$13</f>
        <v>79323.868182825245</v>
      </c>
      <c r="Z9" s="48">
        <f>'UnDisc Results'!Z9*'Discount Calc'!Z$13</f>
        <v>76061.952108017926</v>
      </c>
      <c r="AA9" s="48">
        <f>'UnDisc Results'!AA9*'Discount Calc'!AA$13</f>
        <v>72934.170899837554</v>
      </c>
      <c r="AB9" s="48">
        <f>'UnDisc Results'!AB9*'Discount Calc'!AB$13</f>
        <v>69935.008731993978</v>
      </c>
      <c r="AC9" s="48">
        <f>'UnDisc Results'!AC9*'Discount Calc'!AC$13</f>
        <v>0</v>
      </c>
      <c r="AD9" s="48">
        <f>'UnDisc Results'!AD9*'Discount Calc'!AD$13</f>
        <v>261969.49362278494</v>
      </c>
      <c r="AE9" s="48">
        <f>'UnDisc Results'!AE9*'Discount Calc'!AE$13</f>
        <v>251196.91631493287</v>
      </c>
      <c r="AF9" s="48">
        <f>'UnDisc Results'!AF9*'Discount Calc'!AF$13</f>
        <v>240867.32349450517</v>
      </c>
      <c r="AG9" s="48">
        <f>'UnDisc Results'!AG9*'Discount Calc'!AG$13</f>
        <v>230962.49897697431</v>
      </c>
      <c r="AH9" s="48">
        <f>'UnDisc Results'!AH9*'Discount Calc'!AH$13</f>
        <v>221464.97565455674</v>
      </c>
      <c r="AI9" s="48">
        <f>'UnDisc Results'!AI9*'Discount Calc'!AI$13</f>
        <v>0</v>
      </c>
      <c r="AJ9" s="48">
        <f>'UnDisc Results'!AJ9*'Discount Calc'!AJ$13</f>
        <v>0</v>
      </c>
      <c r="AK9" s="48">
        <f>'UnDisc Results'!AK9*'Discount Calc'!AK$13</f>
        <v>0</v>
      </c>
      <c r="AL9" s="48">
        <f>'UnDisc Results'!AL9*'Discount Calc'!AL$13</f>
        <v>0</v>
      </c>
      <c r="AM9" s="48">
        <f>'UnDisc Results'!AM9*'Discount Calc'!AM$13</f>
        <v>0</v>
      </c>
      <c r="AN9" s="48">
        <f>'UnDisc Results'!AN9*'Discount Calc'!AN$13</f>
        <v>0</v>
      </c>
      <c r="AO9" s="48">
        <f>'UnDisc Results'!AO9*'Discount Calc'!AO$13</f>
        <v>0</v>
      </c>
      <c r="AP9" s="48">
        <f>'UnDisc Results'!AP9*'Discount Calc'!AP$13</f>
        <v>0</v>
      </c>
      <c r="AQ9" s="48">
        <f>'UnDisc Results'!AQ9*'Discount Calc'!AQ$13</f>
        <v>0</v>
      </c>
      <c r="AR9" s="48">
        <f>'UnDisc Results'!AR9*'Discount Calc'!AR$13</f>
        <v>0</v>
      </c>
      <c r="AS9" s="48">
        <f>'UnDisc Results'!AS9*'Discount Calc'!AS$13</f>
        <v>0</v>
      </c>
      <c r="AT9" s="48">
        <f>'UnDisc Results'!AT9*'Discount Calc'!AT$13</f>
        <v>0</v>
      </c>
      <c r="AU9" s="48">
        <f>'UnDisc Results'!AU9*'Discount Calc'!AU$13</f>
        <v>0</v>
      </c>
      <c r="AV9" s="48">
        <f>'UnDisc Results'!AV9*'Discount Calc'!AV$13</f>
        <v>0</v>
      </c>
      <c r="AW9" s="48">
        <f>'UnDisc Results'!AW9*'Discount Calc'!AW$13</f>
        <v>0</v>
      </c>
      <c r="AX9" s="48">
        <f>'UnDisc Results'!AX9*'Discount Calc'!AX$13</f>
        <v>0</v>
      </c>
      <c r="AY9" s="48">
        <f>'UnDisc Results'!AY9*'Discount Calc'!AY$13</f>
        <v>0</v>
      </c>
      <c r="AZ9" s="48">
        <f>'UnDisc Results'!AZ9*'Discount Calc'!AZ$13</f>
        <v>0</v>
      </c>
      <c r="BA9" s="48">
        <f>'UnDisc Results'!BA9*'Discount Calc'!BA$13</f>
        <v>0</v>
      </c>
    </row>
    <row r="10" spans="1:54" ht="14.5" x14ac:dyDescent="0.35">
      <c r="E10" s="4" t="str">
        <f>'UnDisc Results'!E10</f>
        <v>Safety - PDO</v>
      </c>
      <c r="G10" s="17" t="str">
        <f>'UnDisc Results'!G10&amp;" in "&amp;$F$6</f>
        <v>2024$ in 2024</v>
      </c>
      <c r="H10" s="305">
        <f t="shared" si="1"/>
        <v>282008.37780911702</v>
      </c>
      <c r="I10" s="48">
        <f>'UnDisc Results'!I10*'Discount Calc'!I$13</f>
        <v>0</v>
      </c>
      <c r="J10" s="48">
        <f>'UnDisc Results'!J10*'Discount Calc'!J$13</f>
        <v>0</v>
      </c>
      <c r="K10" s="48">
        <f>'UnDisc Results'!K10*'Discount Calc'!K$13</f>
        <v>0</v>
      </c>
      <c r="L10" s="48">
        <f>'UnDisc Results'!L10*'Discount Calc'!L$13</f>
        <v>0</v>
      </c>
      <c r="M10" s="48">
        <f>'UnDisc Results'!M10*'Discount Calc'!M$13</f>
        <v>0</v>
      </c>
      <c r="N10" s="48">
        <f>'UnDisc Results'!N10*'Discount Calc'!N$13</f>
        <v>0</v>
      </c>
      <c r="O10" s="48">
        <f>'UnDisc Results'!O10*'Discount Calc'!O$13</f>
        <v>24878.126977114</v>
      </c>
      <c r="P10" s="48">
        <f>'UnDisc Results'!P10*'Discount Calc'!P$13</f>
        <v>23250.585959919626</v>
      </c>
      <c r="Q10" s="48">
        <f>'UnDisc Results'!Q10*'Discount Calc'!Q$13</f>
        <v>21729.519588709929</v>
      </c>
      <c r="R10" s="48">
        <f>'UnDisc Results'!R10*'Discount Calc'!R$13</f>
        <v>20307.962232439186</v>
      </c>
      <c r="S10" s="48">
        <f>'UnDisc Results'!S10*'Discount Calc'!S$13</f>
        <v>18979.403955550642</v>
      </c>
      <c r="T10" s="48">
        <f>'UnDisc Results'!T10*'Discount Calc'!T$13</f>
        <v>17737.760706122095</v>
      </c>
      <c r="U10" s="48">
        <f>'UnDisc Results'!U10*'Discount Calc'!U$13</f>
        <v>16577.346454319711</v>
      </c>
      <c r="V10" s="48">
        <f>'UnDisc Results'!V10*'Discount Calc'!V$13</f>
        <v>15492.847153569828</v>
      </c>
      <c r="W10" s="48">
        <f>'UnDisc Results'!W10*'Discount Calc'!W$13</f>
        <v>14479.296405205445</v>
      </c>
      <c r="X10" s="48">
        <f>'UnDisc Results'!X10*'Discount Calc'!X$13</f>
        <v>13532.052715145277</v>
      </c>
      <c r="Y10" s="48">
        <f>'UnDisc Results'!Y10*'Discount Calc'!Y$13</f>
        <v>12646.778238453528</v>
      </c>
      <c r="Z10" s="48">
        <f>'UnDisc Results'!Z10*'Discount Calc'!Z$13</f>
        <v>11819.418914442551</v>
      </c>
      <c r="AA10" s="48">
        <f>'UnDisc Results'!AA10*'Discount Calc'!AA$13</f>
        <v>11046.185901348179</v>
      </c>
      <c r="AB10" s="48">
        <f>'UnDisc Results'!AB10*'Discount Calc'!AB$13</f>
        <v>10323.538225559045</v>
      </c>
      <c r="AC10" s="48">
        <f>'UnDisc Results'!AC10*'Discount Calc'!AC$13</f>
        <v>9648.1665659430328</v>
      </c>
      <c r="AD10" s="48">
        <f>'UnDisc Results'!AD10*'Discount Calc'!AD$13</f>
        <v>9016.9780990121799</v>
      </c>
      <c r="AE10" s="48">
        <f>'UnDisc Results'!AE10*'Discount Calc'!AE$13</f>
        <v>8427.0823355254015</v>
      </c>
      <c r="AF10" s="48">
        <f>'UnDisc Results'!AF10*'Discount Calc'!AF$13</f>
        <v>7875.7778836686002</v>
      </c>
      <c r="AG10" s="48">
        <f>'UnDisc Results'!AG10*'Discount Calc'!AG$13</f>
        <v>7360.5400781949529</v>
      </c>
      <c r="AH10" s="48">
        <f>'UnDisc Results'!AH10*'Discount Calc'!AH$13</f>
        <v>6879.0094188737876</v>
      </c>
      <c r="AI10" s="48">
        <f>'UnDisc Results'!AI10*'Discount Calc'!AI$13</f>
        <v>0</v>
      </c>
      <c r="AJ10" s="48">
        <f>'UnDisc Results'!AJ10*'Discount Calc'!AJ$13</f>
        <v>0</v>
      </c>
      <c r="AK10" s="48">
        <f>'UnDisc Results'!AK10*'Discount Calc'!AK$13</f>
        <v>0</v>
      </c>
      <c r="AL10" s="48">
        <f>'UnDisc Results'!AL10*'Discount Calc'!AL$13</f>
        <v>0</v>
      </c>
      <c r="AM10" s="48">
        <f>'UnDisc Results'!AM10*'Discount Calc'!AM$13</f>
        <v>0</v>
      </c>
      <c r="AN10" s="48">
        <f>'UnDisc Results'!AN10*'Discount Calc'!AN$13</f>
        <v>0</v>
      </c>
      <c r="AO10" s="48">
        <f>'UnDisc Results'!AO10*'Discount Calc'!AO$13</f>
        <v>0</v>
      </c>
      <c r="AP10" s="48">
        <f>'UnDisc Results'!AP10*'Discount Calc'!AP$13</f>
        <v>0</v>
      </c>
      <c r="AQ10" s="48">
        <f>'UnDisc Results'!AQ10*'Discount Calc'!AQ$13</f>
        <v>0</v>
      </c>
      <c r="AR10" s="48">
        <f>'UnDisc Results'!AR10*'Discount Calc'!AR$13</f>
        <v>0</v>
      </c>
      <c r="AS10" s="48">
        <f>'UnDisc Results'!AS10*'Discount Calc'!AS$13</f>
        <v>0</v>
      </c>
      <c r="AT10" s="48">
        <f>'UnDisc Results'!AT10*'Discount Calc'!AT$13</f>
        <v>0</v>
      </c>
      <c r="AU10" s="48">
        <f>'UnDisc Results'!AU10*'Discount Calc'!AU$13</f>
        <v>0</v>
      </c>
      <c r="AV10" s="48">
        <f>'UnDisc Results'!AV10*'Discount Calc'!AV$13</f>
        <v>0</v>
      </c>
      <c r="AW10" s="48">
        <f>'UnDisc Results'!AW10*'Discount Calc'!AW$13</f>
        <v>0</v>
      </c>
      <c r="AX10" s="48">
        <f>'UnDisc Results'!AX10*'Discount Calc'!AX$13</f>
        <v>0</v>
      </c>
      <c r="AY10" s="48">
        <f>'UnDisc Results'!AY10*'Discount Calc'!AY$13</f>
        <v>0</v>
      </c>
      <c r="AZ10" s="48">
        <f>'UnDisc Results'!AZ10*'Discount Calc'!AZ$13</f>
        <v>0</v>
      </c>
      <c r="BA10" s="48">
        <f>'UnDisc Results'!BA10*'Discount Calc'!BA$13</f>
        <v>0</v>
      </c>
    </row>
    <row r="11" spans="1:54" ht="14.5" x14ac:dyDescent="0.35">
      <c r="E11" s="4" t="str">
        <f>'UnDisc Results'!E11</f>
        <v>Safety - Injured</v>
      </c>
      <c r="G11" s="17" t="str">
        <f>'UnDisc Results'!G11&amp;" in "&amp;$F$6</f>
        <v>2024$ in 2024</v>
      </c>
      <c r="H11" s="305">
        <f t="shared" si="1"/>
        <v>2937424.4281107821</v>
      </c>
      <c r="I11" s="48">
        <f>'UnDisc Results'!I11*'Discount Calc'!I$13</f>
        <v>0</v>
      </c>
      <c r="J11" s="48">
        <f>'UnDisc Results'!J11*'Discount Calc'!J$13</f>
        <v>0</v>
      </c>
      <c r="K11" s="48">
        <f>'UnDisc Results'!K11*'Discount Calc'!K$13</f>
        <v>0</v>
      </c>
      <c r="L11" s="48">
        <f>'UnDisc Results'!L11*'Discount Calc'!L$13</f>
        <v>0</v>
      </c>
      <c r="M11" s="48">
        <f>'UnDisc Results'!M11*'Discount Calc'!M$13</f>
        <v>0</v>
      </c>
      <c r="N11" s="48">
        <f>'UnDisc Results'!N11*'Discount Calc'!N$13</f>
        <v>0</v>
      </c>
      <c r="O11" s="48">
        <f>'UnDisc Results'!O11*'Discount Calc'!O$13</f>
        <v>259132.79057858547</v>
      </c>
      <c r="P11" s="48">
        <f>'UnDisc Results'!P11*'Discount Calc'!P$13</f>
        <v>242180.17811082755</v>
      </c>
      <c r="Q11" s="48">
        <f>'UnDisc Results'!Q11*'Discount Calc'!Q$13</f>
        <v>226336.61505684815</v>
      </c>
      <c r="R11" s="48">
        <f>'UnDisc Results'!R11*'Discount Calc'!R$13</f>
        <v>211529.5467821011</v>
      </c>
      <c r="S11" s="48">
        <f>'UnDisc Results'!S11*'Discount Calc'!S$13</f>
        <v>197691.16521691691</v>
      </c>
      <c r="T11" s="48">
        <f>'UnDisc Results'!T11*'Discount Calc'!T$13</f>
        <v>184758.09833356721</v>
      </c>
      <c r="U11" s="48">
        <f>'UnDisc Results'!U11*'Discount Calc'!U$13</f>
        <v>172671.11993791326</v>
      </c>
      <c r="V11" s="48">
        <f>'UnDisc Results'!V11*'Discount Calc'!V$13</f>
        <v>161374.87844664793</v>
      </c>
      <c r="W11" s="48">
        <f>'UnDisc Results'!W11*'Discount Calc'!W$13</f>
        <v>150817.64340808216</v>
      </c>
      <c r="X11" s="48">
        <f>'UnDisc Results'!X11*'Discount Calc'!X$13</f>
        <v>140951.06860568427</v>
      </c>
      <c r="Y11" s="48">
        <f>'UnDisc Results'!Y11*'Discount Calc'!Y$13</f>
        <v>131729.970659518</v>
      </c>
      <c r="Z11" s="48">
        <f>'UnDisc Results'!Z11*'Discount Calc'!Z$13</f>
        <v>123112.12211169908</v>
      </c>
      <c r="AA11" s="48">
        <f>'UnDisc Results'!AA11*'Discount Calc'!AA$13</f>
        <v>115058.0580483169</v>
      </c>
      <c r="AB11" s="48">
        <f>'UnDisc Results'!AB11*'Discount Calc'!AB$13</f>
        <v>107530.89537225876</v>
      </c>
      <c r="AC11" s="48">
        <f>'UnDisc Results'!AC11*'Discount Calc'!AC$13</f>
        <v>100496.16389930726</v>
      </c>
      <c r="AD11" s="48">
        <f>'UnDisc Results'!AD11*'Discount Calc'!AD$13</f>
        <v>93921.648504025492</v>
      </c>
      <c r="AE11" s="48">
        <f>'UnDisc Results'!AE11*'Discount Calc'!AE$13</f>
        <v>87777.241592547187</v>
      </c>
      <c r="AF11" s="48">
        <f>'UnDisc Results'!AF11*'Discount Calc'!AF$13</f>
        <v>82034.805226679615</v>
      </c>
      <c r="AG11" s="48">
        <f>'UnDisc Results'!AG11*'Discount Calc'!AG$13</f>
        <v>76668.042267924859</v>
      </c>
      <c r="AH11" s="48">
        <f>'UnDisc Results'!AH11*'Discount Calc'!AH$13</f>
        <v>71652.375951331647</v>
      </c>
      <c r="AI11" s="48">
        <f>'UnDisc Results'!AI11*'Discount Calc'!AI$13</f>
        <v>0</v>
      </c>
      <c r="AJ11" s="48">
        <f>'UnDisc Results'!AJ11*'Discount Calc'!AJ$13</f>
        <v>0</v>
      </c>
      <c r="AK11" s="48">
        <f>'UnDisc Results'!AK11*'Discount Calc'!AK$13</f>
        <v>0</v>
      </c>
      <c r="AL11" s="48">
        <f>'UnDisc Results'!AL11*'Discount Calc'!AL$13</f>
        <v>0</v>
      </c>
      <c r="AM11" s="48">
        <f>'UnDisc Results'!AM11*'Discount Calc'!AM$13</f>
        <v>0</v>
      </c>
      <c r="AN11" s="48">
        <f>'UnDisc Results'!AN11*'Discount Calc'!AN$13</f>
        <v>0</v>
      </c>
      <c r="AO11" s="48">
        <f>'UnDisc Results'!AO11*'Discount Calc'!AO$13</f>
        <v>0</v>
      </c>
      <c r="AP11" s="48">
        <f>'UnDisc Results'!AP11*'Discount Calc'!AP$13</f>
        <v>0</v>
      </c>
      <c r="AQ11" s="48">
        <f>'UnDisc Results'!AQ11*'Discount Calc'!AQ$13</f>
        <v>0</v>
      </c>
      <c r="AR11" s="48">
        <f>'UnDisc Results'!AR11*'Discount Calc'!AR$13</f>
        <v>0</v>
      </c>
      <c r="AS11" s="48">
        <f>'UnDisc Results'!AS11*'Discount Calc'!AS$13</f>
        <v>0</v>
      </c>
      <c r="AT11" s="48">
        <f>'UnDisc Results'!AT11*'Discount Calc'!AT$13</f>
        <v>0</v>
      </c>
      <c r="AU11" s="48">
        <f>'UnDisc Results'!AU11*'Discount Calc'!AU$13</f>
        <v>0</v>
      </c>
      <c r="AV11" s="48">
        <f>'UnDisc Results'!AV11*'Discount Calc'!AV$13</f>
        <v>0</v>
      </c>
      <c r="AW11" s="48">
        <f>'UnDisc Results'!AW11*'Discount Calc'!AW$13</f>
        <v>0</v>
      </c>
      <c r="AX11" s="48">
        <f>'UnDisc Results'!AX11*'Discount Calc'!AX$13</f>
        <v>0</v>
      </c>
      <c r="AY11" s="48">
        <f>'UnDisc Results'!AY11*'Discount Calc'!AY$13</f>
        <v>0</v>
      </c>
      <c r="AZ11" s="48">
        <f>'UnDisc Results'!AZ11*'Discount Calc'!AZ$13</f>
        <v>0</v>
      </c>
      <c r="BA11" s="48">
        <f>'UnDisc Results'!BA11*'Discount Calc'!BA$13</f>
        <v>0</v>
      </c>
    </row>
    <row r="12" spans="1:54" ht="14.5" x14ac:dyDescent="0.35">
      <c r="E12" s="4" t="str">
        <f>'UnDisc Results'!E12</f>
        <v>Safety - Fatal</v>
      </c>
      <c r="G12" s="17" t="str">
        <f>'UnDisc Results'!G12&amp;" in "&amp;$F$6</f>
        <v>2024$ in 2024</v>
      </c>
      <c r="H12" s="305">
        <f t="shared" si="1"/>
        <v>29295890.085887581</v>
      </c>
      <c r="I12" s="48">
        <f>'UnDisc Results'!I12*'Discount Calc'!I$13</f>
        <v>0</v>
      </c>
      <c r="J12" s="48">
        <f>'UnDisc Results'!J12*'Discount Calc'!J$13</f>
        <v>0</v>
      </c>
      <c r="K12" s="48">
        <f>'UnDisc Results'!K12*'Discount Calc'!K$13</f>
        <v>0</v>
      </c>
      <c r="L12" s="48">
        <f>'UnDisc Results'!L12*'Discount Calc'!L$13</f>
        <v>0</v>
      </c>
      <c r="M12" s="48">
        <f>'UnDisc Results'!M12*'Discount Calc'!M$13</f>
        <v>0</v>
      </c>
      <c r="N12" s="48">
        <f>'UnDisc Results'!N12*'Discount Calc'!N$13</f>
        <v>0</v>
      </c>
      <c r="O12" s="48">
        <f>'UnDisc Results'!O12*'Discount Calc'!O$13</f>
        <v>2584415.6798689412</v>
      </c>
      <c r="P12" s="48">
        <f>'UnDisc Results'!P12*'Discount Calc'!P$13</f>
        <v>2415341.7568868608</v>
      </c>
      <c r="Q12" s="48">
        <f>'UnDisc Results'!Q12*'Discount Calc'!Q$13</f>
        <v>2257328.7447540755</v>
      </c>
      <c r="R12" s="48">
        <f>'UnDisc Results'!R12*'Discount Calc'!R$13</f>
        <v>2109653.0324804443</v>
      </c>
      <c r="S12" s="48">
        <f>'UnDisc Results'!S12*'Discount Calc'!S$13</f>
        <v>1971638.3481125648</v>
      </c>
      <c r="T12" s="48">
        <f>'UnDisc Results'!T12*'Discount Calc'!T$13</f>
        <v>1842652.6617874436</v>
      </c>
      <c r="U12" s="48">
        <f>'UnDisc Results'!U12*'Discount Calc'!U$13</f>
        <v>1722105.291390134</v>
      </c>
      <c r="V12" s="48">
        <f>'UnDisc Results'!V12*'Discount Calc'!V$13</f>
        <v>1609444.1975608731</v>
      </c>
      <c r="W12" s="48">
        <f>'UnDisc Results'!W12*'Discount Calc'!W$13</f>
        <v>1504153.4556643674</v>
      </c>
      <c r="X12" s="48">
        <f>'UnDisc Results'!X12*'Discount Calc'!X$13</f>
        <v>1405750.8931442688</v>
      </c>
      <c r="Y12" s="48">
        <f>'UnDisc Results'!Y12*'Discount Calc'!Y$13</f>
        <v>1313785.8814432416</v>
      </c>
      <c r="Z12" s="48">
        <f>'UnDisc Results'!Z12*'Discount Calc'!Z$13</f>
        <v>1227837.2723768614</v>
      </c>
      <c r="AA12" s="48">
        <f>'UnDisc Results'!AA12*'Discount Calc'!AA$13</f>
        <v>1147511.4695110857</v>
      </c>
      <c r="AB12" s="48">
        <f>'UnDisc Results'!AB12*'Discount Calc'!AB$13</f>
        <v>1072440.6257112948</v>
      </c>
      <c r="AC12" s="48">
        <f>'UnDisc Results'!AC12*'Discount Calc'!AC$13</f>
        <v>1002280.9586086867</v>
      </c>
      <c r="AD12" s="48">
        <f>'UnDisc Results'!AD12*'Discount Calc'!AD$13</f>
        <v>936711.17626980075</v>
      </c>
      <c r="AE12" s="48">
        <f>'UnDisc Results'!AE12*'Discount Calc'!AE$13</f>
        <v>875431.00585962681</v>
      </c>
      <c r="AF12" s="48">
        <f>'UnDisc Results'!AF12*'Discount Calc'!AF$13</f>
        <v>818159.81856039888</v>
      </c>
      <c r="AG12" s="48">
        <f>'UnDisc Results'!AG12*'Discount Calc'!AG$13</f>
        <v>764635.34444897086</v>
      </c>
      <c r="AH12" s="48">
        <f>'UnDisc Results'!AH12*'Discount Calc'!AH$13</f>
        <v>714612.47144763637</v>
      </c>
      <c r="AI12" s="48">
        <f>'UnDisc Results'!AI12*'Discount Calc'!AI$13</f>
        <v>0</v>
      </c>
      <c r="AJ12" s="48">
        <f>'UnDisc Results'!AJ12*'Discount Calc'!AJ$13</f>
        <v>0</v>
      </c>
      <c r="AK12" s="48">
        <f>'UnDisc Results'!AK12*'Discount Calc'!AK$13</f>
        <v>0</v>
      </c>
      <c r="AL12" s="48">
        <f>'UnDisc Results'!AL12*'Discount Calc'!AL$13</f>
        <v>0</v>
      </c>
      <c r="AM12" s="48">
        <f>'UnDisc Results'!AM12*'Discount Calc'!AM$13</f>
        <v>0</v>
      </c>
      <c r="AN12" s="48">
        <f>'UnDisc Results'!AN12*'Discount Calc'!AN$13</f>
        <v>0</v>
      </c>
      <c r="AO12" s="48">
        <f>'UnDisc Results'!AO12*'Discount Calc'!AO$13</f>
        <v>0</v>
      </c>
      <c r="AP12" s="48">
        <f>'UnDisc Results'!AP12*'Discount Calc'!AP$13</f>
        <v>0</v>
      </c>
      <c r="AQ12" s="48">
        <f>'UnDisc Results'!AQ12*'Discount Calc'!AQ$13</f>
        <v>0</v>
      </c>
      <c r="AR12" s="48">
        <f>'UnDisc Results'!AR12*'Discount Calc'!AR$13</f>
        <v>0</v>
      </c>
      <c r="AS12" s="48">
        <f>'UnDisc Results'!AS12*'Discount Calc'!AS$13</f>
        <v>0</v>
      </c>
      <c r="AT12" s="48">
        <f>'UnDisc Results'!AT12*'Discount Calc'!AT$13</f>
        <v>0</v>
      </c>
      <c r="AU12" s="48">
        <f>'UnDisc Results'!AU12*'Discount Calc'!AU$13</f>
        <v>0</v>
      </c>
      <c r="AV12" s="48">
        <f>'UnDisc Results'!AV12*'Discount Calc'!AV$13</f>
        <v>0</v>
      </c>
      <c r="AW12" s="48">
        <f>'UnDisc Results'!AW12*'Discount Calc'!AW$13</f>
        <v>0</v>
      </c>
      <c r="AX12" s="48">
        <f>'UnDisc Results'!AX12*'Discount Calc'!AX$13</f>
        <v>0</v>
      </c>
      <c r="AY12" s="48">
        <f>'UnDisc Results'!AY12*'Discount Calc'!AY$13</f>
        <v>0</v>
      </c>
      <c r="AZ12" s="48">
        <f>'UnDisc Results'!AZ12*'Discount Calc'!AZ$13</f>
        <v>0</v>
      </c>
      <c r="BA12" s="48">
        <f>'UnDisc Results'!BA12*'Discount Calc'!BA$13</f>
        <v>0</v>
      </c>
    </row>
    <row r="13" spans="1:54" ht="14.5" x14ac:dyDescent="0.35">
      <c r="E13" s="4" t="str">
        <f>'UnDisc Results'!E13</f>
        <v>Residual Value</v>
      </c>
      <c r="G13" s="17" t="str">
        <f>'UnDisc Results'!G13&amp;" in "&amp;$F$6</f>
        <v>2024$ in 2024</v>
      </c>
      <c r="H13" s="305">
        <f t="shared" ref="H13:H16" si="2">SUM(I13:BA13)</f>
        <v>2328665.2532603857</v>
      </c>
      <c r="I13" s="48">
        <f>'UnDisc Results'!I13*'Discount Calc'!I$13</f>
        <v>0</v>
      </c>
      <c r="J13" s="48">
        <f>'UnDisc Results'!J13*'Discount Calc'!J$13</f>
        <v>0</v>
      </c>
      <c r="K13" s="48">
        <f>'UnDisc Results'!K13*'Discount Calc'!K$13</f>
        <v>0</v>
      </c>
      <c r="L13" s="48">
        <f>'UnDisc Results'!L13*'Discount Calc'!L$13</f>
        <v>0</v>
      </c>
      <c r="M13" s="48">
        <f>'UnDisc Results'!M13*'Discount Calc'!M$13</f>
        <v>0</v>
      </c>
      <c r="N13" s="48">
        <f>'UnDisc Results'!N13*'Discount Calc'!N$13</f>
        <v>0</v>
      </c>
      <c r="O13" s="48">
        <f>'UnDisc Results'!O13*'Discount Calc'!O$13</f>
        <v>0</v>
      </c>
      <c r="P13" s="48">
        <f>'UnDisc Results'!P13*'Discount Calc'!P$13</f>
        <v>0</v>
      </c>
      <c r="Q13" s="48">
        <f>'UnDisc Results'!Q13*'Discount Calc'!Q$13</f>
        <v>0</v>
      </c>
      <c r="R13" s="48">
        <f>'UnDisc Results'!R13*'Discount Calc'!R$13</f>
        <v>0</v>
      </c>
      <c r="S13" s="48">
        <f>'UnDisc Results'!S13*'Discount Calc'!S$13</f>
        <v>0</v>
      </c>
      <c r="T13" s="48">
        <f>'UnDisc Results'!T13*'Discount Calc'!T$13</f>
        <v>0</v>
      </c>
      <c r="U13" s="48">
        <f>'UnDisc Results'!U13*'Discount Calc'!U$13</f>
        <v>0</v>
      </c>
      <c r="V13" s="48">
        <f>'UnDisc Results'!V13*'Discount Calc'!V$13</f>
        <v>0</v>
      </c>
      <c r="W13" s="48">
        <f>'UnDisc Results'!W13*'Discount Calc'!W$13</f>
        <v>0</v>
      </c>
      <c r="X13" s="48">
        <f>'UnDisc Results'!X13*'Discount Calc'!X$13</f>
        <v>0</v>
      </c>
      <c r="Y13" s="48">
        <f>'UnDisc Results'!Y13*'Discount Calc'!Y$13</f>
        <v>0</v>
      </c>
      <c r="Z13" s="48">
        <f>'UnDisc Results'!Z13*'Discount Calc'!Z$13</f>
        <v>0</v>
      </c>
      <c r="AA13" s="48">
        <f>'UnDisc Results'!AA13*'Discount Calc'!AA$13</f>
        <v>0</v>
      </c>
      <c r="AB13" s="48">
        <f>'UnDisc Results'!AB13*'Discount Calc'!AB$13</f>
        <v>0</v>
      </c>
      <c r="AC13" s="48">
        <f>'UnDisc Results'!AC13*'Discount Calc'!AC$13</f>
        <v>0</v>
      </c>
      <c r="AD13" s="48">
        <f>'UnDisc Results'!AD13*'Discount Calc'!AD$13</f>
        <v>0</v>
      </c>
      <c r="AE13" s="48">
        <f>'UnDisc Results'!AE13*'Discount Calc'!AE$13</f>
        <v>0</v>
      </c>
      <c r="AF13" s="48">
        <f>'UnDisc Results'!AF13*'Discount Calc'!AF$13</f>
        <v>0</v>
      </c>
      <c r="AG13" s="48">
        <f>'UnDisc Results'!AG13*'Discount Calc'!AG$13</f>
        <v>0</v>
      </c>
      <c r="AH13" s="48">
        <f>'UnDisc Results'!AH13*'Discount Calc'!AH$13</f>
        <v>2328665.2532603857</v>
      </c>
      <c r="AI13" s="48">
        <f>'UnDisc Results'!AI13*'Discount Calc'!AI$13</f>
        <v>0</v>
      </c>
      <c r="AJ13" s="48">
        <f>'UnDisc Results'!AJ13*'Discount Calc'!AJ$13</f>
        <v>0</v>
      </c>
      <c r="AK13" s="48">
        <f>'UnDisc Results'!AK13*'Discount Calc'!AK$13</f>
        <v>0</v>
      </c>
      <c r="AL13" s="48">
        <f>'UnDisc Results'!AL13*'Discount Calc'!AL$13</f>
        <v>0</v>
      </c>
      <c r="AM13" s="48">
        <f>'UnDisc Results'!AM13*'Discount Calc'!AM$13</f>
        <v>0</v>
      </c>
      <c r="AN13" s="48">
        <f>'UnDisc Results'!AN13*'Discount Calc'!AN$13</f>
        <v>0</v>
      </c>
      <c r="AO13" s="48">
        <f>'UnDisc Results'!AO13*'Discount Calc'!AO$13</f>
        <v>0</v>
      </c>
      <c r="AP13" s="48">
        <f>'UnDisc Results'!AP13*'Discount Calc'!AP$13</f>
        <v>0</v>
      </c>
      <c r="AQ13" s="48">
        <f>'UnDisc Results'!AQ13*'Discount Calc'!AQ$13</f>
        <v>0</v>
      </c>
      <c r="AR13" s="48">
        <f>'UnDisc Results'!AR13*'Discount Calc'!AR$13</f>
        <v>0</v>
      </c>
      <c r="AS13" s="48">
        <f>'UnDisc Results'!AS13*'Discount Calc'!AS$13</f>
        <v>0</v>
      </c>
      <c r="AT13" s="48">
        <f>'UnDisc Results'!AT13*'Discount Calc'!AT$13</f>
        <v>0</v>
      </c>
      <c r="AU13" s="48">
        <f>'UnDisc Results'!AU13*'Discount Calc'!AU$13</f>
        <v>0</v>
      </c>
      <c r="AV13" s="48">
        <f>'UnDisc Results'!AV13*'Discount Calc'!AV$13</f>
        <v>0</v>
      </c>
      <c r="AW13" s="48">
        <f>'UnDisc Results'!AW13*'Discount Calc'!AW$13</f>
        <v>0</v>
      </c>
      <c r="AX13" s="48">
        <f>'UnDisc Results'!AX13*'Discount Calc'!AX$13</f>
        <v>0</v>
      </c>
      <c r="AY13" s="48">
        <f>'UnDisc Results'!AY13*'Discount Calc'!AY$13</f>
        <v>0</v>
      </c>
      <c r="AZ13" s="48">
        <f>'UnDisc Results'!AZ13*'Discount Calc'!AZ$13</f>
        <v>0</v>
      </c>
      <c r="BA13" s="48">
        <f>'UnDisc Results'!BA13*'Discount Calc'!BA$13</f>
        <v>0</v>
      </c>
    </row>
    <row r="14" spans="1:54" ht="14.5" x14ac:dyDescent="0.35">
      <c r="E14" s="4" t="str">
        <f>'UnDisc Results'!E14</f>
        <v>Change in O&amp;M Costs</v>
      </c>
      <c r="G14" s="17" t="str">
        <f>'UnDisc Results'!G14&amp;" in "&amp;$F$6</f>
        <v>2024$ in 2024</v>
      </c>
      <c r="H14" s="305">
        <f t="shared" si="2"/>
        <v>0</v>
      </c>
      <c r="I14" s="48">
        <f>'UnDisc Results'!I14*'Discount Calc'!I$13</f>
        <v>0</v>
      </c>
      <c r="J14" s="48">
        <f>'UnDisc Results'!J14*'Discount Calc'!J$13</f>
        <v>0</v>
      </c>
      <c r="K14" s="48">
        <f>'UnDisc Results'!K14*'Discount Calc'!K$13</f>
        <v>0</v>
      </c>
      <c r="L14" s="48">
        <f>'UnDisc Results'!L14*'Discount Calc'!L$13</f>
        <v>0</v>
      </c>
      <c r="M14" s="48">
        <f>'UnDisc Results'!M14*'Discount Calc'!M$13</f>
        <v>0</v>
      </c>
      <c r="N14" s="48">
        <f>'UnDisc Results'!N14*'Discount Calc'!N$13</f>
        <v>0</v>
      </c>
      <c r="O14" s="48">
        <f>'UnDisc Results'!O14*'Discount Calc'!O$13</f>
        <v>0</v>
      </c>
      <c r="P14" s="48">
        <f>'UnDisc Results'!P14*'Discount Calc'!P$13</f>
        <v>0</v>
      </c>
      <c r="Q14" s="48">
        <f>'UnDisc Results'!Q14*'Discount Calc'!Q$13</f>
        <v>0</v>
      </c>
      <c r="R14" s="48">
        <f>'UnDisc Results'!R14*'Discount Calc'!R$13</f>
        <v>0</v>
      </c>
      <c r="S14" s="48">
        <f>'UnDisc Results'!S14*'Discount Calc'!S$13</f>
        <v>0</v>
      </c>
      <c r="T14" s="48">
        <f>'UnDisc Results'!T14*'Discount Calc'!T$13</f>
        <v>0</v>
      </c>
      <c r="U14" s="48">
        <f>'UnDisc Results'!U14*'Discount Calc'!U$13</f>
        <v>0</v>
      </c>
      <c r="V14" s="48">
        <f>'UnDisc Results'!V14*'Discount Calc'!V$13</f>
        <v>0</v>
      </c>
      <c r="W14" s="48">
        <f>'UnDisc Results'!W14*'Discount Calc'!W$13</f>
        <v>0</v>
      </c>
      <c r="X14" s="48">
        <f>'UnDisc Results'!X14*'Discount Calc'!X$13</f>
        <v>0</v>
      </c>
      <c r="Y14" s="48">
        <f>'UnDisc Results'!Y14*'Discount Calc'!Y$13</f>
        <v>0</v>
      </c>
      <c r="Z14" s="48">
        <f>'UnDisc Results'!Z14*'Discount Calc'!Z$13</f>
        <v>0</v>
      </c>
      <c r="AA14" s="48">
        <f>'UnDisc Results'!AA14*'Discount Calc'!AA$13</f>
        <v>0</v>
      </c>
      <c r="AB14" s="48">
        <f>'UnDisc Results'!AB14*'Discount Calc'!AB$13</f>
        <v>0</v>
      </c>
      <c r="AC14" s="48">
        <f>'UnDisc Results'!AC14*'Discount Calc'!AC$13</f>
        <v>0</v>
      </c>
      <c r="AD14" s="48">
        <f>'UnDisc Results'!AD14*'Discount Calc'!AD$13</f>
        <v>0</v>
      </c>
      <c r="AE14" s="48">
        <f>'UnDisc Results'!AE14*'Discount Calc'!AE$13</f>
        <v>0</v>
      </c>
      <c r="AF14" s="48">
        <f>'UnDisc Results'!AF14*'Discount Calc'!AF$13</f>
        <v>0</v>
      </c>
      <c r="AG14" s="48">
        <f>'UnDisc Results'!AG14*'Discount Calc'!AG$13</f>
        <v>0</v>
      </c>
      <c r="AH14" s="48">
        <f>'UnDisc Results'!AH14*'Discount Calc'!AH$13</f>
        <v>0</v>
      </c>
      <c r="AI14" s="48">
        <f>'UnDisc Results'!AI14*'Discount Calc'!AI$13</f>
        <v>0</v>
      </c>
      <c r="AJ14" s="48">
        <f>'UnDisc Results'!AJ14*'Discount Calc'!AJ$13</f>
        <v>0</v>
      </c>
      <c r="AK14" s="48">
        <f>'UnDisc Results'!AK14*'Discount Calc'!AK$13</f>
        <v>0</v>
      </c>
      <c r="AL14" s="48">
        <f>'UnDisc Results'!AL14*'Discount Calc'!AL$13</f>
        <v>0</v>
      </c>
      <c r="AM14" s="48">
        <f>'UnDisc Results'!AM14*'Discount Calc'!AM$13</f>
        <v>0</v>
      </c>
      <c r="AN14" s="48">
        <f>'UnDisc Results'!AN14*'Discount Calc'!AN$13</f>
        <v>0</v>
      </c>
      <c r="AO14" s="48">
        <f>'UnDisc Results'!AO14*'Discount Calc'!AO$13</f>
        <v>0</v>
      </c>
      <c r="AP14" s="48">
        <f>'UnDisc Results'!AP14*'Discount Calc'!AP$13</f>
        <v>0</v>
      </c>
      <c r="AQ14" s="48">
        <f>'UnDisc Results'!AQ14*'Discount Calc'!AQ$13</f>
        <v>0</v>
      </c>
      <c r="AR14" s="48">
        <f>'UnDisc Results'!AR14*'Discount Calc'!AR$13</f>
        <v>0</v>
      </c>
      <c r="AS14" s="48">
        <f>'UnDisc Results'!AS14*'Discount Calc'!AS$13</f>
        <v>0</v>
      </c>
      <c r="AT14" s="48">
        <f>'UnDisc Results'!AT14*'Discount Calc'!AT$13</f>
        <v>0</v>
      </c>
      <c r="AU14" s="48">
        <f>'UnDisc Results'!AU14*'Discount Calc'!AU$13</f>
        <v>0</v>
      </c>
      <c r="AV14" s="48">
        <f>'UnDisc Results'!AV14*'Discount Calc'!AV$13</f>
        <v>0</v>
      </c>
      <c r="AW14" s="48">
        <f>'UnDisc Results'!AW14*'Discount Calc'!AW$13</f>
        <v>0</v>
      </c>
      <c r="AX14" s="48">
        <f>'UnDisc Results'!AX14*'Discount Calc'!AX$13</f>
        <v>0</v>
      </c>
      <c r="AY14" s="48">
        <f>'UnDisc Results'!AY14*'Discount Calc'!AY$13</f>
        <v>0</v>
      </c>
      <c r="AZ14" s="48">
        <f>'UnDisc Results'!AZ14*'Discount Calc'!AZ$13</f>
        <v>0</v>
      </c>
      <c r="BA14" s="48">
        <f>'UnDisc Results'!BA14*'Discount Calc'!BA$13</f>
        <v>0</v>
      </c>
    </row>
    <row r="15" spans="1:54" ht="14.5" x14ac:dyDescent="0.35">
      <c r="E15" s="4" t="str">
        <f>'UnDisc Results'!E15</f>
        <v>Change in R&amp;R Costs</v>
      </c>
      <c r="G15" s="17" t="str">
        <f>'UnDisc Results'!G15&amp;" in "&amp;$F$6</f>
        <v>2024$ in 2024</v>
      </c>
      <c r="H15" s="305">
        <f t="shared" si="2"/>
        <v>2702524.8330173595</v>
      </c>
      <c r="I15" s="48">
        <f>'UnDisc Results'!I15*'Discount Calc'!I$13</f>
        <v>0</v>
      </c>
      <c r="J15" s="48">
        <f>'UnDisc Results'!J15*'Discount Calc'!J$13</f>
        <v>0</v>
      </c>
      <c r="K15" s="48">
        <f>'UnDisc Results'!K15*'Discount Calc'!K$13</f>
        <v>0</v>
      </c>
      <c r="L15" s="48">
        <f>'UnDisc Results'!L15*'Discount Calc'!L$13</f>
        <v>1708286.5232690291</v>
      </c>
      <c r="M15" s="48">
        <f>'UnDisc Results'!M15*'Discount Calc'!M$13</f>
        <v>0</v>
      </c>
      <c r="N15" s="48">
        <f>'UnDisc Results'!N15*'Discount Calc'!N$13</f>
        <v>0</v>
      </c>
      <c r="O15" s="48">
        <f>'UnDisc Results'!O15*'Discount Calc'!O$13</f>
        <v>0</v>
      </c>
      <c r="P15" s="48">
        <f>'UnDisc Results'!P15*'Discount Calc'!P$13</f>
        <v>0</v>
      </c>
      <c r="Q15" s="48">
        <f>'UnDisc Results'!Q15*'Discount Calc'!Q$13</f>
        <v>0</v>
      </c>
      <c r="R15" s="48">
        <f>'UnDisc Results'!R15*'Discount Calc'!R$13</f>
        <v>0</v>
      </c>
      <c r="S15" s="48">
        <f>'UnDisc Results'!S15*'Discount Calc'!S$13</f>
        <v>0</v>
      </c>
      <c r="T15" s="48">
        <f>'UnDisc Results'!T15*'Discount Calc'!T$13</f>
        <v>994238.30974833039</v>
      </c>
      <c r="U15" s="48">
        <f>'UnDisc Results'!U15*'Discount Calc'!U$13</f>
        <v>0</v>
      </c>
      <c r="V15" s="48">
        <f>'UnDisc Results'!V15*'Discount Calc'!V$13</f>
        <v>0</v>
      </c>
      <c r="W15" s="48">
        <f>'UnDisc Results'!W15*'Discount Calc'!W$13</f>
        <v>0</v>
      </c>
      <c r="X15" s="48">
        <f>'UnDisc Results'!X15*'Discount Calc'!X$13</f>
        <v>0</v>
      </c>
      <c r="Y15" s="48">
        <f>'UnDisc Results'!Y15*'Discount Calc'!Y$13</f>
        <v>0</v>
      </c>
      <c r="Z15" s="48">
        <f>'UnDisc Results'!Z15*'Discount Calc'!Z$13</f>
        <v>0</v>
      </c>
      <c r="AA15" s="48">
        <f>'UnDisc Results'!AA15*'Discount Calc'!AA$13</f>
        <v>0</v>
      </c>
      <c r="AB15" s="48">
        <f>'UnDisc Results'!AB15*'Discount Calc'!AB$13</f>
        <v>0</v>
      </c>
      <c r="AC15" s="48">
        <f>'UnDisc Results'!AC15*'Discount Calc'!AC$13</f>
        <v>0</v>
      </c>
      <c r="AD15" s="48">
        <f>'UnDisc Results'!AD15*'Discount Calc'!AD$13</f>
        <v>0</v>
      </c>
      <c r="AE15" s="48">
        <f>'UnDisc Results'!AE15*'Discount Calc'!AE$13</f>
        <v>0</v>
      </c>
      <c r="AF15" s="48">
        <f>'UnDisc Results'!AF15*'Discount Calc'!AF$13</f>
        <v>0</v>
      </c>
      <c r="AG15" s="48">
        <f>'UnDisc Results'!AG15*'Discount Calc'!AG$13</f>
        <v>0</v>
      </c>
      <c r="AH15" s="48">
        <f>'UnDisc Results'!AH15*'Discount Calc'!AH$13</f>
        <v>0</v>
      </c>
      <c r="AI15" s="48">
        <f>'UnDisc Results'!AI15*'Discount Calc'!AI$13</f>
        <v>0</v>
      </c>
      <c r="AJ15" s="48">
        <f>'UnDisc Results'!AJ15*'Discount Calc'!AJ$13</f>
        <v>0</v>
      </c>
      <c r="AK15" s="48">
        <f>'UnDisc Results'!AK15*'Discount Calc'!AK$13</f>
        <v>0</v>
      </c>
      <c r="AL15" s="48">
        <f>'UnDisc Results'!AL15*'Discount Calc'!AL$13</f>
        <v>0</v>
      </c>
      <c r="AM15" s="48">
        <f>'UnDisc Results'!AM15*'Discount Calc'!AM$13</f>
        <v>0</v>
      </c>
      <c r="AN15" s="48">
        <f>'UnDisc Results'!AN15*'Discount Calc'!AN$13</f>
        <v>0</v>
      </c>
      <c r="AO15" s="48">
        <f>'UnDisc Results'!AO15*'Discount Calc'!AO$13</f>
        <v>0</v>
      </c>
      <c r="AP15" s="48">
        <f>'UnDisc Results'!AP15*'Discount Calc'!AP$13</f>
        <v>0</v>
      </c>
      <c r="AQ15" s="48">
        <f>'UnDisc Results'!AQ15*'Discount Calc'!AQ$13</f>
        <v>0</v>
      </c>
      <c r="AR15" s="48">
        <f>'UnDisc Results'!AR15*'Discount Calc'!AR$13</f>
        <v>0</v>
      </c>
      <c r="AS15" s="48">
        <f>'UnDisc Results'!AS15*'Discount Calc'!AS$13</f>
        <v>0</v>
      </c>
      <c r="AT15" s="48">
        <f>'UnDisc Results'!AT15*'Discount Calc'!AT$13</f>
        <v>0</v>
      </c>
      <c r="AU15" s="48">
        <f>'UnDisc Results'!AU15*'Discount Calc'!AU$13</f>
        <v>0</v>
      </c>
      <c r="AV15" s="48">
        <f>'UnDisc Results'!AV15*'Discount Calc'!AV$13</f>
        <v>0</v>
      </c>
      <c r="AW15" s="48">
        <f>'UnDisc Results'!AW15*'Discount Calc'!AW$13</f>
        <v>0</v>
      </c>
      <c r="AX15" s="48">
        <f>'UnDisc Results'!AX15*'Discount Calc'!AX$13</f>
        <v>0</v>
      </c>
      <c r="AY15" s="48">
        <f>'UnDisc Results'!AY15*'Discount Calc'!AY$13</f>
        <v>0</v>
      </c>
      <c r="AZ15" s="48">
        <f>'UnDisc Results'!AZ15*'Discount Calc'!AZ$13</f>
        <v>0</v>
      </c>
      <c r="BA15" s="48">
        <f>'UnDisc Results'!BA15*'Discount Calc'!BA$13</f>
        <v>0</v>
      </c>
    </row>
    <row r="16" spans="1:54" ht="14.5" x14ac:dyDescent="0.35">
      <c r="E16" s="4" t="str">
        <f>'UnDisc Results'!E16</f>
        <v>Capital Costs (above No Build)</v>
      </c>
      <c r="G16" s="17" t="str">
        <f>'UnDisc Results'!G16&amp;" in "&amp;$F$6</f>
        <v>2024$ in 2024</v>
      </c>
      <c r="H16" s="305">
        <f t="shared" si="2"/>
        <v>29873401.657455102</v>
      </c>
      <c r="I16" s="48">
        <f>'UnDisc Results'!I16*'Discount Calc'!I$13</f>
        <v>327709.29052218742</v>
      </c>
      <c r="J16" s="48">
        <f>'UnDisc Results'!J16*'Discount Calc'!J$13</f>
        <v>377521.10268155992</v>
      </c>
      <c r="K16" s="48">
        <f>'UnDisc Results'!K16*'Discount Calc'!K$13</f>
        <v>338710.52203205373</v>
      </c>
      <c r="L16" s="48">
        <f>'UnDisc Results'!L16*'Discount Calc'!L$13</f>
        <v>304376.81706690654</v>
      </c>
      <c r="M16" s="48">
        <f>'UnDisc Results'!M16*'Discount Calc'!M$13</f>
        <v>22472785.58635699</v>
      </c>
      <c r="N16" s="48">
        <f>'UnDisc Results'!N16*'Discount Calc'!N$13</f>
        <v>6052298.3387954049</v>
      </c>
      <c r="O16" s="48">
        <f>'UnDisc Results'!O16*'Discount Calc'!O$13</f>
        <v>0</v>
      </c>
      <c r="P16" s="48">
        <f>'UnDisc Results'!P16*'Discount Calc'!P$13</f>
        <v>0</v>
      </c>
      <c r="Q16" s="48">
        <f>'UnDisc Results'!Q16*'Discount Calc'!Q$13</f>
        <v>0</v>
      </c>
      <c r="R16" s="48">
        <f>'UnDisc Results'!R16*'Discount Calc'!R$13</f>
        <v>0</v>
      </c>
      <c r="S16" s="48">
        <f>'UnDisc Results'!S16*'Discount Calc'!S$13</f>
        <v>0</v>
      </c>
      <c r="T16" s="48">
        <f>'UnDisc Results'!T16*'Discount Calc'!T$13</f>
        <v>0</v>
      </c>
      <c r="U16" s="48">
        <f>'UnDisc Results'!U16*'Discount Calc'!U$13</f>
        <v>0</v>
      </c>
      <c r="V16" s="48">
        <f>'UnDisc Results'!V16*'Discount Calc'!V$13</f>
        <v>0</v>
      </c>
      <c r="W16" s="48">
        <f>'UnDisc Results'!W16*'Discount Calc'!W$13</f>
        <v>0</v>
      </c>
      <c r="X16" s="48">
        <f>'UnDisc Results'!X16*'Discount Calc'!X$13</f>
        <v>0</v>
      </c>
      <c r="Y16" s="48">
        <f>'UnDisc Results'!Y16*'Discount Calc'!Y$13</f>
        <v>0</v>
      </c>
      <c r="Z16" s="48">
        <f>'UnDisc Results'!Z16*'Discount Calc'!Z$13</f>
        <v>0</v>
      </c>
      <c r="AA16" s="48">
        <f>'UnDisc Results'!AA16*'Discount Calc'!AA$13</f>
        <v>0</v>
      </c>
      <c r="AB16" s="48">
        <f>'UnDisc Results'!AB16*'Discount Calc'!AB$13</f>
        <v>0</v>
      </c>
      <c r="AC16" s="48">
        <f>'UnDisc Results'!AC16*'Discount Calc'!AC$13</f>
        <v>0</v>
      </c>
      <c r="AD16" s="48">
        <f>'UnDisc Results'!AD16*'Discount Calc'!AD$13</f>
        <v>0</v>
      </c>
      <c r="AE16" s="48">
        <f>'UnDisc Results'!AE16*'Discount Calc'!AE$13</f>
        <v>0</v>
      </c>
      <c r="AF16" s="48">
        <f>'UnDisc Results'!AF16*'Discount Calc'!AF$13</f>
        <v>0</v>
      </c>
      <c r="AG16" s="48">
        <f>'UnDisc Results'!AG16*'Discount Calc'!AG$13</f>
        <v>0</v>
      </c>
      <c r="AH16" s="48">
        <f>'UnDisc Results'!AH16*'Discount Calc'!AH$13</f>
        <v>0</v>
      </c>
      <c r="AI16" s="48">
        <f>'UnDisc Results'!AI16*'Discount Calc'!AI$13</f>
        <v>0</v>
      </c>
      <c r="AJ16" s="48">
        <f>'UnDisc Results'!AJ16*'Discount Calc'!AJ$13</f>
        <v>0</v>
      </c>
      <c r="AK16" s="48">
        <f>'UnDisc Results'!AK16*'Discount Calc'!AK$13</f>
        <v>0</v>
      </c>
      <c r="AL16" s="48">
        <f>'UnDisc Results'!AL16*'Discount Calc'!AL$13</f>
        <v>0</v>
      </c>
      <c r="AM16" s="48">
        <f>'UnDisc Results'!AM16*'Discount Calc'!AM$13</f>
        <v>0</v>
      </c>
      <c r="AN16" s="48">
        <f>'UnDisc Results'!AN16*'Discount Calc'!AN$13</f>
        <v>0</v>
      </c>
      <c r="AO16" s="48">
        <f>'UnDisc Results'!AO16*'Discount Calc'!AO$13</f>
        <v>0</v>
      </c>
      <c r="AP16" s="48">
        <f>'UnDisc Results'!AP16*'Discount Calc'!AP$13</f>
        <v>0</v>
      </c>
      <c r="AQ16" s="48">
        <f>'UnDisc Results'!AQ16*'Discount Calc'!AQ$13</f>
        <v>0</v>
      </c>
      <c r="AR16" s="48">
        <f>'UnDisc Results'!AR16*'Discount Calc'!AR$13</f>
        <v>0</v>
      </c>
      <c r="AS16" s="48">
        <f>'UnDisc Results'!AS16*'Discount Calc'!AS$13</f>
        <v>0</v>
      </c>
      <c r="AT16" s="48">
        <f>'UnDisc Results'!AT16*'Discount Calc'!AT$13</f>
        <v>0</v>
      </c>
      <c r="AU16" s="48">
        <f>'UnDisc Results'!AU16*'Discount Calc'!AU$13</f>
        <v>0</v>
      </c>
      <c r="AV16" s="48">
        <f>'UnDisc Results'!AV16*'Discount Calc'!AV$13</f>
        <v>0</v>
      </c>
      <c r="AW16" s="48">
        <f>'UnDisc Results'!AW16*'Discount Calc'!AW$13</f>
        <v>0</v>
      </c>
      <c r="AX16" s="48">
        <f>'UnDisc Results'!AX16*'Discount Calc'!AX$13</f>
        <v>0</v>
      </c>
      <c r="AY16" s="48">
        <f>'UnDisc Results'!AY16*'Discount Calc'!AY$13</f>
        <v>0</v>
      </c>
      <c r="AZ16" s="48">
        <f>'UnDisc Results'!AZ16*'Discount Calc'!AZ$13</f>
        <v>0</v>
      </c>
      <c r="BA16" s="48">
        <f>'UnDisc Results'!BA16*'Discount Calc'!BA$13</f>
        <v>0</v>
      </c>
    </row>
    <row r="17" spans="5:53" ht="15" customHeight="1" x14ac:dyDescent="0.35">
      <c r="E17" s="102" t="str">
        <f>'UnDisc Results'!E17</f>
        <v>TOTAL BASE BENEFITS</v>
      </c>
      <c r="F17" s="101"/>
      <c r="G17" s="103" t="str">
        <f>'UnDisc Results'!G17&amp;" in "&amp;$F$6</f>
        <v>2024$ in 2024</v>
      </c>
      <c r="H17" s="103"/>
      <c r="I17" s="104">
        <f t="shared" ref="I17:BA17" si="3">SUM(I8:I15)</f>
        <v>0</v>
      </c>
      <c r="J17" s="104">
        <f t="shared" si="3"/>
        <v>0</v>
      </c>
      <c r="K17" s="104">
        <f t="shared" si="3"/>
        <v>0</v>
      </c>
      <c r="L17" s="104">
        <f t="shared" si="3"/>
        <v>1708286.5232690291</v>
      </c>
      <c r="M17" s="104">
        <f t="shared" si="3"/>
        <v>0</v>
      </c>
      <c r="N17" s="104">
        <f t="shared" si="3"/>
        <v>0</v>
      </c>
      <c r="O17" s="104">
        <f t="shared" si="3"/>
        <v>3295187.2781554563</v>
      </c>
      <c r="P17" s="104">
        <f t="shared" si="3"/>
        <v>3089984.1643499592</v>
      </c>
      <c r="Q17" s="104">
        <f t="shared" si="3"/>
        <v>2897779.1281104297</v>
      </c>
      <c r="R17" s="104">
        <f t="shared" si="3"/>
        <v>2717739.3631559913</v>
      </c>
      <c r="S17" s="104">
        <f t="shared" si="3"/>
        <v>2549085.8247842798</v>
      </c>
      <c r="T17" s="104">
        <f t="shared" si="3"/>
        <v>3385328.0521588521</v>
      </c>
      <c r="U17" s="104">
        <f t="shared" si="3"/>
        <v>2243069.359038963</v>
      </c>
      <c r="V17" s="104">
        <f t="shared" si="3"/>
        <v>2104386.8828706853</v>
      </c>
      <c r="W17" s="104">
        <f t="shared" si="3"/>
        <v>1974445.6372178826</v>
      </c>
      <c r="X17" s="104">
        <f t="shared" si="3"/>
        <v>1852687.3957973183</v>
      </c>
      <c r="Y17" s="104">
        <f t="shared" si="3"/>
        <v>1738589.8913195839</v>
      </c>
      <c r="Z17" s="104">
        <f t="shared" si="3"/>
        <v>1631664.4860794595</v>
      </c>
      <c r="AA17" s="104">
        <f t="shared" si="3"/>
        <v>1531453.993989764</v>
      </c>
      <c r="AB17" s="104">
        <f t="shared" si="3"/>
        <v>1437530.6441902043</v>
      </c>
      <c r="AC17" s="104">
        <f t="shared" si="3"/>
        <v>1112425.2890739369</v>
      </c>
      <c r="AD17" s="104">
        <f t="shared" si="3"/>
        <v>1965769.3837688458</v>
      </c>
      <c r="AE17" s="104">
        <f t="shared" si="3"/>
        <v>1859671.4886655547</v>
      </c>
      <c r="AF17" s="104">
        <f t="shared" si="3"/>
        <v>1759589.1857910077</v>
      </c>
      <c r="AG17" s="104">
        <f t="shared" si="3"/>
        <v>1665166.9852132103</v>
      </c>
      <c r="AH17" s="104">
        <f t="shared" si="3"/>
        <v>3904736.3417950408</v>
      </c>
      <c r="AI17" s="104">
        <f t="shared" si="3"/>
        <v>0</v>
      </c>
      <c r="AJ17" s="104">
        <f t="shared" si="3"/>
        <v>0</v>
      </c>
      <c r="AK17" s="104">
        <f t="shared" si="3"/>
        <v>0</v>
      </c>
      <c r="AL17" s="104">
        <f t="shared" si="3"/>
        <v>0</v>
      </c>
      <c r="AM17" s="104">
        <f t="shared" si="3"/>
        <v>0</v>
      </c>
      <c r="AN17" s="104">
        <f t="shared" si="3"/>
        <v>0</v>
      </c>
      <c r="AO17" s="104">
        <f t="shared" si="3"/>
        <v>0</v>
      </c>
      <c r="AP17" s="104">
        <f t="shared" si="3"/>
        <v>0</v>
      </c>
      <c r="AQ17" s="104">
        <f t="shared" si="3"/>
        <v>0</v>
      </c>
      <c r="AR17" s="104">
        <f t="shared" si="3"/>
        <v>0</v>
      </c>
      <c r="AS17" s="104">
        <f t="shared" si="3"/>
        <v>0</v>
      </c>
      <c r="AT17" s="104">
        <f t="shared" si="3"/>
        <v>0</v>
      </c>
      <c r="AU17" s="104">
        <f t="shared" si="3"/>
        <v>0</v>
      </c>
      <c r="AV17" s="104">
        <f t="shared" si="3"/>
        <v>0</v>
      </c>
      <c r="AW17" s="104">
        <f t="shared" si="3"/>
        <v>0</v>
      </c>
      <c r="AX17" s="104">
        <f t="shared" si="3"/>
        <v>0</v>
      </c>
      <c r="AY17" s="104">
        <f t="shared" si="3"/>
        <v>0</v>
      </c>
      <c r="AZ17" s="104">
        <f t="shared" si="3"/>
        <v>0</v>
      </c>
      <c r="BA17" s="104">
        <f t="shared" si="3"/>
        <v>0</v>
      </c>
    </row>
    <row r="18" spans="5:53" ht="15" customHeight="1" x14ac:dyDescent="0.35">
      <c r="E18" s="102" t="str">
        <f>'UnDisc Results'!E18</f>
        <v>CUMULATIVE BASE BENEFITS</v>
      </c>
      <c r="F18" s="101"/>
      <c r="G18" s="103" t="str">
        <f>'UnDisc Results'!G18&amp;" in "&amp;$F$6</f>
        <v>2024$ in 2024</v>
      </c>
      <c r="H18" s="103"/>
      <c r="I18" s="104">
        <f>SUM($I$17:I17)</f>
        <v>0</v>
      </c>
      <c r="J18" s="104">
        <f>SUM($I$17:J17)</f>
        <v>0</v>
      </c>
      <c r="K18" s="104">
        <f>SUM($I$17:K17)</f>
        <v>0</v>
      </c>
      <c r="L18" s="104">
        <f>SUM($I$17:L17)</f>
        <v>1708286.5232690291</v>
      </c>
      <c r="M18" s="104">
        <f>SUM($I$17:M17)</f>
        <v>1708286.5232690291</v>
      </c>
      <c r="N18" s="104">
        <f>SUM($I$17:N17)</f>
        <v>1708286.5232690291</v>
      </c>
      <c r="O18" s="104">
        <f>SUM($I$17:O17)</f>
        <v>5003473.8014244856</v>
      </c>
      <c r="P18" s="104">
        <f>SUM($I$17:P17)</f>
        <v>8093457.9657744449</v>
      </c>
      <c r="Q18" s="104">
        <f>SUM($I$17:Q17)</f>
        <v>10991237.093884874</v>
      </c>
      <c r="R18" s="104">
        <f>SUM($I$17:R17)</f>
        <v>13708976.457040865</v>
      </c>
      <c r="S18" s="104">
        <f>SUM($I$17:S17)</f>
        <v>16258062.281825144</v>
      </c>
      <c r="T18" s="104">
        <f>SUM($I$17:T17)</f>
        <v>19643390.333983995</v>
      </c>
      <c r="U18" s="104">
        <f>SUM($I$17:U17)</f>
        <v>21886459.693022959</v>
      </c>
      <c r="V18" s="104">
        <f>SUM($I$17:V17)</f>
        <v>23990846.575893644</v>
      </c>
      <c r="W18" s="104">
        <f>SUM($I$17:W17)</f>
        <v>25965292.213111527</v>
      </c>
      <c r="X18" s="104">
        <f>SUM($I$17:X17)</f>
        <v>27817979.608908847</v>
      </c>
      <c r="Y18" s="104">
        <f>SUM($I$17:Y17)</f>
        <v>29556569.500228431</v>
      </c>
      <c r="Z18" s="104">
        <f>SUM($I$17:Z17)</f>
        <v>31188233.986307889</v>
      </c>
      <c r="AA18" s="104">
        <f>SUM($I$17:AA17)</f>
        <v>32719687.980297655</v>
      </c>
      <c r="AB18" s="104">
        <f>SUM($I$17:AB17)</f>
        <v>34157218.624487862</v>
      </c>
      <c r="AC18" s="104">
        <f>SUM($I$17:AC17)</f>
        <v>35269643.913561799</v>
      </c>
      <c r="AD18" s="104">
        <f>SUM($I$17:AD17)</f>
        <v>37235413.297330648</v>
      </c>
      <c r="AE18" s="104">
        <f>SUM($I$17:AE17)</f>
        <v>39095084.785996199</v>
      </c>
      <c r="AF18" s="104">
        <f>SUM($I$17:AF17)</f>
        <v>40854673.971787207</v>
      </c>
      <c r="AG18" s="104">
        <f>SUM($I$17:AG17)</f>
        <v>42519840.957000419</v>
      </c>
      <c r="AH18" s="104">
        <f>SUM($I$17:AH17)</f>
        <v>46424577.298795462</v>
      </c>
      <c r="AI18" s="104">
        <f>SUM($I$17:AI17)</f>
        <v>46424577.298795462</v>
      </c>
      <c r="AJ18" s="104">
        <f>SUM($I$17:AJ17)</f>
        <v>46424577.298795462</v>
      </c>
      <c r="AK18" s="104">
        <f>SUM($I$17:AK17)</f>
        <v>46424577.298795462</v>
      </c>
      <c r="AL18" s="104">
        <f>SUM($I$17:AL17)</f>
        <v>46424577.298795462</v>
      </c>
      <c r="AM18" s="104">
        <f>SUM($I$17:AM17)</f>
        <v>46424577.298795462</v>
      </c>
      <c r="AN18" s="104">
        <f>SUM($I$17:AN17)</f>
        <v>46424577.298795462</v>
      </c>
      <c r="AO18" s="104">
        <f>SUM($I$17:AO17)</f>
        <v>46424577.298795462</v>
      </c>
      <c r="AP18" s="104">
        <f>SUM($I$17:AP17)</f>
        <v>46424577.298795462</v>
      </c>
      <c r="AQ18" s="104">
        <f>SUM($I$17:AQ17)</f>
        <v>46424577.298795462</v>
      </c>
      <c r="AR18" s="104">
        <f>SUM($I$17:AR17)</f>
        <v>46424577.298795462</v>
      </c>
      <c r="AS18" s="104">
        <f>SUM($I$17:AS17)</f>
        <v>46424577.298795462</v>
      </c>
      <c r="AT18" s="104">
        <f>SUM($I$17:AT17)</f>
        <v>46424577.298795462</v>
      </c>
      <c r="AU18" s="104">
        <f>SUM($I$17:AU17)</f>
        <v>46424577.298795462</v>
      </c>
      <c r="AV18" s="104">
        <f>SUM($I$17:AV17)</f>
        <v>46424577.298795462</v>
      </c>
      <c r="AW18" s="104">
        <f>SUM($I$17:AW17)</f>
        <v>46424577.298795462</v>
      </c>
      <c r="AX18" s="104">
        <f>SUM($I$17:AX17)</f>
        <v>46424577.298795462</v>
      </c>
      <c r="AY18" s="104">
        <f>SUM($I$17:AY17)</f>
        <v>46424577.298795462</v>
      </c>
      <c r="AZ18" s="104">
        <f>SUM($I$17:AZ17)</f>
        <v>46424577.298795462</v>
      </c>
      <c r="BA18" s="104">
        <f>SUM($I$17:BA17)</f>
        <v>46424577.298795462</v>
      </c>
    </row>
    <row r="19" spans="5:53" ht="15" customHeight="1" x14ac:dyDescent="0.35">
      <c r="E19" s="106" t="str">
        <f>'UnDisc Results'!E19</f>
        <v>TOTAL BASE COSTS</v>
      </c>
      <c r="F19" s="105"/>
      <c r="G19" s="103" t="str">
        <f>'UnDisc Results'!G19&amp;" in "&amp;$F$6</f>
        <v>2024$ in 2024</v>
      </c>
      <c r="H19" s="103"/>
      <c r="I19" s="104">
        <f t="shared" ref="I19:BA19" si="4">SUM(I16:I16)</f>
        <v>327709.29052218742</v>
      </c>
      <c r="J19" s="104">
        <f t="shared" si="4"/>
        <v>377521.10268155992</v>
      </c>
      <c r="K19" s="104">
        <f t="shared" si="4"/>
        <v>338710.52203205373</v>
      </c>
      <c r="L19" s="104">
        <f t="shared" si="4"/>
        <v>304376.81706690654</v>
      </c>
      <c r="M19" s="104">
        <f t="shared" si="4"/>
        <v>22472785.58635699</v>
      </c>
      <c r="N19" s="104">
        <f t="shared" si="4"/>
        <v>6052298.3387954049</v>
      </c>
      <c r="O19" s="104">
        <f t="shared" si="4"/>
        <v>0</v>
      </c>
      <c r="P19" s="104">
        <f t="shared" si="4"/>
        <v>0</v>
      </c>
      <c r="Q19" s="104">
        <f t="shared" si="4"/>
        <v>0</v>
      </c>
      <c r="R19" s="104">
        <f t="shared" si="4"/>
        <v>0</v>
      </c>
      <c r="S19" s="104">
        <f t="shared" si="4"/>
        <v>0</v>
      </c>
      <c r="T19" s="104">
        <f t="shared" si="4"/>
        <v>0</v>
      </c>
      <c r="U19" s="104">
        <f t="shared" si="4"/>
        <v>0</v>
      </c>
      <c r="V19" s="104">
        <f t="shared" si="4"/>
        <v>0</v>
      </c>
      <c r="W19" s="104">
        <f t="shared" si="4"/>
        <v>0</v>
      </c>
      <c r="X19" s="104">
        <f t="shared" si="4"/>
        <v>0</v>
      </c>
      <c r="Y19" s="104">
        <f t="shared" si="4"/>
        <v>0</v>
      </c>
      <c r="Z19" s="104">
        <f t="shared" si="4"/>
        <v>0</v>
      </c>
      <c r="AA19" s="104">
        <f t="shared" si="4"/>
        <v>0</v>
      </c>
      <c r="AB19" s="104">
        <f t="shared" si="4"/>
        <v>0</v>
      </c>
      <c r="AC19" s="104">
        <f t="shared" si="4"/>
        <v>0</v>
      </c>
      <c r="AD19" s="104">
        <f t="shared" si="4"/>
        <v>0</v>
      </c>
      <c r="AE19" s="104">
        <f t="shared" si="4"/>
        <v>0</v>
      </c>
      <c r="AF19" s="104">
        <f t="shared" si="4"/>
        <v>0</v>
      </c>
      <c r="AG19" s="104">
        <f t="shared" si="4"/>
        <v>0</v>
      </c>
      <c r="AH19" s="104">
        <f t="shared" si="4"/>
        <v>0</v>
      </c>
      <c r="AI19" s="104">
        <f t="shared" si="4"/>
        <v>0</v>
      </c>
      <c r="AJ19" s="104">
        <f t="shared" si="4"/>
        <v>0</v>
      </c>
      <c r="AK19" s="104">
        <f t="shared" si="4"/>
        <v>0</v>
      </c>
      <c r="AL19" s="104">
        <f t="shared" si="4"/>
        <v>0</v>
      </c>
      <c r="AM19" s="104">
        <f t="shared" si="4"/>
        <v>0</v>
      </c>
      <c r="AN19" s="104">
        <f t="shared" si="4"/>
        <v>0</v>
      </c>
      <c r="AO19" s="104">
        <f t="shared" si="4"/>
        <v>0</v>
      </c>
      <c r="AP19" s="104">
        <f t="shared" si="4"/>
        <v>0</v>
      </c>
      <c r="AQ19" s="104">
        <f t="shared" si="4"/>
        <v>0</v>
      </c>
      <c r="AR19" s="104">
        <f t="shared" si="4"/>
        <v>0</v>
      </c>
      <c r="AS19" s="104">
        <f t="shared" si="4"/>
        <v>0</v>
      </c>
      <c r="AT19" s="104">
        <f t="shared" si="4"/>
        <v>0</v>
      </c>
      <c r="AU19" s="104">
        <f t="shared" si="4"/>
        <v>0</v>
      </c>
      <c r="AV19" s="104">
        <f t="shared" si="4"/>
        <v>0</v>
      </c>
      <c r="AW19" s="104">
        <f t="shared" si="4"/>
        <v>0</v>
      </c>
      <c r="AX19" s="104">
        <f t="shared" si="4"/>
        <v>0</v>
      </c>
      <c r="AY19" s="104">
        <f t="shared" si="4"/>
        <v>0</v>
      </c>
      <c r="AZ19" s="104">
        <f t="shared" si="4"/>
        <v>0</v>
      </c>
      <c r="BA19" s="104">
        <f t="shared" si="4"/>
        <v>0</v>
      </c>
    </row>
    <row r="20" spans="5:53" ht="15" customHeight="1" x14ac:dyDescent="0.35">
      <c r="E20" s="106" t="str">
        <f>'UnDisc Results'!E20</f>
        <v>CUMULATIVE BASE COSTS</v>
      </c>
      <c r="F20" s="105"/>
      <c r="G20" s="103" t="str">
        <f>'UnDisc Results'!G20&amp;" in "&amp;$F$6</f>
        <v>2024$ in 2024</v>
      </c>
      <c r="H20" s="103"/>
      <c r="I20" s="104">
        <f>SUM($I$19:I19)</f>
        <v>327709.29052218742</v>
      </c>
      <c r="J20" s="104">
        <f>SUM($I$19:J19)</f>
        <v>705230.39320374734</v>
      </c>
      <c r="K20" s="104">
        <f>SUM($I$19:K19)</f>
        <v>1043940.9152358011</v>
      </c>
      <c r="L20" s="104">
        <f>SUM($I$19:L19)</f>
        <v>1348317.7323027076</v>
      </c>
      <c r="M20" s="104">
        <f>SUM($I$19:M19)</f>
        <v>23821103.318659697</v>
      </c>
      <c r="N20" s="104">
        <f>SUM($I$19:N19)</f>
        <v>29873401.657455102</v>
      </c>
      <c r="O20" s="104">
        <f>SUM($I$19:O19)</f>
        <v>29873401.657455102</v>
      </c>
      <c r="P20" s="104">
        <f>SUM($I$19:P19)</f>
        <v>29873401.657455102</v>
      </c>
      <c r="Q20" s="104">
        <f>SUM($I$19:Q19)</f>
        <v>29873401.657455102</v>
      </c>
      <c r="R20" s="104">
        <f>SUM($I$19:R19)</f>
        <v>29873401.657455102</v>
      </c>
      <c r="S20" s="104">
        <f>SUM($I$19:S19)</f>
        <v>29873401.657455102</v>
      </c>
      <c r="T20" s="104">
        <f>SUM($I$19:T19)</f>
        <v>29873401.657455102</v>
      </c>
      <c r="U20" s="104">
        <f>SUM($I$19:U19)</f>
        <v>29873401.657455102</v>
      </c>
      <c r="V20" s="104">
        <f>SUM($I$19:V19)</f>
        <v>29873401.657455102</v>
      </c>
      <c r="W20" s="104">
        <f>SUM($I$19:W19)</f>
        <v>29873401.657455102</v>
      </c>
      <c r="X20" s="104">
        <f>SUM($I$19:X19)</f>
        <v>29873401.657455102</v>
      </c>
      <c r="Y20" s="104">
        <f>SUM($I$19:Y19)</f>
        <v>29873401.657455102</v>
      </c>
      <c r="Z20" s="104">
        <f>SUM($I$19:Z19)</f>
        <v>29873401.657455102</v>
      </c>
      <c r="AA20" s="104">
        <f>SUM($I$19:AA19)</f>
        <v>29873401.657455102</v>
      </c>
      <c r="AB20" s="104">
        <f>SUM($I$19:AB19)</f>
        <v>29873401.657455102</v>
      </c>
      <c r="AC20" s="104">
        <f>SUM($I$19:AC19)</f>
        <v>29873401.657455102</v>
      </c>
      <c r="AD20" s="104">
        <f>SUM($I$19:AD19)</f>
        <v>29873401.657455102</v>
      </c>
      <c r="AE20" s="104">
        <f>SUM($I$19:AE19)</f>
        <v>29873401.657455102</v>
      </c>
      <c r="AF20" s="104">
        <f>SUM($I$19:AF19)</f>
        <v>29873401.657455102</v>
      </c>
      <c r="AG20" s="104">
        <f>SUM($I$19:AG19)</f>
        <v>29873401.657455102</v>
      </c>
      <c r="AH20" s="104">
        <f>SUM($I$19:AH19)</f>
        <v>29873401.657455102</v>
      </c>
      <c r="AI20" s="104">
        <f>SUM($I$19:AI19)</f>
        <v>29873401.657455102</v>
      </c>
      <c r="AJ20" s="104">
        <f>SUM($I$19:AJ19)</f>
        <v>29873401.657455102</v>
      </c>
      <c r="AK20" s="104">
        <f>SUM($I$19:AK19)</f>
        <v>29873401.657455102</v>
      </c>
      <c r="AL20" s="104">
        <f>SUM($I$19:AL19)</f>
        <v>29873401.657455102</v>
      </c>
      <c r="AM20" s="104">
        <f>SUM($I$19:AM19)</f>
        <v>29873401.657455102</v>
      </c>
      <c r="AN20" s="104">
        <f>SUM($I$19:AN19)</f>
        <v>29873401.657455102</v>
      </c>
      <c r="AO20" s="104">
        <f>SUM($I$19:AO19)</f>
        <v>29873401.657455102</v>
      </c>
      <c r="AP20" s="104">
        <f>SUM($I$19:AP19)</f>
        <v>29873401.657455102</v>
      </c>
      <c r="AQ20" s="104">
        <f>SUM($I$19:AQ19)</f>
        <v>29873401.657455102</v>
      </c>
      <c r="AR20" s="104">
        <f>SUM($I$19:AR19)</f>
        <v>29873401.657455102</v>
      </c>
      <c r="AS20" s="104">
        <f>SUM($I$19:AS19)</f>
        <v>29873401.657455102</v>
      </c>
      <c r="AT20" s="104">
        <f>SUM($I$19:AT19)</f>
        <v>29873401.657455102</v>
      </c>
      <c r="AU20" s="104">
        <f>SUM($I$19:AU19)</f>
        <v>29873401.657455102</v>
      </c>
      <c r="AV20" s="104">
        <f>SUM($I$19:AV19)</f>
        <v>29873401.657455102</v>
      </c>
      <c r="AW20" s="104">
        <f>SUM($I$19:AW19)</f>
        <v>29873401.657455102</v>
      </c>
      <c r="AX20" s="104">
        <f>SUM($I$19:AX19)</f>
        <v>29873401.657455102</v>
      </c>
      <c r="AY20" s="104">
        <f>SUM($I$19:AY19)</f>
        <v>29873401.657455102</v>
      </c>
      <c r="AZ20" s="104">
        <f>SUM($I$19:AZ19)</f>
        <v>29873401.657455102</v>
      </c>
      <c r="BA20" s="104">
        <f>SUM($I$19:BA19)</f>
        <v>29873401.657455102</v>
      </c>
    </row>
    <row r="21" spans="5:53" ht="15" customHeight="1" x14ac:dyDescent="0.35">
      <c r="E21" s="106" t="str">
        <f>'UnDisc Results'!E21</f>
        <v>NET CASH FLOWS</v>
      </c>
      <c r="F21" s="105"/>
      <c r="G21" s="103" t="str">
        <f>'UnDisc Results'!G21&amp;" in "&amp;$F$6</f>
        <v>2024$ in 2024</v>
      </c>
      <c r="H21" s="103"/>
      <c r="I21" s="104">
        <f t="shared" ref="I21:BA21" si="5">I17-I19</f>
        <v>-327709.29052218742</v>
      </c>
      <c r="J21" s="104">
        <f t="shared" si="5"/>
        <v>-377521.10268155992</v>
      </c>
      <c r="K21" s="104">
        <f t="shared" si="5"/>
        <v>-338710.52203205373</v>
      </c>
      <c r="L21" s="104">
        <f t="shared" si="5"/>
        <v>1403909.7062021226</v>
      </c>
      <c r="M21" s="104">
        <f t="shared" si="5"/>
        <v>-22472785.58635699</v>
      </c>
      <c r="N21" s="104">
        <f t="shared" si="5"/>
        <v>-6052298.3387954049</v>
      </c>
      <c r="O21" s="104">
        <f t="shared" si="5"/>
        <v>3295187.2781554563</v>
      </c>
      <c r="P21" s="104">
        <f t="shared" si="5"/>
        <v>3089984.1643499592</v>
      </c>
      <c r="Q21" s="104">
        <f t="shared" si="5"/>
        <v>2897779.1281104297</v>
      </c>
      <c r="R21" s="104">
        <f t="shared" si="5"/>
        <v>2717739.3631559913</v>
      </c>
      <c r="S21" s="104">
        <f t="shared" si="5"/>
        <v>2549085.8247842798</v>
      </c>
      <c r="T21" s="104">
        <f t="shared" si="5"/>
        <v>3385328.0521588521</v>
      </c>
      <c r="U21" s="104">
        <f t="shared" si="5"/>
        <v>2243069.359038963</v>
      </c>
      <c r="V21" s="104">
        <f t="shared" si="5"/>
        <v>2104386.8828706853</v>
      </c>
      <c r="W21" s="104">
        <f t="shared" si="5"/>
        <v>1974445.6372178826</v>
      </c>
      <c r="X21" s="104">
        <f t="shared" si="5"/>
        <v>1852687.3957973183</v>
      </c>
      <c r="Y21" s="104">
        <f t="shared" si="5"/>
        <v>1738589.8913195839</v>
      </c>
      <c r="Z21" s="104">
        <f t="shared" si="5"/>
        <v>1631664.4860794595</v>
      </c>
      <c r="AA21" s="104">
        <f t="shared" si="5"/>
        <v>1531453.993989764</v>
      </c>
      <c r="AB21" s="104">
        <f t="shared" si="5"/>
        <v>1437530.6441902043</v>
      </c>
      <c r="AC21" s="104">
        <f t="shared" si="5"/>
        <v>1112425.2890739369</v>
      </c>
      <c r="AD21" s="104">
        <f t="shared" si="5"/>
        <v>1965769.3837688458</v>
      </c>
      <c r="AE21" s="104">
        <f t="shared" si="5"/>
        <v>1859671.4886655547</v>
      </c>
      <c r="AF21" s="104">
        <f t="shared" si="5"/>
        <v>1759589.1857910077</v>
      </c>
      <c r="AG21" s="104">
        <f t="shared" si="5"/>
        <v>1665166.9852132103</v>
      </c>
      <c r="AH21" s="104">
        <f t="shared" si="5"/>
        <v>3904736.3417950408</v>
      </c>
      <c r="AI21" s="104">
        <f t="shared" si="5"/>
        <v>0</v>
      </c>
      <c r="AJ21" s="104">
        <f t="shared" si="5"/>
        <v>0</v>
      </c>
      <c r="AK21" s="104">
        <f t="shared" si="5"/>
        <v>0</v>
      </c>
      <c r="AL21" s="104">
        <f t="shared" si="5"/>
        <v>0</v>
      </c>
      <c r="AM21" s="104">
        <f t="shared" si="5"/>
        <v>0</v>
      </c>
      <c r="AN21" s="104">
        <f t="shared" si="5"/>
        <v>0</v>
      </c>
      <c r="AO21" s="104">
        <f t="shared" si="5"/>
        <v>0</v>
      </c>
      <c r="AP21" s="104">
        <f t="shared" si="5"/>
        <v>0</v>
      </c>
      <c r="AQ21" s="104">
        <f t="shared" si="5"/>
        <v>0</v>
      </c>
      <c r="AR21" s="104">
        <f t="shared" si="5"/>
        <v>0</v>
      </c>
      <c r="AS21" s="104">
        <f t="shared" si="5"/>
        <v>0</v>
      </c>
      <c r="AT21" s="104">
        <f t="shared" si="5"/>
        <v>0</v>
      </c>
      <c r="AU21" s="104">
        <f t="shared" si="5"/>
        <v>0</v>
      </c>
      <c r="AV21" s="104">
        <f t="shared" si="5"/>
        <v>0</v>
      </c>
      <c r="AW21" s="104">
        <f t="shared" si="5"/>
        <v>0</v>
      </c>
      <c r="AX21" s="104">
        <f t="shared" si="5"/>
        <v>0</v>
      </c>
      <c r="AY21" s="104">
        <f t="shared" si="5"/>
        <v>0</v>
      </c>
      <c r="AZ21" s="104">
        <f t="shared" si="5"/>
        <v>0</v>
      </c>
      <c r="BA21" s="104">
        <f t="shared" si="5"/>
        <v>0</v>
      </c>
    </row>
    <row r="22" spans="5:53" ht="15" customHeight="1" x14ac:dyDescent="0.35">
      <c r="E22" s="106" t="str">
        <f>'UnDisc Results'!E22</f>
        <v>CUMULATIVE NET CASH FLOWS</v>
      </c>
      <c r="F22" s="105"/>
      <c r="G22" s="103" t="str">
        <f>'UnDisc Results'!G22&amp;" in "&amp;$F$6</f>
        <v>2024$ in 2024</v>
      </c>
      <c r="H22" s="103"/>
      <c r="I22" s="104">
        <f>SUM($I21:I21)</f>
        <v>-327709.29052218742</v>
      </c>
      <c r="J22" s="104">
        <f>SUM($I21:J21)</f>
        <v>-705230.39320374734</v>
      </c>
      <c r="K22" s="104">
        <f>SUM($I21:K21)</f>
        <v>-1043940.9152358011</v>
      </c>
      <c r="L22" s="104">
        <f>SUM($I21:L21)</f>
        <v>359968.79096632148</v>
      </c>
      <c r="M22" s="104">
        <f>SUM($I21:M21)</f>
        <v>-22112816.795390669</v>
      </c>
      <c r="N22" s="104">
        <f>SUM($I21:N21)</f>
        <v>-28165115.134186074</v>
      </c>
      <c r="O22" s="104">
        <f>SUM($I21:O21)</f>
        <v>-24869927.856030617</v>
      </c>
      <c r="P22" s="104">
        <f>SUM($I21:P21)</f>
        <v>-21779943.691680659</v>
      </c>
      <c r="Q22" s="104">
        <f>SUM($I21:Q21)</f>
        <v>-18882164.563570227</v>
      </c>
      <c r="R22" s="104">
        <f>SUM($I21:R21)</f>
        <v>-16164425.200414237</v>
      </c>
      <c r="S22" s="104">
        <f>SUM($I21:S21)</f>
        <v>-13615339.375629958</v>
      </c>
      <c r="T22" s="104">
        <f>SUM($I21:T21)</f>
        <v>-10230011.323471107</v>
      </c>
      <c r="U22" s="104">
        <f>SUM($I21:U21)</f>
        <v>-7986941.9644321436</v>
      </c>
      <c r="V22" s="104">
        <f>SUM($I21:V21)</f>
        <v>-5882555.0815614583</v>
      </c>
      <c r="W22" s="104">
        <f>SUM($I21:W21)</f>
        <v>-3908109.4443435757</v>
      </c>
      <c r="X22" s="104">
        <f>SUM($I21:X21)</f>
        <v>-2055422.0485462574</v>
      </c>
      <c r="Y22" s="104">
        <f>SUM($I21:Y21)</f>
        <v>-316832.15722667356</v>
      </c>
      <c r="Z22" s="104">
        <f>SUM($I21:Z21)</f>
        <v>1314832.328852786</v>
      </c>
      <c r="AA22" s="104">
        <f>SUM($I21:AA21)</f>
        <v>2846286.32284255</v>
      </c>
      <c r="AB22" s="104">
        <f>SUM($I21:AB21)</f>
        <v>4283816.9670327548</v>
      </c>
      <c r="AC22" s="104">
        <f>SUM($I21:AC21)</f>
        <v>5396242.2561066914</v>
      </c>
      <c r="AD22" s="104">
        <f>SUM($I21:AD21)</f>
        <v>7362011.6398755368</v>
      </c>
      <c r="AE22" s="104">
        <f>SUM($I21:AE21)</f>
        <v>9221683.1285410915</v>
      </c>
      <c r="AF22" s="104">
        <f>SUM($I21:AF21)</f>
        <v>10981272.3143321</v>
      </c>
      <c r="AG22" s="104">
        <f>SUM($I21:AG21)</f>
        <v>12646439.29954531</v>
      </c>
      <c r="AH22" s="104">
        <f>SUM($I21:AH21)</f>
        <v>16551175.641340351</v>
      </c>
      <c r="AI22" s="104">
        <f>SUM($I21:AI21)</f>
        <v>16551175.641340351</v>
      </c>
      <c r="AJ22" s="104">
        <f>SUM($I21:AJ21)</f>
        <v>16551175.641340351</v>
      </c>
      <c r="AK22" s="104">
        <f>SUM($I21:AK21)</f>
        <v>16551175.641340351</v>
      </c>
      <c r="AL22" s="104">
        <f>SUM($I21:AL21)</f>
        <v>16551175.641340351</v>
      </c>
      <c r="AM22" s="104">
        <f>SUM($I21:AM21)</f>
        <v>16551175.641340351</v>
      </c>
      <c r="AN22" s="104">
        <f>SUM($I21:AN21)</f>
        <v>16551175.641340351</v>
      </c>
      <c r="AO22" s="104">
        <f>SUM($I21:AO21)</f>
        <v>16551175.641340351</v>
      </c>
      <c r="AP22" s="104">
        <f>SUM($I21:AP21)</f>
        <v>16551175.641340351</v>
      </c>
      <c r="AQ22" s="104">
        <f>SUM($I21:AQ21)</f>
        <v>16551175.641340351</v>
      </c>
      <c r="AR22" s="104">
        <f>SUM($I21:AR21)</f>
        <v>16551175.641340351</v>
      </c>
      <c r="AS22" s="104">
        <f>SUM($I21:AS21)</f>
        <v>16551175.641340351</v>
      </c>
      <c r="AT22" s="104">
        <f>SUM($I21:AT21)</f>
        <v>16551175.641340351</v>
      </c>
      <c r="AU22" s="104">
        <f>SUM($I21:AU21)</f>
        <v>16551175.641340351</v>
      </c>
      <c r="AV22" s="104">
        <f>SUM($I21:AV21)</f>
        <v>16551175.641340351</v>
      </c>
      <c r="AW22" s="104">
        <f>SUM($I21:AW21)</f>
        <v>16551175.641340351</v>
      </c>
      <c r="AX22" s="104">
        <f>SUM($I21:AX21)</f>
        <v>16551175.641340351</v>
      </c>
      <c r="AY22" s="104">
        <f>SUM($I21:AY21)</f>
        <v>16551175.641340351</v>
      </c>
      <c r="AZ22" s="104">
        <f>SUM($I21:AZ21)</f>
        <v>16551175.641340351</v>
      </c>
      <c r="BA22" s="104">
        <f>SUM($I21:BA21)</f>
        <v>16551175.641340351</v>
      </c>
    </row>
    <row r="23" spans="5:53" ht="15" hidden="1" customHeight="1" x14ac:dyDescent="0.35">
      <c r="G23" s="103" t="str">
        <f>G22</f>
        <v>2024$ in 2024</v>
      </c>
      <c r="H23" s="103"/>
    </row>
    <row r="24" spans="5:53" ht="15" hidden="1" customHeight="1" x14ac:dyDescent="0.35">
      <c r="G24" s="103" t="str">
        <f>G23</f>
        <v>2024$ in 2024</v>
      </c>
      <c r="H24" s="103"/>
    </row>
    <row r="25" spans="5:53" ht="15" hidden="1" customHeight="1" x14ac:dyDescent="0.35">
      <c r="G25" s="103" t="str">
        <f>G24</f>
        <v>2024$ in 2024</v>
      </c>
      <c r="H25" s="103"/>
    </row>
    <row r="26" spans="5:53" ht="15" hidden="1" customHeight="1" x14ac:dyDescent="0.35">
      <c r="G26" s="103" t="str">
        <f>G25</f>
        <v>2024$ in 2024</v>
      </c>
      <c r="H26" s="103"/>
    </row>
    <row r="27" spans="5:53" ht="5.25" hidden="1" customHeight="1" x14ac:dyDescent="0.35">
      <c r="G27" s="103" t="str">
        <f>G26</f>
        <v>2024$ in 2024</v>
      </c>
      <c r="H27" s="103"/>
    </row>
    <row r="28" spans="5:53" ht="15" customHeight="1" x14ac:dyDescent="0.35"/>
    <row r="29" spans="5:53" ht="15" customHeight="1" x14ac:dyDescent="0.35"/>
    <row r="30" spans="5:53" ht="15" customHeight="1" x14ac:dyDescent="0.35"/>
    <row r="31" spans="5:53" ht="15" customHeight="1" x14ac:dyDescent="0.35"/>
    <row r="32" spans="5:53"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Y27"/>
  <sheetViews>
    <sheetView zoomScale="90" zoomScaleNormal="90" workbookViewId="0">
      <pane xSplit="25" ySplit="27" topLeftCell="XFD1048560" activePane="bottomRight" state="frozen"/>
      <selection pane="topRight" activeCell="Z1" sqref="Z1"/>
      <selection pane="bottomLeft" activeCell="A28" sqref="A28"/>
      <selection pane="bottomRight" activeCell="B3" sqref="B3"/>
    </sheetView>
  </sheetViews>
  <sheetFormatPr defaultColWidth="0" defaultRowHeight="14.5" zeroHeight="1" x14ac:dyDescent="0.35"/>
  <cols>
    <col min="1" max="3" width="1.453125" customWidth="1"/>
    <col min="4" max="25" width="8.81640625" customWidth="1"/>
    <col min="26" max="16384" width="8.81640625" hidden="1"/>
  </cols>
  <sheetData>
    <row r="1" spans="1:25" x14ac:dyDescent="0.35">
      <c r="A1" s="4"/>
      <c r="B1" s="4"/>
      <c r="C1" s="4"/>
      <c r="D1" s="4"/>
      <c r="E1" s="4"/>
      <c r="F1" s="4"/>
      <c r="G1" s="4"/>
      <c r="H1" s="4"/>
      <c r="I1" s="4"/>
      <c r="J1" s="4"/>
      <c r="K1" s="4"/>
      <c r="L1" s="4"/>
      <c r="M1" s="4"/>
      <c r="N1" s="4"/>
      <c r="O1" s="4"/>
      <c r="P1" s="4"/>
      <c r="Q1" s="4"/>
      <c r="R1" s="4"/>
      <c r="S1" s="4"/>
      <c r="T1" s="4"/>
      <c r="U1" s="4"/>
      <c r="V1" s="4"/>
      <c r="W1" s="4"/>
      <c r="X1" s="4"/>
      <c r="Y1" s="4"/>
    </row>
    <row r="2" spans="1:25" ht="15" customHeight="1" x14ac:dyDescent="0.35">
      <c r="A2" s="4"/>
      <c r="B2" s="34" t="s">
        <v>4</v>
      </c>
      <c r="C2" s="4"/>
      <c r="D2" s="4"/>
      <c r="E2" s="4"/>
      <c r="F2" s="4"/>
      <c r="G2" s="4"/>
      <c r="H2" s="4"/>
      <c r="I2" s="4"/>
      <c r="J2" s="4"/>
      <c r="K2" s="4"/>
      <c r="L2" s="4"/>
      <c r="M2" s="4"/>
      <c r="N2" s="4"/>
      <c r="O2" s="4"/>
      <c r="P2" s="4"/>
      <c r="Q2" s="4"/>
      <c r="R2" s="4"/>
      <c r="S2" s="4"/>
      <c r="T2" s="4"/>
      <c r="U2" s="4"/>
      <c r="V2" s="4"/>
      <c r="W2" s="4"/>
      <c r="X2" s="4"/>
      <c r="Y2" s="4"/>
    </row>
    <row r="3" spans="1:25" ht="15" customHeight="1" x14ac:dyDescent="0.35">
      <c r="A3" s="4"/>
      <c r="B3" s="34" t="str">
        <f>'Cover Sheet'!C13</f>
        <v>I-35 McClain County</v>
      </c>
      <c r="C3" s="4"/>
      <c r="D3" s="4"/>
      <c r="E3" s="4"/>
      <c r="F3" s="4"/>
      <c r="G3" s="4"/>
      <c r="H3" s="4"/>
      <c r="I3" s="4"/>
      <c r="J3" s="4"/>
      <c r="K3" s="4"/>
      <c r="L3" s="4"/>
      <c r="M3" s="4"/>
      <c r="N3" s="4"/>
      <c r="O3" s="4"/>
      <c r="P3" s="4"/>
      <c r="Q3" s="4"/>
      <c r="R3" s="4"/>
      <c r="S3" s="4"/>
      <c r="T3" s="4"/>
      <c r="U3" s="4"/>
      <c r="V3" s="4"/>
      <c r="W3" s="4"/>
      <c r="X3" s="4"/>
      <c r="Y3" s="4"/>
    </row>
    <row r="4" spans="1:25" ht="15" customHeight="1" x14ac:dyDescent="0.35">
      <c r="A4" s="4"/>
      <c r="B4" s="34" t="str">
        <f>'Cover Sheet'!C11</f>
        <v>Oklahoma Department of Transportation</v>
      </c>
      <c r="C4" s="4"/>
      <c r="D4" s="4"/>
      <c r="E4" s="4"/>
      <c r="F4" s="4"/>
      <c r="G4" s="4"/>
      <c r="H4" s="4"/>
      <c r="I4" s="4"/>
      <c r="J4" s="4"/>
      <c r="K4" s="4"/>
      <c r="L4" s="4"/>
      <c r="M4" s="4"/>
      <c r="N4" s="4"/>
      <c r="O4" s="4"/>
      <c r="P4" s="4"/>
      <c r="Q4" s="4"/>
      <c r="R4" s="4"/>
      <c r="S4" s="4"/>
      <c r="T4" s="4"/>
      <c r="U4" s="4"/>
      <c r="V4" s="4"/>
      <c r="W4" s="4"/>
      <c r="X4" s="4"/>
      <c r="Y4" s="4"/>
    </row>
    <row r="5" spans="1:25" ht="15" customHeight="1" x14ac:dyDescent="0.35">
      <c r="A5" s="4"/>
      <c r="B5" s="34" t="s">
        <v>5</v>
      </c>
      <c r="C5" s="4"/>
      <c r="D5" s="4"/>
      <c r="E5" s="4"/>
      <c r="F5" s="4"/>
      <c r="G5" s="4"/>
      <c r="H5" s="4"/>
      <c r="I5" s="4"/>
      <c r="J5" s="4"/>
      <c r="K5" s="4"/>
      <c r="L5" s="4"/>
      <c r="M5" s="4"/>
      <c r="N5" s="4"/>
      <c r="O5" s="4"/>
      <c r="P5" s="4"/>
      <c r="Q5" s="4"/>
      <c r="R5" s="4"/>
      <c r="S5" s="4"/>
      <c r="T5" s="4"/>
      <c r="U5" s="4"/>
      <c r="V5" s="4"/>
      <c r="W5" s="4"/>
      <c r="X5" s="4"/>
      <c r="Y5" s="4"/>
    </row>
    <row r="6" spans="1:25" ht="5.25" customHeight="1" x14ac:dyDescent="0.35">
      <c r="A6" s="4"/>
      <c r="B6" s="4"/>
      <c r="C6" s="4"/>
      <c r="D6" s="4"/>
      <c r="E6" s="4"/>
      <c r="F6" s="4"/>
      <c r="G6" s="4"/>
      <c r="H6" s="4"/>
      <c r="I6" s="4"/>
      <c r="J6" s="4"/>
      <c r="K6" s="4"/>
      <c r="L6" s="4"/>
      <c r="M6" s="4"/>
      <c r="N6" s="4"/>
      <c r="O6" s="4"/>
      <c r="P6" s="4"/>
      <c r="Q6" s="4"/>
      <c r="R6" s="4"/>
      <c r="S6" s="4"/>
      <c r="T6" s="4"/>
      <c r="U6" s="4"/>
      <c r="V6" s="4"/>
      <c r="W6" s="4"/>
      <c r="X6" s="4"/>
      <c r="Y6" s="4"/>
    </row>
    <row r="7" spans="1:25" ht="5.25" customHeight="1" x14ac:dyDescent="0.35">
      <c r="A7" s="4"/>
      <c r="B7" s="4"/>
      <c r="C7" s="4"/>
      <c r="D7" s="4"/>
      <c r="E7" s="4"/>
      <c r="F7" s="4"/>
      <c r="G7" s="4"/>
      <c r="H7" s="4"/>
      <c r="I7" s="4"/>
      <c r="J7" s="4"/>
      <c r="K7" s="4"/>
      <c r="L7" s="4"/>
      <c r="M7" s="4"/>
      <c r="N7" s="4"/>
      <c r="O7" s="4"/>
      <c r="P7" s="4"/>
      <c r="Q7" s="4"/>
      <c r="R7" s="4"/>
      <c r="S7" s="4"/>
      <c r="T7" s="4"/>
      <c r="U7" s="4"/>
      <c r="V7" s="4"/>
      <c r="W7" s="4"/>
      <c r="X7" s="4"/>
      <c r="Y7" s="4"/>
    </row>
    <row r="8" spans="1:25" x14ac:dyDescent="0.35">
      <c r="A8" s="4"/>
      <c r="B8" s="4" t="s">
        <v>6</v>
      </c>
      <c r="C8" s="4"/>
      <c r="D8" s="4"/>
      <c r="E8" s="4"/>
      <c r="F8" s="4"/>
      <c r="G8" s="4"/>
      <c r="H8" s="4"/>
      <c r="I8" s="4"/>
      <c r="J8" s="4"/>
      <c r="K8" s="4"/>
      <c r="L8" s="4"/>
      <c r="M8" s="4"/>
      <c r="N8" s="4"/>
      <c r="O8" s="4"/>
      <c r="P8" s="4"/>
      <c r="Q8" s="4"/>
      <c r="R8" s="4"/>
      <c r="S8" s="4"/>
      <c r="T8" s="4"/>
      <c r="U8" s="4"/>
      <c r="V8" s="4"/>
      <c r="W8" s="4"/>
      <c r="X8" s="4"/>
      <c r="Y8" s="4"/>
    </row>
    <row r="9" spans="1:25" x14ac:dyDescent="0.35">
      <c r="A9" s="4"/>
      <c r="B9" s="4" t="s">
        <v>7</v>
      </c>
      <c r="C9" s="4"/>
      <c r="D9" s="4"/>
      <c r="E9" s="4"/>
      <c r="F9" s="4"/>
      <c r="G9" s="4"/>
      <c r="H9" s="4"/>
      <c r="I9" s="4"/>
      <c r="J9" s="4"/>
      <c r="K9" s="4"/>
      <c r="L9" s="4"/>
      <c r="M9" s="4"/>
      <c r="N9" s="4"/>
      <c r="O9" s="4"/>
      <c r="P9" s="4"/>
      <c r="Q9" s="4"/>
      <c r="R9" s="4"/>
      <c r="S9" s="4"/>
      <c r="T9" s="4"/>
      <c r="U9" s="4"/>
      <c r="V9" s="4"/>
      <c r="W9" s="4"/>
      <c r="X9" s="4"/>
      <c r="Y9" s="4"/>
    </row>
    <row r="10" spans="1:25" x14ac:dyDescent="0.35">
      <c r="A10" s="4"/>
      <c r="B10" s="4"/>
      <c r="C10" s="4"/>
      <c r="D10" s="4"/>
      <c r="E10" s="4"/>
      <c r="F10" s="4"/>
      <c r="G10" s="4"/>
      <c r="H10" s="4"/>
      <c r="I10" s="4"/>
      <c r="J10" s="4"/>
      <c r="K10" s="4"/>
      <c r="L10" s="4"/>
      <c r="M10" s="4"/>
      <c r="N10" s="4"/>
      <c r="O10" s="4"/>
      <c r="P10" s="4"/>
      <c r="Q10" s="4"/>
      <c r="R10" s="4"/>
      <c r="S10" s="4"/>
      <c r="T10" s="4"/>
      <c r="U10" s="4"/>
      <c r="V10" s="4"/>
      <c r="W10" s="4"/>
      <c r="X10" s="4"/>
      <c r="Y10" s="4"/>
    </row>
    <row r="11" spans="1:25" x14ac:dyDescent="0.35">
      <c r="A11" s="4"/>
      <c r="B11" s="1" t="s">
        <v>8</v>
      </c>
      <c r="C11" s="4"/>
      <c r="D11" s="4"/>
      <c r="E11" s="4"/>
      <c r="F11" s="4"/>
      <c r="G11" s="4"/>
      <c r="H11" s="4"/>
      <c r="I11" s="4"/>
      <c r="J11" s="4"/>
      <c r="K11" s="4"/>
      <c r="L11" s="4"/>
      <c r="M11" s="4"/>
      <c r="N11" s="4"/>
      <c r="O11" s="4"/>
      <c r="P11" s="4"/>
      <c r="Q11" s="4"/>
      <c r="R11" s="4"/>
      <c r="S11" s="4"/>
      <c r="T11" s="4"/>
      <c r="U11" s="4"/>
      <c r="V11" s="4"/>
      <c r="W11" s="4"/>
      <c r="X11" s="4"/>
      <c r="Y11" s="4"/>
    </row>
    <row r="12" spans="1:25" x14ac:dyDescent="0.35">
      <c r="A12" s="4"/>
      <c r="B12" s="4"/>
      <c r="C12" s="4"/>
      <c r="D12" s="4"/>
      <c r="E12" s="4"/>
      <c r="F12" s="4"/>
      <c r="G12" s="4"/>
      <c r="H12" s="4"/>
      <c r="I12" s="4"/>
      <c r="J12" s="4"/>
      <c r="K12" s="4"/>
      <c r="L12" s="4"/>
      <c r="M12" s="4"/>
      <c r="N12" s="4"/>
      <c r="O12" s="4"/>
      <c r="P12" s="4"/>
      <c r="Q12" s="4"/>
      <c r="R12" s="4"/>
      <c r="S12" s="4"/>
      <c r="T12" s="4"/>
      <c r="U12" s="4"/>
      <c r="V12" s="4"/>
      <c r="W12" s="4"/>
      <c r="X12" s="4"/>
      <c r="Y12" s="4"/>
    </row>
    <row r="13" spans="1:25" x14ac:dyDescent="0.35">
      <c r="A13" s="4"/>
      <c r="B13" s="4"/>
      <c r="C13" s="145"/>
      <c r="D13" s="4" t="s">
        <v>9</v>
      </c>
      <c r="E13" s="4"/>
      <c r="F13" s="4"/>
      <c r="G13" s="4"/>
      <c r="H13" s="4"/>
      <c r="I13" s="4"/>
      <c r="J13" s="4"/>
      <c r="K13" s="4"/>
      <c r="L13" s="4"/>
      <c r="M13" s="4"/>
      <c r="N13" s="4"/>
      <c r="O13" s="4"/>
      <c r="P13" s="4"/>
      <c r="Q13" s="4"/>
      <c r="R13" s="4"/>
      <c r="S13" s="4"/>
      <c r="T13" s="4"/>
      <c r="U13" s="4"/>
      <c r="V13" s="4"/>
      <c r="W13" s="4"/>
      <c r="X13" s="4"/>
      <c r="Y13" s="4"/>
    </row>
    <row r="14" spans="1:25" x14ac:dyDescent="0.35">
      <c r="A14" s="4"/>
      <c r="B14" s="4"/>
      <c r="C14" s="285"/>
      <c r="D14" s="4" t="s">
        <v>10</v>
      </c>
      <c r="E14" s="4"/>
      <c r="F14" s="4"/>
      <c r="G14" s="4"/>
      <c r="H14" s="4"/>
      <c r="I14" s="4"/>
      <c r="J14" s="4"/>
      <c r="K14" s="4"/>
      <c r="L14" s="4"/>
      <c r="M14" s="4"/>
      <c r="N14" s="4"/>
      <c r="O14" s="4"/>
      <c r="P14" s="4"/>
      <c r="Q14" s="4"/>
      <c r="R14" s="4"/>
      <c r="S14" s="4"/>
      <c r="T14" s="4"/>
      <c r="U14" s="4"/>
      <c r="V14" s="4"/>
      <c r="W14" s="4"/>
      <c r="X14" s="4"/>
      <c r="Y14" s="4"/>
    </row>
    <row r="15" spans="1:25" x14ac:dyDescent="0.35">
      <c r="A15" s="4"/>
      <c r="B15" s="4"/>
      <c r="C15" s="284"/>
      <c r="D15" s="4" t="s">
        <v>11</v>
      </c>
      <c r="E15" s="4"/>
      <c r="F15" s="4"/>
      <c r="G15" s="4"/>
      <c r="H15" s="4"/>
      <c r="I15" s="4"/>
      <c r="J15" s="4"/>
      <c r="K15" s="4"/>
      <c r="L15" s="4"/>
      <c r="M15" s="4"/>
      <c r="N15" s="4"/>
      <c r="O15" s="4"/>
      <c r="P15" s="4"/>
      <c r="Q15" s="4"/>
      <c r="R15" s="4"/>
      <c r="S15" s="4"/>
      <c r="T15" s="4"/>
      <c r="U15" s="4"/>
      <c r="V15" s="4"/>
      <c r="W15" s="4"/>
      <c r="X15" s="4"/>
      <c r="Y15" s="4"/>
    </row>
    <row r="16" spans="1:25" x14ac:dyDescent="0.35">
      <c r="A16" s="4"/>
      <c r="B16" s="4"/>
      <c r="C16" s="35"/>
      <c r="D16" s="4" t="s">
        <v>12</v>
      </c>
      <c r="E16" s="4"/>
      <c r="F16" s="4"/>
      <c r="G16" s="4"/>
      <c r="H16" s="4"/>
      <c r="I16" s="4"/>
      <c r="J16" s="4"/>
      <c r="K16" s="4"/>
      <c r="L16" s="4"/>
      <c r="M16" s="4"/>
      <c r="N16" s="4"/>
      <c r="O16" s="4"/>
      <c r="P16" s="4"/>
      <c r="Q16" s="4"/>
      <c r="R16" s="4"/>
      <c r="S16" s="4"/>
      <c r="T16" s="4"/>
      <c r="U16" s="4"/>
      <c r="V16" s="4"/>
      <c r="W16" s="4"/>
      <c r="X16" s="4"/>
      <c r="Y16" s="4"/>
    </row>
    <row r="17" spans="1:25" x14ac:dyDescent="0.35">
      <c r="A17" s="4"/>
      <c r="B17" s="4"/>
      <c r="C17" s="286"/>
      <c r="D17" s="4" t="s">
        <v>13</v>
      </c>
      <c r="E17" s="4"/>
      <c r="F17" s="4"/>
      <c r="G17" s="4"/>
      <c r="H17" s="4"/>
      <c r="I17" s="4"/>
      <c r="J17" s="4"/>
      <c r="K17" s="4"/>
      <c r="L17" s="4"/>
      <c r="M17" s="4"/>
      <c r="N17" s="4"/>
      <c r="O17" s="4"/>
      <c r="P17" s="4"/>
      <c r="Q17" s="4"/>
      <c r="R17" s="4"/>
      <c r="S17" s="4"/>
      <c r="T17" s="4"/>
      <c r="U17" s="4"/>
      <c r="V17" s="4"/>
      <c r="W17" s="4"/>
      <c r="X17" s="4"/>
      <c r="Y17" s="4"/>
    </row>
    <row r="18" spans="1:25" x14ac:dyDescent="0.35">
      <c r="A18" s="4"/>
      <c r="B18" s="4"/>
      <c r="C18" s="36"/>
      <c r="D18" s="4" t="s">
        <v>14</v>
      </c>
      <c r="E18" s="4"/>
      <c r="F18" s="4"/>
      <c r="G18" s="4"/>
      <c r="H18" s="4"/>
      <c r="I18" s="4"/>
      <c r="J18" s="4"/>
      <c r="K18" s="4"/>
      <c r="L18" s="4"/>
      <c r="M18" s="4"/>
      <c r="N18" s="4"/>
      <c r="O18" s="4"/>
      <c r="P18" s="4"/>
      <c r="Q18" s="4"/>
      <c r="R18" s="4"/>
      <c r="S18" s="4"/>
      <c r="T18" s="4"/>
      <c r="U18" s="4"/>
      <c r="V18" s="4"/>
      <c r="W18" s="4"/>
      <c r="X18" s="4"/>
      <c r="Y18" s="4"/>
    </row>
    <row r="19" spans="1:25" x14ac:dyDescent="0.35">
      <c r="A19" s="4"/>
      <c r="B19" s="4"/>
      <c r="C19" s="287"/>
      <c r="D19" s="4" t="s">
        <v>15</v>
      </c>
      <c r="E19" s="4"/>
      <c r="F19" s="4"/>
      <c r="G19" s="4"/>
      <c r="H19" s="4"/>
      <c r="I19" s="4"/>
      <c r="J19" s="4"/>
      <c r="K19" s="4"/>
      <c r="L19" s="4"/>
      <c r="M19" s="4"/>
      <c r="N19" s="4"/>
      <c r="O19" s="4"/>
      <c r="P19" s="4"/>
      <c r="Q19" s="4"/>
      <c r="R19" s="4"/>
      <c r="S19" s="4"/>
      <c r="T19" s="4"/>
      <c r="U19" s="4"/>
      <c r="V19" s="4"/>
      <c r="W19" s="4"/>
      <c r="X19" s="4"/>
      <c r="Y19" s="4"/>
    </row>
    <row r="20" spans="1:25" ht="5.25" customHeight="1" x14ac:dyDescent="0.35">
      <c r="A20" s="4"/>
      <c r="B20" s="4"/>
      <c r="C20" s="4"/>
      <c r="D20" s="4"/>
      <c r="E20" s="4"/>
      <c r="F20" s="4"/>
      <c r="G20" s="4"/>
      <c r="H20" s="4"/>
      <c r="I20" s="4"/>
      <c r="J20" s="4"/>
      <c r="K20" s="4"/>
      <c r="L20" s="4"/>
      <c r="M20" s="4"/>
      <c r="N20" s="4"/>
      <c r="O20" s="4"/>
      <c r="P20" s="4"/>
      <c r="Q20" s="4"/>
      <c r="R20" s="4"/>
      <c r="S20" s="4"/>
      <c r="T20" s="4"/>
      <c r="U20" s="4"/>
      <c r="V20" s="4"/>
      <c r="W20" s="4"/>
      <c r="X20" s="4"/>
      <c r="Y20" s="4"/>
    </row>
    <row r="21" spans="1:25" x14ac:dyDescent="0.35">
      <c r="A21" s="4"/>
      <c r="B21" s="1" t="s">
        <v>16</v>
      </c>
      <c r="C21" s="4"/>
      <c r="D21" s="4"/>
      <c r="E21" s="4"/>
      <c r="F21" s="4"/>
      <c r="G21" s="4"/>
      <c r="H21" s="4"/>
      <c r="I21" s="4"/>
      <c r="J21" s="4"/>
      <c r="K21" s="4"/>
      <c r="L21" s="4"/>
      <c r="M21" s="4"/>
      <c r="N21" s="4"/>
      <c r="O21" s="4"/>
      <c r="P21" s="4"/>
      <c r="Q21" s="4"/>
      <c r="R21" s="4"/>
      <c r="S21" s="4"/>
      <c r="T21" s="4"/>
      <c r="U21" s="4"/>
      <c r="V21" s="4"/>
      <c r="W21" s="4"/>
      <c r="X21" s="4"/>
      <c r="Y21" s="4"/>
    </row>
    <row r="22" spans="1:25" ht="5.25" customHeight="1" x14ac:dyDescent="0.35">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35">
      <c r="A23" s="4"/>
      <c r="B23" s="4"/>
      <c r="C23" s="12"/>
      <c r="D23" s="4" t="s">
        <v>17</v>
      </c>
      <c r="E23" s="4"/>
      <c r="F23" s="4"/>
      <c r="G23" s="4"/>
      <c r="H23" s="4"/>
      <c r="I23" s="4"/>
      <c r="J23" s="4"/>
      <c r="K23" s="4"/>
      <c r="L23" s="4"/>
      <c r="M23" s="4"/>
      <c r="N23" s="4"/>
      <c r="O23" s="4"/>
      <c r="P23" s="4"/>
      <c r="Q23" s="4"/>
      <c r="R23" s="4"/>
      <c r="S23" s="4"/>
      <c r="T23" s="4"/>
      <c r="U23" s="4"/>
      <c r="V23" s="4"/>
      <c r="W23" s="4"/>
      <c r="X23" s="4"/>
      <c r="Y23" s="4"/>
    </row>
    <row r="24" spans="1:25" x14ac:dyDescent="0.35">
      <c r="A24" s="4"/>
      <c r="B24" s="4"/>
      <c r="C24" s="31"/>
      <c r="D24" s="4" t="s">
        <v>18</v>
      </c>
      <c r="E24" s="4"/>
      <c r="F24" s="4"/>
      <c r="G24" s="4"/>
      <c r="H24" s="4"/>
      <c r="I24" s="4"/>
      <c r="J24" s="4"/>
      <c r="K24" s="4"/>
      <c r="L24" s="4"/>
      <c r="M24" s="4"/>
      <c r="N24" s="4"/>
      <c r="O24" s="4"/>
      <c r="P24" s="4"/>
      <c r="Q24" s="4"/>
      <c r="R24" s="4"/>
      <c r="S24" s="4"/>
      <c r="T24" s="4"/>
      <c r="U24" s="4"/>
      <c r="V24" s="4"/>
      <c r="W24" s="4"/>
      <c r="X24" s="4"/>
      <c r="Y24" s="4"/>
    </row>
    <row r="25" spans="1:25" x14ac:dyDescent="0.35">
      <c r="A25" s="4"/>
      <c r="B25" s="4"/>
      <c r="C25" s="4"/>
      <c r="D25" s="49" t="s">
        <v>19</v>
      </c>
      <c r="E25" s="4"/>
      <c r="F25" s="4"/>
      <c r="G25" s="4"/>
      <c r="H25" s="4"/>
      <c r="I25" s="4"/>
      <c r="J25" s="4"/>
      <c r="K25" s="4"/>
      <c r="L25" s="4"/>
      <c r="M25" s="4"/>
      <c r="N25" s="4"/>
      <c r="O25" s="4"/>
      <c r="P25" s="4"/>
      <c r="Q25" s="4"/>
      <c r="R25" s="4"/>
      <c r="S25" s="4"/>
      <c r="T25" s="4"/>
      <c r="U25" s="4"/>
      <c r="V25" s="4"/>
      <c r="W25" s="4"/>
      <c r="X25" s="4"/>
      <c r="Y25" s="4"/>
    </row>
    <row r="26" spans="1:25" x14ac:dyDescent="0.35">
      <c r="A26" s="4"/>
      <c r="B26" s="4"/>
      <c r="C26" s="4"/>
      <c r="D26" s="51" t="s">
        <v>20</v>
      </c>
      <c r="E26" s="4"/>
      <c r="F26" s="4"/>
      <c r="G26" s="4"/>
      <c r="H26" s="4"/>
      <c r="I26" s="4"/>
      <c r="J26" s="4"/>
      <c r="K26" s="4"/>
      <c r="L26" s="4"/>
      <c r="M26" s="4"/>
      <c r="N26" s="4"/>
      <c r="O26" s="4"/>
      <c r="P26" s="4"/>
      <c r="Q26" s="4"/>
      <c r="R26" s="4"/>
      <c r="S26" s="4"/>
      <c r="T26" s="4"/>
      <c r="U26" s="4"/>
      <c r="V26" s="4"/>
      <c r="W26" s="4"/>
      <c r="X26" s="4"/>
      <c r="Y26" s="4"/>
    </row>
    <row r="27" spans="1:25" x14ac:dyDescent="0.35">
      <c r="A27" s="4"/>
      <c r="B27" s="4"/>
      <c r="C27" s="4"/>
      <c r="D27" s="4"/>
      <c r="E27" s="4"/>
      <c r="F27" s="4"/>
      <c r="G27" s="4"/>
      <c r="H27" s="4"/>
      <c r="I27" s="4"/>
      <c r="J27" s="4"/>
      <c r="K27" s="4"/>
      <c r="L27" s="4"/>
      <c r="M27" s="4"/>
      <c r="N27" s="4"/>
      <c r="O27" s="4"/>
      <c r="P27" s="4"/>
      <c r="Q27" s="4"/>
      <c r="R27" s="4"/>
      <c r="S27" s="4"/>
      <c r="T27" s="4"/>
      <c r="U27" s="4"/>
      <c r="V27" s="4"/>
      <c r="W27" s="4"/>
      <c r="X27" s="4"/>
      <c r="Y27" s="4"/>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B2ABA-00DE-4126-8F06-038E6E92F0A5}">
  <sheetPr>
    <tabColor theme="4" tint="-0.249977111117893"/>
  </sheetPr>
  <dimension ref="A1:BB92"/>
  <sheetViews>
    <sheetView zoomScale="90" zoomScaleNormal="90" workbookViewId="0">
      <pane xSplit="8" ySplit="7" topLeftCell="AC8" activePane="bottomRight" state="frozen"/>
      <selection activeCell="E24" sqref="A24:XFD27"/>
      <selection pane="topRight" activeCell="E24" sqref="A24:XFD27"/>
      <selection pane="bottomLeft" activeCell="E24" sqref="A24:XFD27"/>
      <selection pane="bottomRight" activeCell="E15" sqref="E15"/>
    </sheetView>
  </sheetViews>
  <sheetFormatPr defaultColWidth="0" defaultRowHeight="14.5" zeroHeight="1" x14ac:dyDescent="0.35"/>
  <cols>
    <col min="1" max="4" width="1.453125" style="4" customWidth="1"/>
    <col min="5" max="5" width="74.453125" style="4" customWidth="1"/>
    <col min="6" max="6" width="14.453125" style="4" customWidth="1"/>
    <col min="7" max="7" width="15.453125" style="4" customWidth="1"/>
    <col min="8" max="8" width="2.453125" style="4" customWidth="1"/>
    <col min="9" max="53" width="12.453125" style="4" customWidth="1"/>
    <col min="54" max="54" width="9.1796875" style="4" customWidth="1"/>
    <col min="55" max="16384" width="9.1796875" hidden="1"/>
  </cols>
  <sheetData>
    <row r="1" spans="1:54" ht="15.5" x14ac:dyDescent="0.35">
      <c r="A1" s="375" t="s">
        <v>64</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7"/>
    </row>
    <row r="2" spans="1:54" ht="5.25" customHeight="1" x14ac:dyDescent="0.35">
      <c r="A2" s="53"/>
      <c r="B2" s="53"/>
      <c r="C2" s="53"/>
      <c r="D2" s="53"/>
      <c r="E2" s="92"/>
    </row>
    <row r="3" spans="1:54" x14ac:dyDescent="0.35">
      <c r="E3" s="180" t="s">
        <v>918</v>
      </c>
    </row>
    <row r="4" spans="1:54" x14ac:dyDescent="0.35">
      <c r="E4" s="178" t="str">
        <f>'Guide for Reviewers'!B3</f>
        <v>I-35 McClain County</v>
      </c>
    </row>
    <row r="5" spans="1:54" x14ac:dyDescent="0.35">
      <c r="A5" s="1"/>
      <c r="B5" s="1"/>
      <c r="C5" s="1"/>
      <c r="D5" s="1"/>
      <c r="E5" s="178" t="str">
        <f>'Guide for Reviewers'!B4</f>
        <v>Oklahoma Department of Transportation</v>
      </c>
      <c r="F5" s="99"/>
      <c r="G5" s="99" t="s">
        <v>575</v>
      </c>
      <c r="H5" s="1"/>
      <c r="I5" s="555">
        <f>StockValueC!$H$12</f>
        <v>2023</v>
      </c>
      <c r="J5" s="1">
        <f>I5+1</f>
        <v>2024</v>
      </c>
      <c r="K5" s="1">
        <f t="shared" ref="K5:BA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f t="shared" si="0"/>
        <v>2066</v>
      </c>
      <c r="BA5" s="1">
        <f t="shared" si="0"/>
        <v>2067</v>
      </c>
      <c r="BB5" s="1"/>
    </row>
    <row r="6" spans="1:54" ht="15" customHeight="1" x14ac:dyDescent="0.35">
      <c r="E6" s="49" t="str">
        <f>StockValueC!$E$13</f>
        <v>Base Year (for valuation 2020 = 2020$s)</v>
      </c>
      <c r="F6" s="49">
        <f>StockValueC!$H$13</f>
        <v>2024</v>
      </c>
    </row>
    <row r="7" spans="1:54" ht="15" customHeight="1" x14ac:dyDescent="0.35">
      <c r="E7" s="93" t="s">
        <v>92</v>
      </c>
      <c r="F7" s="1" t="s">
        <v>82</v>
      </c>
      <c r="G7" s="1" t="s">
        <v>93</v>
      </c>
      <c r="I7" s="1"/>
      <c r="J7" s="1"/>
      <c r="K7" s="1"/>
      <c r="L7" s="1"/>
      <c r="M7" s="1"/>
      <c r="N7" s="1"/>
      <c r="O7" s="1"/>
      <c r="P7" s="1"/>
      <c r="Q7" s="1"/>
    </row>
    <row r="8" spans="1:54" ht="5.25" customHeight="1" x14ac:dyDescent="0.35">
      <c r="E8" s="49"/>
      <c r="F8" s="49"/>
      <c r="I8" s="1"/>
      <c r="J8" s="1"/>
      <c r="K8" s="1"/>
      <c r="L8" s="1"/>
      <c r="M8" s="1"/>
      <c r="N8" s="1"/>
      <c r="O8" s="1"/>
      <c r="P8" s="1"/>
      <c r="Q8" s="1"/>
    </row>
    <row r="9" spans="1:54" x14ac:dyDescent="0.35">
      <c r="A9" s="1" t="s">
        <v>919</v>
      </c>
      <c r="E9" s="92"/>
      <c r="I9" s="1"/>
      <c r="J9" s="1"/>
      <c r="K9" s="1"/>
      <c r="L9" s="1"/>
      <c r="M9" s="1"/>
      <c r="N9" s="1"/>
      <c r="O9" s="1"/>
      <c r="P9" s="1"/>
      <c r="Q9" s="1"/>
    </row>
    <row r="10" spans="1:54" ht="5.25" customHeight="1" x14ac:dyDescent="0.35">
      <c r="E10" s="92"/>
      <c r="I10" s="1"/>
      <c r="J10" s="1"/>
      <c r="K10" s="1"/>
      <c r="L10" s="1"/>
      <c r="M10" s="1"/>
      <c r="N10" s="1"/>
      <c r="O10" s="1"/>
      <c r="P10" s="1"/>
      <c r="Q10" s="1"/>
    </row>
    <row r="11" spans="1:54" x14ac:dyDescent="0.35">
      <c r="B11" s="1" t="s">
        <v>920</v>
      </c>
      <c r="E11" s="92"/>
    </row>
    <row r="12" spans="1:54" x14ac:dyDescent="0.35">
      <c r="E12" s="92" t="s">
        <v>1138</v>
      </c>
      <c r="F12" s="40">
        <f t="shared" ref="F12" si="1">SUM(I12:BA12)</f>
        <v>28829597.833356012</v>
      </c>
      <c r="G12" s="4" t="str">
        <f>$F$6&amp;"$ in "&amp;$F$6</f>
        <v>2024$ in 2024</v>
      </c>
      <c r="I12" s="95">
        <f>SUM('UnDisc Results'!I$8:I$9)</f>
        <v>0</v>
      </c>
      <c r="J12" s="95">
        <f>SUM('UnDisc Results'!J$8:J$9)</f>
        <v>0</v>
      </c>
      <c r="K12" s="95">
        <f>SUM('UnDisc Results'!K$8:K$9)</f>
        <v>0</v>
      </c>
      <c r="L12" s="95">
        <f>SUM('UnDisc Results'!L$8:L$9)</f>
        <v>0</v>
      </c>
      <c r="M12" s="95">
        <f>SUM('UnDisc Results'!M$8:M$9)</f>
        <v>0</v>
      </c>
      <c r="N12" s="95">
        <f>SUM('UnDisc Results'!N$8:N$9)</f>
        <v>0</v>
      </c>
      <c r="O12" s="95">
        <f>SUM('UnDisc Results'!O$8:O$9)</f>
        <v>598553.93135371595</v>
      </c>
      <c r="P12" s="95">
        <f>SUM('UnDisc Results'!P$8:P$9)</f>
        <v>614116.3335689106</v>
      </c>
      <c r="Q12" s="95">
        <f>SUM('UnDisc Results'!Q$8:Q$9)</f>
        <v>630083.35824170185</v>
      </c>
      <c r="R12" s="95">
        <f>SUM('UnDisc Results'!R$8:R$9)</f>
        <v>646465.52555598691</v>
      </c>
      <c r="S12" s="95">
        <f>SUM('UnDisc Results'!S$8:S$9)</f>
        <v>663273.62922044564</v>
      </c>
      <c r="T12" s="95">
        <f>SUM('UnDisc Results'!T$8:T$9)</f>
        <v>680518.7435801744</v>
      </c>
      <c r="U12" s="95">
        <f>SUM('UnDisc Results'!U$8:U$9)</f>
        <v>698212.23091325955</v>
      </c>
      <c r="V12" s="95">
        <f>SUM('UnDisc Results'!V$8:V$9)</f>
        <v>716365.74891700118</v>
      </c>
      <c r="W12" s="95">
        <f>SUM('UnDisc Results'!W$8:W$9)</f>
        <v>734991.25838884292</v>
      </c>
      <c r="X12" s="95">
        <f>SUM('UnDisc Results'!X$8:X$9)</f>
        <v>754101.03110695677</v>
      </c>
      <c r="Y12" s="95">
        <f>SUM('UnDisc Results'!Y$8:Y$9)</f>
        <v>773707.65791573515</v>
      </c>
      <c r="Z12" s="95">
        <f>SUM('UnDisc Results'!Z$8:Z$9)</f>
        <v>793824.05702154501</v>
      </c>
      <c r="AA12" s="95">
        <f>SUM('UnDisc Results'!AA$8:AA$9)</f>
        <v>814463.48250410426</v>
      </c>
      <c r="AB12" s="95">
        <f>SUM('UnDisc Results'!AB$8:AB$9)</f>
        <v>835639.53304921254</v>
      </c>
      <c r="AC12" s="95">
        <f>SUM('UnDisc Results'!AC$8:AC$9)</f>
        <v>0</v>
      </c>
      <c r="AD12" s="95">
        <f>SUM('UnDisc Results'!AD$8:AD$9)</f>
        <v>3583790.552597492</v>
      </c>
      <c r="AE12" s="95">
        <f>SUM('UnDisc Results'!AE$8:AE$9)</f>
        <v>3676969.1069650324</v>
      </c>
      <c r="AF12" s="95">
        <f>SUM('UnDisc Results'!AF$8:AF$9)</f>
        <v>3772570.3037461219</v>
      </c>
      <c r="AG12" s="95">
        <f>SUM('UnDisc Results'!AG$8:AG$9)</f>
        <v>3870657.131643523</v>
      </c>
      <c r="AH12" s="95">
        <f>SUM('UnDisc Results'!AH$8:AH$9)</f>
        <v>3971294.2170662517</v>
      </c>
      <c r="AI12" s="95">
        <f>SUM('UnDisc Results'!AI$8:AI$9)</f>
        <v>0</v>
      </c>
      <c r="AJ12" s="95">
        <f>SUM('UnDisc Results'!AJ$8:AJ$9)</f>
        <v>0</v>
      </c>
      <c r="AK12" s="95">
        <f>SUM('UnDisc Results'!AK$8:AK$9)</f>
        <v>0</v>
      </c>
      <c r="AL12" s="95">
        <f>SUM('UnDisc Results'!AL$8:AL$9)</f>
        <v>0</v>
      </c>
      <c r="AM12" s="95">
        <f>SUM('UnDisc Results'!AM$8:AM$9)</f>
        <v>0</v>
      </c>
      <c r="AN12" s="95">
        <f>SUM('UnDisc Results'!AN$8:AN$9)</f>
        <v>0</v>
      </c>
      <c r="AO12" s="95">
        <f>SUM('UnDisc Results'!AO$8:AO$9)</f>
        <v>0</v>
      </c>
      <c r="AP12" s="95">
        <f>SUM('UnDisc Results'!AP$8:AP$9)</f>
        <v>0</v>
      </c>
      <c r="AQ12" s="95">
        <f>SUM('UnDisc Results'!AQ$8:AQ$9)</f>
        <v>0</v>
      </c>
      <c r="AR12" s="95">
        <f>SUM('UnDisc Results'!AR$8:AR$9)</f>
        <v>0</v>
      </c>
      <c r="AS12" s="95">
        <f>SUM('UnDisc Results'!AS$8:AS$9)</f>
        <v>0</v>
      </c>
      <c r="AT12" s="95">
        <f>SUM('UnDisc Results'!AT$8:AT$9)</f>
        <v>0</v>
      </c>
      <c r="AU12" s="95">
        <f>SUM('UnDisc Results'!AU$8:AU$9)</f>
        <v>0</v>
      </c>
      <c r="AV12" s="95">
        <f>SUM('UnDisc Results'!AV$8:AV$9)</f>
        <v>0</v>
      </c>
      <c r="AW12" s="95">
        <f>SUM('UnDisc Results'!AW$8:AW$9)</f>
        <v>0</v>
      </c>
      <c r="AX12" s="95">
        <f>SUM('UnDisc Results'!AX$8:AX$9)</f>
        <v>0</v>
      </c>
      <c r="AY12" s="95">
        <f>SUM('UnDisc Results'!AY$8:AY$9)</f>
        <v>0</v>
      </c>
      <c r="AZ12" s="95">
        <f>SUM('UnDisc Results'!AZ$8:AZ$9)</f>
        <v>0</v>
      </c>
      <c r="BA12" s="95">
        <f>SUM('UnDisc Results'!BA$8:BA$9)</f>
        <v>0</v>
      </c>
    </row>
    <row r="13" spans="1:54" x14ac:dyDescent="0.35">
      <c r="E13" s="92" t="s">
        <v>1139</v>
      </c>
      <c r="F13" s="40">
        <f t="shared" ref="F13:F15" si="2">SUM(I13:BA13)</f>
        <v>80462333.772076845</v>
      </c>
      <c r="G13" s="4" t="str">
        <f t="shared" ref="G13:G16" si="3">$F$6&amp;"$ in "&amp;$F$6</f>
        <v>2024$ in 2024</v>
      </c>
      <c r="I13" s="40">
        <f>SUM('UnDisc Results'!I$10:I$12)</f>
        <v>0</v>
      </c>
      <c r="J13" s="40">
        <f>SUM('UnDisc Results'!J$10:J$12)</f>
        <v>0</v>
      </c>
      <c r="K13" s="40">
        <f>SUM('UnDisc Results'!K$10:K$12)</f>
        <v>0</v>
      </c>
      <c r="L13" s="40">
        <f>SUM('UnDisc Results'!L$10:L$12)</f>
        <v>0</v>
      </c>
      <c r="M13" s="40">
        <f>SUM('UnDisc Results'!M$10:M$12)</f>
        <v>0</v>
      </c>
      <c r="N13" s="40">
        <f>SUM('UnDisc Results'!N$10:N$12)</f>
        <v>0</v>
      </c>
      <c r="O13" s="40">
        <f>SUM('UnDisc Results'!O$10:O$12)</f>
        <v>4023116.6886038422</v>
      </c>
      <c r="P13" s="40">
        <f>SUM('UnDisc Results'!P$10:P$12)</f>
        <v>4023116.6886038422</v>
      </c>
      <c r="Q13" s="40">
        <f>SUM('UnDisc Results'!Q$10:Q$12)</f>
        <v>4023116.6886038422</v>
      </c>
      <c r="R13" s="40">
        <f>SUM('UnDisc Results'!R$10:R$12)</f>
        <v>4023116.6886038422</v>
      </c>
      <c r="S13" s="40">
        <f>SUM('UnDisc Results'!S$10:S$12)</f>
        <v>4023116.6886038422</v>
      </c>
      <c r="T13" s="40">
        <f>SUM('UnDisc Results'!T$10:T$12)</f>
        <v>4023116.6886038422</v>
      </c>
      <c r="U13" s="40">
        <f>SUM('UnDisc Results'!U$10:U$12)</f>
        <v>4023116.6886038422</v>
      </c>
      <c r="V13" s="40">
        <f>SUM('UnDisc Results'!V$10:V$12)</f>
        <v>4023116.6886038422</v>
      </c>
      <c r="W13" s="40">
        <f>SUM('UnDisc Results'!W$10:W$12)</f>
        <v>4023116.6886038422</v>
      </c>
      <c r="X13" s="40">
        <f>SUM('UnDisc Results'!X$10:X$12)</f>
        <v>4023116.6886038422</v>
      </c>
      <c r="Y13" s="40">
        <f>SUM('UnDisc Results'!Y$10:Y$12)</f>
        <v>4023116.6886038422</v>
      </c>
      <c r="Z13" s="40">
        <f>SUM('UnDisc Results'!Z$10:Z$12)</f>
        <v>4023116.6886038422</v>
      </c>
      <c r="AA13" s="40">
        <f>SUM('UnDisc Results'!AA$10:AA$12)</f>
        <v>4023116.6886038422</v>
      </c>
      <c r="AB13" s="40">
        <f>SUM('UnDisc Results'!AB$10:AB$12)</f>
        <v>4023116.6886038422</v>
      </c>
      <c r="AC13" s="40">
        <f>SUM('UnDisc Results'!AC$10:AC$12)</f>
        <v>4023116.6886038422</v>
      </c>
      <c r="AD13" s="40">
        <f>SUM('UnDisc Results'!AD$10:AD$12)</f>
        <v>4023116.6886038422</v>
      </c>
      <c r="AE13" s="40">
        <f>SUM('UnDisc Results'!AE$10:AE$12)</f>
        <v>4023116.6886038422</v>
      </c>
      <c r="AF13" s="40">
        <f>SUM('UnDisc Results'!AF$10:AF$12)</f>
        <v>4023116.6886038422</v>
      </c>
      <c r="AG13" s="40">
        <f>SUM('UnDisc Results'!AG$10:AG$12)</f>
        <v>4023116.6886038422</v>
      </c>
      <c r="AH13" s="40">
        <f>SUM('UnDisc Results'!AH$10:AH$12)</f>
        <v>4023116.6886038422</v>
      </c>
      <c r="AI13" s="40">
        <f>SUM('UnDisc Results'!AI$10:AI$12)</f>
        <v>0</v>
      </c>
      <c r="AJ13" s="40">
        <f>SUM('UnDisc Results'!AJ$10:AJ$12)</f>
        <v>0</v>
      </c>
      <c r="AK13" s="40">
        <f>SUM('UnDisc Results'!AK$10:AK$12)</f>
        <v>0</v>
      </c>
      <c r="AL13" s="40">
        <f>SUM('UnDisc Results'!AL$10:AL$12)</f>
        <v>0</v>
      </c>
      <c r="AM13" s="40">
        <f>SUM('UnDisc Results'!AM$10:AM$12)</f>
        <v>0</v>
      </c>
      <c r="AN13" s="40">
        <f>SUM('UnDisc Results'!AN$10:AN$12)</f>
        <v>0</v>
      </c>
      <c r="AO13" s="40">
        <f>SUM('UnDisc Results'!AO$10:AO$12)</f>
        <v>0</v>
      </c>
      <c r="AP13" s="40">
        <f>SUM('UnDisc Results'!AP$10:AP$12)</f>
        <v>0</v>
      </c>
      <c r="AQ13" s="40">
        <f>SUM('UnDisc Results'!AQ$10:AQ$12)</f>
        <v>0</v>
      </c>
      <c r="AR13" s="40">
        <f>SUM('UnDisc Results'!AR$10:AR$12)</f>
        <v>0</v>
      </c>
      <c r="AS13" s="40">
        <f>SUM('UnDisc Results'!AS$10:AS$12)</f>
        <v>0</v>
      </c>
      <c r="AT13" s="40">
        <f>SUM('UnDisc Results'!AT$10:AT$12)</f>
        <v>0</v>
      </c>
      <c r="AU13" s="40">
        <f>SUM('UnDisc Results'!AU$10:AU$12)</f>
        <v>0</v>
      </c>
      <c r="AV13" s="40">
        <f>SUM('UnDisc Results'!AV$10:AV$12)</f>
        <v>0</v>
      </c>
      <c r="AW13" s="40">
        <f>SUM('UnDisc Results'!AW$10:AW$12)</f>
        <v>0</v>
      </c>
      <c r="AX13" s="40">
        <f>SUM('UnDisc Results'!AX$10:AX$12)</f>
        <v>0</v>
      </c>
      <c r="AY13" s="40">
        <f>SUM('UnDisc Results'!AY$10:AY$12)</f>
        <v>0</v>
      </c>
      <c r="AZ13" s="40">
        <f>SUM('UnDisc Results'!AZ$10:AZ$12)</f>
        <v>0</v>
      </c>
      <c r="BA13" s="40">
        <f>SUM('UnDisc Results'!BA$10:BA$12)</f>
        <v>0</v>
      </c>
    </row>
    <row r="14" spans="1:54" x14ac:dyDescent="0.35">
      <c r="E14" s="92" t="s">
        <v>78</v>
      </c>
      <c r="F14" s="40">
        <f t="shared" si="2"/>
        <v>11811844.676135939</v>
      </c>
      <c r="G14" s="4" t="str">
        <f t="shared" si="3"/>
        <v>2024$ in 2024</v>
      </c>
      <c r="I14" s="40">
        <f>'UnDisc Results'!I$13</f>
        <v>0</v>
      </c>
      <c r="J14" s="40">
        <f>'UnDisc Results'!J$13</f>
        <v>0</v>
      </c>
      <c r="K14" s="40">
        <f>'UnDisc Results'!K$13</f>
        <v>0</v>
      </c>
      <c r="L14" s="40">
        <f>'UnDisc Results'!L$13</f>
        <v>0</v>
      </c>
      <c r="M14" s="40">
        <f>'UnDisc Results'!M$13</f>
        <v>0</v>
      </c>
      <c r="N14" s="40">
        <f>'UnDisc Results'!N$13</f>
        <v>0</v>
      </c>
      <c r="O14" s="40">
        <f>'UnDisc Results'!O$13</f>
        <v>0</v>
      </c>
      <c r="P14" s="40">
        <f>'UnDisc Results'!P$13</f>
        <v>0</v>
      </c>
      <c r="Q14" s="40">
        <f>'UnDisc Results'!Q$13</f>
        <v>0</v>
      </c>
      <c r="R14" s="40">
        <f>'UnDisc Results'!R$13</f>
        <v>0</v>
      </c>
      <c r="S14" s="40">
        <f>'UnDisc Results'!S$13</f>
        <v>0</v>
      </c>
      <c r="T14" s="40">
        <f>'UnDisc Results'!T$13</f>
        <v>0</v>
      </c>
      <c r="U14" s="40">
        <f>'UnDisc Results'!U$13</f>
        <v>0</v>
      </c>
      <c r="V14" s="40">
        <f>'UnDisc Results'!V$13</f>
        <v>0</v>
      </c>
      <c r="W14" s="40">
        <f>'UnDisc Results'!W$13</f>
        <v>0</v>
      </c>
      <c r="X14" s="40">
        <f>'UnDisc Results'!X$13</f>
        <v>0</v>
      </c>
      <c r="Y14" s="40">
        <f>'UnDisc Results'!Y$13</f>
        <v>0</v>
      </c>
      <c r="Z14" s="40">
        <f>'UnDisc Results'!Z$13</f>
        <v>0</v>
      </c>
      <c r="AA14" s="40">
        <f>'UnDisc Results'!AA$13</f>
        <v>0</v>
      </c>
      <c r="AB14" s="40">
        <f>'UnDisc Results'!AB$13</f>
        <v>0</v>
      </c>
      <c r="AC14" s="40">
        <f>'UnDisc Results'!AC$13</f>
        <v>0</v>
      </c>
      <c r="AD14" s="40">
        <f>'UnDisc Results'!AD$13</f>
        <v>0</v>
      </c>
      <c r="AE14" s="40">
        <f>'UnDisc Results'!AE$13</f>
        <v>0</v>
      </c>
      <c r="AF14" s="40">
        <f>'UnDisc Results'!AF$13</f>
        <v>0</v>
      </c>
      <c r="AG14" s="40">
        <f>'UnDisc Results'!AG$13</f>
        <v>0</v>
      </c>
      <c r="AH14" s="40">
        <f>'UnDisc Results'!AH$13</f>
        <v>11811844.676135939</v>
      </c>
      <c r="AI14" s="40">
        <f>'UnDisc Results'!AI$13</f>
        <v>0</v>
      </c>
      <c r="AJ14" s="40">
        <f>'UnDisc Results'!AJ$13</f>
        <v>0</v>
      </c>
      <c r="AK14" s="40">
        <f>'UnDisc Results'!AK$13</f>
        <v>0</v>
      </c>
      <c r="AL14" s="40">
        <f>'UnDisc Results'!AL$13</f>
        <v>0</v>
      </c>
      <c r="AM14" s="40">
        <f>'UnDisc Results'!AM$13</f>
        <v>0</v>
      </c>
      <c r="AN14" s="40">
        <f>'UnDisc Results'!AN$13</f>
        <v>0</v>
      </c>
      <c r="AO14" s="40">
        <f>'UnDisc Results'!AO$13</f>
        <v>0</v>
      </c>
      <c r="AP14" s="40">
        <f>'UnDisc Results'!AP$13</f>
        <v>0</v>
      </c>
      <c r="AQ14" s="40">
        <f>'UnDisc Results'!AQ$13</f>
        <v>0</v>
      </c>
      <c r="AR14" s="40">
        <f>'UnDisc Results'!AR$13</f>
        <v>0</v>
      </c>
      <c r="AS14" s="40">
        <f>'UnDisc Results'!AS$13</f>
        <v>0</v>
      </c>
      <c r="AT14" s="40">
        <f>'UnDisc Results'!AT$13</f>
        <v>0</v>
      </c>
      <c r="AU14" s="40">
        <f>'UnDisc Results'!AU$13</f>
        <v>0</v>
      </c>
      <c r="AV14" s="40">
        <f>'UnDisc Results'!AV$13</f>
        <v>0</v>
      </c>
      <c r="AW14" s="40">
        <f>'UnDisc Results'!AW$13</f>
        <v>0</v>
      </c>
      <c r="AX14" s="40">
        <f>'UnDisc Results'!AX$13</f>
        <v>0</v>
      </c>
      <c r="AY14" s="40">
        <f>'UnDisc Results'!AY$13</f>
        <v>0</v>
      </c>
      <c r="AZ14" s="40">
        <f>'UnDisc Results'!AZ$13</f>
        <v>0</v>
      </c>
      <c r="BA14" s="40">
        <f>'UnDisc Results'!BA$13</f>
        <v>0</v>
      </c>
    </row>
    <row r="15" spans="1:54" x14ac:dyDescent="0.35">
      <c r="E15" s="92" t="s">
        <v>1360</v>
      </c>
      <c r="F15" s="40">
        <f t="shared" si="2"/>
        <v>3911634.4809814231</v>
      </c>
      <c r="G15" s="4" t="str">
        <f t="shared" si="3"/>
        <v>2024$ in 2024</v>
      </c>
      <c r="I15" s="40">
        <f>SUM('UnDisc Results'!I$14:I$15)</f>
        <v>0</v>
      </c>
      <c r="J15" s="40">
        <f>SUM('UnDisc Results'!J$14:J$15)</f>
        <v>0</v>
      </c>
      <c r="K15" s="40">
        <f>SUM('UnDisc Results'!K$14:K$15)</f>
        <v>0</v>
      </c>
      <c r="L15" s="40">
        <f>SUM('UnDisc Results'!L$14:L$15)</f>
        <v>1955817.2404907115</v>
      </c>
      <c r="M15" s="40">
        <f>SUM('UnDisc Results'!M$14:M$15)</f>
        <v>0</v>
      </c>
      <c r="N15" s="40">
        <f>SUM('UnDisc Results'!N$14:N$15)</f>
        <v>0</v>
      </c>
      <c r="O15" s="40">
        <f>SUM('UnDisc Results'!O$14:O$15)</f>
        <v>0</v>
      </c>
      <c r="P15" s="40">
        <f>SUM('UnDisc Results'!P$14:P$15)</f>
        <v>0</v>
      </c>
      <c r="Q15" s="40">
        <f>SUM('UnDisc Results'!Q$14:Q$15)</f>
        <v>0</v>
      </c>
      <c r="R15" s="40">
        <f>SUM('UnDisc Results'!R$14:R$15)</f>
        <v>0</v>
      </c>
      <c r="S15" s="40">
        <f>SUM('UnDisc Results'!S$14:S$15)</f>
        <v>0</v>
      </c>
      <c r="T15" s="40">
        <f>SUM('UnDisc Results'!T$14:T$15)</f>
        <v>1955817.2404907115</v>
      </c>
      <c r="U15" s="40">
        <f>SUM('UnDisc Results'!U$14:U$15)</f>
        <v>0</v>
      </c>
      <c r="V15" s="40">
        <f>SUM('UnDisc Results'!V$14:V$15)</f>
        <v>0</v>
      </c>
      <c r="W15" s="40">
        <f>SUM('UnDisc Results'!W$14:W$15)</f>
        <v>0</v>
      </c>
      <c r="X15" s="40">
        <f>SUM('UnDisc Results'!X$14:X$15)</f>
        <v>0</v>
      </c>
      <c r="Y15" s="40">
        <f>SUM('UnDisc Results'!Y$14:Y$15)</f>
        <v>0</v>
      </c>
      <c r="Z15" s="40">
        <f>SUM('UnDisc Results'!Z$14:Z$15)</f>
        <v>0</v>
      </c>
      <c r="AA15" s="40">
        <f>SUM('UnDisc Results'!AA$14:AA$15)</f>
        <v>0</v>
      </c>
      <c r="AB15" s="40">
        <f>SUM('UnDisc Results'!AB$14:AB$15)</f>
        <v>0</v>
      </c>
      <c r="AC15" s="40">
        <f>SUM('UnDisc Results'!AC$14:AC$15)</f>
        <v>0</v>
      </c>
      <c r="AD15" s="40">
        <f>SUM('UnDisc Results'!AD$14:AD$15)</f>
        <v>0</v>
      </c>
      <c r="AE15" s="40">
        <f>SUM('UnDisc Results'!AE$14:AE$15)</f>
        <v>0</v>
      </c>
      <c r="AF15" s="40">
        <f>SUM('UnDisc Results'!AF$14:AF$15)</f>
        <v>0</v>
      </c>
      <c r="AG15" s="40">
        <f>SUM('UnDisc Results'!AG$14:AG$15)</f>
        <v>0</v>
      </c>
      <c r="AH15" s="40">
        <f>SUM('UnDisc Results'!AH$14:AH$15)</f>
        <v>0</v>
      </c>
      <c r="AI15" s="40">
        <f>SUM('UnDisc Results'!AI$14:AI$15)</f>
        <v>0</v>
      </c>
      <c r="AJ15" s="40">
        <f>SUM('UnDisc Results'!AJ$14:AJ$15)</f>
        <v>0</v>
      </c>
      <c r="AK15" s="40">
        <f>SUM('UnDisc Results'!AK$14:AK$15)</f>
        <v>0</v>
      </c>
      <c r="AL15" s="40">
        <f>SUM('UnDisc Results'!AL$14:AL$15)</f>
        <v>0</v>
      </c>
      <c r="AM15" s="40">
        <f>SUM('UnDisc Results'!AM$14:AM$15)</f>
        <v>0</v>
      </c>
      <c r="AN15" s="40">
        <f>SUM('UnDisc Results'!AN$14:AN$15)</f>
        <v>0</v>
      </c>
      <c r="AO15" s="40">
        <f>SUM('UnDisc Results'!AO$14:AO$15)</f>
        <v>0</v>
      </c>
      <c r="AP15" s="40">
        <f>SUM('UnDisc Results'!AP$14:AP$15)</f>
        <v>0</v>
      </c>
      <c r="AQ15" s="40">
        <f>SUM('UnDisc Results'!AQ$14:AQ$15)</f>
        <v>0</v>
      </c>
      <c r="AR15" s="40">
        <f>SUM('UnDisc Results'!AR$14:AR$15)</f>
        <v>0</v>
      </c>
      <c r="AS15" s="40">
        <f>SUM('UnDisc Results'!AS$14:AS$15)</f>
        <v>0</v>
      </c>
      <c r="AT15" s="40">
        <f>SUM('UnDisc Results'!AT$14:AT$15)</f>
        <v>0</v>
      </c>
      <c r="AU15" s="40">
        <f>SUM('UnDisc Results'!AU$14:AU$15)</f>
        <v>0</v>
      </c>
      <c r="AV15" s="40">
        <f>SUM('UnDisc Results'!AV$14:AV$15)</f>
        <v>0</v>
      </c>
      <c r="AW15" s="40">
        <f>SUM('UnDisc Results'!AW$14:AW$15)</f>
        <v>0</v>
      </c>
      <c r="AX15" s="40">
        <f>SUM('UnDisc Results'!AX$14:AX$15)</f>
        <v>0</v>
      </c>
      <c r="AY15" s="40">
        <f>SUM('UnDisc Results'!AY$14:AY$15)</f>
        <v>0</v>
      </c>
      <c r="AZ15" s="40">
        <f>SUM('UnDisc Results'!AZ$14:AZ$15)</f>
        <v>0</v>
      </c>
      <c r="BA15" s="40">
        <f>SUM('UnDisc Results'!BA$14:BA$15)</f>
        <v>0</v>
      </c>
    </row>
    <row r="16" spans="1:54" x14ac:dyDescent="0.35">
      <c r="E16" s="93" t="s">
        <v>90</v>
      </c>
      <c r="F16" s="96">
        <f>SUM(F12:F15)</f>
        <v>125015410.76255022</v>
      </c>
      <c r="G16" s="4" t="str">
        <f t="shared" si="3"/>
        <v>2024$ in 2024</v>
      </c>
      <c r="H16" s="1"/>
    </row>
    <row r="17" spans="1:53" x14ac:dyDescent="0.35">
      <c r="E17" s="92"/>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row>
    <row r="18" spans="1:53" x14ac:dyDescent="0.35">
      <c r="E18" s="92" t="str">
        <f>E12</f>
        <v>Auto and Truck Travel Time Savings</v>
      </c>
      <c r="F18" s="90">
        <f>IF(F$16=0,0,F12/$F$16)</f>
        <v>0.2306083518624269</v>
      </c>
      <c r="G18" s="87" t="s">
        <v>77</v>
      </c>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row>
    <row r="19" spans="1:53" x14ac:dyDescent="0.35">
      <c r="E19" s="92" t="str">
        <f>E13</f>
        <v>Reduction in Injuries and Fatalities</v>
      </c>
      <c r="F19" s="90">
        <f>IF(F$16=0,0,F13/$F$16)</f>
        <v>0.64361932086040263</v>
      </c>
      <c r="G19" s="87" t="s">
        <v>77</v>
      </c>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row>
    <row r="20" spans="1:53" x14ac:dyDescent="0.35">
      <c r="E20" s="92" t="str">
        <f t="shared" ref="E20:E22" si="4">E14</f>
        <v>Residual Value</v>
      </c>
      <c r="F20" s="90">
        <f>IF(F$16=0,0,F14/$F$16)</f>
        <v>9.4483108955030606E-2</v>
      </c>
      <c r="G20" s="87" t="s">
        <v>77</v>
      </c>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row>
    <row r="21" spans="1:53" x14ac:dyDescent="0.35">
      <c r="E21" s="92" t="str">
        <f t="shared" si="4"/>
        <v>Infrastructure Maintenance Cost Savings</v>
      </c>
      <c r="F21" s="90">
        <f>IF(F$16=0,0,F15/$F$16)</f>
        <v>3.1289218322139829E-2</v>
      </c>
      <c r="G21" s="87" t="s">
        <v>77</v>
      </c>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row>
    <row r="22" spans="1:53" x14ac:dyDescent="0.35">
      <c r="E22" s="92" t="str">
        <f t="shared" si="4"/>
        <v>Total</v>
      </c>
      <c r="F22" s="90">
        <f>IF(F$16=0,0,F16/$F$16)</f>
        <v>1</v>
      </c>
      <c r="G22" s="87" t="s">
        <v>77</v>
      </c>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row>
    <row r="23" spans="1:53" x14ac:dyDescent="0.35">
      <c r="E23" s="9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1:53" x14ac:dyDescent="0.35">
      <c r="A24" s="1" t="s">
        <v>921</v>
      </c>
      <c r="E24" s="92"/>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row>
    <row r="25" spans="1:53" x14ac:dyDescent="0.35">
      <c r="E25" s="97" t="s">
        <v>922</v>
      </c>
      <c r="F25" s="40">
        <f>SUM(I25:BA25)</f>
        <v>125015410.76255022</v>
      </c>
      <c r="G25" s="4" t="str">
        <f>$F$6&amp;"$ in "&amp;$F$6</f>
        <v>2024$ in 2024</v>
      </c>
      <c r="I25" s="40">
        <f>'UnDisc Results'!I$17</f>
        <v>0</v>
      </c>
      <c r="J25" s="40">
        <f>'UnDisc Results'!J$17</f>
        <v>0</v>
      </c>
      <c r="K25" s="40">
        <f>'UnDisc Results'!K$17</f>
        <v>0</v>
      </c>
      <c r="L25" s="40">
        <f>'UnDisc Results'!L$17</f>
        <v>1955817.2404907115</v>
      </c>
      <c r="M25" s="40">
        <f>'UnDisc Results'!M$17</f>
        <v>0</v>
      </c>
      <c r="N25" s="40">
        <f>'UnDisc Results'!N$17</f>
        <v>0</v>
      </c>
      <c r="O25" s="40">
        <f>'UnDisc Results'!O$17</f>
        <v>4621670.6199575579</v>
      </c>
      <c r="P25" s="40">
        <f>'UnDisc Results'!P$17</f>
        <v>4637233.0221727528</v>
      </c>
      <c r="Q25" s="40">
        <f>'UnDisc Results'!Q$17</f>
        <v>4653200.0468455441</v>
      </c>
      <c r="R25" s="40">
        <f>'UnDisc Results'!R$17</f>
        <v>4669582.2141598286</v>
      </c>
      <c r="S25" s="40">
        <f>'UnDisc Results'!S$17</f>
        <v>4686390.3178242873</v>
      </c>
      <c r="T25" s="40">
        <f>'UnDisc Results'!T$17</f>
        <v>6659452.6726747276</v>
      </c>
      <c r="U25" s="40">
        <f>'UnDisc Results'!U$17</f>
        <v>4721328.9195171017</v>
      </c>
      <c r="V25" s="40">
        <f>'UnDisc Results'!V$17</f>
        <v>4739482.437520843</v>
      </c>
      <c r="W25" s="40">
        <f>'UnDisc Results'!W$17</f>
        <v>4758107.9469926851</v>
      </c>
      <c r="X25" s="40">
        <f>'UnDisc Results'!X$17</f>
        <v>4777217.7197107989</v>
      </c>
      <c r="Y25" s="40">
        <f>'UnDisc Results'!Y$17</f>
        <v>4796824.3465195773</v>
      </c>
      <c r="Z25" s="40">
        <f>'UnDisc Results'!Z$17</f>
        <v>4816940.7456253869</v>
      </c>
      <c r="AA25" s="40">
        <f>'UnDisc Results'!AA$17</f>
        <v>4837580.171107946</v>
      </c>
      <c r="AB25" s="40">
        <f>'UnDisc Results'!AB$17</f>
        <v>4858756.2216530545</v>
      </c>
      <c r="AC25" s="40">
        <f>'UnDisc Results'!AC$17</f>
        <v>4023116.6886038422</v>
      </c>
      <c r="AD25" s="40">
        <f>'UnDisc Results'!AD$17</f>
        <v>7606907.2412013337</v>
      </c>
      <c r="AE25" s="40">
        <f>'UnDisc Results'!AE$17</f>
        <v>7700085.7955688741</v>
      </c>
      <c r="AF25" s="40">
        <f>'UnDisc Results'!AF$17</f>
        <v>7795686.9923499636</v>
      </c>
      <c r="AG25" s="40">
        <f>'UnDisc Results'!AG$17</f>
        <v>7893773.8202473652</v>
      </c>
      <c r="AH25" s="40">
        <f>'UnDisc Results'!AH$17</f>
        <v>19806255.581806034</v>
      </c>
      <c r="AI25" s="40">
        <f>'UnDisc Results'!AI$17</f>
        <v>0</v>
      </c>
      <c r="AJ25" s="40">
        <f>'UnDisc Results'!AJ$17</f>
        <v>0</v>
      </c>
      <c r="AK25" s="40">
        <f>'UnDisc Results'!AK$17</f>
        <v>0</v>
      </c>
      <c r="AL25" s="40">
        <f>'UnDisc Results'!AL$17</f>
        <v>0</v>
      </c>
      <c r="AM25" s="40">
        <f>'UnDisc Results'!AM$17</f>
        <v>0</v>
      </c>
      <c r="AN25" s="40">
        <f>'UnDisc Results'!AN$17</f>
        <v>0</v>
      </c>
      <c r="AO25" s="40">
        <f>'UnDisc Results'!AO$17</f>
        <v>0</v>
      </c>
      <c r="AP25" s="40">
        <f>'UnDisc Results'!AP$17</f>
        <v>0</v>
      </c>
      <c r="AQ25" s="40">
        <f>'UnDisc Results'!AQ$17</f>
        <v>0</v>
      </c>
      <c r="AR25" s="40">
        <f>'UnDisc Results'!AR$17</f>
        <v>0</v>
      </c>
      <c r="AS25" s="40">
        <f>'UnDisc Results'!AS$17</f>
        <v>0</v>
      </c>
      <c r="AT25" s="40">
        <f>'UnDisc Results'!AT$17</f>
        <v>0</v>
      </c>
      <c r="AU25" s="40">
        <f>'UnDisc Results'!AU$17</f>
        <v>0</v>
      </c>
      <c r="AV25" s="40">
        <f>'UnDisc Results'!AV$17</f>
        <v>0</v>
      </c>
      <c r="AW25" s="40">
        <f>'UnDisc Results'!AW$17</f>
        <v>0</v>
      </c>
      <c r="AX25" s="40">
        <f>'UnDisc Results'!AX$17</f>
        <v>0</v>
      </c>
      <c r="AY25" s="40">
        <f>'UnDisc Results'!AY$17</f>
        <v>0</v>
      </c>
      <c r="AZ25" s="40">
        <f>'UnDisc Results'!AZ$17</f>
        <v>0</v>
      </c>
      <c r="BA25" s="40">
        <f>'UnDisc Results'!BA$17</f>
        <v>0</v>
      </c>
    </row>
    <row r="26" spans="1:53" x14ac:dyDescent="0.35">
      <c r="E26" s="97" t="s">
        <v>923</v>
      </c>
      <c r="F26" s="40"/>
      <c r="I26" s="40">
        <f>'UnDisc Results'!I$18</f>
        <v>0</v>
      </c>
      <c r="J26" s="40">
        <f>'UnDisc Results'!J$18</f>
        <v>0</v>
      </c>
      <c r="K26" s="40">
        <f>'UnDisc Results'!K$18</f>
        <v>0</v>
      </c>
      <c r="L26" s="40">
        <f>'UnDisc Results'!L$18</f>
        <v>1955817.2404907115</v>
      </c>
      <c r="M26" s="40">
        <f>'UnDisc Results'!M$18</f>
        <v>1955817.2404907115</v>
      </c>
      <c r="N26" s="40">
        <f>'UnDisc Results'!N$18</f>
        <v>1955817.2404907115</v>
      </c>
      <c r="O26" s="40">
        <f>'UnDisc Results'!O$18</f>
        <v>6577487.8604482692</v>
      </c>
      <c r="P26" s="40">
        <f>'UnDisc Results'!P$18</f>
        <v>11214720.882621022</v>
      </c>
      <c r="Q26" s="40">
        <f>'UnDisc Results'!Q$18</f>
        <v>15867920.929466566</v>
      </c>
      <c r="R26" s="40">
        <f>'UnDisc Results'!R$18</f>
        <v>20537503.143626396</v>
      </c>
      <c r="S26" s="40">
        <f>'UnDisc Results'!S$18</f>
        <v>25223893.461450681</v>
      </c>
      <c r="T26" s="40">
        <f>'UnDisc Results'!T$18</f>
        <v>31883346.134125408</v>
      </c>
      <c r="U26" s="40">
        <f>'UnDisc Results'!U$18</f>
        <v>36604675.053642511</v>
      </c>
      <c r="V26" s="40">
        <f>'UnDisc Results'!V$18</f>
        <v>41344157.491163358</v>
      </c>
      <c r="W26" s="40">
        <f>'UnDisc Results'!W$18</f>
        <v>46102265.438156046</v>
      </c>
      <c r="X26" s="40">
        <f>'UnDisc Results'!X$18</f>
        <v>50879483.157866843</v>
      </c>
      <c r="Y26" s="40">
        <f>'UnDisc Results'!Y$18</f>
        <v>55676307.504386418</v>
      </c>
      <c r="Z26" s="40">
        <f>'UnDisc Results'!Z$18</f>
        <v>60493248.250011802</v>
      </c>
      <c r="AA26" s="40">
        <f>'UnDisc Results'!AA$18</f>
        <v>65330828.42111975</v>
      </c>
      <c r="AB26" s="40">
        <f>'UnDisc Results'!AB$18</f>
        <v>70189584.642772809</v>
      </c>
      <c r="AC26" s="40">
        <f>'UnDisc Results'!AC$18</f>
        <v>74212701.331376657</v>
      </c>
      <c r="AD26" s="40">
        <f>'UnDisc Results'!AD$18</f>
        <v>81819608.572577983</v>
      </c>
      <c r="AE26" s="40">
        <f>'UnDisc Results'!AE$18</f>
        <v>89519694.368146852</v>
      </c>
      <c r="AF26" s="40">
        <f>'UnDisc Results'!AF$18</f>
        <v>97315381.360496819</v>
      </c>
      <c r="AG26" s="40">
        <f>'UnDisc Results'!AG$18</f>
        <v>105209155.18074419</v>
      </c>
      <c r="AH26" s="40">
        <f>'UnDisc Results'!AH$18</f>
        <v>125015410.76255022</v>
      </c>
      <c r="AI26" s="40">
        <f>'UnDisc Results'!AI$18</f>
        <v>125015410.76255022</v>
      </c>
      <c r="AJ26" s="40">
        <f>'UnDisc Results'!AJ$18</f>
        <v>125015410.76255022</v>
      </c>
      <c r="AK26" s="40">
        <f>'UnDisc Results'!AK$18</f>
        <v>125015410.76255022</v>
      </c>
      <c r="AL26" s="40">
        <f>'UnDisc Results'!AL$18</f>
        <v>125015410.76255022</v>
      </c>
      <c r="AM26" s="40">
        <f>'UnDisc Results'!AM$18</f>
        <v>125015410.76255022</v>
      </c>
      <c r="AN26" s="40">
        <f>'UnDisc Results'!AN$18</f>
        <v>125015410.76255022</v>
      </c>
      <c r="AO26" s="40">
        <f>'UnDisc Results'!AO$18</f>
        <v>125015410.76255022</v>
      </c>
      <c r="AP26" s="40">
        <f>'UnDisc Results'!AP$18</f>
        <v>125015410.76255022</v>
      </c>
      <c r="AQ26" s="40">
        <f>'UnDisc Results'!AQ$18</f>
        <v>125015410.76255022</v>
      </c>
      <c r="AR26" s="40">
        <f>'UnDisc Results'!AR$18</f>
        <v>125015410.76255022</v>
      </c>
      <c r="AS26" s="40">
        <f>'UnDisc Results'!AS$18</f>
        <v>125015410.76255022</v>
      </c>
      <c r="AT26" s="40">
        <f>'UnDisc Results'!AT$18</f>
        <v>125015410.76255022</v>
      </c>
      <c r="AU26" s="40">
        <f>'UnDisc Results'!AU$18</f>
        <v>125015410.76255022</v>
      </c>
      <c r="AV26" s="40">
        <f>'UnDisc Results'!AV$18</f>
        <v>125015410.76255022</v>
      </c>
      <c r="AW26" s="40">
        <f>'UnDisc Results'!AW$18</f>
        <v>125015410.76255022</v>
      </c>
      <c r="AX26" s="40">
        <f>'UnDisc Results'!AX$18</f>
        <v>125015410.76255022</v>
      </c>
      <c r="AY26" s="40">
        <f>'UnDisc Results'!AY$18</f>
        <v>125015410.76255022</v>
      </c>
      <c r="AZ26" s="40">
        <f>'UnDisc Results'!AZ$18</f>
        <v>125015410.76255022</v>
      </c>
      <c r="BA26" s="40">
        <f>'UnDisc Results'!BA$18</f>
        <v>125015410.76255022</v>
      </c>
    </row>
    <row r="27" spans="1:53" x14ac:dyDescent="0.35"/>
    <row r="28" spans="1:53" x14ac:dyDescent="0.35">
      <c r="E28" s="92" t="s">
        <v>924</v>
      </c>
      <c r="F28" s="40">
        <f>SUM(I28:BA28)</f>
        <v>36879588.856528126</v>
      </c>
      <c r="G28" s="4" t="str">
        <f>$F$6&amp;"$ in "&amp;$F$6</f>
        <v>2024$ in 2024</v>
      </c>
      <c r="I28" s="40">
        <f>'UnDisc Results'!I$19</f>
        <v>327709.29052218742</v>
      </c>
      <c r="J28" s="40">
        <f>'UnDisc Results'!J$19</f>
        <v>377521.10268155992</v>
      </c>
      <c r="K28" s="40">
        <f>'UnDisc Results'!K$19</f>
        <v>362420.25857429748</v>
      </c>
      <c r="L28" s="40">
        <f>'UnDisc Results'!L$19</f>
        <v>348481.01785990136</v>
      </c>
      <c r="M28" s="40">
        <f>'UnDisc Results'!M$19</f>
        <v>27530128.673067532</v>
      </c>
      <c r="N28" s="40">
        <f>'UnDisc Results'!N$19</f>
        <v>7933328.5138226459</v>
      </c>
      <c r="O28" s="40">
        <f>'UnDisc Results'!O$19</f>
        <v>0</v>
      </c>
      <c r="P28" s="40">
        <f>'UnDisc Results'!P$19</f>
        <v>0</v>
      </c>
      <c r="Q28" s="40">
        <f>'UnDisc Results'!Q$19</f>
        <v>0</v>
      </c>
      <c r="R28" s="40">
        <f>'UnDisc Results'!R$19</f>
        <v>0</v>
      </c>
      <c r="S28" s="40">
        <f>'UnDisc Results'!S$19</f>
        <v>0</v>
      </c>
      <c r="T28" s="40">
        <f>'UnDisc Results'!T$19</f>
        <v>0</v>
      </c>
      <c r="U28" s="40">
        <f>'UnDisc Results'!U$19</f>
        <v>0</v>
      </c>
      <c r="V28" s="40">
        <f>'UnDisc Results'!V$19</f>
        <v>0</v>
      </c>
      <c r="W28" s="40">
        <f>'UnDisc Results'!W$19</f>
        <v>0</v>
      </c>
      <c r="X28" s="40">
        <f>'UnDisc Results'!X$19</f>
        <v>0</v>
      </c>
      <c r="Y28" s="40">
        <f>'UnDisc Results'!Y$19</f>
        <v>0</v>
      </c>
      <c r="Z28" s="40">
        <f>'UnDisc Results'!Z$19</f>
        <v>0</v>
      </c>
      <c r="AA28" s="40">
        <f>'UnDisc Results'!AA$19</f>
        <v>0</v>
      </c>
      <c r="AB28" s="40">
        <f>'UnDisc Results'!AB$19</f>
        <v>0</v>
      </c>
      <c r="AC28" s="40">
        <f>'UnDisc Results'!AC$19</f>
        <v>0</v>
      </c>
      <c r="AD28" s="40">
        <f>'UnDisc Results'!AD$19</f>
        <v>0</v>
      </c>
      <c r="AE28" s="40">
        <f>'UnDisc Results'!AE$19</f>
        <v>0</v>
      </c>
      <c r="AF28" s="40">
        <f>'UnDisc Results'!AF$19</f>
        <v>0</v>
      </c>
      <c r="AG28" s="40">
        <f>'UnDisc Results'!AG$19</f>
        <v>0</v>
      </c>
      <c r="AH28" s="40">
        <f>'UnDisc Results'!AH$19</f>
        <v>0</v>
      </c>
      <c r="AI28" s="40">
        <f>'UnDisc Results'!AI$19</f>
        <v>0</v>
      </c>
      <c r="AJ28" s="40">
        <f>'UnDisc Results'!AJ$19</f>
        <v>0</v>
      </c>
      <c r="AK28" s="40">
        <f>'UnDisc Results'!AK$19</f>
        <v>0</v>
      </c>
      <c r="AL28" s="40">
        <f>'UnDisc Results'!AL$19</f>
        <v>0</v>
      </c>
      <c r="AM28" s="40">
        <f>'UnDisc Results'!AM$19</f>
        <v>0</v>
      </c>
      <c r="AN28" s="40">
        <f>'UnDisc Results'!AN$19</f>
        <v>0</v>
      </c>
      <c r="AO28" s="40">
        <f>'UnDisc Results'!AO$19</f>
        <v>0</v>
      </c>
      <c r="AP28" s="40">
        <f>'UnDisc Results'!AP$19</f>
        <v>0</v>
      </c>
      <c r="AQ28" s="40">
        <f>'UnDisc Results'!AQ$19</f>
        <v>0</v>
      </c>
      <c r="AR28" s="40">
        <f>'UnDisc Results'!AR$19</f>
        <v>0</v>
      </c>
      <c r="AS28" s="40">
        <f>'UnDisc Results'!AS$19</f>
        <v>0</v>
      </c>
      <c r="AT28" s="40">
        <f>'UnDisc Results'!AT$19</f>
        <v>0</v>
      </c>
      <c r="AU28" s="40">
        <f>'UnDisc Results'!AU$19</f>
        <v>0</v>
      </c>
      <c r="AV28" s="40">
        <f>'UnDisc Results'!AV$19</f>
        <v>0</v>
      </c>
      <c r="AW28" s="40">
        <f>'UnDisc Results'!AW$19</f>
        <v>0</v>
      </c>
      <c r="AX28" s="40">
        <f>'UnDisc Results'!AX$19</f>
        <v>0</v>
      </c>
      <c r="AY28" s="40">
        <f>'UnDisc Results'!AY$19</f>
        <v>0</v>
      </c>
      <c r="AZ28" s="40">
        <f>'UnDisc Results'!AZ$19</f>
        <v>0</v>
      </c>
      <c r="BA28" s="40">
        <f>'UnDisc Results'!BA$19</f>
        <v>0</v>
      </c>
    </row>
    <row r="29" spans="1:53" x14ac:dyDescent="0.35">
      <c r="E29" s="92" t="s">
        <v>925</v>
      </c>
      <c r="F29" s="40"/>
      <c r="I29" s="40">
        <f>'UnDisc Results'!I$20</f>
        <v>327709.29052218742</v>
      </c>
      <c r="J29" s="40">
        <f>'UnDisc Results'!J$20</f>
        <v>705230.39320374734</v>
      </c>
      <c r="K29" s="40">
        <f>'UnDisc Results'!K$20</f>
        <v>1067650.6517780449</v>
      </c>
      <c r="L29" s="40">
        <f>'UnDisc Results'!L$20</f>
        <v>1416131.6696379462</v>
      </c>
      <c r="M29" s="40">
        <f>'UnDisc Results'!M$20</f>
        <v>28946260.342705477</v>
      </c>
      <c r="N29" s="40">
        <f>'UnDisc Results'!N$20</f>
        <v>36879588.856528126</v>
      </c>
      <c r="O29" s="40">
        <f>'UnDisc Results'!O$20</f>
        <v>36879588.856528126</v>
      </c>
      <c r="P29" s="40">
        <f>'UnDisc Results'!P$20</f>
        <v>36879588.856528126</v>
      </c>
      <c r="Q29" s="40">
        <f>'UnDisc Results'!Q$20</f>
        <v>36879588.856528126</v>
      </c>
      <c r="R29" s="40">
        <f>'UnDisc Results'!R$20</f>
        <v>36879588.856528126</v>
      </c>
      <c r="S29" s="40">
        <f>'UnDisc Results'!S$20</f>
        <v>36879588.856528126</v>
      </c>
      <c r="T29" s="40">
        <f>'UnDisc Results'!T$20</f>
        <v>36879588.856528126</v>
      </c>
      <c r="U29" s="40">
        <f>'UnDisc Results'!U$20</f>
        <v>36879588.856528126</v>
      </c>
      <c r="V29" s="40">
        <f>'UnDisc Results'!V$20</f>
        <v>36879588.856528126</v>
      </c>
      <c r="W29" s="40">
        <f>'UnDisc Results'!W$20</f>
        <v>36879588.856528126</v>
      </c>
      <c r="X29" s="40">
        <f>'UnDisc Results'!X$20</f>
        <v>36879588.856528126</v>
      </c>
      <c r="Y29" s="40">
        <f>'UnDisc Results'!Y$20</f>
        <v>36879588.856528126</v>
      </c>
      <c r="Z29" s="40">
        <f>'UnDisc Results'!Z$20</f>
        <v>36879588.856528126</v>
      </c>
      <c r="AA29" s="40">
        <f>'UnDisc Results'!AA$20</f>
        <v>36879588.856528126</v>
      </c>
      <c r="AB29" s="40">
        <f>'UnDisc Results'!AB$20</f>
        <v>36879588.856528126</v>
      </c>
      <c r="AC29" s="40">
        <f>'UnDisc Results'!AC$20</f>
        <v>36879588.856528126</v>
      </c>
      <c r="AD29" s="40">
        <f>'UnDisc Results'!AD$20</f>
        <v>36879588.856528126</v>
      </c>
      <c r="AE29" s="40">
        <f>'UnDisc Results'!AE$20</f>
        <v>36879588.856528126</v>
      </c>
      <c r="AF29" s="40">
        <f>'UnDisc Results'!AF$20</f>
        <v>36879588.856528126</v>
      </c>
      <c r="AG29" s="40">
        <f>'UnDisc Results'!AG$20</f>
        <v>36879588.856528126</v>
      </c>
      <c r="AH29" s="40">
        <f>'UnDisc Results'!AH$20</f>
        <v>36879588.856528126</v>
      </c>
      <c r="AI29" s="40">
        <f>'UnDisc Results'!AI$20</f>
        <v>36879588.856528126</v>
      </c>
      <c r="AJ29" s="40">
        <f>'UnDisc Results'!AJ$20</f>
        <v>36879588.856528126</v>
      </c>
      <c r="AK29" s="40">
        <f>'UnDisc Results'!AK$20</f>
        <v>36879588.856528126</v>
      </c>
      <c r="AL29" s="40">
        <f>'UnDisc Results'!AL$20</f>
        <v>36879588.856528126</v>
      </c>
      <c r="AM29" s="40">
        <f>'UnDisc Results'!AM$20</f>
        <v>36879588.856528126</v>
      </c>
      <c r="AN29" s="40">
        <f>'UnDisc Results'!AN$20</f>
        <v>36879588.856528126</v>
      </c>
      <c r="AO29" s="40">
        <f>'UnDisc Results'!AO$20</f>
        <v>36879588.856528126</v>
      </c>
      <c r="AP29" s="40">
        <f>'UnDisc Results'!AP$20</f>
        <v>36879588.856528126</v>
      </c>
      <c r="AQ29" s="40">
        <f>'UnDisc Results'!AQ$20</f>
        <v>36879588.856528126</v>
      </c>
      <c r="AR29" s="40">
        <f>'UnDisc Results'!AR$20</f>
        <v>36879588.856528126</v>
      </c>
      <c r="AS29" s="40">
        <f>'UnDisc Results'!AS$20</f>
        <v>36879588.856528126</v>
      </c>
      <c r="AT29" s="40">
        <f>'UnDisc Results'!AT$20</f>
        <v>36879588.856528126</v>
      </c>
      <c r="AU29" s="40">
        <f>'UnDisc Results'!AU$20</f>
        <v>36879588.856528126</v>
      </c>
      <c r="AV29" s="40">
        <f>'UnDisc Results'!AV$20</f>
        <v>36879588.856528126</v>
      </c>
      <c r="AW29" s="40">
        <f>'UnDisc Results'!AW$20</f>
        <v>36879588.856528126</v>
      </c>
      <c r="AX29" s="40">
        <f>'UnDisc Results'!AX$20</f>
        <v>36879588.856528126</v>
      </c>
      <c r="AY29" s="40">
        <f>'UnDisc Results'!AY$20</f>
        <v>36879588.856528126</v>
      </c>
      <c r="AZ29" s="40">
        <f>'UnDisc Results'!AZ$20</f>
        <v>36879588.856528126</v>
      </c>
      <c r="BA29" s="40">
        <f>'UnDisc Results'!BA$20</f>
        <v>36879588.856528126</v>
      </c>
    </row>
    <row r="30" spans="1:53" x14ac:dyDescent="0.35">
      <c r="E30" s="92"/>
      <c r="F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row>
    <row r="31" spans="1:53" x14ac:dyDescent="0.35">
      <c r="E31" s="92" t="s">
        <v>752</v>
      </c>
      <c r="F31" s="40">
        <f>SUM(I31:BA31)</f>
        <v>36879588.856528126</v>
      </c>
      <c r="G31" s="4" t="str">
        <f>$F$6&amp;"$ in "&amp;$F$6</f>
        <v>2024$ in 2024</v>
      </c>
      <c r="I31" s="40">
        <f>'UnDisc Results'!I$16</f>
        <v>327709.29052218742</v>
      </c>
      <c r="J31" s="40">
        <f>'UnDisc Results'!J$16</f>
        <v>377521.10268155992</v>
      </c>
      <c r="K31" s="40">
        <f>'UnDisc Results'!K$16</f>
        <v>362420.25857429748</v>
      </c>
      <c r="L31" s="40">
        <f>'UnDisc Results'!L$16</f>
        <v>348481.01785990136</v>
      </c>
      <c r="M31" s="40">
        <f>'UnDisc Results'!M$16</f>
        <v>27530128.673067532</v>
      </c>
      <c r="N31" s="40">
        <f>'UnDisc Results'!N$16</f>
        <v>7933328.5138226459</v>
      </c>
      <c r="O31" s="40">
        <f>'UnDisc Results'!O$16</f>
        <v>0</v>
      </c>
      <c r="P31" s="40">
        <f>'UnDisc Results'!P$16</f>
        <v>0</v>
      </c>
      <c r="Q31" s="40">
        <f>'UnDisc Results'!Q$16</f>
        <v>0</v>
      </c>
      <c r="R31" s="40">
        <f>'UnDisc Results'!R$16</f>
        <v>0</v>
      </c>
      <c r="S31" s="40">
        <f>'UnDisc Results'!S$16</f>
        <v>0</v>
      </c>
      <c r="T31" s="40">
        <f>'UnDisc Results'!T$16</f>
        <v>0</v>
      </c>
      <c r="U31" s="40">
        <f>'UnDisc Results'!U$16</f>
        <v>0</v>
      </c>
      <c r="V31" s="40">
        <f>'UnDisc Results'!V$16</f>
        <v>0</v>
      </c>
      <c r="W31" s="40">
        <f>'UnDisc Results'!W$16</f>
        <v>0</v>
      </c>
      <c r="X31" s="40">
        <f>'UnDisc Results'!X$16</f>
        <v>0</v>
      </c>
      <c r="Y31" s="40">
        <f>'UnDisc Results'!Y$16</f>
        <v>0</v>
      </c>
      <c r="Z31" s="40">
        <f>'UnDisc Results'!Z$16</f>
        <v>0</v>
      </c>
      <c r="AA31" s="40">
        <f>'UnDisc Results'!AA$16</f>
        <v>0</v>
      </c>
      <c r="AB31" s="40">
        <f>'UnDisc Results'!AB$16</f>
        <v>0</v>
      </c>
      <c r="AC31" s="40">
        <f>'UnDisc Results'!AC$16</f>
        <v>0</v>
      </c>
      <c r="AD31" s="40">
        <f>'UnDisc Results'!AD$16</f>
        <v>0</v>
      </c>
      <c r="AE31" s="40">
        <f>'UnDisc Results'!AE$16</f>
        <v>0</v>
      </c>
      <c r="AF31" s="40">
        <f>'UnDisc Results'!AF$16</f>
        <v>0</v>
      </c>
      <c r="AG31" s="40">
        <f>'UnDisc Results'!AG$16</f>
        <v>0</v>
      </c>
      <c r="AH31" s="40">
        <f>'UnDisc Results'!AH$16</f>
        <v>0</v>
      </c>
      <c r="AI31" s="40">
        <f>'UnDisc Results'!AI$16</f>
        <v>0</v>
      </c>
      <c r="AJ31" s="40">
        <f>'UnDisc Results'!AJ$16</f>
        <v>0</v>
      </c>
      <c r="AK31" s="40">
        <f>'UnDisc Results'!AK$16</f>
        <v>0</v>
      </c>
      <c r="AL31" s="40">
        <f>'UnDisc Results'!AL$16</f>
        <v>0</v>
      </c>
      <c r="AM31" s="40">
        <f>'UnDisc Results'!AM$16</f>
        <v>0</v>
      </c>
      <c r="AN31" s="40">
        <f>'UnDisc Results'!AN$16</f>
        <v>0</v>
      </c>
      <c r="AO31" s="40">
        <f>'UnDisc Results'!AO$16</f>
        <v>0</v>
      </c>
      <c r="AP31" s="40">
        <f>'UnDisc Results'!AP$16</f>
        <v>0</v>
      </c>
      <c r="AQ31" s="40">
        <f>'UnDisc Results'!AQ$16</f>
        <v>0</v>
      </c>
      <c r="AR31" s="40">
        <f>'UnDisc Results'!AR$16</f>
        <v>0</v>
      </c>
      <c r="AS31" s="40">
        <f>'UnDisc Results'!AS$16</f>
        <v>0</v>
      </c>
      <c r="AT31" s="40">
        <f>'UnDisc Results'!AT$16</f>
        <v>0</v>
      </c>
      <c r="AU31" s="40">
        <f>'UnDisc Results'!AU$16</f>
        <v>0</v>
      </c>
      <c r="AV31" s="40">
        <f>'UnDisc Results'!AV$16</f>
        <v>0</v>
      </c>
      <c r="AW31" s="40">
        <f>'UnDisc Results'!AW$16</f>
        <v>0</v>
      </c>
      <c r="AX31" s="40">
        <f>'UnDisc Results'!AX$16</f>
        <v>0</v>
      </c>
      <c r="AY31" s="40">
        <f>'UnDisc Results'!AY$16</f>
        <v>0</v>
      </c>
      <c r="AZ31" s="40">
        <f>'UnDisc Results'!AZ$16</f>
        <v>0</v>
      </c>
      <c r="BA31" s="40">
        <f>'UnDisc Results'!BA$16</f>
        <v>0</v>
      </c>
    </row>
    <row r="32" spans="1:53" x14ac:dyDescent="0.35">
      <c r="E32" s="92"/>
      <c r="F32" s="40"/>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row>
    <row r="33" spans="1:7" x14ac:dyDescent="0.35">
      <c r="A33" s="1" t="s">
        <v>926</v>
      </c>
      <c r="E33" s="92"/>
    </row>
    <row r="34" spans="1:7" x14ac:dyDescent="0.35">
      <c r="E34" s="92" t="s">
        <v>927</v>
      </c>
      <c r="F34" s="17">
        <f>IFERROR(F25/F28,0)</f>
        <v>3.3898265853476564</v>
      </c>
      <c r="G34" s="4" t="s">
        <v>928</v>
      </c>
    </row>
    <row r="35" spans="1:7" x14ac:dyDescent="0.35">
      <c r="E35" s="92"/>
    </row>
    <row r="36" spans="1:7" x14ac:dyDescent="0.35">
      <c r="A36" s="1" t="s">
        <v>929</v>
      </c>
      <c r="E36" s="92"/>
    </row>
    <row r="37" spans="1:7" x14ac:dyDescent="0.35">
      <c r="E37" s="92" t="s">
        <v>930</v>
      </c>
      <c r="F37" s="40">
        <f>F25-F28</f>
        <v>88135821.906022102</v>
      </c>
      <c r="G37" s="4" t="str">
        <f>$F$6&amp;"$ in "&amp;$F$6</f>
        <v>2024$ in 2024</v>
      </c>
    </row>
    <row r="38" spans="1:7" x14ac:dyDescent="0.35"/>
    <row r="39" spans="1:7" x14ac:dyDescent="0.35"/>
    <row r="40" spans="1:7" x14ac:dyDescent="0.35"/>
    <row r="41" spans="1:7" x14ac:dyDescent="0.35"/>
    <row r="42" spans="1:7" x14ac:dyDescent="0.35"/>
    <row r="43" spans="1:7" x14ac:dyDescent="0.35"/>
    <row r="44" spans="1:7" x14ac:dyDescent="0.35"/>
    <row r="45" spans="1:7" x14ac:dyDescent="0.35"/>
    <row r="46" spans="1:7" x14ac:dyDescent="0.35"/>
    <row r="47" spans="1:7" x14ac:dyDescent="0.35"/>
    <row r="48" spans="1:7"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sheetPr>
  <dimension ref="A1:BB92"/>
  <sheetViews>
    <sheetView zoomScale="90" zoomScaleNormal="90" workbookViewId="0">
      <pane xSplit="8" ySplit="7" topLeftCell="I8" activePane="bottomRight" state="frozen"/>
      <selection activeCell="E24" sqref="A24:XFD27"/>
      <selection pane="topRight" activeCell="E24" sqref="A24:XFD27"/>
      <selection pane="bottomLeft" activeCell="E24" sqref="A24:XFD27"/>
      <selection pane="bottomRight" activeCell="E15" sqref="E15"/>
    </sheetView>
  </sheetViews>
  <sheetFormatPr defaultColWidth="0" defaultRowHeight="14.5" zeroHeight="1" x14ac:dyDescent="0.35"/>
  <cols>
    <col min="1" max="4" width="1.453125" style="4" customWidth="1"/>
    <col min="5" max="5" width="74.453125" style="4" customWidth="1"/>
    <col min="6" max="6" width="14.453125" style="4" customWidth="1"/>
    <col min="7" max="7" width="15.453125" style="4" customWidth="1"/>
    <col min="8" max="8" width="2.453125" style="4" customWidth="1"/>
    <col min="9" max="53" width="12.453125" style="4" customWidth="1"/>
    <col min="54" max="54" width="9.1796875" style="4" customWidth="1"/>
    <col min="55" max="16384" width="9.1796875" hidden="1"/>
  </cols>
  <sheetData>
    <row r="1" spans="1:54" ht="15.5" x14ac:dyDescent="0.35">
      <c r="A1" s="375" t="s">
        <v>64</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row>
    <row r="2" spans="1:54" ht="5.25" customHeight="1" x14ac:dyDescent="0.35">
      <c r="A2" s="53"/>
      <c r="B2" s="53"/>
      <c r="C2" s="53"/>
      <c r="D2" s="53"/>
      <c r="E2" s="92"/>
    </row>
    <row r="3" spans="1:54" x14ac:dyDescent="0.35">
      <c r="E3" s="180" t="s">
        <v>931</v>
      </c>
    </row>
    <row r="4" spans="1:54" x14ac:dyDescent="0.35">
      <c r="E4" s="178" t="str">
        <f>'Guide for Reviewers'!B3</f>
        <v>I-35 McClain County</v>
      </c>
    </row>
    <row r="5" spans="1:54" x14ac:dyDescent="0.35">
      <c r="A5" s="1"/>
      <c r="B5" s="1"/>
      <c r="C5" s="1"/>
      <c r="D5" s="1"/>
      <c r="E5" s="178" t="str">
        <f>'Guide for Reviewers'!B4</f>
        <v>Oklahoma Department of Transportation</v>
      </c>
      <c r="F5" s="99"/>
      <c r="G5" s="4" t="s">
        <v>932</v>
      </c>
      <c r="I5" s="555">
        <f>StockValueC!$H$12</f>
        <v>2023</v>
      </c>
      <c r="J5" s="1">
        <f>I5+1</f>
        <v>2024</v>
      </c>
      <c r="K5" s="1">
        <f t="shared" ref="K5:BA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f t="shared" si="0"/>
        <v>2066</v>
      </c>
      <c r="BA5" s="1">
        <f t="shared" si="0"/>
        <v>2067</v>
      </c>
      <c r="BB5" s="1"/>
    </row>
    <row r="6" spans="1:54" ht="15" customHeight="1" x14ac:dyDescent="0.35">
      <c r="E6" s="49" t="str">
        <f>StockValueC!$E$13</f>
        <v>Base Year (for valuation 2020 = 2020$s)</v>
      </c>
      <c r="F6" s="49">
        <f>StockValueC!$H$13</f>
        <v>2024</v>
      </c>
    </row>
    <row r="7" spans="1:54" ht="15" customHeight="1" x14ac:dyDescent="0.35">
      <c r="E7" s="93" t="s">
        <v>92</v>
      </c>
      <c r="F7" s="1" t="s">
        <v>82</v>
      </c>
      <c r="G7" s="1" t="s">
        <v>93</v>
      </c>
      <c r="I7" s="1"/>
      <c r="J7" s="1"/>
      <c r="K7" s="1"/>
      <c r="L7" s="1"/>
      <c r="M7" s="1"/>
      <c r="N7" s="1"/>
      <c r="O7" s="1"/>
      <c r="P7" s="1"/>
      <c r="Q7" s="1"/>
    </row>
    <row r="8" spans="1:54" ht="5.25" customHeight="1" x14ac:dyDescent="0.35">
      <c r="E8" s="49"/>
      <c r="F8" s="49"/>
      <c r="I8" s="1"/>
      <c r="J8" s="1"/>
      <c r="K8" s="1"/>
      <c r="L8" s="1"/>
      <c r="M8" s="1"/>
      <c r="N8" s="1"/>
      <c r="O8" s="1"/>
      <c r="P8" s="1"/>
      <c r="Q8" s="1"/>
    </row>
    <row r="9" spans="1:54" x14ac:dyDescent="0.35">
      <c r="A9" s="1" t="s">
        <v>919</v>
      </c>
      <c r="E9" s="92"/>
      <c r="I9" s="1"/>
      <c r="J9" s="1"/>
      <c r="K9" s="1"/>
      <c r="L9" s="1"/>
      <c r="M9" s="1"/>
      <c r="N9" s="1"/>
      <c r="O9" s="1"/>
      <c r="P9" s="1"/>
      <c r="Q9" s="1"/>
    </row>
    <row r="10" spans="1:54" ht="5.25" customHeight="1" x14ac:dyDescent="0.35">
      <c r="E10" s="92"/>
      <c r="I10" s="1"/>
      <c r="J10" s="1"/>
      <c r="K10" s="1"/>
      <c r="L10" s="1"/>
      <c r="M10" s="1"/>
      <c r="N10" s="1"/>
      <c r="O10" s="1"/>
      <c r="P10" s="1"/>
      <c r="Q10" s="1"/>
    </row>
    <row r="11" spans="1:54" x14ac:dyDescent="0.35">
      <c r="B11" s="1" t="s">
        <v>920</v>
      </c>
      <c r="E11" s="92"/>
    </row>
    <row r="12" spans="1:54" x14ac:dyDescent="0.35">
      <c r="E12" s="92" t="s">
        <v>1138</v>
      </c>
      <c r="F12" s="40">
        <f t="shared" ref="F12" si="1">SUM(I12:BA12)</f>
        <v>8878064.3207102325</v>
      </c>
      <c r="G12" s="4" t="str">
        <f>$F$6&amp;"$ in "&amp;$F$6</f>
        <v>2024$ in 2024</v>
      </c>
      <c r="I12" s="95">
        <f>SUM('Disc Results'!I$8:I$9)</f>
        <v>0</v>
      </c>
      <c r="J12" s="95">
        <f>SUM('Disc Results'!J$8:J$9)</f>
        <v>0</v>
      </c>
      <c r="K12" s="95">
        <f>SUM('Disc Results'!K$8:K$9)</f>
        <v>0</v>
      </c>
      <c r="L12" s="95">
        <f>SUM('Disc Results'!L$8:L$9)</f>
        <v>0</v>
      </c>
      <c r="M12" s="95">
        <f>SUM('Disc Results'!M$8:M$9)</f>
        <v>0</v>
      </c>
      <c r="N12" s="95">
        <f>SUM('Disc Results'!N$8:N$9)</f>
        <v>0</v>
      </c>
      <c r="O12" s="95">
        <f>SUM('Disc Results'!O$8:O$9)</f>
        <v>426760.68073081586</v>
      </c>
      <c r="P12" s="95">
        <f>SUM('Disc Results'!P$8:P$9)</f>
        <v>409211.64339235105</v>
      </c>
      <c r="Q12" s="95">
        <f>SUM('Disc Results'!Q$8:Q$9)</f>
        <v>392384.24871079618</v>
      </c>
      <c r="R12" s="95">
        <f>SUM('Disc Results'!R$8:R$9)</f>
        <v>376248.82166100683</v>
      </c>
      <c r="S12" s="95">
        <f>SUM('Disc Results'!S$8:S$9)</f>
        <v>360776.90749924752</v>
      </c>
      <c r="T12" s="95">
        <f>SUM('Disc Results'!T$8:T$9)</f>
        <v>345941.22158338921</v>
      </c>
      <c r="U12" s="95">
        <f>SUM('Disc Results'!U$8:U$9)</f>
        <v>331715.60125659587</v>
      </c>
      <c r="V12" s="95">
        <f>SUM('Disc Results'!V$8:V$9)</f>
        <v>318074.95970959438</v>
      </c>
      <c r="W12" s="95">
        <f>SUM('Disc Results'!W$8:W$9)</f>
        <v>304995.24174022768</v>
      </c>
      <c r="X12" s="95">
        <f>SUM('Disc Results'!X$8:X$9)</f>
        <v>292453.38133221987</v>
      </c>
      <c r="Y12" s="95">
        <f>SUM('Disc Results'!Y$8:Y$9)</f>
        <v>280427.26097837067</v>
      </c>
      <c r="Z12" s="95">
        <f>SUM('Disc Results'!Z$8:Z$9)</f>
        <v>268895.67267645663</v>
      </c>
      <c r="AA12" s="95">
        <f>SUM('Disc Results'!AA$8:AA$9)</f>
        <v>257838.28052901325</v>
      </c>
      <c r="AB12" s="95">
        <f>SUM('Disc Results'!AB$8:AB$9)</f>
        <v>247235.58488109167</v>
      </c>
      <c r="AC12" s="95">
        <f>SUM('Disc Results'!AC$8:AC$9)</f>
        <v>0</v>
      </c>
      <c r="AD12" s="95">
        <f>SUM('Disc Results'!AD$8:AD$9)</f>
        <v>926119.58089600736</v>
      </c>
      <c r="AE12" s="95">
        <f>SUM('Disc Results'!AE$8:AE$9)</f>
        <v>888036.15887785517</v>
      </c>
      <c r="AF12" s="95">
        <f>SUM('Disc Results'!AF$8:AF$9)</f>
        <v>851518.78412026074</v>
      </c>
      <c r="AG12" s="95">
        <f>SUM('Disc Results'!AG$8:AG$9)</f>
        <v>816503.05841811956</v>
      </c>
      <c r="AH12" s="95">
        <f>SUM('Disc Results'!AH$8:AH$9)</f>
        <v>782927.23171681317</v>
      </c>
      <c r="AI12" s="95">
        <f>SUM('Disc Results'!AI$8:AI$9)</f>
        <v>0</v>
      </c>
      <c r="AJ12" s="95">
        <f>SUM('Disc Results'!AJ$8:AJ$9)</f>
        <v>0</v>
      </c>
      <c r="AK12" s="95">
        <f>SUM('Disc Results'!AK$8:AK$9)</f>
        <v>0</v>
      </c>
      <c r="AL12" s="95">
        <f>SUM('Disc Results'!AL$8:AL$9)</f>
        <v>0</v>
      </c>
      <c r="AM12" s="95">
        <f>SUM('Disc Results'!AM$8:AM$9)</f>
        <v>0</v>
      </c>
      <c r="AN12" s="95">
        <f>SUM('Disc Results'!AN$8:AN$9)</f>
        <v>0</v>
      </c>
      <c r="AO12" s="95">
        <f>SUM('Disc Results'!AO$8:AO$9)</f>
        <v>0</v>
      </c>
      <c r="AP12" s="95">
        <f>SUM('Disc Results'!AP$8:AP$9)</f>
        <v>0</v>
      </c>
      <c r="AQ12" s="95">
        <f>SUM('Disc Results'!AQ$8:AQ$9)</f>
        <v>0</v>
      </c>
      <c r="AR12" s="95">
        <f>SUM('Disc Results'!AR$8:AR$9)</f>
        <v>0</v>
      </c>
      <c r="AS12" s="95">
        <f>SUM('Disc Results'!AS$8:AS$9)</f>
        <v>0</v>
      </c>
      <c r="AT12" s="95">
        <f>SUM('Disc Results'!AT$8:AT$9)</f>
        <v>0</v>
      </c>
      <c r="AU12" s="95">
        <f>SUM('Disc Results'!AU$8:AU$9)</f>
        <v>0</v>
      </c>
      <c r="AV12" s="95">
        <f>SUM('Disc Results'!AV$8:AV$9)</f>
        <v>0</v>
      </c>
      <c r="AW12" s="95">
        <f>SUM('Disc Results'!AW$8:AW$9)</f>
        <v>0</v>
      </c>
      <c r="AX12" s="95">
        <f>SUM('Disc Results'!AX$8:AX$9)</f>
        <v>0</v>
      </c>
      <c r="AY12" s="95">
        <f>SUM('Disc Results'!AY$8:AY$9)</f>
        <v>0</v>
      </c>
      <c r="AZ12" s="95">
        <f>SUM('Disc Results'!AZ$8:AZ$9)</f>
        <v>0</v>
      </c>
      <c r="BA12" s="95">
        <f>SUM('Disc Results'!BA$8:BA$9)</f>
        <v>0</v>
      </c>
    </row>
    <row r="13" spans="1:54" x14ac:dyDescent="0.35">
      <c r="E13" s="92" t="s">
        <v>1139</v>
      </c>
      <c r="F13" s="40">
        <f t="shared" ref="F13:F15" si="2">SUM(I13:BA13)</f>
        <v>32515322.891807474</v>
      </c>
      <c r="G13" s="4" t="str">
        <f t="shared" ref="G13:G16" si="3">$F$6&amp;"$ in "&amp;$F$6</f>
        <v>2024$ in 2024</v>
      </c>
      <c r="I13" s="40">
        <f>SUM('Disc Results'!I$10:I$12)</f>
        <v>0</v>
      </c>
      <c r="J13" s="40">
        <f>SUM('Disc Results'!J$10:J$12)</f>
        <v>0</v>
      </c>
      <c r="K13" s="40">
        <f>SUM('Disc Results'!K$10:K$12)</f>
        <v>0</v>
      </c>
      <c r="L13" s="40">
        <f>SUM('Disc Results'!L$10:L$12)</f>
        <v>0</v>
      </c>
      <c r="M13" s="40">
        <f>SUM('Disc Results'!M$10:M$12)</f>
        <v>0</v>
      </c>
      <c r="N13" s="40">
        <f>SUM('Disc Results'!N$10:N$12)</f>
        <v>0</v>
      </c>
      <c r="O13" s="40">
        <f>SUM('Disc Results'!O$10:O$12)</f>
        <v>2868426.5974246408</v>
      </c>
      <c r="P13" s="40">
        <f>SUM('Disc Results'!P$10:P$12)</f>
        <v>2680772.5209576078</v>
      </c>
      <c r="Q13" s="40">
        <f>SUM('Disc Results'!Q$10:Q$12)</f>
        <v>2505394.8793996335</v>
      </c>
      <c r="R13" s="40">
        <f>SUM('Disc Results'!R$10:R$12)</f>
        <v>2341490.5414949846</v>
      </c>
      <c r="S13" s="40">
        <f>SUM('Disc Results'!S$10:S$12)</f>
        <v>2188308.9172850321</v>
      </c>
      <c r="T13" s="40">
        <f>SUM('Disc Results'!T$10:T$12)</f>
        <v>2045148.5208271327</v>
      </c>
      <c r="U13" s="40">
        <f>SUM('Disc Results'!U$10:U$12)</f>
        <v>1911353.7577823671</v>
      </c>
      <c r="V13" s="40">
        <f>SUM('Disc Results'!V$10:V$12)</f>
        <v>1786311.9231610908</v>
      </c>
      <c r="W13" s="40">
        <f>SUM('Disc Results'!W$10:W$12)</f>
        <v>1669450.3954776551</v>
      </c>
      <c r="X13" s="40">
        <f>SUM('Disc Results'!X$10:X$12)</f>
        <v>1560234.0144650983</v>
      </c>
      <c r="Y13" s="40">
        <f>SUM('Disc Results'!Y$10:Y$12)</f>
        <v>1458162.6303412132</v>
      </c>
      <c r="Z13" s="40">
        <f>SUM('Disc Results'!Z$10:Z$12)</f>
        <v>1362768.8134030032</v>
      </c>
      <c r="AA13" s="40">
        <f>SUM('Disc Results'!AA$10:AA$12)</f>
        <v>1273615.7134607506</v>
      </c>
      <c r="AB13" s="40">
        <f>SUM('Disc Results'!AB$10:AB$12)</f>
        <v>1190295.0593091126</v>
      </c>
      <c r="AC13" s="40">
        <f>SUM('Disc Results'!AC$10:AC$12)</f>
        <v>1112425.2890739369</v>
      </c>
      <c r="AD13" s="40">
        <f>SUM('Disc Results'!AD$10:AD$12)</f>
        <v>1039649.8028728385</v>
      </c>
      <c r="AE13" s="40">
        <f>SUM('Disc Results'!AE$10:AE$12)</f>
        <v>971635.32978769939</v>
      </c>
      <c r="AF13" s="40">
        <f>SUM('Disc Results'!AF$10:AF$12)</f>
        <v>908070.40167074709</v>
      </c>
      <c r="AG13" s="40">
        <f>SUM('Disc Results'!AG$10:AG$12)</f>
        <v>848663.92679509067</v>
      </c>
      <c r="AH13" s="40">
        <f>SUM('Disc Results'!AH$10:AH$12)</f>
        <v>793143.85681784176</v>
      </c>
      <c r="AI13" s="40">
        <f>SUM('Disc Results'!AI$10:AI$12)</f>
        <v>0</v>
      </c>
      <c r="AJ13" s="40">
        <f>SUM('Disc Results'!AJ$10:AJ$12)</f>
        <v>0</v>
      </c>
      <c r="AK13" s="40">
        <f>SUM('Disc Results'!AK$10:AK$12)</f>
        <v>0</v>
      </c>
      <c r="AL13" s="40">
        <f>SUM('Disc Results'!AL$10:AL$12)</f>
        <v>0</v>
      </c>
      <c r="AM13" s="40">
        <f>SUM('Disc Results'!AM$10:AM$12)</f>
        <v>0</v>
      </c>
      <c r="AN13" s="40">
        <f>SUM('Disc Results'!AN$10:AN$12)</f>
        <v>0</v>
      </c>
      <c r="AO13" s="40">
        <f>SUM('Disc Results'!AO$10:AO$12)</f>
        <v>0</v>
      </c>
      <c r="AP13" s="40">
        <f>SUM('Disc Results'!AP$10:AP$12)</f>
        <v>0</v>
      </c>
      <c r="AQ13" s="40">
        <f>SUM('Disc Results'!AQ$10:AQ$12)</f>
        <v>0</v>
      </c>
      <c r="AR13" s="40">
        <f>SUM('Disc Results'!AR$10:AR$12)</f>
        <v>0</v>
      </c>
      <c r="AS13" s="40">
        <f>SUM('Disc Results'!AS$10:AS$12)</f>
        <v>0</v>
      </c>
      <c r="AT13" s="40">
        <f>SUM('Disc Results'!AT$10:AT$12)</f>
        <v>0</v>
      </c>
      <c r="AU13" s="40">
        <f>SUM('Disc Results'!AU$10:AU$12)</f>
        <v>0</v>
      </c>
      <c r="AV13" s="40">
        <f>SUM('Disc Results'!AV$10:AV$12)</f>
        <v>0</v>
      </c>
      <c r="AW13" s="40">
        <f>SUM('Disc Results'!AW$10:AW$12)</f>
        <v>0</v>
      </c>
      <c r="AX13" s="40">
        <f>SUM('Disc Results'!AX$10:AX$12)</f>
        <v>0</v>
      </c>
      <c r="AY13" s="40">
        <f>SUM('Disc Results'!AY$10:AY$12)</f>
        <v>0</v>
      </c>
      <c r="AZ13" s="40">
        <f>SUM('Disc Results'!AZ$10:AZ$12)</f>
        <v>0</v>
      </c>
      <c r="BA13" s="40">
        <f>SUM('Disc Results'!BA$10:BA$12)</f>
        <v>0</v>
      </c>
    </row>
    <row r="14" spans="1:54" x14ac:dyDescent="0.35">
      <c r="E14" s="92" t="s">
        <v>78</v>
      </c>
      <c r="F14" s="40">
        <f t="shared" si="2"/>
        <v>2328665.2532603857</v>
      </c>
      <c r="G14" s="4" t="str">
        <f t="shared" si="3"/>
        <v>2024$ in 2024</v>
      </c>
      <c r="I14" s="40">
        <f>'Disc Results'!I$13</f>
        <v>0</v>
      </c>
      <c r="J14" s="40">
        <f>'Disc Results'!J$13</f>
        <v>0</v>
      </c>
      <c r="K14" s="40">
        <f>'Disc Results'!K$13</f>
        <v>0</v>
      </c>
      <c r="L14" s="40">
        <f>'Disc Results'!L$13</f>
        <v>0</v>
      </c>
      <c r="M14" s="40">
        <f>'Disc Results'!M$13</f>
        <v>0</v>
      </c>
      <c r="N14" s="40">
        <f>'Disc Results'!N$13</f>
        <v>0</v>
      </c>
      <c r="O14" s="40">
        <f>'Disc Results'!O$13</f>
        <v>0</v>
      </c>
      <c r="P14" s="40">
        <f>'Disc Results'!P$13</f>
        <v>0</v>
      </c>
      <c r="Q14" s="40">
        <f>'Disc Results'!Q$13</f>
        <v>0</v>
      </c>
      <c r="R14" s="40">
        <f>'Disc Results'!R$13</f>
        <v>0</v>
      </c>
      <c r="S14" s="40">
        <f>'Disc Results'!S$13</f>
        <v>0</v>
      </c>
      <c r="T14" s="40">
        <f>'Disc Results'!T$13</f>
        <v>0</v>
      </c>
      <c r="U14" s="40">
        <f>'Disc Results'!U$13</f>
        <v>0</v>
      </c>
      <c r="V14" s="40">
        <f>'Disc Results'!V$13</f>
        <v>0</v>
      </c>
      <c r="W14" s="40">
        <f>'Disc Results'!W$13</f>
        <v>0</v>
      </c>
      <c r="X14" s="40">
        <f>'Disc Results'!X$13</f>
        <v>0</v>
      </c>
      <c r="Y14" s="40">
        <f>'Disc Results'!Y$13</f>
        <v>0</v>
      </c>
      <c r="Z14" s="40">
        <f>'Disc Results'!Z$13</f>
        <v>0</v>
      </c>
      <c r="AA14" s="40">
        <f>'Disc Results'!AA$13</f>
        <v>0</v>
      </c>
      <c r="AB14" s="40">
        <f>'Disc Results'!AB$13</f>
        <v>0</v>
      </c>
      <c r="AC14" s="40">
        <f>'Disc Results'!AC$13</f>
        <v>0</v>
      </c>
      <c r="AD14" s="40">
        <f>'Disc Results'!AD$13</f>
        <v>0</v>
      </c>
      <c r="AE14" s="40">
        <f>'Disc Results'!AE$13</f>
        <v>0</v>
      </c>
      <c r="AF14" s="40">
        <f>'Disc Results'!AF$13</f>
        <v>0</v>
      </c>
      <c r="AG14" s="40">
        <f>'Disc Results'!AG$13</f>
        <v>0</v>
      </c>
      <c r="AH14" s="40">
        <f>'Disc Results'!AH$13</f>
        <v>2328665.2532603857</v>
      </c>
      <c r="AI14" s="40">
        <f>'Disc Results'!AI$13</f>
        <v>0</v>
      </c>
      <c r="AJ14" s="40">
        <f>'Disc Results'!AJ$13</f>
        <v>0</v>
      </c>
      <c r="AK14" s="40">
        <f>'Disc Results'!AK$13</f>
        <v>0</v>
      </c>
      <c r="AL14" s="40">
        <f>'Disc Results'!AL$13</f>
        <v>0</v>
      </c>
      <c r="AM14" s="40">
        <f>'Disc Results'!AM$13</f>
        <v>0</v>
      </c>
      <c r="AN14" s="40">
        <f>'Disc Results'!AN$13</f>
        <v>0</v>
      </c>
      <c r="AO14" s="40">
        <f>'Disc Results'!AO$13</f>
        <v>0</v>
      </c>
      <c r="AP14" s="40">
        <f>'Disc Results'!AP$13</f>
        <v>0</v>
      </c>
      <c r="AQ14" s="40">
        <f>'Disc Results'!AQ$13</f>
        <v>0</v>
      </c>
      <c r="AR14" s="40">
        <f>'Disc Results'!AR$13</f>
        <v>0</v>
      </c>
      <c r="AS14" s="40">
        <f>'Disc Results'!AS$13</f>
        <v>0</v>
      </c>
      <c r="AT14" s="40">
        <f>'Disc Results'!AT$13</f>
        <v>0</v>
      </c>
      <c r="AU14" s="40">
        <f>'Disc Results'!AU$13</f>
        <v>0</v>
      </c>
      <c r="AV14" s="40">
        <f>'Disc Results'!AV$13</f>
        <v>0</v>
      </c>
      <c r="AW14" s="40">
        <f>'Disc Results'!AW$13</f>
        <v>0</v>
      </c>
      <c r="AX14" s="40">
        <f>'Disc Results'!AX$13</f>
        <v>0</v>
      </c>
      <c r="AY14" s="40">
        <f>'Disc Results'!AY$13</f>
        <v>0</v>
      </c>
      <c r="AZ14" s="40">
        <f>'Disc Results'!AZ$13</f>
        <v>0</v>
      </c>
      <c r="BA14" s="40">
        <f>'Disc Results'!BA$13</f>
        <v>0</v>
      </c>
    </row>
    <row r="15" spans="1:54" x14ac:dyDescent="0.35">
      <c r="E15" s="92" t="s">
        <v>1360</v>
      </c>
      <c r="F15" s="40">
        <f t="shared" si="2"/>
        <v>2702524.8330173595</v>
      </c>
      <c r="G15" s="4" t="str">
        <f t="shared" si="3"/>
        <v>2024$ in 2024</v>
      </c>
      <c r="I15" s="40">
        <f>SUM('Disc Results'!I$14:I$15)</f>
        <v>0</v>
      </c>
      <c r="J15" s="40">
        <f>SUM('Disc Results'!J$14:J$15)</f>
        <v>0</v>
      </c>
      <c r="K15" s="40">
        <f>SUM('Disc Results'!K$14:K$15)</f>
        <v>0</v>
      </c>
      <c r="L15" s="40">
        <f>SUM('Disc Results'!L$14:L$15)</f>
        <v>1708286.5232690291</v>
      </c>
      <c r="M15" s="40">
        <f>SUM('Disc Results'!M$14:M$15)</f>
        <v>0</v>
      </c>
      <c r="N15" s="40">
        <f>SUM('Disc Results'!N$14:N$15)</f>
        <v>0</v>
      </c>
      <c r="O15" s="40">
        <f>SUM('Disc Results'!O$14:O$15)</f>
        <v>0</v>
      </c>
      <c r="P15" s="40">
        <f>SUM('Disc Results'!P$14:P$15)</f>
        <v>0</v>
      </c>
      <c r="Q15" s="40">
        <f>SUM('Disc Results'!Q$14:Q$15)</f>
        <v>0</v>
      </c>
      <c r="R15" s="40">
        <f>SUM('Disc Results'!R$14:R$15)</f>
        <v>0</v>
      </c>
      <c r="S15" s="40">
        <f>SUM('Disc Results'!S$14:S$15)</f>
        <v>0</v>
      </c>
      <c r="T15" s="40">
        <f>SUM('Disc Results'!T$14:T$15)</f>
        <v>994238.30974833039</v>
      </c>
      <c r="U15" s="40">
        <f>SUM('Disc Results'!U$14:U$15)</f>
        <v>0</v>
      </c>
      <c r="V15" s="40">
        <f>SUM('Disc Results'!V$14:V$15)</f>
        <v>0</v>
      </c>
      <c r="W15" s="40">
        <f>SUM('Disc Results'!W$14:W$15)</f>
        <v>0</v>
      </c>
      <c r="X15" s="40">
        <f>SUM('Disc Results'!X$14:X$15)</f>
        <v>0</v>
      </c>
      <c r="Y15" s="40">
        <f>SUM('Disc Results'!Y$14:Y$15)</f>
        <v>0</v>
      </c>
      <c r="Z15" s="40">
        <f>SUM('Disc Results'!Z$14:Z$15)</f>
        <v>0</v>
      </c>
      <c r="AA15" s="40">
        <f>SUM('Disc Results'!AA$14:AA$15)</f>
        <v>0</v>
      </c>
      <c r="AB15" s="40">
        <f>SUM('Disc Results'!AB$14:AB$15)</f>
        <v>0</v>
      </c>
      <c r="AC15" s="40">
        <f>SUM('Disc Results'!AC$14:AC$15)</f>
        <v>0</v>
      </c>
      <c r="AD15" s="40">
        <f>SUM('Disc Results'!AD$14:AD$15)</f>
        <v>0</v>
      </c>
      <c r="AE15" s="40">
        <f>SUM('Disc Results'!AE$14:AE$15)</f>
        <v>0</v>
      </c>
      <c r="AF15" s="40">
        <f>SUM('Disc Results'!AF$14:AF$15)</f>
        <v>0</v>
      </c>
      <c r="AG15" s="40">
        <f>SUM('Disc Results'!AG$14:AG$15)</f>
        <v>0</v>
      </c>
      <c r="AH15" s="40">
        <f>SUM('Disc Results'!AH$14:AH$15)</f>
        <v>0</v>
      </c>
      <c r="AI15" s="40">
        <f>SUM('Disc Results'!AI$14:AI$15)</f>
        <v>0</v>
      </c>
      <c r="AJ15" s="40">
        <f>SUM('Disc Results'!AJ$14:AJ$15)</f>
        <v>0</v>
      </c>
      <c r="AK15" s="40">
        <f>SUM('Disc Results'!AK$14:AK$15)</f>
        <v>0</v>
      </c>
      <c r="AL15" s="40">
        <f>SUM('Disc Results'!AL$14:AL$15)</f>
        <v>0</v>
      </c>
      <c r="AM15" s="40">
        <f>SUM('Disc Results'!AM$14:AM$15)</f>
        <v>0</v>
      </c>
      <c r="AN15" s="40">
        <f>SUM('Disc Results'!AN$14:AN$15)</f>
        <v>0</v>
      </c>
      <c r="AO15" s="40">
        <f>SUM('Disc Results'!AO$14:AO$15)</f>
        <v>0</v>
      </c>
      <c r="AP15" s="40">
        <f>SUM('Disc Results'!AP$14:AP$15)</f>
        <v>0</v>
      </c>
      <c r="AQ15" s="40">
        <f>SUM('Disc Results'!AQ$14:AQ$15)</f>
        <v>0</v>
      </c>
      <c r="AR15" s="40">
        <f>SUM('Disc Results'!AR$14:AR$15)</f>
        <v>0</v>
      </c>
      <c r="AS15" s="40">
        <f>SUM('Disc Results'!AS$14:AS$15)</f>
        <v>0</v>
      </c>
      <c r="AT15" s="40">
        <f>SUM('Disc Results'!AT$14:AT$15)</f>
        <v>0</v>
      </c>
      <c r="AU15" s="40">
        <f>SUM('Disc Results'!AU$14:AU$15)</f>
        <v>0</v>
      </c>
      <c r="AV15" s="40">
        <f>SUM('Disc Results'!AV$14:AV$15)</f>
        <v>0</v>
      </c>
      <c r="AW15" s="40">
        <f>SUM('Disc Results'!AW$14:AW$15)</f>
        <v>0</v>
      </c>
      <c r="AX15" s="40">
        <f>SUM('Disc Results'!AX$14:AX$15)</f>
        <v>0</v>
      </c>
      <c r="AY15" s="40">
        <f>SUM('Disc Results'!AY$14:AY$15)</f>
        <v>0</v>
      </c>
      <c r="AZ15" s="40">
        <f>SUM('Disc Results'!AZ$14:AZ$15)</f>
        <v>0</v>
      </c>
      <c r="BA15" s="40">
        <f>SUM('Disc Results'!BA$14:BA$15)</f>
        <v>0</v>
      </c>
    </row>
    <row r="16" spans="1:54" x14ac:dyDescent="0.35">
      <c r="E16" s="93" t="s">
        <v>90</v>
      </c>
      <c r="F16" s="96">
        <f>SUM(F12:F15)</f>
        <v>46424577.298795454</v>
      </c>
      <c r="G16" s="4" t="str">
        <f t="shared" si="3"/>
        <v>2024$ in 2024</v>
      </c>
      <c r="H16" s="1"/>
    </row>
    <row r="17" spans="1:53" x14ac:dyDescent="0.35">
      <c r="E17" s="92"/>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row>
    <row r="18" spans="1:53" x14ac:dyDescent="0.35">
      <c r="E18" s="92" t="str">
        <f>E12</f>
        <v>Auto and Truck Travel Time Savings</v>
      </c>
      <c r="F18" s="90">
        <f>IF(F$16=0,0,F12/$F$16)</f>
        <v>0.19123629847116747</v>
      </c>
      <c r="G18" s="87" t="s">
        <v>77</v>
      </c>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row>
    <row r="19" spans="1:53" x14ac:dyDescent="0.35">
      <c r="E19" s="92" t="str">
        <f>E13</f>
        <v>Reduction in Injuries and Fatalities</v>
      </c>
      <c r="F19" s="90">
        <f>IF(F$16=0,0,F13/$F$16)</f>
        <v>0.70039028427839078</v>
      </c>
      <c r="G19" s="87" t="s">
        <v>77</v>
      </c>
    </row>
    <row r="20" spans="1:53" x14ac:dyDescent="0.35">
      <c r="A20" s="87"/>
      <c r="B20" s="87"/>
      <c r="D20" s="87"/>
      <c r="E20" s="92" t="str">
        <f t="shared" ref="E20:E22" si="4">E14</f>
        <v>Residual Value</v>
      </c>
      <c r="F20" s="90">
        <f>IF(F$16=0,0,F14/$F$16)</f>
        <v>5.0160182143883646E-2</v>
      </c>
      <c r="G20" s="87" t="s">
        <v>77</v>
      </c>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row>
    <row r="21" spans="1:53" x14ac:dyDescent="0.35">
      <c r="A21" s="87"/>
      <c r="B21" s="87"/>
      <c r="D21" s="87"/>
      <c r="E21" s="92" t="str">
        <f t="shared" si="4"/>
        <v>Infrastructure Maintenance Cost Savings</v>
      </c>
      <c r="F21" s="90">
        <f>IF(F$16=0,0,F15/$F$16)</f>
        <v>5.8213235106558098E-2</v>
      </c>
      <c r="G21" s="87" t="s">
        <v>77</v>
      </c>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row>
    <row r="22" spans="1:53" x14ac:dyDescent="0.35">
      <c r="A22" s="87"/>
      <c r="B22" s="87"/>
      <c r="D22" s="87"/>
      <c r="E22" s="92" t="str">
        <f t="shared" si="4"/>
        <v>Total</v>
      </c>
      <c r="F22" s="90">
        <f>IF(F$16=0,0,F16/$F$16)</f>
        <v>1</v>
      </c>
      <c r="G22" s="87" t="s">
        <v>77</v>
      </c>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row>
    <row r="23" spans="1:53" x14ac:dyDescent="0.35">
      <c r="E23" s="9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1:53" x14ac:dyDescent="0.35">
      <c r="A24" s="1" t="s">
        <v>921</v>
      </c>
      <c r="E24" s="92"/>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row>
    <row r="25" spans="1:53" x14ac:dyDescent="0.35">
      <c r="E25" s="97" t="s">
        <v>922</v>
      </c>
      <c r="F25" s="40">
        <f>SUM(I25:BA25)</f>
        <v>46424577.298795462</v>
      </c>
      <c r="G25" s="4" t="str">
        <f>$F$6&amp;"$ in "&amp;$F$6</f>
        <v>2024$ in 2024</v>
      </c>
      <c r="I25" s="40">
        <f>'Disc Results'!I$17</f>
        <v>0</v>
      </c>
      <c r="J25" s="40">
        <f>'Disc Results'!J$17</f>
        <v>0</v>
      </c>
      <c r="K25" s="40">
        <f>'Disc Results'!K$17</f>
        <v>0</v>
      </c>
      <c r="L25" s="40">
        <f>'Disc Results'!L$17</f>
        <v>1708286.5232690291</v>
      </c>
      <c r="M25" s="40">
        <f>'Disc Results'!M$17</f>
        <v>0</v>
      </c>
      <c r="N25" s="40">
        <f>'Disc Results'!N$17</f>
        <v>0</v>
      </c>
      <c r="O25" s="40">
        <f>'Disc Results'!O$17</f>
        <v>3295187.2781554563</v>
      </c>
      <c r="P25" s="40">
        <f>'Disc Results'!P$17</f>
        <v>3089984.1643499592</v>
      </c>
      <c r="Q25" s="40">
        <f>'Disc Results'!Q$17</f>
        <v>2897779.1281104297</v>
      </c>
      <c r="R25" s="40">
        <f>'Disc Results'!R$17</f>
        <v>2717739.3631559913</v>
      </c>
      <c r="S25" s="40">
        <f>'Disc Results'!S$17</f>
        <v>2549085.8247842798</v>
      </c>
      <c r="T25" s="40">
        <f>'Disc Results'!T$17</f>
        <v>3385328.0521588521</v>
      </c>
      <c r="U25" s="40">
        <f>'Disc Results'!U$17</f>
        <v>2243069.359038963</v>
      </c>
      <c r="V25" s="40">
        <f>'Disc Results'!V$17</f>
        <v>2104386.8828706853</v>
      </c>
      <c r="W25" s="40">
        <f>'Disc Results'!W$17</f>
        <v>1974445.6372178826</v>
      </c>
      <c r="X25" s="40">
        <f>'Disc Results'!X$17</f>
        <v>1852687.3957973183</v>
      </c>
      <c r="Y25" s="40">
        <f>'Disc Results'!Y$17</f>
        <v>1738589.8913195839</v>
      </c>
      <c r="Z25" s="40">
        <f>'Disc Results'!Z$17</f>
        <v>1631664.4860794595</v>
      </c>
      <c r="AA25" s="40">
        <f>'Disc Results'!AA$17</f>
        <v>1531453.993989764</v>
      </c>
      <c r="AB25" s="40">
        <f>'Disc Results'!AB$17</f>
        <v>1437530.6441902043</v>
      </c>
      <c r="AC25" s="40">
        <f>'Disc Results'!AC$17</f>
        <v>1112425.2890739369</v>
      </c>
      <c r="AD25" s="40">
        <f>'Disc Results'!AD$17</f>
        <v>1965769.3837688458</v>
      </c>
      <c r="AE25" s="40">
        <f>'Disc Results'!AE$17</f>
        <v>1859671.4886655547</v>
      </c>
      <c r="AF25" s="40">
        <f>'Disc Results'!AF$17</f>
        <v>1759589.1857910077</v>
      </c>
      <c r="AG25" s="40">
        <f>'Disc Results'!AG$17</f>
        <v>1665166.9852132103</v>
      </c>
      <c r="AH25" s="40">
        <f>'Disc Results'!AH$17</f>
        <v>3904736.3417950408</v>
      </c>
      <c r="AI25" s="40">
        <f>'Disc Results'!AI$17</f>
        <v>0</v>
      </c>
      <c r="AJ25" s="40">
        <f>'Disc Results'!AJ$17</f>
        <v>0</v>
      </c>
      <c r="AK25" s="40">
        <f>'Disc Results'!AK$17</f>
        <v>0</v>
      </c>
      <c r="AL25" s="40">
        <f>'Disc Results'!AL$17</f>
        <v>0</v>
      </c>
      <c r="AM25" s="40">
        <f>'Disc Results'!AM$17</f>
        <v>0</v>
      </c>
      <c r="AN25" s="40">
        <f>'Disc Results'!AN$17</f>
        <v>0</v>
      </c>
      <c r="AO25" s="40">
        <f>'Disc Results'!AO$17</f>
        <v>0</v>
      </c>
      <c r="AP25" s="40">
        <f>'Disc Results'!AP$17</f>
        <v>0</v>
      </c>
      <c r="AQ25" s="40">
        <f>'Disc Results'!AQ$17</f>
        <v>0</v>
      </c>
      <c r="AR25" s="40">
        <f>'Disc Results'!AR$17</f>
        <v>0</v>
      </c>
      <c r="AS25" s="40">
        <f>'Disc Results'!AS$17</f>
        <v>0</v>
      </c>
      <c r="AT25" s="40">
        <f>'Disc Results'!AT$17</f>
        <v>0</v>
      </c>
      <c r="AU25" s="40">
        <f>'Disc Results'!AU$17</f>
        <v>0</v>
      </c>
      <c r="AV25" s="40">
        <f>'Disc Results'!AV$17</f>
        <v>0</v>
      </c>
      <c r="AW25" s="40">
        <f>'Disc Results'!AW$17</f>
        <v>0</v>
      </c>
      <c r="AX25" s="40">
        <f>'Disc Results'!AX$17</f>
        <v>0</v>
      </c>
      <c r="AY25" s="40">
        <f>'Disc Results'!AY$17</f>
        <v>0</v>
      </c>
      <c r="AZ25" s="40">
        <f>'Disc Results'!AZ$17</f>
        <v>0</v>
      </c>
      <c r="BA25" s="40">
        <f>'Disc Results'!BA$17</f>
        <v>0</v>
      </c>
    </row>
    <row r="26" spans="1:53" x14ac:dyDescent="0.35">
      <c r="E26" s="97" t="s">
        <v>923</v>
      </c>
      <c r="F26" s="40"/>
      <c r="I26" s="40">
        <f>'Disc Results'!I$18</f>
        <v>0</v>
      </c>
      <c r="J26" s="40">
        <f>'Disc Results'!J$18</f>
        <v>0</v>
      </c>
      <c r="K26" s="40">
        <f>'Disc Results'!K$18</f>
        <v>0</v>
      </c>
      <c r="L26" s="40">
        <f>'Disc Results'!L$18</f>
        <v>1708286.5232690291</v>
      </c>
      <c r="M26" s="40">
        <f>'Disc Results'!M$18</f>
        <v>1708286.5232690291</v>
      </c>
      <c r="N26" s="40">
        <f>'Disc Results'!N$18</f>
        <v>1708286.5232690291</v>
      </c>
      <c r="O26" s="40">
        <f>'Disc Results'!O$18</f>
        <v>5003473.8014244856</v>
      </c>
      <c r="P26" s="40">
        <f>'Disc Results'!P$18</f>
        <v>8093457.9657744449</v>
      </c>
      <c r="Q26" s="40">
        <f>'Disc Results'!Q$18</f>
        <v>10991237.093884874</v>
      </c>
      <c r="R26" s="40">
        <f>'Disc Results'!R$18</f>
        <v>13708976.457040865</v>
      </c>
      <c r="S26" s="40">
        <f>'Disc Results'!S$18</f>
        <v>16258062.281825144</v>
      </c>
      <c r="T26" s="40">
        <f>'Disc Results'!T$18</f>
        <v>19643390.333983995</v>
      </c>
      <c r="U26" s="40">
        <f>'Disc Results'!U$18</f>
        <v>21886459.693022959</v>
      </c>
      <c r="V26" s="40">
        <f>'Disc Results'!V$18</f>
        <v>23990846.575893644</v>
      </c>
      <c r="W26" s="40">
        <f>'Disc Results'!W$18</f>
        <v>25965292.213111527</v>
      </c>
      <c r="X26" s="40">
        <f>'Disc Results'!X$18</f>
        <v>27817979.608908847</v>
      </c>
      <c r="Y26" s="40">
        <f>'Disc Results'!Y$18</f>
        <v>29556569.500228431</v>
      </c>
      <c r="Z26" s="40">
        <f>'Disc Results'!Z$18</f>
        <v>31188233.986307889</v>
      </c>
      <c r="AA26" s="40">
        <f>'Disc Results'!AA$18</f>
        <v>32719687.980297655</v>
      </c>
      <c r="AB26" s="40">
        <f>'Disc Results'!AB$18</f>
        <v>34157218.624487862</v>
      </c>
      <c r="AC26" s="40">
        <f>'Disc Results'!AC$18</f>
        <v>35269643.913561799</v>
      </c>
      <c r="AD26" s="40">
        <f>'Disc Results'!AD$18</f>
        <v>37235413.297330648</v>
      </c>
      <c r="AE26" s="40">
        <f>'Disc Results'!AE$18</f>
        <v>39095084.785996199</v>
      </c>
      <c r="AF26" s="40">
        <f>'Disc Results'!AF$18</f>
        <v>40854673.971787207</v>
      </c>
      <c r="AG26" s="40">
        <f>'Disc Results'!AG$18</f>
        <v>42519840.957000419</v>
      </c>
      <c r="AH26" s="40">
        <f>'Disc Results'!AH$18</f>
        <v>46424577.298795462</v>
      </c>
      <c r="AI26" s="40">
        <f>'Disc Results'!AI$18</f>
        <v>46424577.298795462</v>
      </c>
      <c r="AJ26" s="40">
        <f>'Disc Results'!AJ$18</f>
        <v>46424577.298795462</v>
      </c>
      <c r="AK26" s="40">
        <f>'Disc Results'!AK$18</f>
        <v>46424577.298795462</v>
      </c>
      <c r="AL26" s="40">
        <f>'Disc Results'!AL$18</f>
        <v>46424577.298795462</v>
      </c>
      <c r="AM26" s="40">
        <f>'Disc Results'!AM$18</f>
        <v>46424577.298795462</v>
      </c>
      <c r="AN26" s="40">
        <f>'Disc Results'!AN$18</f>
        <v>46424577.298795462</v>
      </c>
      <c r="AO26" s="40">
        <f>'Disc Results'!AO$18</f>
        <v>46424577.298795462</v>
      </c>
      <c r="AP26" s="40">
        <f>'Disc Results'!AP$18</f>
        <v>46424577.298795462</v>
      </c>
      <c r="AQ26" s="40">
        <f>'Disc Results'!AQ$18</f>
        <v>46424577.298795462</v>
      </c>
      <c r="AR26" s="40">
        <f>'Disc Results'!AR$18</f>
        <v>46424577.298795462</v>
      </c>
      <c r="AS26" s="40">
        <f>'Disc Results'!AS$18</f>
        <v>46424577.298795462</v>
      </c>
      <c r="AT26" s="40">
        <f>'Disc Results'!AT$18</f>
        <v>46424577.298795462</v>
      </c>
      <c r="AU26" s="40">
        <f>'Disc Results'!AU$18</f>
        <v>46424577.298795462</v>
      </c>
      <c r="AV26" s="40">
        <f>'Disc Results'!AV$18</f>
        <v>46424577.298795462</v>
      </c>
      <c r="AW26" s="40">
        <f>'Disc Results'!AW$18</f>
        <v>46424577.298795462</v>
      </c>
      <c r="AX26" s="40">
        <f>'Disc Results'!AX$18</f>
        <v>46424577.298795462</v>
      </c>
      <c r="AY26" s="40">
        <f>'Disc Results'!AY$18</f>
        <v>46424577.298795462</v>
      </c>
      <c r="AZ26" s="40">
        <f>'Disc Results'!AZ$18</f>
        <v>46424577.298795462</v>
      </c>
      <c r="BA26" s="40">
        <f>'Disc Results'!BA$18</f>
        <v>46424577.298795462</v>
      </c>
    </row>
    <row r="27" spans="1:53" x14ac:dyDescent="0.35"/>
    <row r="28" spans="1:53" x14ac:dyDescent="0.35">
      <c r="E28" s="92" t="s">
        <v>924</v>
      </c>
      <c r="F28" s="40">
        <f>SUM(I28:BA28)</f>
        <v>29873401.657455102</v>
      </c>
      <c r="G28" s="4" t="str">
        <f>$F$6&amp;"$ in "&amp;$F$6</f>
        <v>2024$ in 2024</v>
      </c>
      <c r="I28" s="40">
        <f>'Disc Results'!I$19</f>
        <v>327709.29052218742</v>
      </c>
      <c r="J28" s="40">
        <f>'Disc Results'!J$19</f>
        <v>377521.10268155992</v>
      </c>
      <c r="K28" s="40">
        <f>'Disc Results'!K$19</f>
        <v>338710.52203205373</v>
      </c>
      <c r="L28" s="40">
        <f>'Disc Results'!L$19</f>
        <v>304376.81706690654</v>
      </c>
      <c r="M28" s="40">
        <f>'Disc Results'!M$19</f>
        <v>22472785.58635699</v>
      </c>
      <c r="N28" s="40">
        <f>'Disc Results'!N$19</f>
        <v>6052298.3387954049</v>
      </c>
      <c r="O28" s="40">
        <f>'Disc Results'!O$19</f>
        <v>0</v>
      </c>
      <c r="P28" s="40">
        <f>'Disc Results'!P$19</f>
        <v>0</v>
      </c>
      <c r="Q28" s="40">
        <f>'Disc Results'!Q$19</f>
        <v>0</v>
      </c>
      <c r="R28" s="40">
        <f>'Disc Results'!R$19</f>
        <v>0</v>
      </c>
      <c r="S28" s="40">
        <f>'Disc Results'!S$19</f>
        <v>0</v>
      </c>
      <c r="T28" s="40">
        <f>'Disc Results'!T$19</f>
        <v>0</v>
      </c>
      <c r="U28" s="40">
        <f>'Disc Results'!U$19</f>
        <v>0</v>
      </c>
      <c r="V28" s="40">
        <f>'Disc Results'!V$19</f>
        <v>0</v>
      </c>
      <c r="W28" s="40">
        <f>'Disc Results'!W$19</f>
        <v>0</v>
      </c>
      <c r="X28" s="40">
        <f>'Disc Results'!X$19</f>
        <v>0</v>
      </c>
      <c r="Y28" s="40">
        <f>'Disc Results'!Y$19</f>
        <v>0</v>
      </c>
      <c r="Z28" s="40">
        <f>'Disc Results'!Z$19</f>
        <v>0</v>
      </c>
      <c r="AA28" s="40">
        <f>'Disc Results'!AA$19</f>
        <v>0</v>
      </c>
      <c r="AB28" s="40">
        <f>'Disc Results'!AB$19</f>
        <v>0</v>
      </c>
      <c r="AC28" s="40">
        <f>'Disc Results'!AC$19</f>
        <v>0</v>
      </c>
      <c r="AD28" s="40">
        <f>'Disc Results'!AD$19</f>
        <v>0</v>
      </c>
      <c r="AE28" s="40">
        <f>'Disc Results'!AE$19</f>
        <v>0</v>
      </c>
      <c r="AF28" s="40">
        <f>'Disc Results'!AF$19</f>
        <v>0</v>
      </c>
      <c r="AG28" s="40">
        <f>'Disc Results'!AG$19</f>
        <v>0</v>
      </c>
      <c r="AH28" s="40">
        <f>'Disc Results'!AH$19</f>
        <v>0</v>
      </c>
      <c r="AI28" s="40">
        <f>'Disc Results'!AI$19</f>
        <v>0</v>
      </c>
      <c r="AJ28" s="40">
        <f>'Disc Results'!AJ$19</f>
        <v>0</v>
      </c>
      <c r="AK28" s="40">
        <f>'Disc Results'!AK$19</f>
        <v>0</v>
      </c>
      <c r="AL28" s="40">
        <f>'Disc Results'!AL$19</f>
        <v>0</v>
      </c>
      <c r="AM28" s="40">
        <f>'Disc Results'!AM$19</f>
        <v>0</v>
      </c>
      <c r="AN28" s="40">
        <f>'Disc Results'!AN$19</f>
        <v>0</v>
      </c>
      <c r="AO28" s="40">
        <f>'Disc Results'!AO$19</f>
        <v>0</v>
      </c>
      <c r="AP28" s="40">
        <f>'Disc Results'!AP$19</f>
        <v>0</v>
      </c>
      <c r="AQ28" s="40">
        <f>'Disc Results'!AQ$19</f>
        <v>0</v>
      </c>
      <c r="AR28" s="40">
        <f>'Disc Results'!AR$19</f>
        <v>0</v>
      </c>
      <c r="AS28" s="40">
        <f>'Disc Results'!AS$19</f>
        <v>0</v>
      </c>
      <c r="AT28" s="40">
        <f>'Disc Results'!AT$19</f>
        <v>0</v>
      </c>
      <c r="AU28" s="40">
        <f>'Disc Results'!AU$19</f>
        <v>0</v>
      </c>
      <c r="AV28" s="40">
        <f>'Disc Results'!AV$19</f>
        <v>0</v>
      </c>
      <c r="AW28" s="40">
        <f>'Disc Results'!AW$19</f>
        <v>0</v>
      </c>
      <c r="AX28" s="40">
        <f>'Disc Results'!AX$19</f>
        <v>0</v>
      </c>
      <c r="AY28" s="40">
        <f>'Disc Results'!AY$19</f>
        <v>0</v>
      </c>
      <c r="AZ28" s="40">
        <f>'Disc Results'!AZ$19</f>
        <v>0</v>
      </c>
      <c r="BA28" s="40">
        <f>'Disc Results'!BA$19</f>
        <v>0</v>
      </c>
    </row>
    <row r="29" spans="1:53" x14ac:dyDescent="0.35">
      <c r="E29" s="92" t="s">
        <v>925</v>
      </c>
      <c r="F29" s="40"/>
      <c r="I29" s="40">
        <f>'Disc Results'!I$20</f>
        <v>327709.29052218742</v>
      </c>
      <c r="J29" s="40">
        <f>'Disc Results'!J$20</f>
        <v>705230.39320374734</v>
      </c>
      <c r="K29" s="40">
        <f>'Disc Results'!K$20</f>
        <v>1043940.9152358011</v>
      </c>
      <c r="L29" s="40">
        <f>'Disc Results'!L$20</f>
        <v>1348317.7323027076</v>
      </c>
      <c r="M29" s="40">
        <f>'Disc Results'!M$20</f>
        <v>23821103.318659697</v>
      </c>
      <c r="N29" s="40">
        <f>'Disc Results'!N$20</f>
        <v>29873401.657455102</v>
      </c>
      <c r="O29" s="40">
        <f>'Disc Results'!O$20</f>
        <v>29873401.657455102</v>
      </c>
      <c r="P29" s="40">
        <f>'Disc Results'!P$20</f>
        <v>29873401.657455102</v>
      </c>
      <c r="Q29" s="40">
        <f>'Disc Results'!Q$20</f>
        <v>29873401.657455102</v>
      </c>
      <c r="R29" s="40">
        <f>'Disc Results'!R$20</f>
        <v>29873401.657455102</v>
      </c>
      <c r="S29" s="40">
        <f>'Disc Results'!S$20</f>
        <v>29873401.657455102</v>
      </c>
      <c r="T29" s="40">
        <f>'Disc Results'!T$20</f>
        <v>29873401.657455102</v>
      </c>
      <c r="U29" s="40">
        <f>'Disc Results'!U$20</f>
        <v>29873401.657455102</v>
      </c>
      <c r="V29" s="40">
        <f>'Disc Results'!V$20</f>
        <v>29873401.657455102</v>
      </c>
      <c r="W29" s="40">
        <f>'Disc Results'!W$20</f>
        <v>29873401.657455102</v>
      </c>
      <c r="X29" s="40">
        <f>'Disc Results'!X$20</f>
        <v>29873401.657455102</v>
      </c>
      <c r="Y29" s="40">
        <f>'Disc Results'!Y$20</f>
        <v>29873401.657455102</v>
      </c>
      <c r="Z29" s="40">
        <f>'Disc Results'!Z$20</f>
        <v>29873401.657455102</v>
      </c>
      <c r="AA29" s="40">
        <f>'Disc Results'!AA$20</f>
        <v>29873401.657455102</v>
      </c>
      <c r="AB29" s="40">
        <f>'Disc Results'!AB$20</f>
        <v>29873401.657455102</v>
      </c>
      <c r="AC29" s="40">
        <f>'Disc Results'!AC$20</f>
        <v>29873401.657455102</v>
      </c>
      <c r="AD29" s="40">
        <f>'Disc Results'!AD$20</f>
        <v>29873401.657455102</v>
      </c>
      <c r="AE29" s="40">
        <f>'Disc Results'!AE$20</f>
        <v>29873401.657455102</v>
      </c>
      <c r="AF29" s="40">
        <f>'Disc Results'!AF$20</f>
        <v>29873401.657455102</v>
      </c>
      <c r="AG29" s="40">
        <f>'Disc Results'!AG$20</f>
        <v>29873401.657455102</v>
      </c>
      <c r="AH29" s="40">
        <f>'Disc Results'!AH$20</f>
        <v>29873401.657455102</v>
      </c>
      <c r="AI29" s="40">
        <f>'Disc Results'!AI$20</f>
        <v>29873401.657455102</v>
      </c>
      <c r="AJ29" s="40">
        <f>'Disc Results'!AJ$20</f>
        <v>29873401.657455102</v>
      </c>
      <c r="AK29" s="40">
        <f>'Disc Results'!AK$20</f>
        <v>29873401.657455102</v>
      </c>
      <c r="AL29" s="40">
        <f>'Disc Results'!AL$20</f>
        <v>29873401.657455102</v>
      </c>
      <c r="AM29" s="40">
        <f>'Disc Results'!AM$20</f>
        <v>29873401.657455102</v>
      </c>
      <c r="AN29" s="40">
        <f>'Disc Results'!AN$20</f>
        <v>29873401.657455102</v>
      </c>
      <c r="AO29" s="40">
        <f>'Disc Results'!AO$20</f>
        <v>29873401.657455102</v>
      </c>
      <c r="AP29" s="40">
        <f>'Disc Results'!AP$20</f>
        <v>29873401.657455102</v>
      </c>
      <c r="AQ29" s="40">
        <f>'Disc Results'!AQ$20</f>
        <v>29873401.657455102</v>
      </c>
      <c r="AR29" s="40">
        <f>'Disc Results'!AR$20</f>
        <v>29873401.657455102</v>
      </c>
      <c r="AS29" s="40">
        <f>'Disc Results'!AS$20</f>
        <v>29873401.657455102</v>
      </c>
      <c r="AT29" s="40">
        <f>'Disc Results'!AT$20</f>
        <v>29873401.657455102</v>
      </c>
      <c r="AU29" s="40">
        <f>'Disc Results'!AU$20</f>
        <v>29873401.657455102</v>
      </c>
      <c r="AV29" s="40">
        <f>'Disc Results'!AV$20</f>
        <v>29873401.657455102</v>
      </c>
      <c r="AW29" s="40">
        <f>'Disc Results'!AW$20</f>
        <v>29873401.657455102</v>
      </c>
      <c r="AX29" s="40">
        <f>'Disc Results'!AX$20</f>
        <v>29873401.657455102</v>
      </c>
      <c r="AY29" s="40">
        <f>'Disc Results'!AY$20</f>
        <v>29873401.657455102</v>
      </c>
      <c r="AZ29" s="40">
        <f>'Disc Results'!AZ$20</f>
        <v>29873401.657455102</v>
      </c>
      <c r="BA29" s="40">
        <f>'Disc Results'!BA$20</f>
        <v>29873401.657455102</v>
      </c>
    </row>
    <row r="30" spans="1:53" x14ac:dyDescent="0.35">
      <c r="E30" s="92"/>
      <c r="F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row>
    <row r="31" spans="1:53" x14ac:dyDescent="0.35">
      <c r="E31" s="92" t="s">
        <v>752</v>
      </c>
      <c r="F31" s="40">
        <f>SUM(I31:BA31)</f>
        <v>29873401.657455102</v>
      </c>
      <c r="G31" s="4" t="str">
        <f>$F$6&amp;"$ in "&amp;$F$6</f>
        <v>2024$ in 2024</v>
      </c>
      <c r="I31" s="40">
        <f>'Disc Results'!I$16</f>
        <v>327709.29052218742</v>
      </c>
      <c r="J31" s="40">
        <f>'Disc Results'!J$16</f>
        <v>377521.10268155992</v>
      </c>
      <c r="K31" s="40">
        <f>'Disc Results'!K$16</f>
        <v>338710.52203205373</v>
      </c>
      <c r="L31" s="40">
        <f>'Disc Results'!L$16</f>
        <v>304376.81706690654</v>
      </c>
      <c r="M31" s="40">
        <f>'Disc Results'!M$16</f>
        <v>22472785.58635699</v>
      </c>
      <c r="N31" s="40">
        <f>'Disc Results'!N$16</f>
        <v>6052298.3387954049</v>
      </c>
      <c r="O31" s="40">
        <f>'Disc Results'!O$16</f>
        <v>0</v>
      </c>
      <c r="P31" s="40">
        <f>'Disc Results'!P$16</f>
        <v>0</v>
      </c>
      <c r="Q31" s="40">
        <f>'Disc Results'!Q$16</f>
        <v>0</v>
      </c>
      <c r="R31" s="40">
        <f>'Disc Results'!R$16</f>
        <v>0</v>
      </c>
      <c r="S31" s="40">
        <f>'Disc Results'!S$16</f>
        <v>0</v>
      </c>
      <c r="T31" s="40">
        <f>'Disc Results'!T$16</f>
        <v>0</v>
      </c>
      <c r="U31" s="40">
        <f>'Disc Results'!U$16</f>
        <v>0</v>
      </c>
      <c r="V31" s="40">
        <f>'Disc Results'!V$16</f>
        <v>0</v>
      </c>
      <c r="W31" s="40">
        <f>'Disc Results'!W$16</f>
        <v>0</v>
      </c>
      <c r="X31" s="40">
        <f>'Disc Results'!X$16</f>
        <v>0</v>
      </c>
      <c r="Y31" s="40">
        <f>'Disc Results'!Y$16</f>
        <v>0</v>
      </c>
      <c r="Z31" s="40">
        <f>'Disc Results'!Z$16</f>
        <v>0</v>
      </c>
      <c r="AA31" s="40">
        <f>'Disc Results'!AA$16</f>
        <v>0</v>
      </c>
      <c r="AB31" s="40">
        <f>'Disc Results'!AB$16</f>
        <v>0</v>
      </c>
      <c r="AC31" s="40">
        <f>'Disc Results'!AC$16</f>
        <v>0</v>
      </c>
      <c r="AD31" s="40">
        <f>'Disc Results'!AD$16</f>
        <v>0</v>
      </c>
      <c r="AE31" s="40">
        <f>'Disc Results'!AE$16</f>
        <v>0</v>
      </c>
      <c r="AF31" s="40">
        <f>'Disc Results'!AF$16</f>
        <v>0</v>
      </c>
      <c r="AG31" s="40">
        <f>'Disc Results'!AG$16</f>
        <v>0</v>
      </c>
      <c r="AH31" s="40">
        <f>'Disc Results'!AH$16</f>
        <v>0</v>
      </c>
      <c r="AI31" s="40">
        <f>'Disc Results'!AI$16</f>
        <v>0</v>
      </c>
      <c r="AJ31" s="40">
        <f>'Disc Results'!AJ$16</f>
        <v>0</v>
      </c>
      <c r="AK31" s="40">
        <f>'Disc Results'!AK$16</f>
        <v>0</v>
      </c>
      <c r="AL31" s="40">
        <f>'Disc Results'!AL$16</f>
        <v>0</v>
      </c>
      <c r="AM31" s="40">
        <f>'Disc Results'!AM$16</f>
        <v>0</v>
      </c>
      <c r="AN31" s="40">
        <f>'Disc Results'!AN$16</f>
        <v>0</v>
      </c>
      <c r="AO31" s="40">
        <f>'Disc Results'!AO$16</f>
        <v>0</v>
      </c>
      <c r="AP31" s="40">
        <f>'Disc Results'!AP$16</f>
        <v>0</v>
      </c>
      <c r="AQ31" s="40">
        <f>'Disc Results'!AQ$16</f>
        <v>0</v>
      </c>
      <c r="AR31" s="40">
        <f>'Disc Results'!AR$16</f>
        <v>0</v>
      </c>
      <c r="AS31" s="40">
        <f>'Disc Results'!AS$16</f>
        <v>0</v>
      </c>
      <c r="AT31" s="40">
        <f>'Disc Results'!AT$16</f>
        <v>0</v>
      </c>
      <c r="AU31" s="40">
        <f>'Disc Results'!AU$16</f>
        <v>0</v>
      </c>
      <c r="AV31" s="40">
        <f>'Disc Results'!AV$16</f>
        <v>0</v>
      </c>
      <c r="AW31" s="40">
        <f>'Disc Results'!AW$16</f>
        <v>0</v>
      </c>
      <c r="AX31" s="40">
        <f>'Disc Results'!AX$16</f>
        <v>0</v>
      </c>
      <c r="AY31" s="40">
        <f>'Disc Results'!AY$16</f>
        <v>0</v>
      </c>
      <c r="AZ31" s="40">
        <f>'Disc Results'!AZ$16</f>
        <v>0</v>
      </c>
      <c r="BA31" s="40">
        <f>'Disc Results'!BA$16</f>
        <v>0</v>
      </c>
    </row>
    <row r="32" spans="1:53" x14ac:dyDescent="0.35">
      <c r="E32" s="92"/>
      <c r="F32" s="40"/>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row>
    <row r="33" spans="1:7" x14ac:dyDescent="0.35">
      <c r="A33" s="1" t="s">
        <v>926</v>
      </c>
      <c r="E33" s="92"/>
    </row>
    <row r="34" spans="1:7" x14ac:dyDescent="0.35">
      <c r="E34" s="92" t="s">
        <v>927</v>
      </c>
      <c r="F34" s="17">
        <f>IFERROR(F25/F28,0)</f>
        <v>1.5540438893141553</v>
      </c>
      <c r="G34" s="4" t="s">
        <v>928</v>
      </c>
    </row>
    <row r="35" spans="1:7" x14ac:dyDescent="0.35">
      <c r="E35" s="92"/>
    </row>
    <row r="36" spans="1:7" x14ac:dyDescent="0.35">
      <c r="A36" s="1" t="s">
        <v>929</v>
      </c>
      <c r="E36" s="92"/>
    </row>
    <row r="37" spans="1:7" x14ac:dyDescent="0.35">
      <c r="E37" s="92" t="s">
        <v>930</v>
      </c>
      <c r="F37" s="40">
        <f>F25-F28</f>
        <v>16551175.64134036</v>
      </c>
      <c r="G37" s="4" t="str">
        <f>$F$6&amp;"$ in "&amp;$F$6</f>
        <v>2024$ in 2024</v>
      </c>
    </row>
    <row r="38" spans="1:7" x14ac:dyDescent="0.35"/>
    <row r="39" spans="1:7" x14ac:dyDescent="0.35"/>
    <row r="40" spans="1:7" x14ac:dyDescent="0.35"/>
    <row r="41" spans="1:7" x14ac:dyDescent="0.35"/>
    <row r="42" spans="1:7" x14ac:dyDescent="0.35"/>
    <row r="43" spans="1:7" x14ac:dyDescent="0.35"/>
    <row r="44" spans="1:7" x14ac:dyDescent="0.35"/>
    <row r="45" spans="1:7" x14ac:dyDescent="0.35"/>
    <row r="46" spans="1:7" x14ac:dyDescent="0.35"/>
    <row r="47" spans="1:7" x14ac:dyDescent="0.35"/>
    <row r="48" spans="1:7"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
  <sheetViews>
    <sheetView zoomScale="90" zoomScaleNormal="90" workbookViewId="0">
      <selection sqref="A1:XFD1"/>
    </sheetView>
  </sheetViews>
  <sheetFormatPr defaultColWidth="8.81640625" defaultRowHeight="14.5" x14ac:dyDescent="0.35"/>
  <cols>
    <col min="1" max="16384" width="8.81640625" style="4"/>
  </cols>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BA33"/>
  <sheetViews>
    <sheetView zoomScale="90" zoomScaleNormal="90" workbookViewId="0">
      <pane xSplit="8" ySplit="7" topLeftCell="I8" activePane="bottomRight" state="frozen"/>
      <selection pane="topRight" activeCell="I5" sqref="I5"/>
      <selection pane="bottomLeft" activeCell="I5" sqref="I5"/>
      <selection pane="bottomRight" activeCell="O13" sqref="O13"/>
    </sheetView>
  </sheetViews>
  <sheetFormatPr defaultColWidth="0" defaultRowHeight="14.5" zeroHeight="1" x14ac:dyDescent="0.35"/>
  <cols>
    <col min="1" max="4" width="1.453125" style="4" customWidth="1"/>
    <col min="5" max="5" width="32.81640625" style="4" customWidth="1"/>
    <col min="6" max="8" width="9.453125" style="4" customWidth="1"/>
    <col min="9" max="53" width="9.1796875" style="4" customWidth="1"/>
    <col min="54" max="16384" width="9.1796875" hidden="1"/>
  </cols>
  <sheetData>
    <row r="1" spans="1:53" ht="15.5" x14ac:dyDescent="0.35">
      <c r="A1" s="378" t="s">
        <v>933</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row>
    <row r="2" spans="1:53" ht="5.25" customHeight="1" x14ac:dyDescent="0.35">
      <c r="A2" s="1"/>
    </row>
    <row r="3" spans="1:53" x14ac:dyDescent="0.35">
      <c r="A3" s="1"/>
      <c r="E3" s="180" t="s">
        <v>934</v>
      </c>
    </row>
    <row r="4" spans="1:53" x14ac:dyDescent="0.35">
      <c r="A4" s="1"/>
      <c r="E4" s="178" t="str">
        <f>'Guide for Reviewers'!B3</f>
        <v>I-35 McClain County</v>
      </c>
    </row>
    <row r="5" spans="1:53" x14ac:dyDescent="0.35">
      <c r="A5" s="1"/>
      <c r="B5" s="1"/>
      <c r="C5" s="1"/>
      <c r="D5" s="1"/>
      <c r="E5" s="178" t="str">
        <f>'Guide for Reviewers'!B4</f>
        <v>Oklahoma Department of Transportation</v>
      </c>
      <c r="F5" s="44"/>
      <c r="G5" s="44" t="s">
        <v>575</v>
      </c>
      <c r="H5" s="44"/>
      <c r="I5" s="555">
        <f>StockValueC!$H$12</f>
        <v>2023</v>
      </c>
      <c r="J5" s="1">
        <f>I5+1</f>
        <v>2024</v>
      </c>
      <c r="K5" s="1">
        <f t="shared" ref="K5:BA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f t="shared" si="0"/>
        <v>2066</v>
      </c>
      <c r="BA5" s="1">
        <f t="shared" si="0"/>
        <v>2067</v>
      </c>
    </row>
    <row r="6" spans="1:53" x14ac:dyDescent="0.35">
      <c r="A6" s="1"/>
      <c r="B6" s="1"/>
      <c r="C6" s="1"/>
      <c r="D6" s="1"/>
      <c r="E6" s="1" t="s">
        <v>92</v>
      </c>
      <c r="F6" s="1" t="s">
        <v>82</v>
      </c>
      <c r="G6" s="1" t="s">
        <v>113</v>
      </c>
      <c r="H6" s="1"/>
      <c r="I6" s="1"/>
      <c r="J6" s="1"/>
      <c r="K6" s="1"/>
      <c r="L6" s="1"/>
      <c r="M6" s="1"/>
      <c r="N6" s="1"/>
      <c r="O6" s="1"/>
      <c r="P6" s="1"/>
      <c r="Q6" s="1"/>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row>
    <row r="7" spans="1:53" ht="5.25" customHeight="1" x14ac:dyDescent="0.35"/>
    <row r="8" spans="1:53" ht="15" customHeight="1" x14ac:dyDescent="0.35">
      <c r="A8" s="1" t="s">
        <v>935</v>
      </c>
    </row>
    <row r="9" spans="1:53" ht="5.25" customHeight="1" x14ac:dyDescent="0.35"/>
    <row r="10" spans="1:53" x14ac:dyDescent="0.35">
      <c r="E10" s="49" t="str">
        <f>'Project InputsC'!E$10</f>
        <v>Discount Rate</v>
      </c>
      <c r="F10" s="81">
        <f>'Project InputsC'!H$10</f>
        <v>7.0000000000000007E-2</v>
      </c>
      <c r="G10" s="49" t="s">
        <v>936</v>
      </c>
      <c r="H10" s="49"/>
    </row>
    <row r="11" spans="1:53" x14ac:dyDescent="0.35">
      <c r="E11" s="49" t="str">
        <f>StockValueC!E$14</f>
        <v>Base Year (for discounting)</v>
      </c>
      <c r="F11" s="49">
        <f>StockValueC!H$14</f>
        <v>2024</v>
      </c>
      <c r="G11" s="49" t="s">
        <v>121</v>
      </c>
      <c r="H11" s="49"/>
    </row>
    <row r="12" spans="1:53" ht="5.25" customHeight="1" x14ac:dyDescent="0.35">
      <c r="E12" s="49"/>
      <c r="AT12" s="82"/>
    </row>
    <row r="13" spans="1:53" x14ac:dyDescent="0.35">
      <c r="A13" s="51"/>
      <c r="B13" s="51"/>
      <c r="C13" s="51"/>
      <c r="D13" s="51"/>
      <c r="E13" s="51" t="s">
        <v>917</v>
      </c>
      <c r="F13" s="51"/>
      <c r="G13" s="51"/>
      <c r="H13" s="51"/>
      <c r="I13" s="83">
        <f t="shared" ref="I13:BA13" si="1">IF(I5&lt;=$F$11,1,(1/(1+$F$10)^(I5-$F$11)))</f>
        <v>1</v>
      </c>
      <c r="J13" s="83">
        <f t="shared" si="1"/>
        <v>1</v>
      </c>
      <c r="K13" s="83">
        <f t="shared" si="1"/>
        <v>0.93457943925233644</v>
      </c>
      <c r="L13" s="83">
        <f t="shared" si="1"/>
        <v>0.87343872827321156</v>
      </c>
      <c r="M13" s="83">
        <f t="shared" si="1"/>
        <v>0.81629787689085187</v>
      </c>
      <c r="N13" s="83">
        <f t="shared" si="1"/>
        <v>0.7628952120475252</v>
      </c>
      <c r="O13" s="83">
        <f t="shared" si="1"/>
        <v>0.71298617948366838</v>
      </c>
      <c r="P13" s="83">
        <f t="shared" si="1"/>
        <v>0.66634222381651254</v>
      </c>
      <c r="Q13" s="83">
        <f t="shared" si="1"/>
        <v>0.62274974188459109</v>
      </c>
      <c r="R13" s="83">
        <f t="shared" si="1"/>
        <v>0.5820091045650384</v>
      </c>
      <c r="S13" s="83">
        <f t="shared" si="1"/>
        <v>0.54393374258414806</v>
      </c>
      <c r="T13" s="83">
        <f t="shared" si="1"/>
        <v>0.5083492921347178</v>
      </c>
      <c r="U13" s="83">
        <f t="shared" si="1"/>
        <v>0.47509279638758667</v>
      </c>
      <c r="V13" s="83">
        <f t="shared" si="1"/>
        <v>0.44401195924073528</v>
      </c>
      <c r="W13" s="83">
        <f t="shared" si="1"/>
        <v>0.41496444788853759</v>
      </c>
      <c r="X13" s="83">
        <f t="shared" si="1"/>
        <v>0.3878172410173249</v>
      </c>
      <c r="Y13" s="83">
        <f t="shared" si="1"/>
        <v>0.36244601964235967</v>
      </c>
      <c r="Z13" s="83">
        <f t="shared" si="1"/>
        <v>0.33873459779659787</v>
      </c>
      <c r="AA13" s="83">
        <f t="shared" si="1"/>
        <v>0.31657439046411018</v>
      </c>
      <c r="AB13" s="83">
        <f t="shared" si="1"/>
        <v>0.29586391632159825</v>
      </c>
      <c r="AC13" s="83">
        <f t="shared" si="1"/>
        <v>0.27650833301083949</v>
      </c>
      <c r="AD13" s="83">
        <f t="shared" si="1"/>
        <v>0.2584190028138687</v>
      </c>
      <c r="AE13" s="83">
        <f t="shared" si="1"/>
        <v>0.24151308674193336</v>
      </c>
      <c r="AF13" s="83">
        <f t="shared" si="1"/>
        <v>0.22571316517937698</v>
      </c>
      <c r="AG13" s="83">
        <f t="shared" si="1"/>
        <v>0.21094688334521211</v>
      </c>
      <c r="AH13" s="83">
        <f t="shared" si="1"/>
        <v>0.19714661994879637</v>
      </c>
      <c r="AI13" s="83">
        <f t="shared" si="1"/>
        <v>0.18424917752223957</v>
      </c>
      <c r="AJ13" s="83">
        <f t="shared" si="1"/>
        <v>0.17219549301143888</v>
      </c>
      <c r="AK13" s="83">
        <f t="shared" si="1"/>
        <v>0.16093036730041013</v>
      </c>
      <c r="AL13" s="83">
        <f t="shared" si="1"/>
        <v>0.15040221243028987</v>
      </c>
      <c r="AM13" s="83">
        <f t="shared" si="1"/>
        <v>0.1405628153554111</v>
      </c>
      <c r="AN13" s="83">
        <f t="shared" si="1"/>
        <v>0.13136711715458982</v>
      </c>
      <c r="AO13" s="83">
        <f t="shared" si="1"/>
        <v>0.1227730066865325</v>
      </c>
      <c r="AP13" s="83">
        <f t="shared" si="1"/>
        <v>0.11474112774442291</v>
      </c>
      <c r="AQ13" s="83">
        <f t="shared" si="1"/>
        <v>0.10723469882656347</v>
      </c>
      <c r="AR13" s="83">
        <f t="shared" si="1"/>
        <v>0.10021934469772288</v>
      </c>
      <c r="AS13" s="83">
        <f t="shared" si="1"/>
        <v>9.366293896983445E-2</v>
      </c>
      <c r="AT13" s="83">
        <f t="shared" si="1"/>
        <v>8.7535456981153698E-2</v>
      </c>
      <c r="AU13" s="83">
        <f t="shared" si="1"/>
        <v>8.1808838300143641E-2</v>
      </c>
      <c r="AV13" s="83">
        <f t="shared" si="1"/>
        <v>7.6456858224433308E-2</v>
      </c>
      <c r="AW13" s="83">
        <f t="shared" si="1"/>
        <v>7.1455007686386268E-2</v>
      </c>
      <c r="AX13" s="83">
        <f t="shared" si="1"/>
        <v>6.6780381015314264E-2</v>
      </c>
      <c r="AY13" s="83">
        <f t="shared" si="1"/>
        <v>6.2411571042349782E-2</v>
      </c>
      <c r="AZ13" s="83">
        <f t="shared" si="1"/>
        <v>5.8328571067616623E-2</v>
      </c>
      <c r="BA13" s="83">
        <f t="shared" si="1"/>
        <v>5.4512683240763193E-2</v>
      </c>
    </row>
    <row r="14" spans="1:53" ht="5.25" customHeight="1" x14ac:dyDescent="0.35"/>
    <row r="15" spans="1:53" x14ac:dyDescent="0.35">
      <c r="A15" s="1" t="s">
        <v>937</v>
      </c>
    </row>
    <row r="16" spans="1:53" ht="5.25" customHeight="1" x14ac:dyDescent="0.35"/>
    <row r="17" spans="5:53" x14ac:dyDescent="0.35">
      <c r="E17" s="49" t="str">
        <f>'Project InputsC'!E$12</f>
        <v>Design/Construction Start Date</v>
      </c>
      <c r="F17" s="49" t="str">
        <f>'Project InputsC'!F$12</f>
        <v>Project Defined</v>
      </c>
      <c r="G17" s="49" t="str">
        <f>'Project InputsC'!G$12</f>
        <v>year</v>
      </c>
      <c r="H17" s="49">
        <f>'Project InputsC'!H$12</f>
        <v>2023</v>
      </c>
    </row>
    <row r="18" spans="5:53" x14ac:dyDescent="0.35">
      <c r="E18" s="49" t="str">
        <f>'Project InputsC'!E$15</f>
        <v>Project Opening</v>
      </c>
      <c r="F18" s="49" t="str">
        <f>'Project InputsC'!F$15</f>
        <v>Project Defined</v>
      </c>
      <c r="G18" s="49" t="str">
        <f>'Project InputsC'!G$15</f>
        <v>year</v>
      </c>
      <c r="H18" s="49">
        <f>'Project InputsC'!H$15</f>
        <v>2029</v>
      </c>
    </row>
    <row r="19" spans="5:53" x14ac:dyDescent="0.35">
      <c r="E19" s="49" t="str">
        <f>'Project InputsC'!E$17</f>
        <v>First Year Adjustment Factor</v>
      </c>
      <c r="F19" s="49" t="str">
        <f>'Project InputsC'!F$17</f>
        <v>Project Defined</v>
      </c>
      <c r="G19" s="49" t="str">
        <f>'Project InputsC'!G$17</f>
        <v>Adj. for partial years</v>
      </c>
      <c r="H19" s="153">
        <f>'Project InputsC'!H$17</f>
        <v>0</v>
      </c>
    </row>
    <row r="20" spans="5:53" x14ac:dyDescent="0.35">
      <c r="E20" s="49" t="str">
        <f>'Project InputsC'!E$18</f>
        <v>Operations Period</v>
      </c>
      <c r="F20" s="49" t="str">
        <f>'Project InputsC'!F$18</f>
        <v>User Defined</v>
      </c>
      <c r="G20" s="49" t="str">
        <f>'Project InputsC'!G$18</f>
        <v>years</v>
      </c>
      <c r="H20" s="49">
        <f>'Project InputsC'!H$18</f>
        <v>20</v>
      </c>
    </row>
    <row r="21" spans="5:53" x14ac:dyDescent="0.35">
      <c r="E21" s="26" t="s">
        <v>938</v>
      </c>
      <c r="G21" s="26" t="s">
        <v>121</v>
      </c>
      <c r="H21" s="26">
        <f>H18+H20-1</f>
        <v>2048</v>
      </c>
    </row>
    <row r="22" spans="5:53" ht="5.25" customHeight="1" x14ac:dyDescent="0.35"/>
    <row r="23" spans="5:53" x14ac:dyDescent="0.35">
      <c r="E23" s="4" t="s">
        <v>939</v>
      </c>
      <c r="G23" s="4" t="s">
        <v>131</v>
      </c>
      <c r="H23" s="40">
        <f>SUM(I23:BA23)</f>
        <v>1</v>
      </c>
      <c r="I23" s="40">
        <f t="shared" ref="I23:BA23" si="2">IF(I$5=$H$17,1,0)</f>
        <v>1</v>
      </c>
      <c r="J23" s="40">
        <f t="shared" si="2"/>
        <v>0</v>
      </c>
      <c r="K23" s="40">
        <f t="shared" si="2"/>
        <v>0</v>
      </c>
      <c r="L23" s="40">
        <f t="shared" si="2"/>
        <v>0</v>
      </c>
      <c r="M23" s="40">
        <f t="shared" si="2"/>
        <v>0</v>
      </c>
      <c r="N23" s="40">
        <f t="shared" si="2"/>
        <v>0</v>
      </c>
      <c r="O23" s="40">
        <f t="shared" si="2"/>
        <v>0</v>
      </c>
      <c r="P23" s="40">
        <f t="shared" si="2"/>
        <v>0</v>
      </c>
      <c r="Q23" s="40">
        <f t="shared" si="2"/>
        <v>0</v>
      </c>
      <c r="R23" s="40">
        <f t="shared" si="2"/>
        <v>0</v>
      </c>
      <c r="S23" s="40">
        <f t="shared" si="2"/>
        <v>0</v>
      </c>
      <c r="T23" s="40">
        <f t="shared" si="2"/>
        <v>0</v>
      </c>
      <c r="U23" s="40">
        <f t="shared" si="2"/>
        <v>0</v>
      </c>
      <c r="V23" s="40">
        <f t="shared" si="2"/>
        <v>0</v>
      </c>
      <c r="W23" s="40">
        <f t="shared" si="2"/>
        <v>0</v>
      </c>
      <c r="X23" s="40">
        <f t="shared" si="2"/>
        <v>0</v>
      </c>
      <c r="Y23" s="40">
        <f t="shared" si="2"/>
        <v>0</v>
      </c>
      <c r="Z23" s="40">
        <f t="shared" si="2"/>
        <v>0</v>
      </c>
      <c r="AA23" s="40">
        <f t="shared" si="2"/>
        <v>0</v>
      </c>
      <c r="AB23" s="40">
        <f t="shared" si="2"/>
        <v>0</v>
      </c>
      <c r="AC23" s="40">
        <f t="shared" si="2"/>
        <v>0</v>
      </c>
      <c r="AD23" s="40">
        <f t="shared" si="2"/>
        <v>0</v>
      </c>
      <c r="AE23" s="40">
        <f t="shared" si="2"/>
        <v>0</v>
      </c>
      <c r="AF23" s="40">
        <f t="shared" si="2"/>
        <v>0</v>
      </c>
      <c r="AG23" s="40">
        <f t="shared" si="2"/>
        <v>0</v>
      </c>
      <c r="AH23" s="40">
        <f t="shared" si="2"/>
        <v>0</v>
      </c>
      <c r="AI23" s="40">
        <f t="shared" si="2"/>
        <v>0</v>
      </c>
      <c r="AJ23" s="40">
        <f t="shared" si="2"/>
        <v>0</v>
      </c>
      <c r="AK23" s="40">
        <f t="shared" si="2"/>
        <v>0</v>
      </c>
      <c r="AL23" s="40">
        <f t="shared" si="2"/>
        <v>0</v>
      </c>
      <c r="AM23" s="40">
        <f t="shared" si="2"/>
        <v>0</v>
      </c>
      <c r="AN23" s="40">
        <f t="shared" si="2"/>
        <v>0</v>
      </c>
      <c r="AO23" s="40">
        <f t="shared" si="2"/>
        <v>0</v>
      </c>
      <c r="AP23" s="40">
        <f t="shared" si="2"/>
        <v>0</v>
      </c>
      <c r="AQ23" s="40">
        <f t="shared" si="2"/>
        <v>0</v>
      </c>
      <c r="AR23" s="40">
        <f t="shared" si="2"/>
        <v>0</v>
      </c>
      <c r="AS23" s="40">
        <f t="shared" si="2"/>
        <v>0</v>
      </c>
      <c r="AT23" s="40">
        <f t="shared" si="2"/>
        <v>0</v>
      </c>
      <c r="AU23" s="40">
        <f t="shared" si="2"/>
        <v>0</v>
      </c>
      <c r="AV23" s="40">
        <f t="shared" si="2"/>
        <v>0</v>
      </c>
      <c r="AW23" s="40">
        <f t="shared" si="2"/>
        <v>0</v>
      </c>
      <c r="AX23" s="40">
        <f t="shared" si="2"/>
        <v>0</v>
      </c>
      <c r="AY23" s="40">
        <f t="shared" si="2"/>
        <v>0</v>
      </c>
      <c r="AZ23" s="40">
        <f t="shared" si="2"/>
        <v>0</v>
      </c>
      <c r="BA23" s="40">
        <f t="shared" si="2"/>
        <v>0</v>
      </c>
    </row>
    <row r="24" spans="5:53" x14ac:dyDescent="0.35">
      <c r="E24" s="4" t="s">
        <v>940</v>
      </c>
      <c r="G24" s="4" t="s">
        <v>131</v>
      </c>
      <c r="H24" s="40">
        <f>SUM(I24:BA24)</f>
        <v>1</v>
      </c>
      <c r="I24" s="40">
        <f t="shared" ref="I24:BA24" si="3">IF(I$5=$H$21,1,0)</f>
        <v>0</v>
      </c>
      <c r="J24" s="40">
        <f t="shared" si="3"/>
        <v>0</v>
      </c>
      <c r="K24" s="40">
        <f t="shared" si="3"/>
        <v>0</v>
      </c>
      <c r="L24" s="40">
        <f t="shared" si="3"/>
        <v>0</v>
      </c>
      <c r="M24" s="40">
        <f t="shared" si="3"/>
        <v>0</v>
      </c>
      <c r="N24" s="40">
        <f t="shared" si="3"/>
        <v>0</v>
      </c>
      <c r="O24" s="40">
        <f t="shared" si="3"/>
        <v>0</v>
      </c>
      <c r="P24" s="40">
        <f t="shared" si="3"/>
        <v>0</v>
      </c>
      <c r="Q24" s="40">
        <f t="shared" si="3"/>
        <v>0</v>
      </c>
      <c r="R24" s="40">
        <f t="shared" si="3"/>
        <v>0</v>
      </c>
      <c r="S24" s="40">
        <f t="shared" si="3"/>
        <v>0</v>
      </c>
      <c r="T24" s="40">
        <f t="shared" si="3"/>
        <v>0</v>
      </c>
      <c r="U24" s="40">
        <f t="shared" si="3"/>
        <v>0</v>
      </c>
      <c r="V24" s="40">
        <f t="shared" si="3"/>
        <v>0</v>
      </c>
      <c r="W24" s="40">
        <f t="shared" si="3"/>
        <v>0</v>
      </c>
      <c r="X24" s="40">
        <f t="shared" si="3"/>
        <v>0</v>
      </c>
      <c r="Y24" s="40">
        <f t="shared" si="3"/>
        <v>0</v>
      </c>
      <c r="Z24" s="40">
        <f t="shared" si="3"/>
        <v>0</v>
      </c>
      <c r="AA24" s="40">
        <f t="shared" si="3"/>
        <v>0</v>
      </c>
      <c r="AB24" s="40">
        <f t="shared" si="3"/>
        <v>0</v>
      </c>
      <c r="AC24" s="40">
        <f t="shared" si="3"/>
        <v>0</v>
      </c>
      <c r="AD24" s="40">
        <f t="shared" si="3"/>
        <v>0</v>
      </c>
      <c r="AE24" s="40">
        <f t="shared" si="3"/>
        <v>0</v>
      </c>
      <c r="AF24" s="40">
        <f t="shared" si="3"/>
        <v>0</v>
      </c>
      <c r="AG24" s="40">
        <f t="shared" si="3"/>
        <v>0</v>
      </c>
      <c r="AH24" s="40">
        <f t="shared" si="3"/>
        <v>1</v>
      </c>
      <c r="AI24" s="40">
        <f t="shared" si="3"/>
        <v>0</v>
      </c>
      <c r="AJ24" s="40">
        <f t="shared" si="3"/>
        <v>0</v>
      </c>
      <c r="AK24" s="40">
        <f t="shared" si="3"/>
        <v>0</v>
      </c>
      <c r="AL24" s="40">
        <f t="shared" si="3"/>
        <v>0</v>
      </c>
      <c r="AM24" s="40">
        <f t="shared" si="3"/>
        <v>0</v>
      </c>
      <c r="AN24" s="40">
        <f t="shared" si="3"/>
        <v>0</v>
      </c>
      <c r="AO24" s="40">
        <f t="shared" si="3"/>
        <v>0</v>
      </c>
      <c r="AP24" s="40">
        <f t="shared" si="3"/>
        <v>0</v>
      </c>
      <c r="AQ24" s="40">
        <f t="shared" si="3"/>
        <v>0</v>
      </c>
      <c r="AR24" s="40">
        <f t="shared" si="3"/>
        <v>0</v>
      </c>
      <c r="AS24" s="40">
        <f t="shared" si="3"/>
        <v>0</v>
      </c>
      <c r="AT24" s="40">
        <f t="shared" si="3"/>
        <v>0</v>
      </c>
      <c r="AU24" s="40">
        <f t="shared" si="3"/>
        <v>0</v>
      </c>
      <c r="AV24" s="40">
        <f t="shared" si="3"/>
        <v>0</v>
      </c>
      <c r="AW24" s="40">
        <f t="shared" si="3"/>
        <v>0</v>
      </c>
      <c r="AX24" s="40">
        <f t="shared" si="3"/>
        <v>0</v>
      </c>
      <c r="AY24" s="40">
        <f t="shared" si="3"/>
        <v>0</v>
      </c>
      <c r="AZ24" s="40">
        <f t="shared" si="3"/>
        <v>0</v>
      </c>
      <c r="BA24" s="40">
        <f t="shared" si="3"/>
        <v>0</v>
      </c>
    </row>
    <row r="25" spans="5:53" x14ac:dyDescent="0.35">
      <c r="E25" s="51" t="s">
        <v>941</v>
      </c>
      <c r="G25" s="51" t="s">
        <v>131</v>
      </c>
      <c r="H25" s="52">
        <f>SUM(I25:BA25)</f>
        <v>26</v>
      </c>
      <c r="I25" s="52">
        <f t="shared" ref="I25:BA25" si="4">IF(AND(I$5&gt;=$H$17,I$5&lt;=$H$21),1,0)</f>
        <v>1</v>
      </c>
      <c r="J25" s="52">
        <f t="shared" si="4"/>
        <v>1</v>
      </c>
      <c r="K25" s="52">
        <f t="shared" si="4"/>
        <v>1</v>
      </c>
      <c r="L25" s="52">
        <f t="shared" si="4"/>
        <v>1</v>
      </c>
      <c r="M25" s="52">
        <f t="shared" si="4"/>
        <v>1</v>
      </c>
      <c r="N25" s="52">
        <f t="shared" si="4"/>
        <v>1</v>
      </c>
      <c r="O25" s="52">
        <f t="shared" si="4"/>
        <v>1</v>
      </c>
      <c r="P25" s="52">
        <f t="shared" si="4"/>
        <v>1</v>
      </c>
      <c r="Q25" s="52">
        <f t="shared" si="4"/>
        <v>1</v>
      </c>
      <c r="R25" s="52">
        <f t="shared" si="4"/>
        <v>1</v>
      </c>
      <c r="S25" s="52">
        <f t="shared" si="4"/>
        <v>1</v>
      </c>
      <c r="T25" s="52">
        <f t="shared" si="4"/>
        <v>1</v>
      </c>
      <c r="U25" s="52">
        <f t="shared" si="4"/>
        <v>1</v>
      </c>
      <c r="V25" s="52">
        <f t="shared" si="4"/>
        <v>1</v>
      </c>
      <c r="W25" s="52">
        <f t="shared" si="4"/>
        <v>1</v>
      </c>
      <c r="X25" s="52">
        <f t="shared" si="4"/>
        <v>1</v>
      </c>
      <c r="Y25" s="52">
        <f t="shared" si="4"/>
        <v>1</v>
      </c>
      <c r="Z25" s="52">
        <f t="shared" si="4"/>
        <v>1</v>
      </c>
      <c r="AA25" s="52">
        <f t="shared" si="4"/>
        <v>1</v>
      </c>
      <c r="AB25" s="52">
        <f t="shared" si="4"/>
        <v>1</v>
      </c>
      <c r="AC25" s="52">
        <f t="shared" si="4"/>
        <v>1</v>
      </c>
      <c r="AD25" s="52">
        <f t="shared" si="4"/>
        <v>1</v>
      </c>
      <c r="AE25" s="52">
        <f t="shared" si="4"/>
        <v>1</v>
      </c>
      <c r="AF25" s="52">
        <f t="shared" si="4"/>
        <v>1</v>
      </c>
      <c r="AG25" s="52">
        <f t="shared" si="4"/>
        <v>1</v>
      </c>
      <c r="AH25" s="52">
        <f t="shared" si="4"/>
        <v>1</v>
      </c>
      <c r="AI25" s="52">
        <f t="shared" si="4"/>
        <v>0</v>
      </c>
      <c r="AJ25" s="52">
        <f t="shared" si="4"/>
        <v>0</v>
      </c>
      <c r="AK25" s="52">
        <f t="shared" si="4"/>
        <v>0</v>
      </c>
      <c r="AL25" s="52">
        <f t="shared" si="4"/>
        <v>0</v>
      </c>
      <c r="AM25" s="52">
        <f t="shared" si="4"/>
        <v>0</v>
      </c>
      <c r="AN25" s="52">
        <f t="shared" si="4"/>
        <v>0</v>
      </c>
      <c r="AO25" s="52">
        <f t="shared" si="4"/>
        <v>0</v>
      </c>
      <c r="AP25" s="52">
        <f t="shared" si="4"/>
        <v>0</v>
      </c>
      <c r="AQ25" s="52">
        <f t="shared" si="4"/>
        <v>0</v>
      </c>
      <c r="AR25" s="52">
        <f t="shared" si="4"/>
        <v>0</v>
      </c>
      <c r="AS25" s="52">
        <f t="shared" si="4"/>
        <v>0</v>
      </c>
      <c r="AT25" s="52">
        <f t="shared" si="4"/>
        <v>0</v>
      </c>
      <c r="AU25" s="52">
        <f t="shared" si="4"/>
        <v>0</v>
      </c>
      <c r="AV25" s="52">
        <f t="shared" si="4"/>
        <v>0</v>
      </c>
      <c r="AW25" s="52">
        <f t="shared" si="4"/>
        <v>0</v>
      </c>
      <c r="AX25" s="52">
        <f t="shared" si="4"/>
        <v>0</v>
      </c>
      <c r="AY25" s="52">
        <f t="shared" si="4"/>
        <v>0</v>
      </c>
      <c r="AZ25" s="52">
        <f t="shared" si="4"/>
        <v>0</v>
      </c>
      <c r="BA25" s="52">
        <f t="shared" si="4"/>
        <v>0</v>
      </c>
    </row>
    <row r="26" spans="5:53" x14ac:dyDescent="0.35">
      <c r="E26" s="26" t="s">
        <v>942</v>
      </c>
      <c r="G26" s="26" t="s">
        <v>131</v>
      </c>
      <c r="H26" s="52"/>
      <c r="I26" s="152">
        <f t="shared" ref="I26:BA26" si="5">IF(AND($H$19&gt;0,I5=$H$18),$H$19,IF(AND($H$19&gt;0,I5=$H$18+$H$20),1-$H$19,0))</f>
        <v>0</v>
      </c>
      <c r="J26" s="152">
        <f t="shared" si="5"/>
        <v>0</v>
      </c>
      <c r="K26" s="152">
        <f t="shared" si="5"/>
        <v>0</v>
      </c>
      <c r="L26" s="152">
        <f t="shared" si="5"/>
        <v>0</v>
      </c>
      <c r="M26" s="152">
        <f t="shared" si="5"/>
        <v>0</v>
      </c>
      <c r="N26" s="152">
        <f t="shared" si="5"/>
        <v>0</v>
      </c>
      <c r="O26" s="152">
        <f t="shared" si="5"/>
        <v>0</v>
      </c>
      <c r="P26" s="152">
        <f t="shared" si="5"/>
        <v>0</v>
      </c>
      <c r="Q26" s="152">
        <f t="shared" si="5"/>
        <v>0</v>
      </c>
      <c r="R26" s="152">
        <f t="shared" si="5"/>
        <v>0</v>
      </c>
      <c r="S26" s="152">
        <f t="shared" si="5"/>
        <v>0</v>
      </c>
      <c r="T26" s="152">
        <f t="shared" si="5"/>
        <v>0</v>
      </c>
      <c r="U26" s="152">
        <f t="shared" si="5"/>
        <v>0</v>
      </c>
      <c r="V26" s="152">
        <f t="shared" si="5"/>
        <v>0</v>
      </c>
      <c r="W26" s="152">
        <f t="shared" si="5"/>
        <v>0</v>
      </c>
      <c r="X26" s="152">
        <f t="shared" si="5"/>
        <v>0</v>
      </c>
      <c r="Y26" s="152">
        <f t="shared" si="5"/>
        <v>0</v>
      </c>
      <c r="Z26" s="152">
        <f t="shared" si="5"/>
        <v>0</v>
      </c>
      <c r="AA26" s="152">
        <f t="shared" si="5"/>
        <v>0</v>
      </c>
      <c r="AB26" s="152">
        <f t="shared" si="5"/>
        <v>0</v>
      </c>
      <c r="AC26" s="152">
        <f t="shared" si="5"/>
        <v>0</v>
      </c>
      <c r="AD26" s="152">
        <f t="shared" si="5"/>
        <v>0</v>
      </c>
      <c r="AE26" s="152">
        <f t="shared" si="5"/>
        <v>0</v>
      </c>
      <c r="AF26" s="152">
        <f t="shared" si="5"/>
        <v>0</v>
      </c>
      <c r="AG26" s="152">
        <f t="shared" si="5"/>
        <v>0</v>
      </c>
      <c r="AH26" s="152">
        <f t="shared" si="5"/>
        <v>0</v>
      </c>
      <c r="AI26" s="152">
        <f t="shared" si="5"/>
        <v>0</v>
      </c>
      <c r="AJ26" s="152">
        <f t="shared" si="5"/>
        <v>0</v>
      </c>
      <c r="AK26" s="152">
        <f t="shared" si="5"/>
        <v>0</v>
      </c>
      <c r="AL26" s="152">
        <f t="shared" si="5"/>
        <v>0</v>
      </c>
      <c r="AM26" s="152">
        <f t="shared" si="5"/>
        <v>0</v>
      </c>
      <c r="AN26" s="152">
        <f t="shared" si="5"/>
        <v>0</v>
      </c>
      <c r="AO26" s="152">
        <f t="shared" si="5"/>
        <v>0</v>
      </c>
      <c r="AP26" s="152">
        <f t="shared" si="5"/>
        <v>0</v>
      </c>
      <c r="AQ26" s="152">
        <f t="shared" si="5"/>
        <v>0</v>
      </c>
      <c r="AR26" s="152">
        <f t="shared" si="5"/>
        <v>0</v>
      </c>
      <c r="AS26" s="152">
        <f t="shared" si="5"/>
        <v>0</v>
      </c>
      <c r="AT26" s="152">
        <f t="shared" si="5"/>
        <v>0</v>
      </c>
      <c r="AU26" s="152">
        <f t="shared" si="5"/>
        <v>0</v>
      </c>
      <c r="AV26" s="152">
        <f t="shared" si="5"/>
        <v>0</v>
      </c>
      <c r="AW26" s="152">
        <f t="shared" si="5"/>
        <v>0</v>
      </c>
      <c r="AX26" s="152">
        <f t="shared" si="5"/>
        <v>0</v>
      </c>
      <c r="AY26" s="152">
        <f t="shared" si="5"/>
        <v>0</v>
      </c>
      <c r="AZ26" s="152">
        <f t="shared" si="5"/>
        <v>0</v>
      </c>
      <c r="BA26" s="152">
        <f t="shared" si="5"/>
        <v>0</v>
      </c>
    </row>
    <row r="27" spans="5:53" x14ac:dyDescent="0.35">
      <c r="E27" s="51" t="s">
        <v>943</v>
      </c>
      <c r="G27" s="51" t="s">
        <v>131</v>
      </c>
      <c r="H27" s="52">
        <f>SUM(I27:BA27)</f>
        <v>20</v>
      </c>
      <c r="I27" s="152">
        <f t="shared" ref="I27:BA27" si="6">IF(I26&gt;0,I26,IF(AND(I$5&gt;=$H$18,I$5&lt;=$H$21),1,0))</f>
        <v>0</v>
      </c>
      <c r="J27" s="152">
        <f t="shared" si="6"/>
        <v>0</v>
      </c>
      <c r="K27" s="152">
        <f t="shared" si="6"/>
        <v>0</v>
      </c>
      <c r="L27" s="152">
        <f t="shared" si="6"/>
        <v>0</v>
      </c>
      <c r="M27" s="152">
        <f t="shared" si="6"/>
        <v>0</v>
      </c>
      <c r="N27" s="152">
        <f t="shared" si="6"/>
        <v>0</v>
      </c>
      <c r="O27" s="152">
        <f t="shared" si="6"/>
        <v>1</v>
      </c>
      <c r="P27" s="152">
        <f t="shared" si="6"/>
        <v>1</v>
      </c>
      <c r="Q27" s="152">
        <f t="shared" si="6"/>
        <v>1</v>
      </c>
      <c r="R27" s="152">
        <f t="shared" si="6"/>
        <v>1</v>
      </c>
      <c r="S27" s="152">
        <f t="shared" si="6"/>
        <v>1</v>
      </c>
      <c r="T27" s="152">
        <f t="shared" si="6"/>
        <v>1</v>
      </c>
      <c r="U27" s="152">
        <f t="shared" si="6"/>
        <v>1</v>
      </c>
      <c r="V27" s="152">
        <f t="shared" si="6"/>
        <v>1</v>
      </c>
      <c r="W27" s="152">
        <f t="shared" si="6"/>
        <v>1</v>
      </c>
      <c r="X27" s="152">
        <f t="shared" si="6"/>
        <v>1</v>
      </c>
      <c r="Y27" s="152">
        <f t="shared" si="6"/>
        <v>1</v>
      </c>
      <c r="Z27" s="152">
        <f t="shared" si="6"/>
        <v>1</v>
      </c>
      <c r="AA27" s="152">
        <f t="shared" si="6"/>
        <v>1</v>
      </c>
      <c r="AB27" s="152">
        <f t="shared" si="6"/>
        <v>1</v>
      </c>
      <c r="AC27" s="152">
        <f t="shared" si="6"/>
        <v>1</v>
      </c>
      <c r="AD27" s="152">
        <f t="shared" si="6"/>
        <v>1</v>
      </c>
      <c r="AE27" s="152">
        <f t="shared" si="6"/>
        <v>1</v>
      </c>
      <c r="AF27" s="152">
        <f t="shared" si="6"/>
        <v>1</v>
      </c>
      <c r="AG27" s="152">
        <f t="shared" si="6"/>
        <v>1</v>
      </c>
      <c r="AH27" s="152">
        <f t="shared" si="6"/>
        <v>1</v>
      </c>
      <c r="AI27" s="152">
        <f t="shared" si="6"/>
        <v>0</v>
      </c>
      <c r="AJ27" s="152">
        <f t="shared" si="6"/>
        <v>0</v>
      </c>
      <c r="AK27" s="152">
        <f t="shared" si="6"/>
        <v>0</v>
      </c>
      <c r="AL27" s="152">
        <f t="shared" si="6"/>
        <v>0</v>
      </c>
      <c r="AM27" s="152">
        <f t="shared" si="6"/>
        <v>0</v>
      </c>
      <c r="AN27" s="152">
        <f t="shared" si="6"/>
        <v>0</v>
      </c>
      <c r="AO27" s="152">
        <f t="shared" si="6"/>
        <v>0</v>
      </c>
      <c r="AP27" s="152">
        <f t="shared" si="6"/>
        <v>0</v>
      </c>
      <c r="AQ27" s="152">
        <f t="shared" si="6"/>
        <v>0</v>
      </c>
      <c r="AR27" s="152">
        <f t="shared" si="6"/>
        <v>0</v>
      </c>
      <c r="AS27" s="152">
        <f t="shared" si="6"/>
        <v>0</v>
      </c>
      <c r="AT27" s="152">
        <f t="shared" si="6"/>
        <v>0</v>
      </c>
      <c r="AU27" s="152">
        <f t="shared" si="6"/>
        <v>0</v>
      </c>
      <c r="AV27" s="152">
        <f t="shared" si="6"/>
        <v>0</v>
      </c>
      <c r="AW27" s="152">
        <f t="shared" si="6"/>
        <v>0</v>
      </c>
      <c r="AX27" s="152">
        <f t="shared" si="6"/>
        <v>0</v>
      </c>
      <c r="AY27" s="152">
        <f t="shared" si="6"/>
        <v>0</v>
      </c>
      <c r="AZ27" s="152">
        <f t="shared" si="6"/>
        <v>0</v>
      </c>
      <c r="BA27" s="152">
        <f t="shared" si="6"/>
        <v>0</v>
      </c>
    </row>
    <row r="28" spans="5:53" x14ac:dyDescent="0.35"/>
    <row r="29" spans="5:53" x14ac:dyDescent="0.35"/>
    <row r="30" spans="5:53" x14ac:dyDescent="0.35"/>
    <row r="31" spans="5:53" x14ac:dyDescent="0.35"/>
    <row r="32" spans="5:53" x14ac:dyDescent="0.35"/>
    <row r="33" x14ac:dyDescent="0.35"/>
  </sheetData>
  <pageMargins left="0.7" right="0.7" top="0.75" bottom="0.75" header="0.3" footer="0.3"/>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BB39"/>
  <sheetViews>
    <sheetView zoomScale="90" zoomScaleNormal="90" workbookViewId="0">
      <pane xSplit="8" ySplit="7" topLeftCell="I8" activePane="bottomRight" state="frozen"/>
      <selection pane="topRight" activeCell="I5" sqref="I5"/>
      <selection pane="bottomLeft" activeCell="I5" sqref="I5"/>
      <selection pane="bottomRight" activeCell="F25" sqref="F25"/>
    </sheetView>
  </sheetViews>
  <sheetFormatPr defaultColWidth="0" defaultRowHeight="14.5" zeroHeight="1" x14ac:dyDescent="0.35"/>
  <cols>
    <col min="1" max="4" width="1.453125" style="4" customWidth="1"/>
    <col min="5" max="5" width="62.1796875" style="4" customWidth="1"/>
    <col min="6" max="7" width="12.453125" style="4" customWidth="1"/>
    <col min="8" max="8" width="2.81640625" style="4" customWidth="1"/>
    <col min="9" max="53" width="12.453125" style="4" customWidth="1"/>
    <col min="54" max="54" width="9.1796875" style="4" customWidth="1"/>
    <col min="55" max="16384" width="9.1796875" hidden="1"/>
  </cols>
  <sheetData>
    <row r="1" spans="1:54" ht="15.5" x14ac:dyDescent="0.35">
      <c r="A1" s="380" t="s">
        <v>933</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2"/>
    </row>
    <row r="2" spans="1:54" ht="5.25" customHeight="1" x14ac:dyDescent="0.35">
      <c r="A2" s="1"/>
    </row>
    <row r="3" spans="1:54" x14ac:dyDescent="0.35">
      <c r="A3" s="1"/>
      <c r="E3" s="180" t="s">
        <v>944</v>
      </c>
    </row>
    <row r="4" spans="1:54" x14ac:dyDescent="0.35">
      <c r="A4" s="1"/>
      <c r="E4" s="178" t="str">
        <f>'Guide for Reviewers'!B3</f>
        <v>I-35 McClain County</v>
      </c>
    </row>
    <row r="5" spans="1:54" x14ac:dyDescent="0.35">
      <c r="D5" s="38"/>
      <c r="E5" s="178" t="str">
        <f>'Guide for Reviewers'!B4</f>
        <v>Oklahoma Department of Transportation</v>
      </c>
      <c r="F5" s="39"/>
      <c r="G5" s="39" t="s">
        <v>575</v>
      </c>
      <c r="H5" s="39"/>
      <c r="I5" s="555">
        <f>StockValueC!$H$12</f>
        <v>2023</v>
      </c>
      <c r="J5" s="1">
        <f>I5+1</f>
        <v>2024</v>
      </c>
      <c r="K5" s="1">
        <f t="shared" ref="K5:BA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f t="shared" si="0"/>
        <v>2066</v>
      </c>
      <c r="BA5" s="1">
        <f t="shared" si="0"/>
        <v>2067</v>
      </c>
    </row>
    <row r="6" spans="1:54" x14ac:dyDescent="0.35">
      <c r="A6" s="39"/>
      <c r="B6" s="41"/>
      <c r="C6" s="41"/>
      <c r="D6" s="41"/>
      <c r="E6" s="39" t="s">
        <v>92</v>
      </c>
      <c r="F6" s="39" t="s">
        <v>82</v>
      </c>
      <c r="G6" s="39" t="s">
        <v>93</v>
      </c>
      <c r="H6" s="39"/>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row>
    <row r="7" spans="1:54" ht="5.25" customHeight="1" x14ac:dyDescent="0.35">
      <c r="A7" s="39"/>
      <c r="B7" s="41"/>
      <c r="C7" s="41"/>
      <c r="D7" s="41"/>
      <c r="E7" s="39"/>
      <c r="F7" s="39"/>
      <c r="G7" s="39"/>
      <c r="H7" s="39"/>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row>
    <row r="8" spans="1:54" x14ac:dyDescent="0.35">
      <c r="A8" s="1" t="s">
        <v>117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row>
    <row r="9" spans="1:54" ht="5.25" customHeight="1" x14ac:dyDescent="0.35">
      <c r="A9" s="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row>
    <row r="10" spans="1:54" ht="15" customHeight="1" x14ac:dyDescent="0.35">
      <c r="A10" s="39"/>
      <c r="B10" s="41"/>
      <c r="C10" s="41"/>
      <c r="D10" s="41"/>
      <c r="E10" s="71" t="str">
        <f>StockValueC!$E$13</f>
        <v>Base Year (for valuation 2020 = 2020$s)</v>
      </c>
      <c r="F10" s="72">
        <f>StockValueC!$H$13</f>
        <v>2024</v>
      </c>
      <c r="G10" s="71" t="str">
        <f>StockValueC!$G$13</f>
        <v>year</v>
      </c>
      <c r="H10" s="7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row>
    <row r="11" spans="1:54" x14ac:dyDescent="0.35">
      <c r="E11" s="73" t="str">
        <f>'Project InputsC'!E10</f>
        <v>Discount Rate</v>
      </c>
      <c r="F11" s="74">
        <f>'Project InputsC'!H10</f>
        <v>7.0000000000000007E-2</v>
      </c>
      <c r="G11" s="73" t="str">
        <f>'Project InputsC'!G10</f>
        <v>percent</v>
      </c>
      <c r="H11" s="73"/>
    </row>
    <row r="12" spans="1:54" ht="5.25" customHeight="1" x14ac:dyDescent="0.35">
      <c r="A12" s="39"/>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row>
    <row r="13" spans="1:54" x14ac:dyDescent="0.35">
      <c r="A13" s="1" t="s">
        <v>945</v>
      </c>
      <c r="C13" s="1"/>
      <c r="E13" s="75" t="str">
        <f>'Project InputsC'!H29</f>
        <v>I-35 Segment</v>
      </c>
      <c r="F13" s="76"/>
    </row>
    <row r="14" spans="1:54" ht="5.25" customHeight="1" x14ac:dyDescent="0.35">
      <c r="A14" s="1"/>
      <c r="C14" s="1"/>
      <c r="F14" s="76"/>
    </row>
    <row r="15" spans="1:54" x14ac:dyDescent="0.35">
      <c r="E15" s="77" t="str">
        <f>'Project InputsC'!E30</f>
        <v>Expected Lifespan of Asset</v>
      </c>
      <c r="F15" s="77">
        <f>'Project InputsC'!H30</f>
        <v>30</v>
      </c>
      <c r="G15" s="77" t="str">
        <f>'Project InputsC'!G30</f>
        <v>years</v>
      </c>
      <c r="H15" s="77"/>
    </row>
    <row r="16" spans="1:54" x14ac:dyDescent="0.35">
      <c r="E16" s="77" t="str">
        <f>'Project InputsC'!E31</f>
        <v>Last purchase year</v>
      </c>
      <c r="F16" s="141">
        <f>'Project InputsC'!H31</f>
        <v>2028</v>
      </c>
      <c r="G16" s="77" t="str">
        <f>'Project InputsC'!G31</f>
        <v>year</v>
      </c>
      <c r="H16" s="77"/>
    </row>
    <row r="17" spans="1:54" x14ac:dyDescent="0.35">
      <c r="E17" s="77" t="str">
        <f>'Project InputsC'!E32</f>
        <v>Analysis End Year</v>
      </c>
      <c r="F17" s="141">
        <f>'Project InputsC'!H32</f>
        <v>2048</v>
      </c>
      <c r="G17" s="77" t="str">
        <f>'Project InputsC'!G32</f>
        <v>year</v>
      </c>
      <c r="H17" s="77"/>
    </row>
    <row r="18" spans="1:54" x14ac:dyDescent="0.35">
      <c r="E18" s="77" t="str">
        <f>'Project InputsC'!E33</f>
        <v>Item Capital Cost</v>
      </c>
      <c r="F18" s="77">
        <f>'Project InputsC'!H33</f>
        <v>35435534.028407812</v>
      </c>
      <c r="G18" s="77" t="str">
        <f>'Project InputsC'!G33</f>
        <v>$2024</v>
      </c>
      <c r="H18" s="77"/>
    </row>
    <row r="19" spans="1:54" ht="5.25" customHeight="1" x14ac:dyDescent="0.35">
      <c r="E19" s="78"/>
      <c r="F19" s="78"/>
      <c r="G19" s="78"/>
      <c r="H19" s="78"/>
    </row>
    <row r="20" spans="1:54" x14ac:dyDescent="0.35">
      <c r="E20" s="78" t="s">
        <v>946</v>
      </c>
      <c r="F20" s="78">
        <f>F17-F16</f>
        <v>20</v>
      </c>
      <c r="G20" s="78" t="s">
        <v>95</v>
      </c>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row>
    <row r="21" spans="1:54" ht="5.25" customHeight="1" x14ac:dyDescent="0.35">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row>
    <row r="22" spans="1:54" x14ac:dyDescent="0.35">
      <c r="E22" s="78" t="s">
        <v>947</v>
      </c>
      <c r="F22" s="78">
        <f>IF(F15=0,0,F18/F15)</f>
        <v>1181184.4676135937</v>
      </c>
      <c r="G22" s="78" t="str">
        <f>$F$10&amp;"$  / year"</f>
        <v>2024$  / year</v>
      </c>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row>
    <row r="23" spans="1:54" x14ac:dyDescent="0.35">
      <c r="E23" s="78" t="s">
        <v>948</v>
      </c>
      <c r="F23" s="78">
        <f>F22*F20</f>
        <v>23623689.352271874</v>
      </c>
      <c r="G23" s="78" t="str">
        <f>$F$10&amp;"$"</f>
        <v>2024$</v>
      </c>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row>
    <row r="24" spans="1:54" ht="6.75" customHeight="1" x14ac:dyDescent="0.35">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row>
    <row r="25" spans="1:54" x14ac:dyDescent="0.35">
      <c r="E25" s="78" t="s">
        <v>949</v>
      </c>
      <c r="F25" s="78">
        <f>F18-F23</f>
        <v>11811844.676135939</v>
      </c>
      <c r="G25" s="78" t="str">
        <f>$F$10&amp;"$"</f>
        <v>2024$</v>
      </c>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row>
    <row r="26" spans="1:54" x14ac:dyDescent="0.35">
      <c r="E26" s="78" t="s">
        <v>950</v>
      </c>
      <c r="F26" s="78">
        <f>SUM(I26:BA26)</f>
        <v>1</v>
      </c>
      <c r="G26" s="78" t="s">
        <v>951</v>
      </c>
      <c r="H26" s="78"/>
      <c r="I26" s="78">
        <f t="shared" ref="I26:AZ26" si="1">IF(I$5=$F17,1,0)</f>
        <v>0</v>
      </c>
      <c r="J26" s="78">
        <f t="shared" si="1"/>
        <v>0</v>
      </c>
      <c r="K26" s="78">
        <f t="shared" si="1"/>
        <v>0</v>
      </c>
      <c r="L26" s="78">
        <f t="shared" si="1"/>
        <v>0</v>
      </c>
      <c r="M26" s="78">
        <f t="shared" si="1"/>
        <v>0</v>
      </c>
      <c r="N26" s="78">
        <f t="shared" si="1"/>
        <v>0</v>
      </c>
      <c r="O26" s="78">
        <f t="shared" si="1"/>
        <v>0</v>
      </c>
      <c r="P26" s="78">
        <f t="shared" si="1"/>
        <v>0</v>
      </c>
      <c r="Q26" s="78">
        <f t="shared" si="1"/>
        <v>0</v>
      </c>
      <c r="R26" s="78">
        <f t="shared" si="1"/>
        <v>0</v>
      </c>
      <c r="S26" s="78">
        <f t="shared" si="1"/>
        <v>0</v>
      </c>
      <c r="T26" s="78">
        <f t="shared" si="1"/>
        <v>0</v>
      </c>
      <c r="U26" s="78">
        <f t="shared" si="1"/>
        <v>0</v>
      </c>
      <c r="V26" s="78">
        <f t="shared" si="1"/>
        <v>0</v>
      </c>
      <c r="W26" s="78">
        <f t="shared" si="1"/>
        <v>0</v>
      </c>
      <c r="X26" s="78">
        <f t="shared" si="1"/>
        <v>0</v>
      </c>
      <c r="Y26" s="78">
        <f t="shared" si="1"/>
        <v>0</v>
      </c>
      <c r="Z26" s="78">
        <f t="shared" si="1"/>
        <v>0</v>
      </c>
      <c r="AA26" s="78">
        <f t="shared" si="1"/>
        <v>0</v>
      </c>
      <c r="AB26" s="78">
        <f t="shared" si="1"/>
        <v>0</v>
      </c>
      <c r="AC26" s="78">
        <f t="shared" si="1"/>
        <v>0</v>
      </c>
      <c r="AD26" s="78">
        <f t="shared" si="1"/>
        <v>0</v>
      </c>
      <c r="AE26" s="78">
        <f t="shared" si="1"/>
        <v>0</v>
      </c>
      <c r="AF26" s="78">
        <f t="shared" si="1"/>
        <v>0</v>
      </c>
      <c r="AG26" s="78">
        <f t="shared" si="1"/>
        <v>0</v>
      </c>
      <c r="AH26" s="78">
        <f t="shared" si="1"/>
        <v>1</v>
      </c>
      <c r="AI26" s="78">
        <f t="shared" si="1"/>
        <v>0</v>
      </c>
      <c r="AJ26" s="78">
        <f t="shared" si="1"/>
        <v>0</v>
      </c>
      <c r="AK26" s="78">
        <f t="shared" si="1"/>
        <v>0</v>
      </c>
      <c r="AL26" s="78">
        <f t="shared" si="1"/>
        <v>0</v>
      </c>
      <c r="AM26" s="78">
        <f t="shared" si="1"/>
        <v>0</v>
      </c>
      <c r="AN26" s="78">
        <f t="shared" si="1"/>
        <v>0</v>
      </c>
      <c r="AO26" s="78">
        <f t="shared" si="1"/>
        <v>0</v>
      </c>
      <c r="AP26" s="78">
        <f t="shared" si="1"/>
        <v>0</v>
      </c>
      <c r="AQ26" s="78">
        <f t="shared" si="1"/>
        <v>0</v>
      </c>
      <c r="AR26" s="78">
        <f t="shared" si="1"/>
        <v>0</v>
      </c>
      <c r="AS26" s="78">
        <f t="shared" si="1"/>
        <v>0</v>
      </c>
      <c r="AT26" s="78">
        <f t="shared" si="1"/>
        <v>0</v>
      </c>
      <c r="AU26" s="78">
        <f t="shared" si="1"/>
        <v>0</v>
      </c>
      <c r="AV26" s="78">
        <f t="shared" si="1"/>
        <v>0</v>
      </c>
      <c r="AW26" s="78">
        <f t="shared" si="1"/>
        <v>0</v>
      </c>
      <c r="AX26" s="78">
        <f t="shared" si="1"/>
        <v>0</v>
      </c>
      <c r="AY26" s="78">
        <f t="shared" si="1"/>
        <v>0</v>
      </c>
      <c r="AZ26" s="78">
        <f t="shared" si="1"/>
        <v>0</v>
      </c>
      <c r="BA26" s="78">
        <f>IF(BA$5=$F17,1,0)</f>
        <v>0</v>
      </c>
    </row>
    <row r="27" spans="1:54" x14ac:dyDescent="0.35">
      <c r="A27" s="26"/>
      <c r="B27" s="26"/>
      <c r="C27" s="26"/>
      <c r="D27" s="26"/>
      <c r="E27" s="78" t="str">
        <f>E13&amp;" Remaining Capital Value In Final Year, PV Not Discounted"</f>
        <v>I-35 Segment Remaining Capital Value In Final Year, PV Not Discounted</v>
      </c>
      <c r="F27" s="78">
        <f xml:space="preserve"> SUM( I27:AZ27 )</f>
        <v>11811844.676135939</v>
      </c>
      <c r="G27" s="78" t="str">
        <f>$F$10&amp;"$"</f>
        <v>2024$</v>
      </c>
      <c r="H27" s="78"/>
      <c r="I27" s="78">
        <f>$F25*I26</f>
        <v>0</v>
      </c>
      <c r="J27" s="78">
        <f t="shared" ref="J27:AZ27" si="2">$F25*J26</f>
        <v>0</v>
      </c>
      <c r="K27" s="78">
        <f t="shared" si="2"/>
        <v>0</v>
      </c>
      <c r="L27" s="78">
        <f t="shared" si="2"/>
        <v>0</v>
      </c>
      <c r="M27" s="78">
        <f t="shared" si="2"/>
        <v>0</v>
      </c>
      <c r="N27" s="78">
        <f t="shared" si="2"/>
        <v>0</v>
      </c>
      <c r="O27" s="78">
        <f t="shared" si="2"/>
        <v>0</v>
      </c>
      <c r="P27" s="78">
        <f t="shared" si="2"/>
        <v>0</v>
      </c>
      <c r="Q27" s="78">
        <f t="shared" si="2"/>
        <v>0</v>
      </c>
      <c r="R27" s="78">
        <f t="shared" si="2"/>
        <v>0</v>
      </c>
      <c r="S27" s="78">
        <f t="shared" si="2"/>
        <v>0</v>
      </c>
      <c r="T27" s="78">
        <f t="shared" si="2"/>
        <v>0</v>
      </c>
      <c r="U27" s="78">
        <f t="shared" si="2"/>
        <v>0</v>
      </c>
      <c r="V27" s="78">
        <f t="shared" si="2"/>
        <v>0</v>
      </c>
      <c r="W27" s="78">
        <f t="shared" si="2"/>
        <v>0</v>
      </c>
      <c r="X27" s="78">
        <f t="shared" si="2"/>
        <v>0</v>
      </c>
      <c r="Y27" s="78">
        <f t="shared" si="2"/>
        <v>0</v>
      </c>
      <c r="Z27" s="78">
        <f t="shared" si="2"/>
        <v>0</v>
      </c>
      <c r="AA27" s="78">
        <f t="shared" si="2"/>
        <v>0</v>
      </c>
      <c r="AB27" s="78">
        <f t="shared" si="2"/>
        <v>0</v>
      </c>
      <c r="AC27" s="78">
        <f t="shared" si="2"/>
        <v>0</v>
      </c>
      <c r="AD27" s="78">
        <f t="shared" si="2"/>
        <v>0</v>
      </c>
      <c r="AE27" s="78">
        <f t="shared" si="2"/>
        <v>0</v>
      </c>
      <c r="AF27" s="78">
        <f t="shared" si="2"/>
        <v>0</v>
      </c>
      <c r="AG27" s="78">
        <f t="shared" si="2"/>
        <v>0</v>
      </c>
      <c r="AH27" s="78">
        <f t="shared" si="2"/>
        <v>11811844.676135939</v>
      </c>
      <c r="AI27" s="78">
        <f t="shared" si="2"/>
        <v>0</v>
      </c>
      <c r="AJ27" s="78">
        <f t="shared" si="2"/>
        <v>0</v>
      </c>
      <c r="AK27" s="78">
        <f t="shared" si="2"/>
        <v>0</v>
      </c>
      <c r="AL27" s="78">
        <f t="shared" si="2"/>
        <v>0</v>
      </c>
      <c r="AM27" s="78">
        <f t="shared" si="2"/>
        <v>0</v>
      </c>
      <c r="AN27" s="78">
        <f t="shared" si="2"/>
        <v>0</v>
      </c>
      <c r="AO27" s="78">
        <f t="shared" si="2"/>
        <v>0</v>
      </c>
      <c r="AP27" s="78">
        <f t="shared" si="2"/>
        <v>0</v>
      </c>
      <c r="AQ27" s="78">
        <f t="shared" si="2"/>
        <v>0</v>
      </c>
      <c r="AR27" s="78">
        <f t="shared" si="2"/>
        <v>0</v>
      </c>
      <c r="AS27" s="78">
        <f t="shared" si="2"/>
        <v>0</v>
      </c>
      <c r="AT27" s="78">
        <f t="shared" si="2"/>
        <v>0</v>
      </c>
      <c r="AU27" s="78">
        <f t="shared" si="2"/>
        <v>0</v>
      </c>
      <c r="AV27" s="78">
        <f t="shared" si="2"/>
        <v>0</v>
      </c>
      <c r="AW27" s="78">
        <f t="shared" si="2"/>
        <v>0</v>
      </c>
      <c r="AX27" s="78">
        <f t="shared" si="2"/>
        <v>0</v>
      </c>
      <c r="AY27" s="78">
        <f t="shared" si="2"/>
        <v>0</v>
      </c>
      <c r="AZ27" s="78">
        <f t="shared" si="2"/>
        <v>0</v>
      </c>
      <c r="BA27" s="78">
        <f>$F25*BA26</f>
        <v>0</v>
      </c>
      <c r="BB27" s="26"/>
    </row>
    <row r="28" spans="1:54" ht="5.25" customHeight="1" x14ac:dyDescent="0.35">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row>
    <row r="29" spans="1:54" x14ac:dyDescent="0.35">
      <c r="E29" s="78" t="s">
        <v>917</v>
      </c>
      <c r="F29" s="79">
        <f>SUM(I29:BB29)</f>
        <v>0.19714661994879637</v>
      </c>
      <c r="G29" s="78" t="s">
        <v>245</v>
      </c>
      <c r="H29" s="78"/>
      <c r="I29" s="142">
        <f>'Discount Calc'!I$13*I26</f>
        <v>0</v>
      </c>
      <c r="J29" s="142">
        <f>'Discount Calc'!J$13*J26</f>
        <v>0</v>
      </c>
      <c r="K29" s="142">
        <f>'Discount Calc'!K$13*K26</f>
        <v>0</v>
      </c>
      <c r="L29" s="142">
        <f>'Discount Calc'!L$13*L26</f>
        <v>0</v>
      </c>
      <c r="M29" s="142">
        <f>'Discount Calc'!M$13*M26</f>
        <v>0</v>
      </c>
      <c r="N29" s="142">
        <f>'Discount Calc'!N$13*N26</f>
        <v>0</v>
      </c>
      <c r="O29" s="142">
        <f>'Discount Calc'!O$13*O26</f>
        <v>0</v>
      </c>
      <c r="P29" s="142">
        <f>'Discount Calc'!P$13*P26</f>
        <v>0</v>
      </c>
      <c r="Q29" s="142">
        <f>'Discount Calc'!Q$13*Q26</f>
        <v>0</v>
      </c>
      <c r="R29" s="142">
        <f>'Discount Calc'!R$13*R26</f>
        <v>0</v>
      </c>
      <c r="S29" s="142">
        <f>'Discount Calc'!S$13*S26</f>
        <v>0</v>
      </c>
      <c r="T29" s="142">
        <f>'Discount Calc'!T$13*T26</f>
        <v>0</v>
      </c>
      <c r="U29" s="142">
        <f>'Discount Calc'!U$13*U26</f>
        <v>0</v>
      </c>
      <c r="V29" s="142">
        <f>'Discount Calc'!V$13*V26</f>
        <v>0</v>
      </c>
      <c r="W29" s="142">
        <f>'Discount Calc'!W$13*W26</f>
        <v>0</v>
      </c>
      <c r="X29" s="142">
        <f>'Discount Calc'!X$13*X26</f>
        <v>0</v>
      </c>
      <c r="Y29" s="142">
        <f>'Discount Calc'!Y$13*Y26</f>
        <v>0</v>
      </c>
      <c r="Z29" s="142">
        <f>'Discount Calc'!Z$13*Z26</f>
        <v>0</v>
      </c>
      <c r="AA29" s="142">
        <f>'Discount Calc'!AA$13*AA26</f>
        <v>0</v>
      </c>
      <c r="AB29" s="142">
        <f>'Discount Calc'!AB$13*AB26</f>
        <v>0</v>
      </c>
      <c r="AC29" s="142">
        <f>'Discount Calc'!AC$13*AC26</f>
        <v>0</v>
      </c>
      <c r="AD29" s="142">
        <f>'Discount Calc'!AD$13*AD26</f>
        <v>0</v>
      </c>
      <c r="AE29" s="142">
        <f>'Discount Calc'!AE$13*AE26</f>
        <v>0</v>
      </c>
      <c r="AF29" s="142">
        <f>'Discount Calc'!AF$13*AF26</f>
        <v>0</v>
      </c>
      <c r="AG29" s="142">
        <f>'Discount Calc'!AG$13*AG26</f>
        <v>0</v>
      </c>
      <c r="AH29" s="142">
        <f>'Discount Calc'!AH$13*AH26</f>
        <v>0.19714661994879637</v>
      </c>
      <c r="AI29" s="142">
        <f>'Discount Calc'!AI$13*AI26</f>
        <v>0</v>
      </c>
      <c r="AJ29" s="142">
        <f>'Discount Calc'!AJ$13*AJ26</f>
        <v>0</v>
      </c>
      <c r="AK29" s="142">
        <f>'Discount Calc'!AK$13*AK26</f>
        <v>0</v>
      </c>
      <c r="AL29" s="142">
        <f>'Discount Calc'!AL$13*AL26</f>
        <v>0</v>
      </c>
      <c r="AM29" s="142">
        <f>'Discount Calc'!AM$13*AM26</f>
        <v>0</v>
      </c>
      <c r="AN29" s="142">
        <f>'Discount Calc'!AN$13*AN26</f>
        <v>0</v>
      </c>
      <c r="AO29" s="142">
        <f>'Discount Calc'!AO$13*AO26</f>
        <v>0</v>
      </c>
      <c r="AP29" s="142">
        <f>'Discount Calc'!AP$13*AP26</f>
        <v>0</v>
      </c>
      <c r="AQ29" s="142">
        <f>'Discount Calc'!AQ$13*AQ26</f>
        <v>0</v>
      </c>
      <c r="AR29" s="142">
        <f>'Discount Calc'!AR$13*AR26</f>
        <v>0</v>
      </c>
      <c r="AS29" s="142">
        <f>'Discount Calc'!AS$13*AS26</f>
        <v>0</v>
      </c>
      <c r="AT29" s="142">
        <f>'Discount Calc'!AT$13*AT26</f>
        <v>0</v>
      </c>
      <c r="AU29" s="142">
        <f>'Discount Calc'!AU$13*AU26</f>
        <v>0</v>
      </c>
      <c r="AV29" s="142">
        <f>'Discount Calc'!AV$13*AV26</f>
        <v>0</v>
      </c>
      <c r="AW29" s="142">
        <f>'Discount Calc'!AW$13*AW26</f>
        <v>0</v>
      </c>
      <c r="AX29" s="142">
        <f>'Discount Calc'!AX$13*AX26</f>
        <v>0</v>
      </c>
      <c r="AY29" s="142">
        <f>'Discount Calc'!AY$13*AY26</f>
        <v>0</v>
      </c>
      <c r="AZ29" s="142">
        <f>'Discount Calc'!AZ$13*AZ26</f>
        <v>0</v>
      </c>
      <c r="BA29" s="142">
        <f>'Discount Calc'!BA$13*BA26</f>
        <v>0</v>
      </c>
      <c r="BB29" s="142">
        <f>'Discount Calc'!BB$13*BB26</f>
        <v>0</v>
      </c>
    </row>
    <row r="30" spans="1:54" x14ac:dyDescent="0.35">
      <c r="E30" s="78" t="s">
        <v>952</v>
      </c>
      <c r="F30" s="78">
        <f>F25*F29</f>
        <v>2328665.2532603857</v>
      </c>
      <c r="G30" s="78" t="str">
        <f>$F$10&amp;"$ PV"</f>
        <v>2024$ PV</v>
      </c>
      <c r="H30" s="78"/>
    </row>
    <row r="32" spans="1:54" x14ac:dyDescent="0.35">
      <c r="A32" s="78"/>
      <c r="B32" s="78"/>
      <c r="C32" s="78"/>
      <c r="D32" s="78"/>
      <c r="E32" s="78" t="str">
        <f>E13&amp;" Remaining Capital Value In Final Year, PV Discounted"</f>
        <v>I-35 Segment Remaining Capital Value In Final Year, PV Discounted</v>
      </c>
      <c r="F32" s="78">
        <f xml:space="preserve"> SUM( I32:AZ32 )</f>
        <v>2328665.2532603857</v>
      </c>
      <c r="G32" s="78" t="str">
        <f>$F$10&amp;"$"</f>
        <v>2024$</v>
      </c>
      <c r="H32" s="78"/>
      <c r="I32" s="78">
        <f t="shared" ref="I32:BA32" si="3">$F30*I26</f>
        <v>0</v>
      </c>
      <c r="J32" s="78">
        <f t="shared" si="3"/>
        <v>0</v>
      </c>
      <c r="K32" s="78">
        <f t="shared" si="3"/>
        <v>0</v>
      </c>
      <c r="L32" s="78">
        <f t="shared" si="3"/>
        <v>0</v>
      </c>
      <c r="M32" s="78">
        <f t="shared" si="3"/>
        <v>0</v>
      </c>
      <c r="N32" s="78">
        <f t="shared" si="3"/>
        <v>0</v>
      </c>
      <c r="O32" s="78">
        <f t="shared" si="3"/>
        <v>0</v>
      </c>
      <c r="P32" s="78">
        <f t="shared" si="3"/>
        <v>0</v>
      </c>
      <c r="Q32" s="78">
        <f t="shared" si="3"/>
        <v>0</v>
      </c>
      <c r="R32" s="78">
        <f t="shared" si="3"/>
        <v>0</v>
      </c>
      <c r="S32" s="78">
        <f t="shared" si="3"/>
        <v>0</v>
      </c>
      <c r="T32" s="78">
        <f t="shared" si="3"/>
        <v>0</v>
      </c>
      <c r="U32" s="78">
        <f t="shared" si="3"/>
        <v>0</v>
      </c>
      <c r="V32" s="78">
        <f t="shared" si="3"/>
        <v>0</v>
      </c>
      <c r="W32" s="78">
        <f t="shared" si="3"/>
        <v>0</v>
      </c>
      <c r="X32" s="78">
        <f t="shared" si="3"/>
        <v>0</v>
      </c>
      <c r="Y32" s="78">
        <f t="shared" si="3"/>
        <v>0</v>
      </c>
      <c r="Z32" s="78">
        <f t="shared" si="3"/>
        <v>0</v>
      </c>
      <c r="AA32" s="78">
        <f t="shared" si="3"/>
        <v>0</v>
      </c>
      <c r="AB32" s="78">
        <f t="shared" si="3"/>
        <v>0</v>
      </c>
      <c r="AC32" s="78">
        <f t="shared" si="3"/>
        <v>0</v>
      </c>
      <c r="AD32" s="78">
        <f t="shared" si="3"/>
        <v>0</v>
      </c>
      <c r="AE32" s="78">
        <f t="shared" si="3"/>
        <v>0</v>
      </c>
      <c r="AF32" s="78">
        <f t="shared" si="3"/>
        <v>0</v>
      </c>
      <c r="AG32" s="78">
        <f t="shared" si="3"/>
        <v>0</v>
      </c>
      <c r="AH32" s="78">
        <f t="shared" si="3"/>
        <v>2328665.2532603857</v>
      </c>
      <c r="AI32" s="78">
        <f t="shared" si="3"/>
        <v>0</v>
      </c>
      <c r="AJ32" s="78">
        <f t="shared" si="3"/>
        <v>0</v>
      </c>
      <c r="AK32" s="78">
        <f t="shared" si="3"/>
        <v>0</v>
      </c>
      <c r="AL32" s="78">
        <f t="shared" si="3"/>
        <v>0</v>
      </c>
      <c r="AM32" s="78">
        <f t="shared" si="3"/>
        <v>0</v>
      </c>
      <c r="AN32" s="78">
        <f t="shared" si="3"/>
        <v>0</v>
      </c>
      <c r="AO32" s="78">
        <f t="shared" si="3"/>
        <v>0</v>
      </c>
      <c r="AP32" s="78">
        <f t="shared" si="3"/>
        <v>0</v>
      </c>
      <c r="AQ32" s="78">
        <f t="shared" si="3"/>
        <v>0</v>
      </c>
      <c r="AR32" s="78">
        <f t="shared" si="3"/>
        <v>0</v>
      </c>
      <c r="AS32" s="78">
        <f t="shared" si="3"/>
        <v>0</v>
      </c>
      <c r="AT32" s="78">
        <f t="shared" si="3"/>
        <v>0</v>
      </c>
      <c r="AU32" s="78">
        <f t="shared" si="3"/>
        <v>0</v>
      </c>
      <c r="AV32" s="78">
        <f t="shared" si="3"/>
        <v>0</v>
      </c>
      <c r="AW32" s="78">
        <f t="shared" si="3"/>
        <v>0</v>
      </c>
      <c r="AX32" s="78">
        <f t="shared" si="3"/>
        <v>0</v>
      </c>
      <c r="AY32" s="78">
        <f t="shared" si="3"/>
        <v>0</v>
      </c>
      <c r="AZ32" s="78">
        <f t="shared" si="3"/>
        <v>0</v>
      </c>
      <c r="BA32" s="78">
        <f t="shared" si="3"/>
        <v>0</v>
      </c>
      <c r="BB32" s="26"/>
    </row>
    <row r="33" spans="1:54" ht="5.25" customHeight="1" x14ac:dyDescent="0.35"/>
    <row r="34" spans="1:54" x14ac:dyDescent="0.35">
      <c r="A34" s="1" t="s">
        <v>953</v>
      </c>
    </row>
    <row r="35" spans="1:54" ht="5.25" customHeight="1" x14ac:dyDescent="0.35"/>
    <row r="36" spans="1:54" x14ac:dyDescent="0.35">
      <c r="E36" s="42" t="str">
        <f>E27</f>
        <v>I-35 Segment Remaining Capital Value In Final Year, PV Not Discounted</v>
      </c>
      <c r="F36" s="42">
        <f>F27</f>
        <v>11811844.676135939</v>
      </c>
      <c r="G36" s="42" t="str">
        <f>G27</f>
        <v>2024$</v>
      </c>
      <c r="H36" s="42"/>
      <c r="I36" s="42">
        <f t="shared" ref="I36:BA36" si="4">I27</f>
        <v>0</v>
      </c>
      <c r="J36" s="42">
        <f t="shared" si="4"/>
        <v>0</v>
      </c>
      <c r="K36" s="42">
        <f t="shared" si="4"/>
        <v>0</v>
      </c>
      <c r="L36" s="42">
        <f t="shared" si="4"/>
        <v>0</v>
      </c>
      <c r="M36" s="42">
        <f t="shared" si="4"/>
        <v>0</v>
      </c>
      <c r="N36" s="42">
        <f t="shared" si="4"/>
        <v>0</v>
      </c>
      <c r="O36" s="42">
        <f t="shared" si="4"/>
        <v>0</v>
      </c>
      <c r="P36" s="42">
        <f t="shared" si="4"/>
        <v>0</v>
      </c>
      <c r="Q36" s="42">
        <f t="shared" si="4"/>
        <v>0</v>
      </c>
      <c r="R36" s="42">
        <f t="shared" si="4"/>
        <v>0</v>
      </c>
      <c r="S36" s="42">
        <f t="shared" si="4"/>
        <v>0</v>
      </c>
      <c r="T36" s="42">
        <f t="shared" si="4"/>
        <v>0</v>
      </c>
      <c r="U36" s="42">
        <f t="shared" si="4"/>
        <v>0</v>
      </c>
      <c r="V36" s="42">
        <f t="shared" si="4"/>
        <v>0</v>
      </c>
      <c r="W36" s="42">
        <f t="shared" si="4"/>
        <v>0</v>
      </c>
      <c r="X36" s="42">
        <f t="shared" si="4"/>
        <v>0</v>
      </c>
      <c r="Y36" s="42">
        <f t="shared" si="4"/>
        <v>0</v>
      </c>
      <c r="Z36" s="42">
        <f t="shared" si="4"/>
        <v>0</v>
      </c>
      <c r="AA36" s="42">
        <f t="shared" si="4"/>
        <v>0</v>
      </c>
      <c r="AB36" s="42">
        <f t="shared" si="4"/>
        <v>0</v>
      </c>
      <c r="AC36" s="42">
        <f t="shared" si="4"/>
        <v>0</v>
      </c>
      <c r="AD36" s="42">
        <f t="shared" si="4"/>
        <v>0</v>
      </c>
      <c r="AE36" s="42">
        <f t="shared" si="4"/>
        <v>0</v>
      </c>
      <c r="AF36" s="42">
        <f t="shared" si="4"/>
        <v>0</v>
      </c>
      <c r="AG36" s="42">
        <f t="shared" si="4"/>
        <v>0</v>
      </c>
      <c r="AH36" s="42">
        <f t="shared" si="4"/>
        <v>11811844.676135939</v>
      </c>
      <c r="AI36" s="42">
        <f t="shared" si="4"/>
        <v>0</v>
      </c>
      <c r="AJ36" s="42">
        <f t="shared" si="4"/>
        <v>0</v>
      </c>
      <c r="AK36" s="42">
        <f t="shared" si="4"/>
        <v>0</v>
      </c>
      <c r="AL36" s="42">
        <f t="shared" si="4"/>
        <v>0</v>
      </c>
      <c r="AM36" s="42">
        <f t="shared" si="4"/>
        <v>0</v>
      </c>
      <c r="AN36" s="42">
        <f t="shared" si="4"/>
        <v>0</v>
      </c>
      <c r="AO36" s="42">
        <f t="shared" si="4"/>
        <v>0</v>
      </c>
      <c r="AP36" s="42">
        <f t="shared" si="4"/>
        <v>0</v>
      </c>
      <c r="AQ36" s="42">
        <f t="shared" si="4"/>
        <v>0</v>
      </c>
      <c r="AR36" s="42">
        <f t="shared" si="4"/>
        <v>0</v>
      </c>
      <c r="AS36" s="42">
        <f t="shared" si="4"/>
        <v>0</v>
      </c>
      <c r="AT36" s="42">
        <f t="shared" si="4"/>
        <v>0</v>
      </c>
      <c r="AU36" s="42">
        <f t="shared" si="4"/>
        <v>0</v>
      </c>
      <c r="AV36" s="42">
        <f t="shared" si="4"/>
        <v>0</v>
      </c>
      <c r="AW36" s="42">
        <f t="shared" si="4"/>
        <v>0</v>
      </c>
      <c r="AX36" s="42">
        <f t="shared" si="4"/>
        <v>0</v>
      </c>
      <c r="AY36" s="42">
        <f t="shared" si="4"/>
        <v>0</v>
      </c>
      <c r="AZ36" s="42">
        <f t="shared" si="4"/>
        <v>0</v>
      </c>
      <c r="BA36" s="42">
        <f t="shared" si="4"/>
        <v>0</v>
      </c>
    </row>
    <row r="37" spans="1:54" x14ac:dyDescent="0.35">
      <c r="A37" s="50"/>
      <c r="B37" s="50"/>
      <c r="C37" s="50"/>
      <c r="D37" s="50"/>
      <c r="E37" s="50" t="s">
        <v>954</v>
      </c>
      <c r="F37" s="80">
        <f>SUM(I37:BA37)</f>
        <v>11811844.676135939</v>
      </c>
      <c r="G37" s="50" t="str">
        <f>$F$10&amp;"$"</f>
        <v>2024$</v>
      </c>
      <c r="H37" s="50"/>
      <c r="I37" s="80">
        <f t="shared" ref="I37:BA37" si="5">IFERROR(SUM(I36:I36),0)</f>
        <v>0</v>
      </c>
      <c r="J37" s="80">
        <f t="shared" si="5"/>
        <v>0</v>
      </c>
      <c r="K37" s="80">
        <f t="shared" si="5"/>
        <v>0</v>
      </c>
      <c r="L37" s="80">
        <f t="shared" si="5"/>
        <v>0</v>
      </c>
      <c r="M37" s="80">
        <f t="shared" si="5"/>
        <v>0</v>
      </c>
      <c r="N37" s="80">
        <f t="shared" si="5"/>
        <v>0</v>
      </c>
      <c r="O37" s="80">
        <f t="shared" si="5"/>
        <v>0</v>
      </c>
      <c r="P37" s="80">
        <f t="shared" si="5"/>
        <v>0</v>
      </c>
      <c r="Q37" s="80">
        <f t="shared" si="5"/>
        <v>0</v>
      </c>
      <c r="R37" s="80">
        <f t="shared" si="5"/>
        <v>0</v>
      </c>
      <c r="S37" s="80">
        <f t="shared" si="5"/>
        <v>0</v>
      </c>
      <c r="T37" s="80">
        <f t="shared" si="5"/>
        <v>0</v>
      </c>
      <c r="U37" s="80">
        <f t="shared" si="5"/>
        <v>0</v>
      </c>
      <c r="V37" s="80">
        <f t="shared" si="5"/>
        <v>0</v>
      </c>
      <c r="W37" s="80">
        <f t="shared" si="5"/>
        <v>0</v>
      </c>
      <c r="X37" s="80">
        <f t="shared" si="5"/>
        <v>0</v>
      </c>
      <c r="Y37" s="80">
        <f t="shared" si="5"/>
        <v>0</v>
      </c>
      <c r="Z37" s="80">
        <f t="shared" si="5"/>
        <v>0</v>
      </c>
      <c r="AA37" s="80">
        <f t="shared" si="5"/>
        <v>0</v>
      </c>
      <c r="AB37" s="80">
        <f t="shared" si="5"/>
        <v>0</v>
      </c>
      <c r="AC37" s="80">
        <f t="shared" si="5"/>
        <v>0</v>
      </c>
      <c r="AD37" s="80">
        <f t="shared" si="5"/>
        <v>0</v>
      </c>
      <c r="AE37" s="80">
        <f t="shared" si="5"/>
        <v>0</v>
      </c>
      <c r="AF37" s="80">
        <f t="shared" si="5"/>
        <v>0</v>
      </c>
      <c r="AG37" s="80">
        <f t="shared" si="5"/>
        <v>0</v>
      </c>
      <c r="AH37" s="80">
        <f t="shared" si="5"/>
        <v>11811844.676135939</v>
      </c>
      <c r="AI37" s="80">
        <f t="shared" si="5"/>
        <v>0</v>
      </c>
      <c r="AJ37" s="80">
        <f t="shared" si="5"/>
        <v>0</v>
      </c>
      <c r="AK37" s="80">
        <f t="shared" si="5"/>
        <v>0</v>
      </c>
      <c r="AL37" s="80">
        <f t="shared" si="5"/>
        <v>0</v>
      </c>
      <c r="AM37" s="80">
        <f t="shared" si="5"/>
        <v>0</v>
      </c>
      <c r="AN37" s="80">
        <f t="shared" si="5"/>
        <v>0</v>
      </c>
      <c r="AO37" s="80">
        <f t="shared" si="5"/>
        <v>0</v>
      </c>
      <c r="AP37" s="80">
        <f t="shared" si="5"/>
        <v>0</v>
      </c>
      <c r="AQ37" s="80">
        <f t="shared" si="5"/>
        <v>0</v>
      </c>
      <c r="AR37" s="80">
        <f t="shared" si="5"/>
        <v>0</v>
      </c>
      <c r="AS37" s="80">
        <f t="shared" si="5"/>
        <v>0</v>
      </c>
      <c r="AT37" s="80">
        <f t="shared" si="5"/>
        <v>0</v>
      </c>
      <c r="AU37" s="80">
        <f t="shared" si="5"/>
        <v>0</v>
      </c>
      <c r="AV37" s="80">
        <f t="shared" si="5"/>
        <v>0</v>
      </c>
      <c r="AW37" s="80">
        <f t="shared" si="5"/>
        <v>0</v>
      </c>
      <c r="AX37" s="80">
        <f t="shared" si="5"/>
        <v>0</v>
      </c>
      <c r="AY37" s="80">
        <f t="shared" si="5"/>
        <v>0</v>
      </c>
      <c r="AZ37" s="80">
        <f t="shared" si="5"/>
        <v>0</v>
      </c>
      <c r="BA37" s="80">
        <f t="shared" si="5"/>
        <v>0</v>
      </c>
      <c r="BB37" s="50"/>
    </row>
    <row r="38" spans="1:54" x14ac:dyDescent="0.35"/>
    <row r="39" spans="1:54" x14ac:dyDescent="0.35"/>
  </sheetData>
  <pageMargins left="0.7" right="0.7" top="0.75" bottom="0.75" header="0.3" footer="0.3"/>
  <pageSetup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15DD-6B79-4B01-BDE7-9E7E6FAA44BE}">
  <sheetPr>
    <tabColor theme="9" tint="-0.249977111117893"/>
  </sheetPr>
  <dimension ref="A1:AV296"/>
  <sheetViews>
    <sheetView topLeftCell="A256" zoomScale="85" zoomScaleNormal="85" workbookViewId="0">
      <selection activeCell="P296" sqref="P296"/>
    </sheetView>
  </sheetViews>
  <sheetFormatPr defaultRowHeight="14.5" x14ac:dyDescent="0.35"/>
  <cols>
    <col min="1" max="1" width="18.453125" customWidth="1"/>
    <col min="4" max="4" width="12.54296875" customWidth="1"/>
    <col min="14" max="14" width="10.81640625" customWidth="1"/>
    <col min="16" max="16" width="12" customWidth="1"/>
    <col min="33" max="33" width="35.453125" customWidth="1"/>
    <col min="42" max="42" width="11.453125" customWidth="1"/>
    <col min="44" max="44" width="16.81640625" customWidth="1"/>
    <col min="47" max="47" width="65" bestFit="1" customWidth="1"/>
  </cols>
  <sheetData>
    <row r="1" spans="1:48" x14ac:dyDescent="0.35">
      <c r="A1" s="570" t="s">
        <v>955</v>
      </c>
      <c r="B1" s="570" t="s">
        <v>956</v>
      </c>
      <c r="C1" s="570" t="s">
        <v>957</v>
      </c>
      <c r="D1" s="570" t="s">
        <v>958</v>
      </c>
      <c r="E1" s="570" t="s">
        <v>959</v>
      </c>
      <c r="F1" s="570" t="s">
        <v>960</v>
      </c>
      <c r="G1" s="570" t="s">
        <v>961</v>
      </c>
      <c r="H1" s="570" t="s">
        <v>962</v>
      </c>
      <c r="I1" s="570" t="s">
        <v>963</v>
      </c>
      <c r="J1" s="570" t="s">
        <v>964</v>
      </c>
      <c r="K1" s="570" t="s">
        <v>965</v>
      </c>
      <c r="L1" s="570" t="s">
        <v>966</v>
      </c>
      <c r="M1" s="570" t="s">
        <v>967</v>
      </c>
      <c r="N1" s="570" t="s">
        <v>968</v>
      </c>
      <c r="O1" s="570" t="s">
        <v>969</v>
      </c>
      <c r="P1" s="570" t="s">
        <v>970</v>
      </c>
      <c r="Q1" s="570" t="s">
        <v>971</v>
      </c>
      <c r="R1" s="570" t="s">
        <v>972</v>
      </c>
      <c r="S1" s="570" t="s">
        <v>973</v>
      </c>
      <c r="T1" s="570" t="s">
        <v>974</v>
      </c>
      <c r="U1" s="570" t="s">
        <v>975</v>
      </c>
      <c r="V1" s="570" t="s">
        <v>976</v>
      </c>
      <c r="W1" s="570" t="s">
        <v>977</v>
      </c>
      <c r="X1" s="570" t="s">
        <v>978</v>
      </c>
      <c r="Y1" s="570" t="s">
        <v>979</v>
      </c>
      <c r="Z1" s="570" t="s">
        <v>980</v>
      </c>
      <c r="AA1" s="570" t="s">
        <v>981</v>
      </c>
      <c r="AB1" s="570" t="s">
        <v>982</v>
      </c>
      <c r="AC1" s="570" t="s">
        <v>983</v>
      </c>
      <c r="AD1" s="570" t="s">
        <v>984</v>
      </c>
      <c r="AE1" s="570" t="s">
        <v>985</v>
      </c>
      <c r="AF1" s="570" t="s">
        <v>986</v>
      </c>
      <c r="AG1" s="570" t="s">
        <v>987</v>
      </c>
      <c r="AH1" s="570" t="s">
        <v>988</v>
      </c>
      <c r="AI1" s="570" t="s">
        <v>989</v>
      </c>
      <c r="AJ1" s="570" t="s">
        <v>990</v>
      </c>
      <c r="AK1" s="570" t="s">
        <v>991</v>
      </c>
      <c r="AL1" s="570" t="s">
        <v>992</v>
      </c>
      <c r="AM1" s="570" t="s">
        <v>993</v>
      </c>
      <c r="AN1" s="570" t="s">
        <v>994</v>
      </c>
      <c r="AO1" s="570" t="s">
        <v>995</v>
      </c>
      <c r="AP1" s="570" t="s">
        <v>996</v>
      </c>
      <c r="AQ1" s="570" t="s">
        <v>997</v>
      </c>
      <c r="AR1" s="570" t="s">
        <v>998</v>
      </c>
      <c r="AS1" s="570" t="s">
        <v>999</v>
      </c>
      <c r="AU1" s="574" t="s">
        <v>1147</v>
      </c>
      <c r="AV1" s="178" t="s">
        <v>1148</v>
      </c>
    </row>
    <row r="2" spans="1:48" x14ac:dyDescent="0.35">
      <c r="A2" s="570">
        <v>300291868</v>
      </c>
      <c r="B2" s="570">
        <v>44</v>
      </c>
      <c r="C2" s="570">
        <v>15</v>
      </c>
      <c r="D2" s="570">
        <v>5</v>
      </c>
      <c r="E2" s="570">
        <v>0</v>
      </c>
      <c r="F2" s="570">
        <v>17.510000000000002</v>
      </c>
      <c r="G2" s="570" t="s">
        <v>1000</v>
      </c>
      <c r="H2" s="570">
        <v>2</v>
      </c>
      <c r="I2" s="570">
        <v>0</v>
      </c>
      <c r="J2" s="570">
        <v>0</v>
      </c>
      <c r="K2" s="570">
        <v>0</v>
      </c>
      <c r="L2" s="570">
        <v>0</v>
      </c>
      <c r="M2" s="570">
        <v>0</v>
      </c>
      <c r="N2" s="570" t="s">
        <v>1001</v>
      </c>
      <c r="O2" s="570">
        <v>1</v>
      </c>
      <c r="P2" s="571">
        <v>42743</v>
      </c>
      <c r="Q2" s="570">
        <v>35.089881900000002</v>
      </c>
      <c r="R2" s="570">
        <v>-97.418041299999999</v>
      </c>
      <c r="S2" s="570">
        <v>10.46</v>
      </c>
      <c r="T2" s="570" t="s">
        <v>1002</v>
      </c>
      <c r="U2" s="570" t="s">
        <v>1002</v>
      </c>
      <c r="V2" s="570">
        <v>1</v>
      </c>
      <c r="W2" s="570">
        <v>1</v>
      </c>
      <c r="X2" s="570" t="s">
        <v>1000</v>
      </c>
      <c r="Y2" s="570" t="s">
        <v>1003</v>
      </c>
      <c r="Z2" s="570">
        <v>1</v>
      </c>
      <c r="AA2" s="570">
        <v>0</v>
      </c>
      <c r="AB2" s="570">
        <v>0</v>
      </c>
      <c r="AC2" s="570">
        <v>0</v>
      </c>
      <c r="AD2" s="570">
        <v>0</v>
      </c>
      <c r="AE2" s="570" t="s">
        <v>1004</v>
      </c>
      <c r="AF2" s="570">
        <v>72</v>
      </c>
      <c r="AG2" s="570" t="s">
        <v>1005</v>
      </c>
      <c r="AH2" s="570">
        <v>0</v>
      </c>
      <c r="AI2" s="570" t="s">
        <v>1006</v>
      </c>
      <c r="AJ2" s="570">
        <v>20</v>
      </c>
      <c r="AK2" s="570">
        <v>72</v>
      </c>
      <c r="AL2" s="570">
        <v>1</v>
      </c>
      <c r="AM2" s="570">
        <v>0</v>
      </c>
      <c r="AN2" s="570">
        <v>37</v>
      </c>
      <c r="AO2" s="570" t="s">
        <v>1007</v>
      </c>
      <c r="AP2" s="570" t="s">
        <v>1008</v>
      </c>
      <c r="AQ2" s="570">
        <v>1</v>
      </c>
      <c r="AR2" s="570">
        <v>1</v>
      </c>
      <c r="AS2" s="570">
        <v>4</v>
      </c>
      <c r="AU2" s="10" t="s">
        <v>1141</v>
      </c>
      <c r="AV2">
        <f>COUNTIF($O$2:$O$296,1)</f>
        <v>205</v>
      </c>
    </row>
    <row r="3" spans="1:48" x14ac:dyDescent="0.35">
      <c r="A3" s="570">
        <v>300291868</v>
      </c>
      <c r="B3" s="570">
        <v>44</v>
      </c>
      <c r="C3" s="570">
        <v>15</v>
      </c>
      <c r="D3" s="570">
        <v>5</v>
      </c>
      <c r="E3" s="570">
        <v>0</v>
      </c>
      <c r="F3" s="570">
        <v>17.510000000000002</v>
      </c>
      <c r="G3" s="570" t="s">
        <v>1000</v>
      </c>
      <c r="H3" s="570">
        <v>2</v>
      </c>
      <c r="I3" s="570">
        <v>0</v>
      </c>
      <c r="J3" s="570">
        <v>0</v>
      </c>
      <c r="K3" s="570">
        <v>0</v>
      </c>
      <c r="L3" s="570">
        <v>0</v>
      </c>
      <c r="M3" s="570">
        <v>0</v>
      </c>
      <c r="N3" s="570" t="s">
        <v>1001</v>
      </c>
      <c r="O3" s="570">
        <v>1</v>
      </c>
      <c r="P3" s="571">
        <v>42743</v>
      </c>
      <c r="Q3" s="570">
        <v>35.089881900000002</v>
      </c>
      <c r="R3" s="570">
        <v>-97.418041299999999</v>
      </c>
      <c r="S3" s="570">
        <v>10.46</v>
      </c>
      <c r="T3" s="570" t="s">
        <v>1002</v>
      </c>
      <c r="U3" s="570" t="s">
        <v>1002</v>
      </c>
      <c r="V3" s="570">
        <v>1</v>
      </c>
      <c r="W3" s="570">
        <v>1</v>
      </c>
      <c r="X3" s="570" t="s">
        <v>1000</v>
      </c>
      <c r="Y3" s="570" t="s">
        <v>1003</v>
      </c>
      <c r="Z3" s="570">
        <v>1</v>
      </c>
      <c r="AA3" s="570">
        <v>0</v>
      </c>
      <c r="AB3" s="570">
        <v>0</v>
      </c>
      <c r="AC3" s="570">
        <v>0</v>
      </c>
      <c r="AD3" s="570">
        <v>0</v>
      </c>
      <c r="AE3" s="570" t="s">
        <v>1004</v>
      </c>
      <c r="AF3" s="570">
        <v>72</v>
      </c>
      <c r="AG3" s="570" t="s">
        <v>1005</v>
      </c>
      <c r="AH3" s="570">
        <v>0</v>
      </c>
      <c r="AI3" s="570" t="s">
        <v>1006</v>
      </c>
      <c r="AJ3" s="570">
        <v>8</v>
      </c>
      <c r="AK3" s="570">
        <v>98</v>
      </c>
      <c r="AL3" s="570">
        <v>1</v>
      </c>
      <c r="AM3" s="570">
        <v>0</v>
      </c>
      <c r="AN3" s="570">
        <v>62</v>
      </c>
      <c r="AO3" s="570" t="s">
        <v>1009</v>
      </c>
      <c r="AP3" s="570" t="s">
        <v>1008</v>
      </c>
      <c r="AQ3" s="570">
        <v>1</v>
      </c>
      <c r="AR3" s="570">
        <v>1</v>
      </c>
      <c r="AS3" s="570">
        <v>4</v>
      </c>
      <c r="AU3" s="10" t="s">
        <v>1142</v>
      </c>
      <c r="AV3" s="178">
        <f>SUM($AD$2:$AD$296)</f>
        <v>6</v>
      </c>
    </row>
    <row r="4" spans="1:48" x14ac:dyDescent="0.35">
      <c r="A4" s="570">
        <v>300291868</v>
      </c>
      <c r="B4" s="570">
        <v>44</v>
      </c>
      <c r="C4" s="570">
        <v>15</v>
      </c>
      <c r="D4" s="570">
        <v>5</v>
      </c>
      <c r="E4" s="570">
        <v>0</v>
      </c>
      <c r="F4" s="570">
        <v>17.510000000000002</v>
      </c>
      <c r="G4" s="570" t="s">
        <v>1000</v>
      </c>
      <c r="H4" s="570">
        <v>2</v>
      </c>
      <c r="I4" s="570">
        <v>0</v>
      </c>
      <c r="J4" s="570">
        <v>0</v>
      </c>
      <c r="K4" s="570">
        <v>0</v>
      </c>
      <c r="L4" s="570">
        <v>0</v>
      </c>
      <c r="M4" s="570">
        <v>0</v>
      </c>
      <c r="N4" s="570" t="s">
        <v>1001</v>
      </c>
      <c r="O4" s="570">
        <v>1</v>
      </c>
      <c r="P4" s="571">
        <v>42743</v>
      </c>
      <c r="Q4" s="570">
        <v>35.089881900000002</v>
      </c>
      <c r="R4" s="570">
        <v>-97.418041299999999</v>
      </c>
      <c r="S4" s="570">
        <v>10.46</v>
      </c>
      <c r="T4" s="570" t="s">
        <v>1002</v>
      </c>
      <c r="U4" s="570" t="s">
        <v>1002</v>
      </c>
      <c r="V4" s="570">
        <v>1</v>
      </c>
      <c r="W4" s="570">
        <v>1</v>
      </c>
      <c r="X4" s="570" t="s">
        <v>1000</v>
      </c>
      <c r="Y4" s="570" t="s">
        <v>1003</v>
      </c>
      <c r="Z4" s="570">
        <v>1</v>
      </c>
      <c r="AA4" s="570">
        <v>0</v>
      </c>
      <c r="AB4" s="570">
        <v>0</v>
      </c>
      <c r="AC4" s="570">
        <v>0</v>
      </c>
      <c r="AD4" s="570">
        <v>0</v>
      </c>
      <c r="AE4" s="570" t="s">
        <v>1004</v>
      </c>
      <c r="AF4" s="570">
        <v>72</v>
      </c>
      <c r="AG4" s="570" t="s">
        <v>1005</v>
      </c>
      <c r="AH4" s="570">
        <v>0</v>
      </c>
      <c r="AI4" s="570" t="s">
        <v>1006</v>
      </c>
      <c r="AJ4" s="570">
        <v>8</v>
      </c>
      <c r="AK4" s="570">
        <v>98</v>
      </c>
      <c r="AL4" s="570">
        <v>1</v>
      </c>
      <c r="AM4" s="570">
        <v>0</v>
      </c>
      <c r="AN4" s="570">
        <v>0</v>
      </c>
      <c r="AO4" s="570">
        <v>9</v>
      </c>
      <c r="AP4" s="570" t="s">
        <v>1002</v>
      </c>
      <c r="AQ4" s="570"/>
      <c r="AR4" s="570"/>
      <c r="AS4" s="570"/>
      <c r="AU4" s="10" t="s">
        <v>1143</v>
      </c>
      <c r="AV4" s="178">
        <f>SUM($AB$2:$AB$296)</f>
        <v>48</v>
      </c>
    </row>
    <row r="5" spans="1:48" x14ac:dyDescent="0.35">
      <c r="A5" s="570">
        <v>300302766</v>
      </c>
      <c r="B5" s="570">
        <v>44</v>
      </c>
      <c r="C5" s="570">
        <v>15</v>
      </c>
      <c r="D5" s="570">
        <v>5</v>
      </c>
      <c r="E5" s="570">
        <v>0</v>
      </c>
      <c r="F5" s="570">
        <v>17.399999999999999</v>
      </c>
      <c r="G5" s="570" t="s">
        <v>1000</v>
      </c>
      <c r="H5" s="570">
        <v>2</v>
      </c>
      <c r="I5" s="570">
        <v>0</v>
      </c>
      <c r="J5" s="570">
        <v>0</v>
      </c>
      <c r="K5" s="570">
        <v>0</v>
      </c>
      <c r="L5" s="570">
        <v>0</v>
      </c>
      <c r="M5" s="570">
        <v>0</v>
      </c>
      <c r="N5" s="570" t="s">
        <v>1010</v>
      </c>
      <c r="O5" s="570">
        <v>1</v>
      </c>
      <c r="P5" s="571">
        <v>42826</v>
      </c>
      <c r="Q5" s="570">
        <v>35.088634900000002</v>
      </c>
      <c r="R5" s="570">
        <v>-97.416828699999996</v>
      </c>
      <c r="S5" s="570">
        <v>21.58</v>
      </c>
      <c r="T5" s="570" t="s">
        <v>1002</v>
      </c>
      <c r="U5" s="570" t="s">
        <v>1002</v>
      </c>
      <c r="V5" s="570">
        <v>7</v>
      </c>
      <c r="W5" s="570">
        <v>2</v>
      </c>
      <c r="X5" s="570" t="s">
        <v>1000</v>
      </c>
      <c r="Y5" s="570" t="s">
        <v>1003</v>
      </c>
      <c r="Z5" s="570">
        <v>4</v>
      </c>
      <c r="AA5" s="570">
        <v>0</v>
      </c>
      <c r="AB5" s="570">
        <v>0</v>
      </c>
      <c r="AC5" s="570">
        <v>0</v>
      </c>
      <c r="AD5" s="570">
        <v>0</v>
      </c>
      <c r="AE5" s="570" t="s">
        <v>1011</v>
      </c>
      <c r="AF5" s="570">
        <v>22</v>
      </c>
      <c r="AG5" s="570" t="s">
        <v>1012</v>
      </c>
      <c r="AH5" s="570">
        <v>0</v>
      </c>
      <c r="AI5" s="570" t="s">
        <v>1006</v>
      </c>
      <c r="AJ5" s="570">
        <v>20</v>
      </c>
      <c r="AK5" s="570">
        <v>22</v>
      </c>
      <c r="AL5" s="570">
        <v>2</v>
      </c>
      <c r="AM5" s="570">
        <v>0</v>
      </c>
      <c r="AN5" s="570">
        <v>33</v>
      </c>
      <c r="AO5" s="570" t="s">
        <v>1007</v>
      </c>
      <c r="AP5" s="570" t="s">
        <v>1008</v>
      </c>
      <c r="AQ5" s="570">
        <v>1</v>
      </c>
      <c r="AR5" s="570">
        <v>1</v>
      </c>
      <c r="AS5" s="570">
        <v>4</v>
      </c>
      <c r="AU5" s="10" t="s">
        <v>1144</v>
      </c>
      <c r="AV5" s="178">
        <f>SUM($AA$2:$AA$296)</f>
        <v>11</v>
      </c>
    </row>
    <row r="6" spans="1:48" x14ac:dyDescent="0.35">
      <c r="A6" s="570">
        <v>300302766</v>
      </c>
      <c r="B6" s="570">
        <v>44</v>
      </c>
      <c r="C6" s="570">
        <v>15</v>
      </c>
      <c r="D6" s="570">
        <v>5</v>
      </c>
      <c r="E6" s="570">
        <v>0</v>
      </c>
      <c r="F6" s="570">
        <v>17.399999999999999</v>
      </c>
      <c r="G6" s="570" t="s">
        <v>1000</v>
      </c>
      <c r="H6" s="570">
        <v>2</v>
      </c>
      <c r="I6" s="570">
        <v>0</v>
      </c>
      <c r="J6" s="570">
        <v>0</v>
      </c>
      <c r="K6" s="570">
        <v>0</v>
      </c>
      <c r="L6" s="570">
        <v>0</v>
      </c>
      <c r="M6" s="570">
        <v>0</v>
      </c>
      <c r="N6" s="570" t="s">
        <v>1010</v>
      </c>
      <c r="O6" s="570">
        <v>1</v>
      </c>
      <c r="P6" s="571">
        <v>42826</v>
      </c>
      <c r="Q6" s="570">
        <v>35.088634900000002</v>
      </c>
      <c r="R6" s="570">
        <v>-97.416828699999996</v>
      </c>
      <c r="S6" s="570">
        <v>21.58</v>
      </c>
      <c r="T6" s="570" t="s">
        <v>1002</v>
      </c>
      <c r="U6" s="570" t="s">
        <v>1002</v>
      </c>
      <c r="V6" s="570">
        <v>7</v>
      </c>
      <c r="W6" s="570">
        <v>2</v>
      </c>
      <c r="X6" s="570" t="s">
        <v>1000</v>
      </c>
      <c r="Y6" s="570" t="s">
        <v>1003</v>
      </c>
      <c r="Z6" s="570">
        <v>4</v>
      </c>
      <c r="AA6" s="570">
        <v>0</v>
      </c>
      <c r="AB6" s="570">
        <v>0</v>
      </c>
      <c r="AC6" s="570">
        <v>0</v>
      </c>
      <c r="AD6" s="570">
        <v>0</v>
      </c>
      <c r="AE6" s="570" t="s">
        <v>1011</v>
      </c>
      <c r="AF6" s="570">
        <v>22</v>
      </c>
      <c r="AG6" s="570" t="s">
        <v>1012</v>
      </c>
      <c r="AH6" s="570">
        <v>0</v>
      </c>
      <c r="AI6" s="570" t="s">
        <v>1006</v>
      </c>
      <c r="AJ6" s="570">
        <v>20</v>
      </c>
      <c r="AK6" s="570">
        <v>22</v>
      </c>
      <c r="AL6" s="570">
        <v>2</v>
      </c>
      <c r="AM6" s="570">
        <v>0</v>
      </c>
      <c r="AN6" s="570">
        <v>0</v>
      </c>
      <c r="AO6" s="570">
        <v>9</v>
      </c>
      <c r="AP6" s="570" t="s">
        <v>1002</v>
      </c>
      <c r="AQ6" s="570"/>
      <c r="AR6" s="570"/>
      <c r="AS6" s="570"/>
      <c r="AU6" s="10" t="s">
        <v>1145</v>
      </c>
      <c r="AV6" s="178">
        <f>SUM($M$2:$M$296)</f>
        <v>6</v>
      </c>
    </row>
    <row r="7" spans="1:48" x14ac:dyDescent="0.35">
      <c r="A7" s="570">
        <v>300302781</v>
      </c>
      <c r="B7" s="570">
        <v>44</v>
      </c>
      <c r="C7" s="570">
        <v>15</v>
      </c>
      <c r="D7" s="570">
        <v>5</v>
      </c>
      <c r="E7" s="570">
        <v>0</v>
      </c>
      <c r="F7" s="570">
        <v>17.53</v>
      </c>
      <c r="G7" s="570" t="s">
        <v>1000</v>
      </c>
      <c r="H7" s="570">
        <v>2</v>
      </c>
      <c r="I7" s="570">
        <v>0</v>
      </c>
      <c r="J7" s="570">
        <v>0</v>
      </c>
      <c r="K7" s="570">
        <v>0</v>
      </c>
      <c r="L7" s="570">
        <v>0</v>
      </c>
      <c r="M7" s="570">
        <v>0</v>
      </c>
      <c r="N7" s="570" t="s">
        <v>1010</v>
      </c>
      <c r="O7" s="570">
        <v>1</v>
      </c>
      <c r="P7" s="571">
        <v>42826</v>
      </c>
      <c r="Q7" s="570">
        <v>35.090110600000003</v>
      </c>
      <c r="R7" s="570">
        <v>-97.418258600000001</v>
      </c>
      <c r="S7" s="570">
        <v>23.04</v>
      </c>
      <c r="T7" s="570" t="s">
        <v>1002</v>
      </c>
      <c r="U7" s="570" t="s">
        <v>1002</v>
      </c>
      <c r="V7" s="570">
        <v>7</v>
      </c>
      <c r="W7" s="570">
        <v>2</v>
      </c>
      <c r="X7" s="570" t="s">
        <v>1000</v>
      </c>
      <c r="Y7" s="570" t="s">
        <v>1013</v>
      </c>
      <c r="Z7" s="570">
        <v>4</v>
      </c>
      <c r="AA7" s="570">
        <v>0</v>
      </c>
      <c r="AB7" s="570">
        <v>0</v>
      </c>
      <c r="AC7" s="570">
        <v>0</v>
      </c>
      <c r="AD7" s="570">
        <v>0</v>
      </c>
      <c r="AE7" s="570" t="s">
        <v>1011</v>
      </c>
      <c r="AF7" s="570">
        <v>22</v>
      </c>
      <c r="AG7" s="570" t="s">
        <v>1012</v>
      </c>
      <c r="AH7" s="570">
        <v>0</v>
      </c>
      <c r="AI7" s="570" t="s">
        <v>1006</v>
      </c>
      <c r="AJ7" s="570">
        <v>4</v>
      </c>
      <c r="AK7" s="570">
        <v>22</v>
      </c>
      <c r="AL7" s="570">
        <v>2</v>
      </c>
      <c r="AM7" s="570">
        <v>0</v>
      </c>
      <c r="AN7" s="570">
        <v>24</v>
      </c>
      <c r="AO7" s="570" t="s">
        <v>1007</v>
      </c>
      <c r="AP7" s="570" t="s">
        <v>1008</v>
      </c>
      <c r="AQ7" s="570">
        <v>1</v>
      </c>
      <c r="AR7" s="570">
        <v>99</v>
      </c>
      <c r="AS7" s="570">
        <v>4</v>
      </c>
      <c r="AU7" s="10" t="s">
        <v>1146</v>
      </c>
      <c r="AV7" s="178"/>
    </row>
    <row r="8" spans="1:48" x14ac:dyDescent="0.35">
      <c r="A8" s="570">
        <v>300302781</v>
      </c>
      <c r="B8" s="570">
        <v>44</v>
      </c>
      <c r="C8" s="570">
        <v>15</v>
      </c>
      <c r="D8" s="570">
        <v>5</v>
      </c>
      <c r="E8" s="570">
        <v>0</v>
      </c>
      <c r="F8" s="570">
        <v>17.53</v>
      </c>
      <c r="G8" s="570" t="s">
        <v>1000</v>
      </c>
      <c r="H8" s="570">
        <v>2</v>
      </c>
      <c r="I8" s="570">
        <v>0</v>
      </c>
      <c r="J8" s="570">
        <v>0</v>
      </c>
      <c r="K8" s="570">
        <v>0</v>
      </c>
      <c r="L8" s="570">
        <v>0</v>
      </c>
      <c r="M8" s="570">
        <v>0</v>
      </c>
      <c r="N8" s="570" t="s">
        <v>1010</v>
      </c>
      <c r="O8" s="570">
        <v>1</v>
      </c>
      <c r="P8" s="571">
        <v>42826</v>
      </c>
      <c r="Q8" s="570">
        <v>35.090110600000003</v>
      </c>
      <c r="R8" s="570">
        <v>-97.418258600000001</v>
      </c>
      <c r="S8" s="570">
        <v>23.04</v>
      </c>
      <c r="T8" s="570" t="s">
        <v>1002</v>
      </c>
      <c r="U8" s="570" t="s">
        <v>1002</v>
      </c>
      <c r="V8" s="570">
        <v>7</v>
      </c>
      <c r="W8" s="570">
        <v>2</v>
      </c>
      <c r="X8" s="570" t="s">
        <v>1000</v>
      </c>
      <c r="Y8" s="570" t="s">
        <v>1013</v>
      </c>
      <c r="Z8" s="570">
        <v>4</v>
      </c>
      <c r="AA8" s="570">
        <v>0</v>
      </c>
      <c r="AB8" s="570">
        <v>0</v>
      </c>
      <c r="AC8" s="570">
        <v>0</v>
      </c>
      <c r="AD8" s="570">
        <v>0</v>
      </c>
      <c r="AE8" s="570" t="s">
        <v>1011</v>
      </c>
      <c r="AF8" s="570">
        <v>22</v>
      </c>
      <c r="AG8" s="570" t="s">
        <v>1012</v>
      </c>
      <c r="AH8" s="570">
        <v>0</v>
      </c>
      <c r="AI8" s="570" t="s">
        <v>1006</v>
      </c>
      <c r="AJ8" s="570">
        <v>4</v>
      </c>
      <c r="AK8" s="570">
        <v>22</v>
      </c>
      <c r="AL8" s="570">
        <v>2</v>
      </c>
      <c r="AM8" s="570">
        <v>0</v>
      </c>
      <c r="AN8" s="570">
        <v>0</v>
      </c>
      <c r="AO8" s="570">
        <v>9</v>
      </c>
      <c r="AP8" s="570" t="s">
        <v>1002</v>
      </c>
      <c r="AQ8" s="570"/>
      <c r="AR8" s="570"/>
      <c r="AS8" s="570"/>
    </row>
    <row r="9" spans="1:48" x14ac:dyDescent="0.35">
      <c r="A9" s="570">
        <v>300302781</v>
      </c>
      <c r="B9" s="570">
        <v>44</v>
      </c>
      <c r="C9" s="570">
        <v>15</v>
      </c>
      <c r="D9" s="570">
        <v>5</v>
      </c>
      <c r="E9" s="570">
        <v>0</v>
      </c>
      <c r="F9" s="570">
        <v>17.53</v>
      </c>
      <c r="G9" s="570" t="s">
        <v>1000</v>
      </c>
      <c r="H9" s="570">
        <v>2</v>
      </c>
      <c r="I9" s="570">
        <v>0</v>
      </c>
      <c r="J9" s="570">
        <v>0</v>
      </c>
      <c r="K9" s="570">
        <v>0</v>
      </c>
      <c r="L9" s="570">
        <v>0</v>
      </c>
      <c r="M9" s="570">
        <v>0</v>
      </c>
      <c r="N9" s="570" t="s">
        <v>1010</v>
      </c>
      <c r="O9" s="570">
        <v>1</v>
      </c>
      <c r="P9" s="571">
        <v>42826</v>
      </c>
      <c r="Q9" s="570">
        <v>35.090110600000003</v>
      </c>
      <c r="R9" s="570">
        <v>-97.418258600000001</v>
      </c>
      <c r="S9" s="570">
        <v>23.04</v>
      </c>
      <c r="T9" s="570" t="s">
        <v>1002</v>
      </c>
      <c r="U9" s="570" t="s">
        <v>1002</v>
      </c>
      <c r="V9" s="570">
        <v>7</v>
      </c>
      <c r="W9" s="570">
        <v>2</v>
      </c>
      <c r="X9" s="570" t="s">
        <v>1000</v>
      </c>
      <c r="Y9" s="570" t="s">
        <v>1013</v>
      </c>
      <c r="Z9" s="570">
        <v>4</v>
      </c>
      <c r="AA9" s="570">
        <v>0</v>
      </c>
      <c r="AB9" s="570">
        <v>0</v>
      </c>
      <c r="AC9" s="570">
        <v>0</v>
      </c>
      <c r="AD9" s="570">
        <v>0</v>
      </c>
      <c r="AE9" s="570" t="s">
        <v>1011</v>
      </c>
      <c r="AF9" s="570">
        <v>22</v>
      </c>
      <c r="AG9" s="570" t="s">
        <v>1012</v>
      </c>
      <c r="AH9" s="570">
        <v>0</v>
      </c>
      <c r="AI9" s="570" t="s">
        <v>1006</v>
      </c>
      <c r="AJ9" s="570">
        <v>4</v>
      </c>
      <c r="AK9" s="570">
        <v>22</v>
      </c>
      <c r="AL9" s="570">
        <v>2</v>
      </c>
      <c r="AM9" s="570">
        <v>0</v>
      </c>
      <c r="AN9" s="570">
        <v>25</v>
      </c>
      <c r="AO9" s="570" t="s">
        <v>1009</v>
      </c>
      <c r="AP9" s="570" t="s">
        <v>1002</v>
      </c>
      <c r="AQ9" s="570">
        <v>1</v>
      </c>
      <c r="AR9" s="570"/>
      <c r="AS9" s="570">
        <v>4</v>
      </c>
    </row>
    <row r="10" spans="1:48" x14ac:dyDescent="0.35">
      <c r="A10" s="570">
        <v>300314415</v>
      </c>
      <c r="B10" s="570">
        <v>44</v>
      </c>
      <c r="C10" s="570">
        <v>0</v>
      </c>
      <c r="D10" s="570">
        <v>5</v>
      </c>
      <c r="E10" s="570">
        <v>0</v>
      </c>
      <c r="F10" s="570">
        <v>18.82</v>
      </c>
      <c r="G10" s="570" t="s">
        <v>1000</v>
      </c>
      <c r="H10" s="570">
        <v>2</v>
      </c>
      <c r="I10" s="570">
        <v>11</v>
      </c>
      <c r="J10" s="570">
        <v>0</v>
      </c>
      <c r="K10" s="570">
        <v>0</v>
      </c>
      <c r="L10" s="570">
        <v>0</v>
      </c>
      <c r="M10" s="570">
        <v>0</v>
      </c>
      <c r="N10" s="570" t="s">
        <v>1014</v>
      </c>
      <c r="O10" s="570">
        <v>1</v>
      </c>
      <c r="P10" s="571">
        <v>42899</v>
      </c>
      <c r="Q10" s="570">
        <v>35.105003099999998</v>
      </c>
      <c r="R10" s="570">
        <v>-97.432060000000007</v>
      </c>
      <c r="S10" s="570">
        <v>13.31</v>
      </c>
      <c r="T10" s="570" t="s">
        <v>1002</v>
      </c>
      <c r="U10" s="570" t="s">
        <v>1002</v>
      </c>
      <c r="V10" s="570">
        <v>3</v>
      </c>
      <c r="W10" s="570">
        <v>1</v>
      </c>
      <c r="X10" s="570" t="s">
        <v>1015</v>
      </c>
      <c r="Y10" s="570" t="s">
        <v>1016</v>
      </c>
      <c r="Z10" s="570">
        <v>1</v>
      </c>
      <c r="AA10" s="570">
        <v>0</v>
      </c>
      <c r="AB10" s="570">
        <v>0</v>
      </c>
      <c r="AC10" s="570">
        <v>0</v>
      </c>
      <c r="AD10" s="570">
        <v>0</v>
      </c>
      <c r="AE10" s="570" t="s">
        <v>1017</v>
      </c>
      <c r="AF10" s="570">
        <v>87</v>
      </c>
      <c r="AG10" s="570" t="s">
        <v>1005</v>
      </c>
      <c r="AH10" s="570">
        <v>0</v>
      </c>
      <c r="AI10" s="570" t="s">
        <v>1006</v>
      </c>
      <c r="AJ10" s="570">
        <v>2</v>
      </c>
      <c r="AK10" s="570">
        <v>98</v>
      </c>
      <c r="AL10" s="570">
        <v>1</v>
      </c>
      <c r="AM10" s="570">
        <v>0</v>
      </c>
      <c r="AN10" s="570">
        <v>23</v>
      </c>
      <c r="AO10" s="570" t="s">
        <v>1009</v>
      </c>
      <c r="AP10" s="570" t="s">
        <v>1008</v>
      </c>
      <c r="AQ10" s="570">
        <v>1</v>
      </c>
      <c r="AR10" s="570">
        <v>1</v>
      </c>
      <c r="AS10" s="570">
        <v>4</v>
      </c>
    </row>
    <row r="11" spans="1:48" x14ac:dyDescent="0.35">
      <c r="A11" s="570">
        <v>300314415</v>
      </c>
      <c r="B11" s="570">
        <v>44</v>
      </c>
      <c r="C11" s="570">
        <v>0</v>
      </c>
      <c r="D11" s="570">
        <v>5</v>
      </c>
      <c r="E11" s="570">
        <v>0</v>
      </c>
      <c r="F11" s="570">
        <v>18.82</v>
      </c>
      <c r="G11" s="570" t="s">
        <v>1000</v>
      </c>
      <c r="H11" s="570">
        <v>2</v>
      </c>
      <c r="I11" s="570">
        <v>11</v>
      </c>
      <c r="J11" s="570">
        <v>0</v>
      </c>
      <c r="K11" s="570">
        <v>0</v>
      </c>
      <c r="L11" s="570">
        <v>0</v>
      </c>
      <c r="M11" s="570">
        <v>0</v>
      </c>
      <c r="N11" s="570" t="s">
        <v>1014</v>
      </c>
      <c r="O11" s="570">
        <v>1</v>
      </c>
      <c r="P11" s="571">
        <v>42899</v>
      </c>
      <c r="Q11" s="570">
        <v>35.105003099999998</v>
      </c>
      <c r="R11" s="570">
        <v>-97.432060000000007</v>
      </c>
      <c r="S11" s="570">
        <v>13.31</v>
      </c>
      <c r="T11" s="570" t="s">
        <v>1002</v>
      </c>
      <c r="U11" s="570" t="s">
        <v>1002</v>
      </c>
      <c r="V11" s="570">
        <v>3</v>
      </c>
      <c r="W11" s="570">
        <v>1</v>
      </c>
      <c r="X11" s="570" t="s">
        <v>1015</v>
      </c>
      <c r="Y11" s="570" t="s">
        <v>1016</v>
      </c>
      <c r="Z11" s="570">
        <v>1</v>
      </c>
      <c r="AA11" s="570">
        <v>0</v>
      </c>
      <c r="AB11" s="570">
        <v>0</v>
      </c>
      <c r="AC11" s="570">
        <v>0</v>
      </c>
      <c r="AD11" s="570">
        <v>0</v>
      </c>
      <c r="AE11" s="570" t="s">
        <v>1017</v>
      </c>
      <c r="AF11" s="570">
        <v>87</v>
      </c>
      <c r="AG11" s="570" t="s">
        <v>1005</v>
      </c>
      <c r="AH11" s="570">
        <v>0</v>
      </c>
      <c r="AI11" s="570" t="s">
        <v>1006</v>
      </c>
      <c r="AJ11" s="570">
        <v>2</v>
      </c>
      <c r="AK11" s="570">
        <v>98</v>
      </c>
      <c r="AL11" s="570">
        <v>1</v>
      </c>
      <c r="AM11" s="570">
        <v>0</v>
      </c>
      <c r="AN11" s="570">
        <v>21</v>
      </c>
      <c r="AO11" s="570" t="s">
        <v>1007</v>
      </c>
      <c r="AP11" s="570" t="s">
        <v>1002</v>
      </c>
      <c r="AQ11" s="570">
        <v>1</v>
      </c>
      <c r="AR11" s="570"/>
      <c r="AS11" s="570">
        <v>4</v>
      </c>
    </row>
    <row r="12" spans="1:48" x14ac:dyDescent="0.35">
      <c r="A12" s="570">
        <v>300314415</v>
      </c>
      <c r="B12" s="570">
        <v>44</v>
      </c>
      <c r="C12" s="570">
        <v>0</v>
      </c>
      <c r="D12" s="570">
        <v>5</v>
      </c>
      <c r="E12" s="570">
        <v>0</v>
      </c>
      <c r="F12" s="570">
        <v>18.82</v>
      </c>
      <c r="G12" s="570" t="s">
        <v>1000</v>
      </c>
      <c r="H12" s="570">
        <v>2</v>
      </c>
      <c r="I12" s="570">
        <v>11</v>
      </c>
      <c r="J12" s="570">
        <v>0</v>
      </c>
      <c r="K12" s="570">
        <v>0</v>
      </c>
      <c r="L12" s="570">
        <v>0</v>
      </c>
      <c r="M12" s="570">
        <v>0</v>
      </c>
      <c r="N12" s="570" t="s">
        <v>1014</v>
      </c>
      <c r="O12" s="570">
        <v>1</v>
      </c>
      <c r="P12" s="571">
        <v>42899</v>
      </c>
      <c r="Q12" s="570">
        <v>35.105003099999998</v>
      </c>
      <c r="R12" s="570">
        <v>-97.432060000000007</v>
      </c>
      <c r="S12" s="570">
        <v>13.31</v>
      </c>
      <c r="T12" s="570" t="s">
        <v>1002</v>
      </c>
      <c r="U12" s="570" t="s">
        <v>1002</v>
      </c>
      <c r="V12" s="570">
        <v>3</v>
      </c>
      <c r="W12" s="570">
        <v>1</v>
      </c>
      <c r="X12" s="570" t="s">
        <v>1015</v>
      </c>
      <c r="Y12" s="570" t="s">
        <v>1016</v>
      </c>
      <c r="Z12" s="570">
        <v>1</v>
      </c>
      <c r="AA12" s="570">
        <v>0</v>
      </c>
      <c r="AB12" s="570">
        <v>0</v>
      </c>
      <c r="AC12" s="570">
        <v>0</v>
      </c>
      <c r="AD12" s="570">
        <v>0</v>
      </c>
      <c r="AE12" s="570" t="s">
        <v>1017</v>
      </c>
      <c r="AF12" s="570">
        <v>87</v>
      </c>
      <c r="AG12" s="570" t="s">
        <v>1005</v>
      </c>
      <c r="AH12" s="570">
        <v>0</v>
      </c>
      <c r="AI12" s="570" t="s">
        <v>1006</v>
      </c>
      <c r="AJ12" s="570">
        <v>4</v>
      </c>
      <c r="AK12" s="570">
        <v>87</v>
      </c>
      <c r="AL12" s="570">
        <v>1</v>
      </c>
      <c r="AM12" s="570">
        <v>0</v>
      </c>
      <c r="AN12" s="570">
        <v>0</v>
      </c>
      <c r="AO12" s="570">
        <v>9</v>
      </c>
      <c r="AP12" s="570" t="s">
        <v>1008</v>
      </c>
      <c r="AQ12" s="570">
        <v>0</v>
      </c>
      <c r="AR12" s="570">
        <v>99</v>
      </c>
      <c r="AS12" s="570">
        <v>99</v>
      </c>
    </row>
    <row r="13" spans="1:48" x14ac:dyDescent="0.35">
      <c r="A13" s="570">
        <v>300322380</v>
      </c>
      <c r="B13" s="570">
        <v>44</v>
      </c>
      <c r="C13" s="570">
        <v>0</v>
      </c>
      <c r="D13" s="570">
        <v>5</v>
      </c>
      <c r="E13" s="570">
        <v>0</v>
      </c>
      <c r="F13" s="570">
        <v>18.53</v>
      </c>
      <c r="G13" s="570" t="s">
        <v>1000</v>
      </c>
      <c r="H13" s="570">
        <v>2</v>
      </c>
      <c r="I13" s="570">
        <v>0</v>
      </c>
      <c r="J13" s="570">
        <v>0</v>
      </c>
      <c r="K13" s="570">
        <v>0</v>
      </c>
      <c r="L13" s="570">
        <v>0</v>
      </c>
      <c r="M13" s="570">
        <v>0</v>
      </c>
      <c r="N13" s="570" t="s">
        <v>1014</v>
      </c>
      <c r="O13" s="570">
        <v>1</v>
      </c>
      <c r="P13" s="571">
        <v>42958</v>
      </c>
      <c r="Q13" s="570">
        <v>35.101657500000002</v>
      </c>
      <c r="R13" s="570">
        <v>-97.428953300000003</v>
      </c>
      <c r="S13" s="570">
        <v>18.309999999999999</v>
      </c>
      <c r="T13" s="570" t="s">
        <v>1002</v>
      </c>
      <c r="U13" s="570" t="s">
        <v>1002</v>
      </c>
      <c r="V13" s="570">
        <v>6</v>
      </c>
      <c r="W13" s="570">
        <v>1</v>
      </c>
      <c r="X13" s="570" t="s">
        <v>1000</v>
      </c>
      <c r="Y13" s="570" t="s">
        <v>1013</v>
      </c>
      <c r="Z13" s="570">
        <v>1</v>
      </c>
      <c r="AA13" s="570">
        <v>0</v>
      </c>
      <c r="AB13" s="570">
        <v>0</v>
      </c>
      <c r="AC13" s="570">
        <v>0</v>
      </c>
      <c r="AD13" s="570">
        <v>0</v>
      </c>
      <c r="AE13" s="570" t="s">
        <v>1014</v>
      </c>
      <c r="AF13" s="570">
        <v>88</v>
      </c>
      <c r="AG13" s="570" t="s">
        <v>1005</v>
      </c>
      <c r="AH13" s="570">
        <v>0</v>
      </c>
      <c r="AI13" s="570" t="s">
        <v>1006</v>
      </c>
      <c r="AJ13" s="570">
        <v>10</v>
      </c>
      <c r="AK13" s="570">
        <v>88</v>
      </c>
      <c r="AL13" s="570">
        <v>1</v>
      </c>
      <c r="AM13" s="570">
        <v>0</v>
      </c>
      <c r="AN13" s="570">
        <v>57</v>
      </c>
      <c r="AO13" s="570" t="s">
        <v>1009</v>
      </c>
      <c r="AP13" s="570" t="s">
        <v>1008</v>
      </c>
      <c r="AQ13" s="570">
        <v>1</v>
      </c>
      <c r="AR13" s="570">
        <v>1</v>
      </c>
      <c r="AS13" s="570">
        <v>4</v>
      </c>
    </row>
    <row r="14" spans="1:48" x14ac:dyDescent="0.35">
      <c r="A14" s="570">
        <v>300322380</v>
      </c>
      <c r="B14" s="570">
        <v>44</v>
      </c>
      <c r="C14" s="570">
        <v>0</v>
      </c>
      <c r="D14" s="570">
        <v>5</v>
      </c>
      <c r="E14" s="570">
        <v>0</v>
      </c>
      <c r="F14" s="570">
        <v>18.53</v>
      </c>
      <c r="G14" s="570" t="s">
        <v>1000</v>
      </c>
      <c r="H14" s="570">
        <v>2</v>
      </c>
      <c r="I14" s="570">
        <v>0</v>
      </c>
      <c r="J14" s="570">
        <v>0</v>
      </c>
      <c r="K14" s="570">
        <v>0</v>
      </c>
      <c r="L14" s="570">
        <v>0</v>
      </c>
      <c r="M14" s="570">
        <v>0</v>
      </c>
      <c r="N14" s="570" t="s">
        <v>1014</v>
      </c>
      <c r="O14" s="570">
        <v>1</v>
      </c>
      <c r="P14" s="571">
        <v>42958</v>
      </c>
      <c r="Q14" s="570">
        <v>35.101657500000002</v>
      </c>
      <c r="R14" s="570">
        <v>-97.428953300000003</v>
      </c>
      <c r="S14" s="570">
        <v>18.309999999999999</v>
      </c>
      <c r="T14" s="570" t="s">
        <v>1002</v>
      </c>
      <c r="U14" s="570" t="s">
        <v>1002</v>
      </c>
      <c r="V14" s="570">
        <v>6</v>
      </c>
      <c r="W14" s="570">
        <v>1</v>
      </c>
      <c r="X14" s="570" t="s">
        <v>1000</v>
      </c>
      <c r="Y14" s="570" t="s">
        <v>1013</v>
      </c>
      <c r="Z14" s="570">
        <v>1</v>
      </c>
      <c r="AA14" s="570">
        <v>0</v>
      </c>
      <c r="AB14" s="570">
        <v>0</v>
      </c>
      <c r="AC14" s="570">
        <v>0</v>
      </c>
      <c r="AD14" s="570">
        <v>0</v>
      </c>
      <c r="AE14" s="570" t="s">
        <v>1014</v>
      </c>
      <c r="AF14" s="570">
        <v>88</v>
      </c>
      <c r="AG14" s="570" t="s">
        <v>1005</v>
      </c>
      <c r="AH14" s="570">
        <v>0</v>
      </c>
      <c r="AI14" s="570" t="s">
        <v>1006</v>
      </c>
      <c r="AJ14" s="570">
        <v>10</v>
      </c>
      <c r="AK14" s="570">
        <v>88</v>
      </c>
      <c r="AL14" s="570">
        <v>1</v>
      </c>
      <c r="AM14" s="570">
        <v>0</v>
      </c>
      <c r="AN14" s="570">
        <v>0</v>
      </c>
      <c r="AO14" s="570">
        <v>9</v>
      </c>
      <c r="AP14" s="570" t="s">
        <v>1002</v>
      </c>
      <c r="AQ14" s="570"/>
      <c r="AR14" s="570"/>
      <c r="AS14" s="570"/>
    </row>
    <row r="15" spans="1:48" x14ac:dyDescent="0.35">
      <c r="A15" s="570">
        <v>300322380</v>
      </c>
      <c r="B15" s="570">
        <v>44</v>
      </c>
      <c r="C15" s="570">
        <v>0</v>
      </c>
      <c r="D15" s="570">
        <v>5</v>
      </c>
      <c r="E15" s="570">
        <v>0</v>
      </c>
      <c r="F15" s="570">
        <v>18.53</v>
      </c>
      <c r="G15" s="570" t="s">
        <v>1000</v>
      </c>
      <c r="H15" s="570">
        <v>2</v>
      </c>
      <c r="I15" s="570">
        <v>0</v>
      </c>
      <c r="J15" s="570">
        <v>0</v>
      </c>
      <c r="K15" s="570">
        <v>0</v>
      </c>
      <c r="L15" s="570">
        <v>0</v>
      </c>
      <c r="M15" s="570">
        <v>0</v>
      </c>
      <c r="N15" s="570" t="s">
        <v>1014</v>
      </c>
      <c r="O15" s="570">
        <v>1</v>
      </c>
      <c r="P15" s="571">
        <v>42958</v>
      </c>
      <c r="Q15" s="570">
        <v>35.101657500000002</v>
      </c>
      <c r="R15" s="570">
        <v>-97.428953300000003</v>
      </c>
      <c r="S15" s="570">
        <v>18.309999999999999</v>
      </c>
      <c r="T15" s="570" t="s">
        <v>1002</v>
      </c>
      <c r="U15" s="570" t="s">
        <v>1002</v>
      </c>
      <c r="V15" s="570">
        <v>6</v>
      </c>
      <c r="W15" s="570">
        <v>1</v>
      </c>
      <c r="X15" s="570" t="s">
        <v>1000</v>
      </c>
      <c r="Y15" s="570" t="s">
        <v>1013</v>
      </c>
      <c r="Z15" s="570">
        <v>1</v>
      </c>
      <c r="AA15" s="570">
        <v>0</v>
      </c>
      <c r="AB15" s="570">
        <v>0</v>
      </c>
      <c r="AC15" s="570">
        <v>0</v>
      </c>
      <c r="AD15" s="570">
        <v>0</v>
      </c>
      <c r="AE15" s="570" t="s">
        <v>1014</v>
      </c>
      <c r="AF15" s="570">
        <v>88</v>
      </c>
      <c r="AG15" s="570" t="s">
        <v>1005</v>
      </c>
      <c r="AH15" s="570">
        <v>0</v>
      </c>
      <c r="AI15" s="570" t="s">
        <v>1006</v>
      </c>
      <c r="AJ15" s="570">
        <v>2</v>
      </c>
      <c r="AK15" s="570">
        <v>98</v>
      </c>
      <c r="AL15" s="570">
        <v>1</v>
      </c>
      <c r="AM15" s="570">
        <v>0</v>
      </c>
      <c r="AN15" s="570">
        <v>36</v>
      </c>
      <c r="AO15" s="570" t="s">
        <v>1007</v>
      </c>
      <c r="AP15" s="570" t="s">
        <v>1008</v>
      </c>
      <c r="AQ15" s="570">
        <v>1</v>
      </c>
      <c r="AR15" s="570">
        <v>1</v>
      </c>
      <c r="AS15" s="570">
        <v>4</v>
      </c>
    </row>
    <row r="16" spans="1:48" x14ac:dyDescent="0.35">
      <c r="A16" s="570">
        <v>300326855</v>
      </c>
      <c r="B16" s="570">
        <v>44</v>
      </c>
      <c r="C16" s="570">
        <v>0</v>
      </c>
      <c r="D16" s="570">
        <v>5</v>
      </c>
      <c r="E16" s="570">
        <v>0</v>
      </c>
      <c r="F16" s="570">
        <v>18.7</v>
      </c>
      <c r="G16" s="570" t="s">
        <v>1000</v>
      </c>
      <c r="H16" s="570">
        <v>2</v>
      </c>
      <c r="I16" s="570">
        <v>0</v>
      </c>
      <c r="J16" s="570">
        <v>0</v>
      </c>
      <c r="K16" s="570">
        <v>0</v>
      </c>
      <c r="L16" s="570">
        <v>0</v>
      </c>
      <c r="M16" s="570">
        <v>0</v>
      </c>
      <c r="N16" s="570" t="s">
        <v>1018</v>
      </c>
      <c r="O16" s="570">
        <v>1</v>
      </c>
      <c r="P16" s="571">
        <v>42996</v>
      </c>
      <c r="Q16" s="570">
        <v>35.103622600000001</v>
      </c>
      <c r="R16" s="570">
        <v>-97.430768299999997</v>
      </c>
      <c r="S16" s="570">
        <v>3.45</v>
      </c>
      <c r="T16" s="570" t="s">
        <v>1002</v>
      </c>
      <c r="U16" s="570" t="s">
        <v>1002</v>
      </c>
      <c r="V16" s="570">
        <v>2</v>
      </c>
      <c r="W16" s="570">
        <v>2</v>
      </c>
      <c r="X16" s="570" t="s">
        <v>1000</v>
      </c>
      <c r="Y16" s="570" t="s">
        <v>1019</v>
      </c>
      <c r="Z16" s="570">
        <v>4</v>
      </c>
      <c r="AA16" s="570">
        <v>0</v>
      </c>
      <c r="AB16" s="570">
        <v>0</v>
      </c>
      <c r="AC16" s="570">
        <v>0</v>
      </c>
      <c r="AD16" s="570">
        <v>0</v>
      </c>
      <c r="AE16" s="570" t="s">
        <v>1011</v>
      </c>
      <c r="AF16" s="570">
        <v>22</v>
      </c>
      <c r="AG16" s="570" t="s">
        <v>1020</v>
      </c>
      <c r="AH16" s="570">
        <v>0</v>
      </c>
      <c r="AI16" s="570" t="s">
        <v>1006</v>
      </c>
      <c r="AJ16" s="570">
        <v>2</v>
      </c>
      <c r="AK16" s="570">
        <v>22</v>
      </c>
      <c r="AL16" s="570">
        <v>2</v>
      </c>
      <c r="AM16" s="570">
        <v>0</v>
      </c>
      <c r="AN16" s="570">
        <v>21</v>
      </c>
      <c r="AO16" s="570" t="s">
        <v>1007</v>
      </c>
      <c r="AP16" s="570" t="s">
        <v>1008</v>
      </c>
      <c r="AQ16" s="570">
        <v>1</v>
      </c>
      <c r="AR16" s="570">
        <v>1</v>
      </c>
      <c r="AS16" s="570">
        <v>4</v>
      </c>
    </row>
    <row r="17" spans="1:45" x14ac:dyDescent="0.35">
      <c r="A17" s="570">
        <v>300326855</v>
      </c>
      <c r="B17" s="570">
        <v>44</v>
      </c>
      <c r="C17" s="570">
        <v>0</v>
      </c>
      <c r="D17" s="570">
        <v>5</v>
      </c>
      <c r="E17" s="570">
        <v>0</v>
      </c>
      <c r="F17" s="570">
        <v>18.7</v>
      </c>
      <c r="G17" s="570" t="s">
        <v>1000</v>
      </c>
      <c r="H17" s="570">
        <v>2</v>
      </c>
      <c r="I17" s="570">
        <v>0</v>
      </c>
      <c r="J17" s="570">
        <v>0</v>
      </c>
      <c r="K17" s="570">
        <v>0</v>
      </c>
      <c r="L17" s="570">
        <v>0</v>
      </c>
      <c r="M17" s="570">
        <v>0</v>
      </c>
      <c r="N17" s="570" t="s">
        <v>1018</v>
      </c>
      <c r="O17" s="570">
        <v>1</v>
      </c>
      <c r="P17" s="571">
        <v>42996</v>
      </c>
      <c r="Q17" s="570">
        <v>35.103622600000001</v>
      </c>
      <c r="R17" s="570">
        <v>-97.430768299999997</v>
      </c>
      <c r="S17" s="570">
        <v>3.45</v>
      </c>
      <c r="T17" s="570" t="s">
        <v>1002</v>
      </c>
      <c r="U17" s="570" t="s">
        <v>1002</v>
      </c>
      <c r="V17" s="570">
        <v>2</v>
      </c>
      <c r="W17" s="570">
        <v>2</v>
      </c>
      <c r="X17" s="570" t="s">
        <v>1000</v>
      </c>
      <c r="Y17" s="570" t="s">
        <v>1019</v>
      </c>
      <c r="Z17" s="570">
        <v>4</v>
      </c>
      <c r="AA17" s="570">
        <v>0</v>
      </c>
      <c r="AB17" s="570">
        <v>0</v>
      </c>
      <c r="AC17" s="570">
        <v>0</v>
      </c>
      <c r="AD17" s="570">
        <v>0</v>
      </c>
      <c r="AE17" s="570" t="s">
        <v>1011</v>
      </c>
      <c r="AF17" s="570">
        <v>22</v>
      </c>
      <c r="AG17" s="570" t="s">
        <v>1020</v>
      </c>
      <c r="AH17" s="570">
        <v>0</v>
      </c>
      <c r="AI17" s="570" t="s">
        <v>1006</v>
      </c>
      <c r="AJ17" s="570">
        <v>2</v>
      </c>
      <c r="AK17" s="570">
        <v>22</v>
      </c>
      <c r="AL17" s="570">
        <v>2</v>
      </c>
      <c r="AM17" s="570">
        <v>0</v>
      </c>
      <c r="AN17" s="570">
        <v>0</v>
      </c>
      <c r="AO17" s="570">
        <v>9</v>
      </c>
      <c r="AP17" s="570" t="s">
        <v>1002</v>
      </c>
      <c r="AQ17" s="570"/>
      <c r="AR17" s="570"/>
      <c r="AS17" s="570"/>
    </row>
    <row r="18" spans="1:45" x14ac:dyDescent="0.35">
      <c r="A18" s="570">
        <v>300327173</v>
      </c>
      <c r="B18" s="570">
        <v>44</v>
      </c>
      <c r="C18" s="570">
        <v>0</v>
      </c>
      <c r="D18" s="570">
        <v>5</v>
      </c>
      <c r="E18" s="570">
        <v>0</v>
      </c>
      <c r="F18" s="570">
        <v>18.420000000000002</v>
      </c>
      <c r="G18" s="570" t="s">
        <v>1000</v>
      </c>
      <c r="H18" s="570">
        <v>2</v>
      </c>
      <c r="I18" s="570">
        <v>0</v>
      </c>
      <c r="J18" s="570">
        <v>0</v>
      </c>
      <c r="K18" s="570">
        <v>0</v>
      </c>
      <c r="L18" s="570">
        <v>0</v>
      </c>
      <c r="M18" s="570">
        <v>0</v>
      </c>
      <c r="N18" s="570" t="s">
        <v>1001</v>
      </c>
      <c r="O18" s="570">
        <v>1</v>
      </c>
      <c r="P18" s="571">
        <v>42992</v>
      </c>
      <c r="Q18" s="570">
        <v>35.1003793</v>
      </c>
      <c r="R18" s="570">
        <v>-97.427789599999997</v>
      </c>
      <c r="S18" s="570">
        <v>8.34</v>
      </c>
      <c r="T18" s="570" t="s">
        <v>1002</v>
      </c>
      <c r="U18" s="570" t="s">
        <v>1002</v>
      </c>
      <c r="V18" s="570">
        <v>5</v>
      </c>
      <c r="W18" s="570">
        <v>1</v>
      </c>
      <c r="X18" s="570" t="s">
        <v>1000</v>
      </c>
      <c r="Y18" s="570" t="s">
        <v>1021</v>
      </c>
      <c r="Z18" s="570">
        <v>1</v>
      </c>
      <c r="AA18" s="570">
        <v>0</v>
      </c>
      <c r="AB18" s="570">
        <v>0</v>
      </c>
      <c r="AC18" s="570">
        <v>0</v>
      </c>
      <c r="AD18" s="570">
        <v>0</v>
      </c>
      <c r="AE18" s="570" t="s">
        <v>1022</v>
      </c>
      <c r="AF18" s="570">
        <v>14</v>
      </c>
      <c r="AG18" s="570" t="s">
        <v>1005</v>
      </c>
      <c r="AH18" s="570">
        <v>0</v>
      </c>
      <c r="AI18" s="570" t="s">
        <v>1006</v>
      </c>
      <c r="AJ18" s="570">
        <v>4</v>
      </c>
      <c r="AK18" s="570">
        <v>14</v>
      </c>
      <c r="AL18" s="570">
        <v>1</v>
      </c>
      <c r="AM18" s="570">
        <v>0</v>
      </c>
      <c r="AN18" s="570">
        <v>69</v>
      </c>
      <c r="AO18" s="570" t="s">
        <v>1007</v>
      </c>
      <c r="AP18" s="570" t="s">
        <v>1008</v>
      </c>
      <c r="AQ18" s="570">
        <v>1</v>
      </c>
      <c r="AR18" s="570">
        <v>1</v>
      </c>
      <c r="AS18" s="570">
        <v>4</v>
      </c>
    </row>
    <row r="19" spans="1:45" x14ac:dyDescent="0.35">
      <c r="A19" s="570">
        <v>300327173</v>
      </c>
      <c r="B19" s="570">
        <v>44</v>
      </c>
      <c r="C19" s="570">
        <v>0</v>
      </c>
      <c r="D19" s="570">
        <v>5</v>
      </c>
      <c r="E19" s="570">
        <v>0</v>
      </c>
      <c r="F19" s="570">
        <v>18.420000000000002</v>
      </c>
      <c r="G19" s="570" t="s">
        <v>1000</v>
      </c>
      <c r="H19" s="570">
        <v>2</v>
      </c>
      <c r="I19" s="570">
        <v>0</v>
      </c>
      <c r="J19" s="570">
        <v>0</v>
      </c>
      <c r="K19" s="570">
        <v>0</v>
      </c>
      <c r="L19" s="570">
        <v>0</v>
      </c>
      <c r="M19" s="570">
        <v>0</v>
      </c>
      <c r="N19" s="570" t="s">
        <v>1001</v>
      </c>
      <c r="O19" s="570">
        <v>1</v>
      </c>
      <c r="P19" s="571">
        <v>42992</v>
      </c>
      <c r="Q19" s="570">
        <v>35.1003793</v>
      </c>
      <c r="R19" s="570">
        <v>-97.427789599999997</v>
      </c>
      <c r="S19" s="570">
        <v>8.34</v>
      </c>
      <c r="T19" s="570" t="s">
        <v>1002</v>
      </c>
      <c r="U19" s="570" t="s">
        <v>1002</v>
      </c>
      <c r="V19" s="570">
        <v>5</v>
      </c>
      <c r="W19" s="570">
        <v>1</v>
      </c>
      <c r="X19" s="570" t="s">
        <v>1000</v>
      </c>
      <c r="Y19" s="570" t="s">
        <v>1021</v>
      </c>
      <c r="Z19" s="570">
        <v>1</v>
      </c>
      <c r="AA19" s="570">
        <v>0</v>
      </c>
      <c r="AB19" s="570">
        <v>0</v>
      </c>
      <c r="AC19" s="570">
        <v>0</v>
      </c>
      <c r="AD19" s="570">
        <v>0</v>
      </c>
      <c r="AE19" s="570" t="s">
        <v>1022</v>
      </c>
      <c r="AF19" s="570">
        <v>14</v>
      </c>
      <c r="AG19" s="570" t="s">
        <v>1005</v>
      </c>
      <c r="AH19" s="570">
        <v>0</v>
      </c>
      <c r="AI19" s="570" t="s">
        <v>1006</v>
      </c>
      <c r="AJ19" s="570">
        <v>4</v>
      </c>
      <c r="AK19" s="570">
        <v>14</v>
      </c>
      <c r="AL19" s="570">
        <v>1</v>
      </c>
      <c r="AM19" s="570">
        <v>0</v>
      </c>
      <c r="AN19" s="570">
        <v>71</v>
      </c>
      <c r="AO19" s="570" t="s">
        <v>1009</v>
      </c>
      <c r="AP19" s="570" t="s">
        <v>1002</v>
      </c>
      <c r="AQ19" s="570">
        <v>1</v>
      </c>
      <c r="AR19" s="570"/>
      <c r="AS19" s="570">
        <v>4</v>
      </c>
    </row>
    <row r="20" spans="1:45" x14ac:dyDescent="0.35">
      <c r="A20" s="570">
        <v>300327173</v>
      </c>
      <c r="B20" s="570">
        <v>44</v>
      </c>
      <c r="C20" s="570">
        <v>0</v>
      </c>
      <c r="D20" s="570">
        <v>5</v>
      </c>
      <c r="E20" s="570">
        <v>0</v>
      </c>
      <c r="F20" s="570">
        <v>18.420000000000002</v>
      </c>
      <c r="G20" s="570" t="s">
        <v>1000</v>
      </c>
      <c r="H20" s="570">
        <v>2</v>
      </c>
      <c r="I20" s="570">
        <v>0</v>
      </c>
      <c r="J20" s="570">
        <v>0</v>
      </c>
      <c r="K20" s="570">
        <v>0</v>
      </c>
      <c r="L20" s="570">
        <v>0</v>
      </c>
      <c r="M20" s="570">
        <v>0</v>
      </c>
      <c r="N20" s="570" t="s">
        <v>1001</v>
      </c>
      <c r="O20" s="570">
        <v>1</v>
      </c>
      <c r="P20" s="571">
        <v>42992</v>
      </c>
      <c r="Q20" s="570">
        <v>35.1003793</v>
      </c>
      <c r="R20" s="570">
        <v>-97.427789599999997</v>
      </c>
      <c r="S20" s="570">
        <v>8.34</v>
      </c>
      <c r="T20" s="570" t="s">
        <v>1002</v>
      </c>
      <c r="U20" s="570" t="s">
        <v>1002</v>
      </c>
      <c r="V20" s="570">
        <v>5</v>
      </c>
      <c r="W20" s="570">
        <v>1</v>
      </c>
      <c r="X20" s="570" t="s">
        <v>1000</v>
      </c>
      <c r="Y20" s="570" t="s">
        <v>1021</v>
      </c>
      <c r="Z20" s="570">
        <v>1</v>
      </c>
      <c r="AA20" s="570">
        <v>0</v>
      </c>
      <c r="AB20" s="570">
        <v>0</v>
      </c>
      <c r="AC20" s="570">
        <v>0</v>
      </c>
      <c r="AD20" s="570">
        <v>0</v>
      </c>
      <c r="AE20" s="570" t="s">
        <v>1022</v>
      </c>
      <c r="AF20" s="570">
        <v>14</v>
      </c>
      <c r="AG20" s="570" t="s">
        <v>1005</v>
      </c>
      <c r="AH20" s="570">
        <v>0</v>
      </c>
      <c r="AI20" s="570" t="s">
        <v>1006</v>
      </c>
      <c r="AJ20" s="570">
        <v>2</v>
      </c>
      <c r="AK20" s="570">
        <v>98</v>
      </c>
      <c r="AL20" s="570">
        <v>1</v>
      </c>
      <c r="AM20" s="570">
        <v>0</v>
      </c>
      <c r="AN20" s="570">
        <v>34</v>
      </c>
      <c r="AO20" s="570" t="s">
        <v>1009</v>
      </c>
      <c r="AP20" s="570" t="s">
        <v>1008</v>
      </c>
      <c r="AQ20" s="570">
        <v>1</v>
      </c>
      <c r="AR20" s="570">
        <v>1</v>
      </c>
      <c r="AS20" s="570">
        <v>4</v>
      </c>
    </row>
    <row r="21" spans="1:45" x14ac:dyDescent="0.35">
      <c r="A21" s="570">
        <v>300327173</v>
      </c>
      <c r="B21" s="570">
        <v>44</v>
      </c>
      <c r="C21" s="570">
        <v>0</v>
      </c>
      <c r="D21" s="570">
        <v>5</v>
      </c>
      <c r="E21" s="570">
        <v>0</v>
      </c>
      <c r="F21" s="570">
        <v>18.420000000000002</v>
      </c>
      <c r="G21" s="570" t="s">
        <v>1000</v>
      </c>
      <c r="H21" s="570">
        <v>2</v>
      </c>
      <c r="I21" s="570">
        <v>0</v>
      </c>
      <c r="J21" s="570">
        <v>0</v>
      </c>
      <c r="K21" s="570">
        <v>0</v>
      </c>
      <c r="L21" s="570">
        <v>0</v>
      </c>
      <c r="M21" s="570">
        <v>0</v>
      </c>
      <c r="N21" s="570" t="s">
        <v>1001</v>
      </c>
      <c r="O21" s="570">
        <v>1</v>
      </c>
      <c r="P21" s="571">
        <v>42992</v>
      </c>
      <c r="Q21" s="570">
        <v>35.1003793</v>
      </c>
      <c r="R21" s="570">
        <v>-97.427789599999997</v>
      </c>
      <c r="S21" s="570">
        <v>8.34</v>
      </c>
      <c r="T21" s="570" t="s">
        <v>1002</v>
      </c>
      <c r="U21" s="570" t="s">
        <v>1002</v>
      </c>
      <c r="V21" s="570">
        <v>5</v>
      </c>
      <c r="W21" s="570">
        <v>1</v>
      </c>
      <c r="X21" s="570" t="s">
        <v>1000</v>
      </c>
      <c r="Y21" s="570" t="s">
        <v>1021</v>
      </c>
      <c r="Z21" s="570">
        <v>1</v>
      </c>
      <c r="AA21" s="570">
        <v>0</v>
      </c>
      <c r="AB21" s="570">
        <v>0</v>
      </c>
      <c r="AC21" s="570">
        <v>0</v>
      </c>
      <c r="AD21" s="570">
        <v>0</v>
      </c>
      <c r="AE21" s="570" t="s">
        <v>1022</v>
      </c>
      <c r="AF21" s="570">
        <v>14</v>
      </c>
      <c r="AG21" s="570" t="s">
        <v>1005</v>
      </c>
      <c r="AH21" s="570">
        <v>0</v>
      </c>
      <c r="AI21" s="570" t="s">
        <v>1006</v>
      </c>
      <c r="AJ21" s="570">
        <v>2</v>
      </c>
      <c r="AK21" s="570">
        <v>98</v>
      </c>
      <c r="AL21" s="570">
        <v>1</v>
      </c>
      <c r="AM21" s="570">
        <v>0</v>
      </c>
      <c r="AN21" s="570">
        <v>0</v>
      </c>
      <c r="AO21" s="570">
        <v>9</v>
      </c>
      <c r="AP21" s="570" t="s">
        <v>1002</v>
      </c>
      <c r="AQ21" s="570"/>
      <c r="AR21" s="570"/>
      <c r="AS21" s="570"/>
    </row>
    <row r="22" spans="1:45" x14ac:dyDescent="0.35">
      <c r="A22" s="570">
        <v>300327173</v>
      </c>
      <c r="B22" s="570">
        <v>44</v>
      </c>
      <c r="C22" s="570">
        <v>0</v>
      </c>
      <c r="D22" s="570">
        <v>5</v>
      </c>
      <c r="E22" s="570">
        <v>0</v>
      </c>
      <c r="F22" s="570">
        <v>18.420000000000002</v>
      </c>
      <c r="G22" s="570" t="s">
        <v>1000</v>
      </c>
      <c r="H22" s="570">
        <v>2</v>
      </c>
      <c r="I22" s="570">
        <v>0</v>
      </c>
      <c r="J22" s="570">
        <v>0</v>
      </c>
      <c r="K22" s="570">
        <v>0</v>
      </c>
      <c r="L22" s="570">
        <v>0</v>
      </c>
      <c r="M22" s="570">
        <v>0</v>
      </c>
      <c r="N22" s="570" t="s">
        <v>1001</v>
      </c>
      <c r="O22" s="570">
        <v>1</v>
      </c>
      <c r="P22" s="571">
        <v>42992</v>
      </c>
      <c r="Q22" s="570">
        <v>35.1003793</v>
      </c>
      <c r="R22" s="570">
        <v>-97.427789599999997</v>
      </c>
      <c r="S22" s="570">
        <v>8.34</v>
      </c>
      <c r="T22" s="570" t="s">
        <v>1002</v>
      </c>
      <c r="U22" s="570" t="s">
        <v>1002</v>
      </c>
      <c r="V22" s="570">
        <v>5</v>
      </c>
      <c r="W22" s="570">
        <v>1</v>
      </c>
      <c r="X22" s="570" t="s">
        <v>1000</v>
      </c>
      <c r="Y22" s="570" t="s">
        <v>1021</v>
      </c>
      <c r="Z22" s="570">
        <v>1</v>
      </c>
      <c r="AA22" s="570">
        <v>0</v>
      </c>
      <c r="AB22" s="570">
        <v>0</v>
      </c>
      <c r="AC22" s="570">
        <v>0</v>
      </c>
      <c r="AD22" s="570">
        <v>0</v>
      </c>
      <c r="AE22" s="570" t="s">
        <v>1022</v>
      </c>
      <c r="AF22" s="570">
        <v>14</v>
      </c>
      <c r="AG22" s="570" t="s">
        <v>1005</v>
      </c>
      <c r="AH22" s="570">
        <v>0</v>
      </c>
      <c r="AI22" s="570" t="s">
        <v>1006</v>
      </c>
      <c r="AJ22" s="570">
        <v>2</v>
      </c>
      <c r="AK22" s="570">
        <v>98</v>
      </c>
      <c r="AL22" s="570">
        <v>1</v>
      </c>
      <c r="AM22" s="570">
        <v>0</v>
      </c>
      <c r="AN22" s="570">
        <v>46</v>
      </c>
      <c r="AO22" s="570" t="s">
        <v>1009</v>
      </c>
      <c r="AP22" s="570" t="s">
        <v>1002</v>
      </c>
      <c r="AQ22" s="570">
        <v>1</v>
      </c>
      <c r="AR22" s="570"/>
      <c r="AS22" s="570">
        <v>4</v>
      </c>
    </row>
    <row r="23" spans="1:45" x14ac:dyDescent="0.35">
      <c r="A23" s="570">
        <v>300327173</v>
      </c>
      <c r="B23" s="570">
        <v>44</v>
      </c>
      <c r="C23" s="570">
        <v>0</v>
      </c>
      <c r="D23" s="570">
        <v>5</v>
      </c>
      <c r="E23" s="570">
        <v>0</v>
      </c>
      <c r="F23" s="570">
        <v>18.420000000000002</v>
      </c>
      <c r="G23" s="570" t="s">
        <v>1000</v>
      </c>
      <c r="H23" s="570">
        <v>2</v>
      </c>
      <c r="I23" s="570">
        <v>0</v>
      </c>
      <c r="J23" s="570">
        <v>0</v>
      </c>
      <c r="K23" s="570">
        <v>0</v>
      </c>
      <c r="L23" s="570">
        <v>0</v>
      </c>
      <c r="M23" s="570">
        <v>0</v>
      </c>
      <c r="N23" s="570" t="s">
        <v>1001</v>
      </c>
      <c r="O23" s="570">
        <v>1</v>
      </c>
      <c r="P23" s="571">
        <v>42992</v>
      </c>
      <c r="Q23" s="570">
        <v>35.1003793</v>
      </c>
      <c r="R23" s="570">
        <v>-97.427789599999997</v>
      </c>
      <c r="S23" s="570">
        <v>8.34</v>
      </c>
      <c r="T23" s="570" t="s">
        <v>1002</v>
      </c>
      <c r="U23" s="570" t="s">
        <v>1002</v>
      </c>
      <c r="V23" s="570">
        <v>5</v>
      </c>
      <c r="W23" s="570">
        <v>1</v>
      </c>
      <c r="X23" s="570" t="s">
        <v>1000</v>
      </c>
      <c r="Y23" s="570" t="s">
        <v>1021</v>
      </c>
      <c r="Z23" s="570">
        <v>1</v>
      </c>
      <c r="AA23" s="570">
        <v>0</v>
      </c>
      <c r="AB23" s="570">
        <v>0</v>
      </c>
      <c r="AC23" s="570">
        <v>0</v>
      </c>
      <c r="AD23" s="570">
        <v>0</v>
      </c>
      <c r="AE23" s="570" t="s">
        <v>1022</v>
      </c>
      <c r="AF23" s="570">
        <v>14</v>
      </c>
      <c r="AG23" s="570" t="s">
        <v>1005</v>
      </c>
      <c r="AH23" s="570">
        <v>0</v>
      </c>
      <c r="AI23" s="570" t="s">
        <v>1006</v>
      </c>
      <c r="AJ23" s="570">
        <v>4</v>
      </c>
      <c r="AK23" s="570">
        <v>98</v>
      </c>
      <c r="AL23" s="570">
        <v>1</v>
      </c>
      <c r="AM23" s="570">
        <v>0</v>
      </c>
      <c r="AN23" s="570">
        <v>38</v>
      </c>
      <c r="AO23" s="570" t="s">
        <v>1009</v>
      </c>
      <c r="AP23" s="570" t="s">
        <v>1008</v>
      </c>
      <c r="AQ23" s="570">
        <v>1</v>
      </c>
      <c r="AR23" s="570">
        <v>1</v>
      </c>
      <c r="AS23" s="570">
        <v>4</v>
      </c>
    </row>
    <row r="24" spans="1:45" x14ac:dyDescent="0.35">
      <c r="A24" s="570">
        <v>300333047</v>
      </c>
      <c r="B24" s="570">
        <v>44</v>
      </c>
      <c r="C24" s="570">
        <v>0</v>
      </c>
      <c r="D24" s="570">
        <v>5</v>
      </c>
      <c r="E24" s="570">
        <v>0</v>
      </c>
      <c r="F24" s="570">
        <v>18.600000000000001</v>
      </c>
      <c r="G24" s="570" t="s">
        <v>1000</v>
      </c>
      <c r="H24" s="570">
        <v>2</v>
      </c>
      <c r="I24" s="570">
        <v>0</v>
      </c>
      <c r="J24" s="570">
        <v>0</v>
      </c>
      <c r="K24" s="570">
        <v>0</v>
      </c>
      <c r="L24" s="570">
        <v>0</v>
      </c>
      <c r="M24" s="570">
        <v>0</v>
      </c>
      <c r="N24" s="570" t="s">
        <v>1001</v>
      </c>
      <c r="O24" s="570">
        <v>2</v>
      </c>
      <c r="P24" s="571">
        <v>43031</v>
      </c>
      <c r="Q24" s="570">
        <v>35.102386799999998</v>
      </c>
      <c r="R24" s="570">
        <v>-97.429617199999996</v>
      </c>
      <c r="S24" s="570">
        <v>6.09</v>
      </c>
      <c r="T24" s="570" t="s">
        <v>1002</v>
      </c>
      <c r="U24" s="570" t="s">
        <v>1002</v>
      </c>
      <c r="V24" s="570">
        <v>2</v>
      </c>
      <c r="W24" s="570">
        <v>2</v>
      </c>
      <c r="X24" s="570" t="s">
        <v>1000</v>
      </c>
      <c r="Y24" s="570" t="s">
        <v>1023</v>
      </c>
      <c r="Z24" s="570">
        <v>1</v>
      </c>
      <c r="AA24" s="570">
        <v>0</v>
      </c>
      <c r="AB24" s="570">
        <v>0</v>
      </c>
      <c r="AC24" s="570">
        <v>1</v>
      </c>
      <c r="AD24" s="570">
        <v>0</v>
      </c>
      <c r="AE24" s="570" t="s">
        <v>1004</v>
      </c>
      <c r="AF24" s="570">
        <v>73</v>
      </c>
      <c r="AG24" s="570" t="s">
        <v>1020</v>
      </c>
      <c r="AH24" s="570">
        <v>0</v>
      </c>
      <c r="AI24" s="570" t="s">
        <v>1006</v>
      </c>
      <c r="AJ24" s="570">
        <v>20</v>
      </c>
      <c r="AK24" s="570">
        <v>73</v>
      </c>
      <c r="AL24" s="570">
        <v>1</v>
      </c>
      <c r="AM24" s="570">
        <v>0</v>
      </c>
      <c r="AN24" s="570">
        <v>21</v>
      </c>
      <c r="AO24" s="570" t="s">
        <v>1009</v>
      </c>
      <c r="AP24" s="570" t="s">
        <v>1008</v>
      </c>
      <c r="AQ24" s="570">
        <v>2</v>
      </c>
      <c r="AR24" s="570">
        <v>1</v>
      </c>
      <c r="AS24" s="570">
        <v>4</v>
      </c>
    </row>
    <row r="25" spans="1:45" x14ac:dyDescent="0.35">
      <c r="A25" s="570">
        <v>300333047</v>
      </c>
      <c r="B25" s="570">
        <v>44</v>
      </c>
      <c r="C25" s="570">
        <v>0</v>
      </c>
      <c r="D25" s="570">
        <v>5</v>
      </c>
      <c r="E25" s="570">
        <v>0</v>
      </c>
      <c r="F25" s="570">
        <v>18.600000000000001</v>
      </c>
      <c r="G25" s="570" t="s">
        <v>1000</v>
      </c>
      <c r="H25" s="570">
        <v>2</v>
      </c>
      <c r="I25" s="570">
        <v>0</v>
      </c>
      <c r="J25" s="570">
        <v>0</v>
      </c>
      <c r="K25" s="570">
        <v>0</v>
      </c>
      <c r="L25" s="570">
        <v>0</v>
      </c>
      <c r="M25" s="570">
        <v>0</v>
      </c>
      <c r="N25" s="570" t="s">
        <v>1001</v>
      </c>
      <c r="O25" s="570">
        <v>2</v>
      </c>
      <c r="P25" s="571">
        <v>43031</v>
      </c>
      <c r="Q25" s="570">
        <v>35.102386799999998</v>
      </c>
      <c r="R25" s="570">
        <v>-97.429617199999996</v>
      </c>
      <c r="S25" s="570">
        <v>6.09</v>
      </c>
      <c r="T25" s="570" t="s">
        <v>1002</v>
      </c>
      <c r="U25" s="570" t="s">
        <v>1002</v>
      </c>
      <c r="V25" s="570">
        <v>2</v>
      </c>
      <c r="W25" s="570">
        <v>2</v>
      </c>
      <c r="X25" s="570" t="s">
        <v>1000</v>
      </c>
      <c r="Y25" s="570" t="s">
        <v>1023</v>
      </c>
      <c r="Z25" s="570">
        <v>1</v>
      </c>
      <c r="AA25" s="570">
        <v>0</v>
      </c>
      <c r="AB25" s="570">
        <v>0</v>
      </c>
      <c r="AC25" s="570">
        <v>1</v>
      </c>
      <c r="AD25" s="570">
        <v>0</v>
      </c>
      <c r="AE25" s="570" t="s">
        <v>1004</v>
      </c>
      <c r="AF25" s="570">
        <v>73</v>
      </c>
      <c r="AG25" s="570" t="s">
        <v>1020</v>
      </c>
      <c r="AH25" s="570">
        <v>0</v>
      </c>
      <c r="AI25" s="570" t="s">
        <v>1006</v>
      </c>
      <c r="AJ25" s="570">
        <v>20</v>
      </c>
      <c r="AK25" s="570">
        <v>73</v>
      </c>
      <c r="AL25" s="570">
        <v>1</v>
      </c>
      <c r="AM25" s="570">
        <v>0</v>
      </c>
      <c r="AN25" s="570">
        <v>0</v>
      </c>
      <c r="AO25" s="570">
        <v>9</v>
      </c>
      <c r="AP25" s="570" t="s">
        <v>1002</v>
      </c>
      <c r="AQ25" s="570"/>
      <c r="AR25" s="570"/>
      <c r="AS25" s="570"/>
    </row>
    <row r="26" spans="1:45" x14ac:dyDescent="0.35">
      <c r="A26" s="570">
        <v>300333047</v>
      </c>
      <c r="B26" s="570">
        <v>44</v>
      </c>
      <c r="C26" s="570">
        <v>0</v>
      </c>
      <c r="D26" s="570">
        <v>5</v>
      </c>
      <c r="E26" s="570">
        <v>0</v>
      </c>
      <c r="F26" s="570">
        <v>18.600000000000001</v>
      </c>
      <c r="G26" s="570" t="s">
        <v>1000</v>
      </c>
      <c r="H26" s="570">
        <v>2</v>
      </c>
      <c r="I26" s="570">
        <v>0</v>
      </c>
      <c r="J26" s="570">
        <v>0</v>
      </c>
      <c r="K26" s="570">
        <v>0</v>
      </c>
      <c r="L26" s="570">
        <v>0</v>
      </c>
      <c r="M26" s="570">
        <v>0</v>
      </c>
      <c r="N26" s="570" t="s">
        <v>1001</v>
      </c>
      <c r="O26" s="570">
        <v>2</v>
      </c>
      <c r="P26" s="571">
        <v>43031</v>
      </c>
      <c r="Q26" s="570">
        <v>35.102386799999998</v>
      </c>
      <c r="R26" s="570">
        <v>-97.429617199999996</v>
      </c>
      <c r="S26" s="570">
        <v>6.09</v>
      </c>
      <c r="T26" s="570" t="s">
        <v>1002</v>
      </c>
      <c r="U26" s="570" t="s">
        <v>1002</v>
      </c>
      <c r="V26" s="570">
        <v>2</v>
      </c>
      <c r="W26" s="570">
        <v>2</v>
      </c>
      <c r="X26" s="570" t="s">
        <v>1000</v>
      </c>
      <c r="Y26" s="570" t="s">
        <v>1023</v>
      </c>
      <c r="Z26" s="570">
        <v>1</v>
      </c>
      <c r="AA26" s="570">
        <v>0</v>
      </c>
      <c r="AB26" s="570">
        <v>0</v>
      </c>
      <c r="AC26" s="570">
        <v>1</v>
      </c>
      <c r="AD26" s="570">
        <v>0</v>
      </c>
      <c r="AE26" s="570" t="s">
        <v>1004</v>
      </c>
      <c r="AF26" s="570">
        <v>73</v>
      </c>
      <c r="AG26" s="570" t="s">
        <v>1020</v>
      </c>
      <c r="AH26" s="570">
        <v>0</v>
      </c>
      <c r="AI26" s="570" t="s">
        <v>1006</v>
      </c>
      <c r="AJ26" s="570">
        <v>10</v>
      </c>
      <c r="AK26" s="570">
        <v>98</v>
      </c>
      <c r="AL26" s="570">
        <v>1</v>
      </c>
      <c r="AM26" s="570">
        <v>0</v>
      </c>
      <c r="AN26" s="570">
        <v>57</v>
      </c>
      <c r="AO26" s="570" t="s">
        <v>1009</v>
      </c>
      <c r="AP26" s="570" t="s">
        <v>1008</v>
      </c>
      <c r="AQ26" s="570">
        <v>1</v>
      </c>
      <c r="AR26" s="570">
        <v>99</v>
      </c>
      <c r="AS26" s="570">
        <v>99</v>
      </c>
    </row>
    <row r="27" spans="1:45" x14ac:dyDescent="0.35">
      <c r="A27" s="570">
        <v>300333047</v>
      </c>
      <c r="B27" s="570">
        <v>44</v>
      </c>
      <c r="C27" s="570">
        <v>0</v>
      </c>
      <c r="D27" s="570">
        <v>5</v>
      </c>
      <c r="E27" s="570">
        <v>0</v>
      </c>
      <c r="F27" s="570">
        <v>18.600000000000001</v>
      </c>
      <c r="G27" s="570" t="s">
        <v>1000</v>
      </c>
      <c r="H27" s="570">
        <v>2</v>
      </c>
      <c r="I27" s="570">
        <v>0</v>
      </c>
      <c r="J27" s="570">
        <v>0</v>
      </c>
      <c r="K27" s="570">
        <v>0</v>
      </c>
      <c r="L27" s="570">
        <v>0</v>
      </c>
      <c r="M27" s="570">
        <v>0</v>
      </c>
      <c r="N27" s="570" t="s">
        <v>1001</v>
      </c>
      <c r="O27" s="570">
        <v>2</v>
      </c>
      <c r="P27" s="571">
        <v>43031</v>
      </c>
      <c r="Q27" s="570">
        <v>35.102386799999998</v>
      </c>
      <c r="R27" s="570">
        <v>-97.429617199999996</v>
      </c>
      <c r="S27" s="570">
        <v>6.09</v>
      </c>
      <c r="T27" s="570" t="s">
        <v>1002</v>
      </c>
      <c r="U27" s="570" t="s">
        <v>1002</v>
      </c>
      <c r="V27" s="570">
        <v>2</v>
      </c>
      <c r="W27" s="570">
        <v>2</v>
      </c>
      <c r="X27" s="570" t="s">
        <v>1000</v>
      </c>
      <c r="Y27" s="570" t="s">
        <v>1023</v>
      </c>
      <c r="Z27" s="570">
        <v>1</v>
      </c>
      <c r="AA27" s="570">
        <v>0</v>
      </c>
      <c r="AB27" s="570">
        <v>0</v>
      </c>
      <c r="AC27" s="570">
        <v>1</v>
      </c>
      <c r="AD27" s="570">
        <v>0</v>
      </c>
      <c r="AE27" s="570" t="s">
        <v>1004</v>
      </c>
      <c r="AF27" s="570">
        <v>73</v>
      </c>
      <c r="AG27" s="570" t="s">
        <v>1020</v>
      </c>
      <c r="AH27" s="570">
        <v>0</v>
      </c>
      <c r="AI27" s="570" t="s">
        <v>1006</v>
      </c>
      <c r="AJ27" s="570">
        <v>10</v>
      </c>
      <c r="AK27" s="570">
        <v>98</v>
      </c>
      <c r="AL27" s="570">
        <v>1</v>
      </c>
      <c r="AM27" s="570">
        <v>0</v>
      </c>
      <c r="AN27" s="570">
        <v>0</v>
      </c>
      <c r="AO27" s="570">
        <v>9</v>
      </c>
      <c r="AP27" s="570" t="s">
        <v>1002</v>
      </c>
      <c r="AQ27" s="570"/>
      <c r="AR27" s="570"/>
      <c r="AS27" s="570"/>
    </row>
    <row r="28" spans="1:45" x14ac:dyDescent="0.35">
      <c r="A28" s="570">
        <v>300346444</v>
      </c>
      <c r="B28" s="570">
        <v>44</v>
      </c>
      <c r="C28" s="570">
        <v>0</v>
      </c>
      <c r="D28" s="570">
        <v>5</v>
      </c>
      <c r="E28" s="570">
        <v>0</v>
      </c>
      <c r="F28" s="570">
        <v>18.7</v>
      </c>
      <c r="G28" s="570" t="s">
        <v>1000</v>
      </c>
      <c r="H28" s="570">
        <v>2</v>
      </c>
      <c r="I28" s="570">
        <v>72</v>
      </c>
      <c r="J28" s="570">
        <v>0</v>
      </c>
      <c r="K28" s="570">
        <v>0</v>
      </c>
      <c r="L28" s="570">
        <v>0</v>
      </c>
      <c r="M28" s="570">
        <v>0</v>
      </c>
      <c r="N28" s="570" t="s">
        <v>1014</v>
      </c>
      <c r="O28" s="570">
        <v>1</v>
      </c>
      <c r="P28" s="571">
        <v>43129</v>
      </c>
      <c r="Q28" s="570">
        <v>35.103538800000003</v>
      </c>
      <c r="R28" s="570">
        <v>-97.430689900000004</v>
      </c>
      <c r="S28" s="570">
        <v>12.42</v>
      </c>
      <c r="T28" s="570" t="s">
        <v>1002</v>
      </c>
      <c r="U28" s="570" t="s">
        <v>1002</v>
      </c>
      <c r="V28" s="570">
        <v>2</v>
      </c>
      <c r="W28" s="570">
        <v>1</v>
      </c>
      <c r="X28" s="570" t="s">
        <v>1024</v>
      </c>
      <c r="Y28" s="570" t="s">
        <v>1025</v>
      </c>
      <c r="Z28" s="570">
        <v>1</v>
      </c>
      <c r="AA28" s="570">
        <v>0</v>
      </c>
      <c r="AB28" s="570">
        <v>0</v>
      </c>
      <c r="AC28" s="570">
        <v>0</v>
      </c>
      <c r="AD28" s="570">
        <v>0</v>
      </c>
      <c r="AE28" s="570" t="s">
        <v>1004</v>
      </c>
      <c r="AF28" s="570">
        <v>73</v>
      </c>
      <c r="AG28" s="570" t="s">
        <v>1012</v>
      </c>
      <c r="AH28" s="570">
        <v>0</v>
      </c>
      <c r="AI28" s="570" t="s">
        <v>1006</v>
      </c>
      <c r="AJ28" s="570">
        <v>2</v>
      </c>
      <c r="AK28" s="570">
        <v>73</v>
      </c>
      <c r="AL28" s="570">
        <v>1</v>
      </c>
      <c r="AM28" s="570">
        <v>0</v>
      </c>
      <c r="AN28" s="570">
        <v>66</v>
      </c>
      <c r="AO28" s="570" t="s">
        <v>1009</v>
      </c>
      <c r="AP28" s="570" t="s">
        <v>1008</v>
      </c>
      <c r="AQ28" s="570">
        <v>1</v>
      </c>
      <c r="AR28" s="570">
        <v>1</v>
      </c>
      <c r="AS28" s="570">
        <v>4</v>
      </c>
    </row>
    <row r="29" spans="1:45" x14ac:dyDescent="0.35">
      <c r="A29" s="570">
        <v>300346444</v>
      </c>
      <c r="B29" s="570">
        <v>44</v>
      </c>
      <c r="C29" s="570">
        <v>0</v>
      </c>
      <c r="D29" s="570">
        <v>5</v>
      </c>
      <c r="E29" s="570">
        <v>0</v>
      </c>
      <c r="F29" s="570">
        <v>18.7</v>
      </c>
      <c r="G29" s="570" t="s">
        <v>1000</v>
      </c>
      <c r="H29" s="570">
        <v>2</v>
      </c>
      <c r="I29" s="570">
        <v>72</v>
      </c>
      <c r="J29" s="570">
        <v>0</v>
      </c>
      <c r="K29" s="570">
        <v>0</v>
      </c>
      <c r="L29" s="570">
        <v>0</v>
      </c>
      <c r="M29" s="570">
        <v>0</v>
      </c>
      <c r="N29" s="570" t="s">
        <v>1014</v>
      </c>
      <c r="O29" s="570">
        <v>1</v>
      </c>
      <c r="P29" s="571">
        <v>43129</v>
      </c>
      <c r="Q29" s="570">
        <v>35.103538800000003</v>
      </c>
      <c r="R29" s="570">
        <v>-97.430689900000004</v>
      </c>
      <c r="S29" s="570">
        <v>12.42</v>
      </c>
      <c r="T29" s="570" t="s">
        <v>1002</v>
      </c>
      <c r="U29" s="570" t="s">
        <v>1002</v>
      </c>
      <c r="V29" s="570">
        <v>2</v>
      </c>
      <c r="W29" s="570">
        <v>1</v>
      </c>
      <c r="X29" s="570" t="s">
        <v>1024</v>
      </c>
      <c r="Y29" s="570" t="s">
        <v>1025</v>
      </c>
      <c r="Z29" s="570">
        <v>1</v>
      </c>
      <c r="AA29" s="570">
        <v>0</v>
      </c>
      <c r="AB29" s="570">
        <v>0</v>
      </c>
      <c r="AC29" s="570">
        <v>0</v>
      </c>
      <c r="AD29" s="570">
        <v>0</v>
      </c>
      <c r="AE29" s="570" t="s">
        <v>1004</v>
      </c>
      <c r="AF29" s="570">
        <v>73</v>
      </c>
      <c r="AG29" s="570" t="s">
        <v>1012</v>
      </c>
      <c r="AH29" s="570">
        <v>0</v>
      </c>
      <c r="AI29" s="570" t="s">
        <v>1006</v>
      </c>
      <c r="AJ29" s="570">
        <v>10</v>
      </c>
      <c r="AK29" s="570">
        <v>98</v>
      </c>
      <c r="AL29" s="570">
        <v>1</v>
      </c>
      <c r="AM29" s="570">
        <v>0</v>
      </c>
      <c r="AN29" s="570">
        <v>48</v>
      </c>
      <c r="AO29" s="570" t="s">
        <v>1009</v>
      </c>
      <c r="AP29" s="570" t="s">
        <v>1008</v>
      </c>
      <c r="AQ29" s="570">
        <v>1</v>
      </c>
      <c r="AR29" s="570">
        <v>1</v>
      </c>
      <c r="AS29" s="570">
        <v>4</v>
      </c>
    </row>
    <row r="30" spans="1:45" x14ac:dyDescent="0.35">
      <c r="A30" s="570">
        <v>300346444</v>
      </c>
      <c r="B30" s="570">
        <v>44</v>
      </c>
      <c r="C30" s="570">
        <v>0</v>
      </c>
      <c r="D30" s="570">
        <v>5</v>
      </c>
      <c r="E30" s="570">
        <v>0</v>
      </c>
      <c r="F30" s="570">
        <v>18.7</v>
      </c>
      <c r="G30" s="570" t="s">
        <v>1000</v>
      </c>
      <c r="H30" s="570">
        <v>2</v>
      </c>
      <c r="I30" s="570">
        <v>72</v>
      </c>
      <c r="J30" s="570">
        <v>0</v>
      </c>
      <c r="K30" s="570">
        <v>0</v>
      </c>
      <c r="L30" s="570">
        <v>0</v>
      </c>
      <c r="M30" s="570">
        <v>0</v>
      </c>
      <c r="N30" s="570" t="s">
        <v>1014</v>
      </c>
      <c r="O30" s="570">
        <v>1</v>
      </c>
      <c r="P30" s="571">
        <v>43129</v>
      </c>
      <c r="Q30" s="570">
        <v>35.103538800000003</v>
      </c>
      <c r="R30" s="570">
        <v>-97.430689900000004</v>
      </c>
      <c r="S30" s="570">
        <v>12.42</v>
      </c>
      <c r="T30" s="570" t="s">
        <v>1002</v>
      </c>
      <c r="U30" s="570" t="s">
        <v>1002</v>
      </c>
      <c r="V30" s="570">
        <v>2</v>
      </c>
      <c r="W30" s="570">
        <v>1</v>
      </c>
      <c r="X30" s="570" t="s">
        <v>1024</v>
      </c>
      <c r="Y30" s="570" t="s">
        <v>1025</v>
      </c>
      <c r="Z30" s="570">
        <v>1</v>
      </c>
      <c r="AA30" s="570">
        <v>0</v>
      </c>
      <c r="AB30" s="570">
        <v>0</v>
      </c>
      <c r="AC30" s="570">
        <v>0</v>
      </c>
      <c r="AD30" s="570">
        <v>0</v>
      </c>
      <c r="AE30" s="570" t="s">
        <v>1004</v>
      </c>
      <c r="AF30" s="570">
        <v>73</v>
      </c>
      <c r="AG30" s="570" t="s">
        <v>1012</v>
      </c>
      <c r="AH30" s="570">
        <v>0</v>
      </c>
      <c r="AI30" s="570" t="s">
        <v>1006</v>
      </c>
      <c r="AJ30" s="570">
        <v>10</v>
      </c>
      <c r="AK30" s="570">
        <v>98</v>
      </c>
      <c r="AL30" s="570">
        <v>1</v>
      </c>
      <c r="AM30" s="570">
        <v>0</v>
      </c>
      <c r="AN30" s="570">
        <v>0</v>
      </c>
      <c r="AO30" s="570">
        <v>9</v>
      </c>
      <c r="AP30" s="570" t="s">
        <v>1002</v>
      </c>
      <c r="AQ30" s="570"/>
      <c r="AR30" s="570"/>
      <c r="AS30" s="570"/>
    </row>
    <row r="31" spans="1:45" x14ac:dyDescent="0.35">
      <c r="A31" s="570">
        <v>300349783</v>
      </c>
      <c r="B31" s="570">
        <v>44</v>
      </c>
      <c r="C31" s="570">
        <v>15</v>
      </c>
      <c r="D31" s="570">
        <v>5</v>
      </c>
      <c r="E31" s="570">
        <v>0</v>
      </c>
      <c r="F31" s="570">
        <v>17.809999999999999</v>
      </c>
      <c r="G31" s="570" t="s">
        <v>1000</v>
      </c>
      <c r="H31" s="570">
        <v>2</v>
      </c>
      <c r="I31" s="570">
        <v>0</v>
      </c>
      <c r="J31" s="570">
        <v>0</v>
      </c>
      <c r="K31" s="570">
        <v>0</v>
      </c>
      <c r="L31" s="570">
        <v>0</v>
      </c>
      <c r="M31" s="570">
        <v>0</v>
      </c>
      <c r="N31" s="570" t="s">
        <v>1010</v>
      </c>
      <c r="O31" s="570">
        <v>1</v>
      </c>
      <c r="P31" s="571">
        <v>43152</v>
      </c>
      <c r="Q31" s="570">
        <v>35.093249499999999</v>
      </c>
      <c r="R31" s="570">
        <v>-97.421201400000001</v>
      </c>
      <c r="S31" s="570">
        <v>16.11</v>
      </c>
      <c r="T31" s="570" t="s">
        <v>1002</v>
      </c>
      <c r="U31" s="570" t="s">
        <v>1002</v>
      </c>
      <c r="V31" s="570">
        <v>4</v>
      </c>
      <c r="W31" s="570">
        <v>5</v>
      </c>
      <c r="X31" s="570" t="s">
        <v>1024</v>
      </c>
      <c r="Y31" s="570" t="s">
        <v>1026</v>
      </c>
      <c r="Z31" s="570">
        <v>6</v>
      </c>
      <c r="AA31" s="570">
        <v>0</v>
      </c>
      <c r="AB31" s="570">
        <v>0</v>
      </c>
      <c r="AC31" s="570">
        <v>0</v>
      </c>
      <c r="AD31" s="570">
        <v>0</v>
      </c>
      <c r="AE31" s="570" t="s">
        <v>1011</v>
      </c>
      <c r="AF31" s="570">
        <v>21</v>
      </c>
      <c r="AG31" s="570" t="s">
        <v>1012</v>
      </c>
      <c r="AH31" s="570">
        <v>0</v>
      </c>
      <c r="AI31" s="570" t="s">
        <v>1006</v>
      </c>
      <c r="AJ31" s="570">
        <v>20</v>
      </c>
      <c r="AK31" s="570">
        <v>21</v>
      </c>
      <c r="AL31" s="570">
        <v>3</v>
      </c>
      <c r="AM31" s="570">
        <v>0</v>
      </c>
      <c r="AN31" s="570">
        <v>38</v>
      </c>
      <c r="AO31" s="570" t="s">
        <v>1009</v>
      </c>
      <c r="AP31" s="570" t="s">
        <v>1008</v>
      </c>
      <c r="AQ31" s="570">
        <v>1</v>
      </c>
      <c r="AR31" s="570">
        <v>1</v>
      </c>
      <c r="AS31" s="570">
        <v>4</v>
      </c>
    </row>
    <row r="32" spans="1:45" x14ac:dyDescent="0.35">
      <c r="A32" s="570">
        <v>300349783</v>
      </c>
      <c r="B32" s="570">
        <v>44</v>
      </c>
      <c r="C32" s="570">
        <v>15</v>
      </c>
      <c r="D32" s="570">
        <v>5</v>
      </c>
      <c r="E32" s="570">
        <v>0</v>
      </c>
      <c r="F32" s="570">
        <v>17.809999999999999</v>
      </c>
      <c r="G32" s="570" t="s">
        <v>1000</v>
      </c>
      <c r="H32" s="570">
        <v>2</v>
      </c>
      <c r="I32" s="570">
        <v>0</v>
      </c>
      <c r="J32" s="570">
        <v>0</v>
      </c>
      <c r="K32" s="570">
        <v>0</v>
      </c>
      <c r="L32" s="570">
        <v>0</v>
      </c>
      <c r="M32" s="570">
        <v>0</v>
      </c>
      <c r="N32" s="570" t="s">
        <v>1010</v>
      </c>
      <c r="O32" s="570">
        <v>1</v>
      </c>
      <c r="P32" s="571">
        <v>43152</v>
      </c>
      <c r="Q32" s="570">
        <v>35.093249499999999</v>
      </c>
      <c r="R32" s="570">
        <v>-97.421201400000001</v>
      </c>
      <c r="S32" s="570">
        <v>16.11</v>
      </c>
      <c r="T32" s="570" t="s">
        <v>1002</v>
      </c>
      <c r="U32" s="570" t="s">
        <v>1002</v>
      </c>
      <c r="V32" s="570">
        <v>4</v>
      </c>
      <c r="W32" s="570">
        <v>5</v>
      </c>
      <c r="X32" s="570" t="s">
        <v>1024</v>
      </c>
      <c r="Y32" s="570" t="s">
        <v>1026</v>
      </c>
      <c r="Z32" s="570">
        <v>6</v>
      </c>
      <c r="AA32" s="570">
        <v>0</v>
      </c>
      <c r="AB32" s="570">
        <v>0</v>
      </c>
      <c r="AC32" s="570">
        <v>0</v>
      </c>
      <c r="AD32" s="570">
        <v>0</v>
      </c>
      <c r="AE32" s="570" t="s">
        <v>1011</v>
      </c>
      <c r="AF32" s="570">
        <v>21</v>
      </c>
      <c r="AG32" s="570" t="s">
        <v>1012</v>
      </c>
      <c r="AH32" s="570">
        <v>0</v>
      </c>
      <c r="AI32" s="570" t="s">
        <v>1006</v>
      </c>
      <c r="AJ32" s="570">
        <v>20</v>
      </c>
      <c r="AK32" s="570">
        <v>21</v>
      </c>
      <c r="AL32" s="570">
        <v>3</v>
      </c>
      <c r="AM32" s="570">
        <v>0</v>
      </c>
      <c r="AN32" s="570">
        <v>0</v>
      </c>
      <c r="AO32" s="570">
        <v>9</v>
      </c>
      <c r="AP32" s="570" t="s">
        <v>1002</v>
      </c>
      <c r="AQ32" s="570"/>
      <c r="AR32" s="570"/>
      <c r="AS32" s="570"/>
    </row>
    <row r="33" spans="1:45" x14ac:dyDescent="0.35">
      <c r="A33" s="570">
        <v>300351041</v>
      </c>
      <c r="B33" s="570">
        <v>44</v>
      </c>
      <c r="C33" s="570">
        <v>15</v>
      </c>
      <c r="D33" s="570">
        <v>5</v>
      </c>
      <c r="E33" s="570">
        <v>0</v>
      </c>
      <c r="F33" s="570">
        <v>17.2</v>
      </c>
      <c r="G33" s="570" t="s">
        <v>1000</v>
      </c>
      <c r="H33" s="570">
        <v>2</v>
      </c>
      <c r="I33" s="570">
        <v>71</v>
      </c>
      <c r="J33" s="570">
        <v>0</v>
      </c>
      <c r="K33" s="570">
        <v>0</v>
      </c>
      <c r="L33" s="570">
        <v>0</v>
      </c>
      <c r="M33" s="570">
        <v>0</v>
      </c>
      <c r="N33" s="570" t="s">
        <v>1001</v>
      </c>
      <c r="O33" s="570">
        <v>1</v>
      </c>
      <c r="P33" s="571">
        <v>43154</v>
      </c>
      <c r="Q33" s="570">
        <v>35.086283999999999</v>
      </c>
      <c r="R33" s="570">
        <v>-97.414562099999998</v>
      </c>
      <c r="S33" s="570">
        <v>10.45</v>
      </c>
      <c r="T33" s="570" t="s">
        <v>1002</v>
      </c>
      <c r="U33" s="570" t="s">
        <v>1002</v>
      </c>
      <c r="V33" s="570">
        <v>6</v>
      </c>
      <c r="W33" s="570">
        <v>1</v>
      </c>
      <c r="X33" s="570" t="s">
        <v>1000</v>
      </c>
      <c r="Y33" s="570" t="s">
        <v>1027</v>
      </c>
      <c r="Z33" s="570">
        <v>4</v>
      </c>
      <c r="AA33" s="570">
        <v>0</v>
      </c>
      <c r="AB33" s="570">
        <v>0</v>
      </c>
      <c r="AC33" s="570">
        <v>0</v>
      </c>
      <c r="AD33" s="570">
        <v>0</v>
      </c>
      <c r="AE33" s="570" t="s">
        <v>1022</v>
      </c>
      <c r="AF33" s="570">
        <v>15</v>
      </c>
      <c r="AG33" s="570" t="s">
        <v>1005</v>
      </c>
      <c r="AH33" s="570">
        <v>0</v>
      </c>
      <c r="AI33" s="570" t="s">
        <v>1006</v>
      </c>
      <c r="AJ33" s="570">
        <v>21</v>
      </c>
      <c r="AK33" s="570">
        <v>15</v>
      </c>
      <c r="AL33" s="570">
        <v>2</v>
      </c>
      <c r="AM33" s="570">
        <v>13</v>
      </c>
      <c r="AN33" s="570">
        <v>38</v>
      </c>
      <c r="AO33" s="570" t="s">
        <v>1009</v>
      </c>
      <c r="AP33" s="570" t="s">
        <v>1008</v>
      </c>
      <c r="AQ33" s="570">
        <v>1</v>
      </c>
      <c r="AR33" s="570">
        <v>1</v>
      </c>
      <c r="AS33" s="570">
        <v>4</v>
      </c>
    </row>
    <row r="34" spans="1:45" x14ac:dyDescent="0.35">
      <c r="A34" s="570">
        <v>300351041</v>
      </c>
      <c r="B34" s="570">
        <v>44</v>
      </c>
      <c r="C34" s="570">
        <v>15</v>
      </c>
      <c r="D34" s="570">
        <v>5</v>
      </c>
      <c r="E34" s="570">
        <v>0</v>
      </c>
      <c r="F34" s="570">
        <v>17.2</v>
      </c>
      <c r="G34" s="570" t="s">
        <v>1000</v>
      </c>
      <c r="H34" s="570">
        <v>2</v>
      </c>
      <c r="I34" s="570">
        <v>71</v>
      </c>
      <c r="J34" s="570">
        <v>0</v>
      </c>
      <c r="K34" s="570">
        <v>0</v>
      </c>
      <c r="L34" s="570">
        <v>0</v>
      </c>
      <c r="M34" s="570">
        <v>0</v>
      </c>
      <c r="N34" s="570" t="s">
        <v>1001</v>
      </c>
      <c r="O34" s="570">
        <v>1</v>
      </c>
      <c r="P34" s="571">
        <v>43154</v>
      </c>
      <c r="Q34" s="570">
        <v>35.086283999999999</v>
      </c>
      <c r="R34" s="570">
        <v>-97.414562099999998</v>
      </c>
      <c r="S34" s="570">
        <v>10.45</v>
      </c>
      <c r="T34" s="570" t="s">
        <v>1002</v>
      </c>
      <c r="U34" s="570" t="s">
        <v>1002</v>
      </c>
      <c r="V34" s="570">
        <v>6</v>
      </c>
      <c r="W34" s="570">
        <v>1</v>
      </c>
      <c r="X34" s="570" t="s">
        <v>1000</v>
      </c>
      <c r="Y34" s="570" t="s">
        <v>1027</v>
      </c>
      <c r="Z34" s="570">
        <v>4</v>
      </c>
      <c r="AA34" s="570">
        <v>0</v>
      </c>
      <c r="AB34" s="570">
        <v>0</v>
      </c>
      <c r="AC34" s="570">
        <v>0</v>
      </c>
      <c r="AD34" s="570">
        <v>0</v>
      </c>
      <c r="AE34" s="570" t="s">
        <v>1022</v>
      </c>
      <c r="AF34" s="570">
        <v>15</v>
      </c>
      <c r="AG34" s="570" t="s">
        <v>1005</v>
      </c>
      <c r="AH34" s="570">
        <v>0</v>
      </c>
      <c r="AI34" s="570" t="s">
        <v>1006</v>
      </c>
      <c r="AJ34" s="570">
        <v>21</v>
      </c>
      <c r="AK34" s="570">
        <v>15</v>
      </c>
      <c r="AL34" s="570">
        <v>2</v>
      </c>
      <c r="AM34" s="570">
        <v>13</v>
      </c>
      <c r="AN34" s="570">
        <v>0</v>
      </c>
      <c r="AO34" s="570">
        <v>9</v>
      </c>
      <c r="AP34" s="570" t="s">
        <v>1002</v>
      </c>
      <c r="AQ34" s="570"/>
      <c r="AR34" s="570"/>
      <c r="AS34" s="570"/>
    </row>
    <row r="35" spans="1:45" x14ac:dyDescent="0.35">
      <c r="A35" s="570">
        <v>300351041</v>
      </c>
      <c r="B35" s="570">
        <v>44</v>
      </c>
      <c r="C35" s="570">
        <v>15</v>
      </c>
      <c r="D35" s="570">
        <v>5</v>
      </c>
      <c r="E35" s="570">
        <v>0</v>
      </c>
      <c r="F35" s="570">
        <v>17.2</v>
      </c>
      <c r="G35" s="570" t="s">
        <v>1000</v>
      </c>
      <c r="H35" s="570">
        <v>2</v>
      </c>
      <c r="I35" s="570">
        <v>71</v>
      </c>
      <c r="J35" s="570">
        <v>0</v>
      </c>
      <c r="K35" s="570">
        <v>0</v>
      </c>
      <c r="L35" s="570">
        <v>0</v>
      </c>
      <c r="M35" s="570">
        <v>0</v>
      </c>
      <c r="N35" s="570" t="s">
        <v>1001</v>
      </c>
      <c r="O35" s="570">
        <v>1</v>
      </c>
      <c r="P35" s="571">
        <v>43154</v>
      </c>
      <c r="Q35" s="570">
        <v>35.086283999999999</v>
      </c>
      <c r="R35" s="570">
        <v>-97.414562099999998</v>
      </c>
      <c r="S35" s="570">
        <v>10.45</v>
      </c>
      <c r="T35" s="570" t="s">
        <v>1002</v>
      </c>
      <c r="U35" s="570" t="s">
        <v>1002</v>
      </c>
      <c r="V35" s="570">
        <v>6</v>
      </c>
      <c r="W35" s="570">
        <v>1</v>
      </c>
      <c r="X35" s="570" t="s">
        <v>1000</v>
      </c>
      <c r="Y35" s="570" t="s">
        <v>1027</v>
      </c>
      <c r="Z35" s="570">
        <v>4</v>
      </c>
      <c r="AA35" s="570">
        <v>0</v>
      </c>
      <c r="AB35" s="570">
        <v>0</v>
      </c>
      <c r="AC35" s="570">
        <v>0</v>
      </c>
      <c r="AD35" s="570">
        <v>0</v>
      </c>
      <c r="AE35" s="570" t="s">
        <v>1022</v>
      </c>
      <c r="AF35" s="570">
        <v>15</v>
      </c>
      <c r="AG35" s="570" t="s">
        <v>1005</v>
      </c>
      <c r="AH35" s="570">
        <v>0</v>
      </c>
      <c r="AI35" s="570" t="s">
        <v>1006</v>
      </c>
      <c r="AJ35" s="570">
        <v>21</v>
      </c>
      <c r="AK35" s="570">
        <v>15</v>
      </c>
      <c r="AL35" s="570">
        <v>2</v>
      </c>
      <c r="AM35" s="570">
        <v>13</v>
      </c>
      <c r="AN35" s="570">
        <v>46</v>
      </c>
      <c r="AO35" s="570" t="s">
        <v>1009</v>
      </c>
      <c r="AP35" s="570" t="s">
        <v>1002</v>
      </c>
      <c r="AQ35" s="570">
        <v>1</v>
      </c>
      <c r="AR35" s="570"/>
      <c r="AS35" s="570">
        <v>4</v>
      </c>
    </row>
    <row r="36" spans="1:45" x14ac:dyDescent="0.35">
      <c r="A36" s="570">
        <v>300351041</v>
      </c>
      <c r="B36" s="570">
        <v>44</v>
      </c>
      <c r="C36" s="570">
        <v>15</v>
      </c>
      <c r="D36" s="570">
        <v>5</v>
      </c>
      <c r="E36" s="570">
        <v>0</v>
      </c>
      <c r="F36" s="570">
        <v>17.2</v>
      </c>
      <c r="G36" s="570" t="s">
        <v>1000</v>
      </c>
      <c r="H36" s="570">
        <v>2</v>
      </c>
      <c r="I36" s="570">
        <v>71</v>
      </c>
      <c r="J36" s="570">
        <v>0</v>
      </c>
      <c r="K36" s="570">
        <v>0</v>
      </c>
      <c r="L36" s="570">
        <v>0</v>
      </c>
      <c r="M36" s="570">
        <v>0</v>
      </c>
      <c r="N36" s="570" t="s">
        <v>1001</v>
      </c>
      <c r="O36" s="570">
        <v>1</v>
      </c>
      <c r="P36" s="571">
        <v>43154</v>
      </c>
      <c r="Q36" s="570">
        <v>35.086283999999999</v>
      </c>
      <c r="R36" s="570">
        <v>-97.414562099999998</v>
      </c>
      <c r="S36" s="570">
        <v>10.45</v>
      </c>
      <c r="T36" s="570" t="s">
        <v>1002</v>
      </c>
      <c r="U36" s="570" t="s">
        <v>1002</v>
      </c>
      <c r="V36" s="570">
        <v>6</v>
      </c>
      <c r="W36" s="570">
        <v>1</v>
      </c>
      <c r="X36" s="570" t="s">
        <v>1000</v>
      </c>
      <c r="Y36" s="570" t="s">
        <v>1027</v>
      </c>
      <c r="Z36" s="570">
        <v>4</v>
      </c>
      <c r="AA36" s="570">
        <v>0</v>
      </c>
      <c r="AB36" s="570">
        <v>0</v>
      </c>
      <c r="AC36" s="570">
        <v>0</v>
      </c>
      <c r="AD36" s="570">
        <v>0</v>
      </c>
      <c r="AE36" s="570" t="s">
        <v>1022</v>
      </c>
      <c r="AF36" s="570">
        <v>15</v>
      </c>
      <c r="AG36" s="570" t="s">
        <v>1005</v>
      </c>
      <c r="AH36" s="570">
        <v>0</v>
      </c>
      <c r="AI36" s="570" t="s">
        <v>1006</v>
      </c>
      <c r="AJ36" s="570">
        <v>4</v>
      </c>
      <c r="AK36" s="570">
        <v>98</v>
      </c>
      <c r="AL36" s="570">
        <v>2</v>
      </c>
      <c r="AM36" s="570">
        <v>13</v>
      </c>
      <c r="AN36" s="570">
        <v>32</v>
      </c>
      <c r="AO36" s="570" t="s">
        <v>1009</v>
      </c>
      <c r="AP36" s="570" t="s">
        <v>1008</v>
      </c>
      <c r="AQ36" s="570">
        <v>1</v>
      </c>
      <c r="AR36" s="570">
        <v>1</v>
      </c>
      <c r="AS36" s="570">
        <v>4</v>
      </c>
    </row>
    <row r="37" spans="1:45" x14ac:dyDescent="0.35">
      <c r="A37" s="570">
        <v>300351041</v>
      </c>
      <c r="B37" s="570">
        <v>44</v>
      </c>
      <c r="C37" s="570">
        <v>15</v>
      </c>
      <c r="D37" s="570">
        <v>5</v>
      </c>
      <c r="E37" s="570">
        <v>0</v>
      </c>
      <c r="F37" s="570">
        <v>17.2</v>
      </c>
      <c r="G37" s="570" t="s">
        <v>1000</v>
      </c>
      <c r="H37" s="570">
        <v>2</v>
      </c>
      <c r="I37" s="570">
        <v>71</v>
      </c>
      <c r="J37" s="570">
        <v>0</v>
      </c>
      <c r="K37" s="570">
        <v>0</v>
      </c>
      <c r="L37" s="570">
        <v>0</v>
      </c>
      <c r="M37" s="570">
        <v>0</v>
      </c>
      <c r="N37" s="570" t="s">
        <v>1001</v>
      </c>
      <c r="O37" s="570">
        <v>1</v>
      </c>
      <c r="P37" s="571">
        <v>43154</v>
      </c>
      <c r="Q37" s="570">
        <v>35.086283999999999</v>
      </c>
      <c r="R37" s="570">
        <v>-97.414562099999998</v>
      </c>
      <c r="S37" s="570">
        <v>10.45</v>
      </c>
      <c r="T37" s="570" t="s">
        <v>1002</v>
      </c>
      <c r="U37" s="570" t="s">
        <v>1002</v>
      </c>
      <c r="V37" s="570">
        <v>6</v>
      </c>
      <c r="W37" s="570">
        <v>1</v>
      </c>
      <c r="X37" s="570" t="s">
        <v>1000</v>
      </c>
      <c r="Y37" s="570" t="s">
        <v>1027</v>
      </c>
      <c r="Z37" s="570">
        <v>4</v>
      </c>
      <c r="AA37" s="570">
        <v>0</v>
      </c>
      <c r="AB37" s="570">
        <v>0</v>
      </c>
      <c r="AC37" s="570">
        <v>0</v>
      </c>
      <c r="AD37" s="570">
        <v>0</v>
      </c>
      <c r="AE37" s="570" t="s">
        <v>1022</v>
      </c>
      <c r="AF37" s="570">
        <v>15</v>
      </c>
      <c r="AG37" s="570" t="s">
        <v>1005</v>
      </c>
      <c r="AH37" s="570">
        <v>0</v>
      </c>
      <c r="AI37" s="570" t="s">
        <v>1006</v>
      </c>
      <c r="AJ37" s="570">
        <v>4</v>
      </c>
      <c r="AK37" s="570">
        <v>98</v>
      </c>
      <c r="AL37" s="570">
        <v>2</v>
      </c>
      <c r="AM37" s="570">
        <v>13</v>
      </c>
      <c r="AN37" s="570">
        <v>27</v>
      </c>
      <c r="AO37" s="570" t="s">
        <v>1009</v>
      </c>
      <c r="AP37" s="570" t="s">
        <v>1002</v>
      </c>
      <c r="AQ37" s="570">
        <v>1</v>
      </c>
      <c r="AR37" s="570"/>
      <c r="AS37" s="570">
        <v>4</v>
      </c>
    </row>
    <row r="38" spans="1:45" x14ac:dyDescent="0.35">
      <c r="A38" s="570">
        <v>300351041</v>
      </c>
      <c r="B38" s="570">
        <v>44</v>
      </c>
      <c r="C38" s="570">
        <v>15</v>
      </c>
      <c r="D38" s="570">
        <v>5</v>
      </c>
      <c r="E38" s="570">
        <v>0</v>
      </c>
      <c r="F38" s="570">
        <v>17.2</v>
      </c>
      <c r="G38" s="570" t="s">
        <v>1000</v>
      </c>
      <c r="H38" s="570">
        <v>2</v>
      </c>
      <c r="I38" s="570">
        <v>71</v>
      </c>
      <c r="J38" s="570">
        <v>0</v>
      </c>
      <c r="K38" s="570">
        <v>0</v>
      </c>
      <c r="L38" s="570">
        <v>0</v>
      </c>
      <c r="M38" s="570">
        <v>0</v>
      </c>
      <c r="N38" s="570" t="s">
        <v>1001</v>
      </c>
      <c r="O38" s="570">
        <v>1</v>
      </c>
      <c r="P38" s="571">
        <v>43154</v>
      </c>
      <c r="Q38" s="570">
        <v>35.086283999999999</v>
      </c>
      <c r="R38" s="570">
        <v>-97.414562099999998</v>
      </c>
      <c r="S38" s="570">
        <v>10.45</v>
      </c>
      <c r="T38" s="570" t="s">
        <v>1002</v>
      </c>
      <c r="U38" s="570" t="s">
        <v>1002</v>
      </c>
      <c r="V38" s="570">
        <v>6</v>
      </c>
      <c r="W38" s="570">
        <v>1</v>
      </c>
      <c r="X38" s="570" t="s">
        <v>1000</v>
      </c>
      <c r="Y38" s="570" t="s">
        <v>1027</v>
      </c>
      <c r="Z38" s="570">
        <v>4</v>
      </c>
      <c r="AA38" s="570">
        <v>0</v>
      </c>
      <c r="AB38" s="570">
        <v>0</v>
      </c>
      <c r="AC38" s="570">
        <v>0</v>
      </c>
      <c r="AD38" s="570">
        <v>0</v>
      </c>
      <c r="AE38" s="570" t="s">
        <v>1022</v>
      </c>
      <c r="AF38" s="570">
        <v>15</v>
      </c>
      <c r="AG38" s="570" t="s">
        <v>1005</v>
      </c>
      <c r="AH38" s="570">
        <v>0</v>
      </c>
      <c r="AI38" s="570" t="s">
        <v>1006</v>
      </c>
      <c r="AJ38" s="570">
        <v>20</v>
      </c>
      <c r="AK38" s="570">
        <v>98</v>
      </c>
      <c r="AL38" s="570">
        <v>2</v>
      </c>
      <c r="AM38" s="570">
        <v>13</v>
      </c>
      <c r="AN38" s="570">
        <v>58</v>
      </c>
      <c r="AO38" s="570" t="s">
        <v>1009</v>
      </c>
      <c r="AP38" s="570" t="s">
        <v>1008</v>
      </c>
      <c r="AQ38" s="570">
        <v>1</v>
      </c>
      <c r="AR38" s="570">
        <v>1</v>
      </c>
      <c r="AS38" s="570">
        <v>4</v>
      </c>
    </row>
    <row r="39" spans="1:45" x14ac:dyDescent="0.35">
      <c r="A39" s="570">
        <v>300351041</v>
      </c>
      <c r="B39" s="570">
        <v>44</v>
      </c>
      <c r="C39" s="570">
        <v>15</v>
      </c>
      <c r="D39" s="570">
        <v>5</v>
      </c>
      <c r="E39" s="570">
        <v>0</v>
      </c>
      <c r="F39" s="570">
        <v>17.2</v>
      </c>
      <c r="G39" s="570" t="s">
        <v>1000</v>
      </c>
      <c r="H39" s="570">
        <v>2</v>
      </c>
      <c r="I39" s="570">
        <v>71</v>
      </c>
      <c r="J39" s="570">
        <v>0</v>
      </c>
      <c r="K39" s="570">
        <v>0</v>
      </c>
      <c r="L39" s="570">
        <v>0</v>
      </c>
      <c r="M39" s="570">
        <v>0</v>
      </c>
      <c r="N39" s="570" t="s">
        <v>1001</v>
      </c>
      <c r="O39" s="570">
        <v>1</v>
      </c>
      <c r="P39" s="571">
        <v>43154</v>
      </c>
      <c r="Q39" s="570">
        <v>35.086283999999999</v>
      </c>
      <c r="R39" s="570">
        <v>-97.414562099999998</v>
      </c>
      <c r="S39" s="570">
        <v>10.45</v>
      </c>
      <c r="T39" s="570" t="s">
        <v>1002</v>
      </c>
      <c r="U39" s="570" t="s">
        <v>1002</v>
      </c>
      <c r="V39" s="570">
        <v>6</v>
      </c>
      <c r="W39" s="570">
        <v>1</v>
      </c>
      <c r="X39" s="570" t="s">
        <v>1000</v>
      </c>
      <c r="Y39" s="570" t="s">
        <v>1027</v>
      </c>
      <c r="Z39" s="570">
        <v>4</v>
      </c>
      <c r="AA39" s="570">
        <v>0</v>
      </c>
      <c r="AB39" s="570">
        <v>0</v>
      </c>
      <c r="AC39" s="570">
        <v>0</v>
      </c>
      <c r="AD39" s="570">
        <v>0</v>
      </c>
      <c r="AE39" s="570" t="s">
        <v>1022</v>
      </c>
      <c r="AF39" s="570">
        <v>15</v>
      </c>
      <c r="AG39" s="570" t="s">
        <v>1005</v>
      </c>
      <c r="AH39" s="570">
        <v>0</v>
      </c>
      <c r="AI39" s="570" t="s">
        <v>1006</v>
      </c>
      <c r="AJ39" s="570">
        <v>20</v>
      </c>
      <c r="AK39" s="570">
        <v>98</v>
      </c>
      <c r="AL39" s="570">
        <v>2</v>
      </c>
      <c r="AM39" s="570">
        <v>13</v>
      </c>
      <c r="AN39" s="570">
        <v>0</v>
      </c>
      <c r="AO39" s="570">
        <v>9</v>
      </c>
      <c r="AP39" s="570" t="s">
        <v>1002</v>
      </c>
      <c r="AQ39" s="570"/>
      <c r="AR39" s="570"/>
      <c r="AS39" s="570"/>
    </row>
    <row r="40" spans="1:45" x14ac:dyDescent="0.35">
      <c r="A40" s="570">
        <v>300351041</v>
      </c>
      <c r="B40" s="570">
        <v>44</v>
      </c>
      <c r="C40" s="570">
        <v>15</v>
      </c>
      <c r="D40" s="570">
        <v>5</v>
      </c>
      <c r="E40" s="570">
        <v>0</v>
      </c>
      <c r="F40" s="570">
        <v>17.2</v>
      </c>
      <c r="G40" s="570" t="s">
        <v>1000</v>
      </c>
      <c r="H40" s="570">
        <v>2</v>
      </c>
      <c r="I40" s="570">
        <v>71</v>
      </c>
      <c r="J40" s="570">
        <v>0</v>
      </c>
      <c r="K40" s="570">
        <v>0</v>
      </c>
      <c r="L40" s="570">
        <v>0</v>
      </c>
      <c r="M40" s="570">
        <v>0</v>
      </c>
      <c r="N40" s="570" t="s">
        <v>1001</v>
      </c>
      <c r="O40" s="570">
        <v>1</v>
      </c>
      <c r="P40" s="571">
        <v>43154</v>
      </c>
      <c r="Q40" s="570">
        <v>35.086283999999999</v>
      </c>
      <c r="R40" s="570">
        <v>-97.414562099999998</v>
      </c>
      <c r="S40" s="570">
        <v>10.45</v>
      </c>
      <c r="T40" s="570" t="s">
        <v>1002</v>
      </c>
      <c r="U40" s="570" t="s">
        <v>1002</v>
      </c>
      <c r="V40" s="570">
        <v>6</v>
      </c>
      <c r="W40" s="570">
        <v>1</v>
      </c>
      <c r="X40" s="570" t="s">
        <v>1000</v>
      </c>
      <c r="Y40" s="570" t="s">
        <v>1027</v>
      </c>
      <c r="Z40" s="570">
        <v>4</v>
      </c>
      <c r="AA40" s="570">
        <v>0</v>
      </c>
      <c r="AB40" s="570">
        <v>0</v>
      </c>
      <c r="AC40" s="570">
        <v>0</v>
      </c>
      <c r="AD40" s="570">
        <v>0</v>
      </c>
      <c r="AE40" s="570" t="s">
        <v>1022</v>
      </c>
      <c r="AF40" s="570">
        <v>15</v>
      </c>
      <c r="AG40" s="570" t="s">
        <v>1005</v>
      </c>
      <c r="AH40" s="570">
        <v>0</v>
      </c>
      <c r="AI40" s="570" t="s">
        <v>1006</v>
      </c>
      <c r="AJ40" s="570">
        <v>20</v>
      </c>
      <c r="AK40" s="570">
        <v>98</v>
      </c>
      <c r="AL40" s="570">
        <v>2</v>
      </c>
      <c r="AM40" s="570">
        <v>13</v>
      </c>
      <c r="AN40" s="570">
        <v>38</v>
      </c>
      <c r="AO40" s="570" t="s">
        <v>1007</v>
      </c>
      <c r="AP40" s="570" t="s">
        <v>1002</v>
      </c>
      <c r="AQ40" s="570">
        <v>1</v>
      </c>
      <c r="AR40" s="570"/>
      <c r="AS40" s="570">
        <v>4</v>
      </c>
    </row>
    <row r="41" spans="1:45" x14ac:dyDescent="0.35">
      <c r="A41" s="570">
        <v>300351041</v>
      </c>
      <c r="B41" s="570">
        <v>44</v>
      </c>
      <c r="C41" s="570">
        <v>15</v>
      </c>
      <c r="D41" s="570">
        <v>5</v>
      </c>
      <c r="E41" s="570">
        <v>0</v>
      </c>
      <c r="F41" s="570">
        <v>17.2</v>
      </c>
      <c r="G41" s="570" t="s">
        <v>1000</v>
      </c>
      <c r="H41" s="570">
        <v>2</v>
      </c>
      <c r="I41" s="570">
        <v>71</v>
      </c>
      <c r="J41" s="570">
        <v>0</v>
      </c>
      <c r="K41" s="570">
        <v>0</v>
      </c>
      <c r="L41" s="570">
        <v>0</v>
      </c>
      <c r="M41" s="570">
        <v>0</v>
      </c>
      <c r="N41" s="570" t="s">
        <v>1001</v>
      </c>
      <c r="O41" s="570">
        <v>1</v>
      </c>
      <c r="P41" s="571">
        <v>43154</v>
      </c>
      <c r="Q41" s="570">
        <v>35.086283999999999</v>
      </c>
      <c r="R41" s="570">
        <v>-97.414562099999998</v>
      </c>
      <c r="S41" s="570">
        <v>10.45</v>
      </c>
      <c r="T41" s="570" t="s">
        <v>1002</v>
      </c>
      <c r="U41" s="570" t="s">
        <v>1002</v>
      </c>
      <c r="V41" s="570">
        <v>6</v>
      </c>
      <c r="W41" s="570">
        <v>1</v>
      </c>
      <c r="X41" s="570" t="s">
        <v>1000</v>
      </c>
      <c r="Y41" s="570" t="s">
        <v>1027</v>
      </c>
      <c r="Z41" s="570">
        <v>4</v>
      </c>
      <c r="AA41" s="570">
        <v>0</v>
      </c>
      <c r="AB41" s="570">
        <v>0</v>
      </c>
      <c r="AC41" s="570">
        <v>0</v>
      </c>
      <c r="AD41" s="570">
        <v>0</v>
      </c>
      <c r="AE41" s="570" t="s">
        <v>1022</v>
      </c>
      <c r="AF41" s="570">
        <v>15</v>
      </c>
      <c r="AG41" s="570" t="s">
        <v>1005</v>
      </c>
      <c r="AH41" s="570">
        <v>0</v>
      </c>
      <c r="AI41" s="570" t="s">
        <v>1006</v>
      </c>
      <c r="AJ41" s="570">
        <v>20</v>
      </c>
      <c r="AK41" s="570">
        <v>98</v>
      </c>
      <c r="AL41" s="570">
        <v>2</v>
      </c>
      <c r="AM41" s="570">
        <v>13</v>
      </c>
      <c r="AN41" s="570">
        <v>1</v>
      </c>
      <c r="AO41" s="570" t="s">
        <v>1007</v>
      </c>
      <c r="AP41" s="570" t="s">
        <v>1002</v>
      </c>
      <c r="AQ41" s="570">
        <v>1</v>
      </c>
      <c r="AR41" s="570"/>
      <c r="AS41" s="570">
        <v>9</v>
      </c>
    </row>
    <row r="42" spans="1:45" x14ac:dyDescent="0.35">
      <c r="A42" s="570">
        <v>300351054</v>
      </c>
      <c r="B42" s="570">
        <v>44</v>
      </c>
      <c r="C42" s="570">
        <v>15</v>
      </c>
      <c r="D42" s="570">
        <v>5</v>
      </c>
      <c r="E42" s="570">
        <v>0</v>
      </c>
      <c r="F42" s="570">
        <v>16.829999999999998</v>
      </c>
      <c r="G42" s="570" t="s">
        <v>1000</v>
      </c>
      <c r="H42" s="570">
        <v>2</v>
      </c>
      <c r="I42" s="570">
        <v>0</v>
      </c>
      <c r="J42" s="570">
        <v>0</v>
      </c>
      <c r="K42" s="570">
        <v>0</v>
      </c>
      <c r="L42" s="570">
        <v>0</v>
      </c>
      <c r="M42" s="570">
        <v>0</v>
      </c>
      <c r="N42" s="570" t="s">
        <v>1001</v>
      </c>
      <c r="O42" s="570">
        <v>1</v>
      </c>
      <c r="P42" s="571">
        <v>43152</v>
      </c>
      <c r="Q42" s="570">
        <v>35.082064000000003</v>
      </c>
      <c r="R42" s="570">
        <v>-97.410527000000002</v>
      </c>
      <c r="S42" s="570">
        <v>16.52</v>
      </c>
      <c r="T42" s="570" t="s">
        <v>1002</v>
      </c>
      <c r="U42" s="570" t="s">
        <v>1002</v>
      </c>
      <c r="V42" s="570">
        <v>4</v>
      </c>
      <c r="W42" s="570">
        <v>1</v>
      </c>
      <c r="X42" s="570" t="s">
        <v>1000</v>
      </c>
      <c r="Y42" s="570" t="s">
        <v>1013</v>
      </c>
      <c r="Z42" s="570">
        <v>6</v>
      </c>
      <c r="AA42" s="570">
        <v>0</v>
      </c>
      <c r="AB42" s="570">
        <v>0</v>
      </c>
      <c r="AC42" s="570">
        <v>0</v>
      </c>
      <c r="AD42" s="570">
        <v>0</v>
      </c>
      <c r="AE42" s="570" t="s">
        <v>1011</v>
      </c>
      <c r="AF42" s="570">
        <v>21</v>
      </c>
      <c r="AG42" s="570" t="s">
        <v>1005</v>
      </c>
      <c r="AH42" s="570">
        <v>0</v>
      </c>
      <c r="AI42" s="570" t="s">
        <v>1006</v>
      </c>
      <c r="AJ42" s="570">
        <v>4</v>
      </c>
      <c r="AK42" s="570">
        <v>21</v>
      </c>
      <c r="AL42" s="570">
        <v>3</v>
      </c>
      <c r="AM42" s="570">
        <v>0</v>
      </c>
      <c r="AN42" s="570">
        <v>26</v>
      </c>
      <c r="AO42" s="570" t="s">
        <v>1009</v>
      </c>
      <c r="AP42" s="570" t="s">
        <v>1008</v>
      </c>
      <c r="AQ42" s="570">
        <v>1</v>
      </c>
      <c r="AR42" s="570">
        <v>1</v>
      </c>
      <c r="AS42" s="570">
        <v>4</v>
      </c>
    </row>
    <row r="43" spans="1:45" x14ac:dyDescent="0.35">
      <c r="A43" s="570">
        <v>300351054</v>
      </c>
      <c r="B43" s="570">
        <v>44</v>
      </c>
      <c r="C43" s="570">
        <v>15</v>
      </c>
      <c r="D43" s="570">
        <v>5</v>
      </c>
      <c r="E43" s="570">
        <v>0</v>
      </c>
      <c r="F43" s="570">
        <v>16.829999999999998</v>
      </c>
      <c r="G43" s="570" t="s">
        <v>1000</v>
      </c>
      <c r="H43" s="570">
        <v>2</v>
      </c>
      <c r="I43" s="570">
        <v>0</v>
      </c>
      <c r="J43" s="570">
        <v>0</v>
      </c>
      <c r="K43" s="570">
        <v>0</v>
      </c>
      <c r="L43" s="570">
        <v>0</v>
      </c>
      <c r="M43" s="570">
        <v>0</v>
      </c>
      <c r="N43" s="570" t="s">
        <v>1001</v>
      </c>
      <c r="O43" s="570">
        <v>1</v>
      </c>
      <c r="P43" s="571">
        <v>43152</v>
      </c>
      <c r="Q43" s="570">
        <v>35.082064000000003</v>
      </c>
      <c r="R43" s="570">
        <v>-97.410527000000002</v>
      </c>
      <c r="S43" s="570">
        <v>16.52</v>
      </c>
      <c r="T43" s="570" t="s">
        <v>1002</v>
      </c>
      <c r="U43" s="570" t="s">
        <v>1002</v>
      </c>
      <c r="V43" s="570">
        <v>4</v>
      </c>
      <c r="W43" s="570">
        <v>1</v>
      </c>
      <c r="X43" s="570" t="s">
        <v>1000</v>
      </c>
      <c r="Y43" s="570" t="s">
        <v>1013</v>
      </c>
      <c r="Z43" s="570">
        <v>6</v>
      </c>
      <c r="AA43" s="570">
        <v>0</v>
      </c>
      <c r="AB43" s="570">
        <v>0</v>
      </c>
      <c r="AC43" s="570">
        <v>0</v>
      </c>
      <c r="AD43" s="570">
        <v>0</v>
      </c>
      <c r="AE43" s="570" t="s">
        <v>1011</v>
      </c>
      <c r="AF43" s="570">
        <v>21</v>
      </c>
      <c r="AG43" s="570" t="s">
        <v>1005</v>
      </c>
      <c r="AH43" s="570">
        <v>0</v>
      </c>
      <c r="AI43" s="570" t="s">
        <v>1006</v>
      </c>
      <c r="AJ43" s="570">
        <v>10</v>
      </c>
      <c r="AK43" s="570">
        <v>98</v>
      </c>
      <c r="AL43" s="570">
        <v>3</v>
      </c>
      <c r="AM43" s="570">
        <v>0</v>
      </c>
      <c r="AN43" s="570">
        <v>49</v>
      </c>
      <c r="AO43" s="570" t="s">
        <v>1009</v>
      </c>
      <c r="AP43" s="570" t="s">
        <v>1008</v>
      </c>
      <c r="AQ43" s="570">
        <v>1</v>
      </c>
      <c r="AR43" s="570">
        <v>1</v>
      </c>
      <c r="AS43" s="570">
        <v>4</v>
      </c>
    </row>
    <row r="44" spans="1:45" x14ac:dyDescent="0.35">
      <c r="A44" s="570">
        <v>300351054</v>
      </c>
      <c r="B44" s="570">
        <v>44</v>
      </c>
      <c r="C44" s="570">
        <v>15</v>
      </c>
      <c r="D44" s="570">
        <v>5</v>
      </c>
      <c r="E44" s="570">
        <v>0</v>
      </c>
      <c r="F44" s="570">
        <v>16.829999999999998</v>
      </c>
      <c r="G44" s="570" t="s">
        <v>1000</v>
      </c>
      <c r="H44" s="570">
        <v>2</v>
      </c>
      <c r="I44" s="570">
        <v>0</v>
      </c>
      <c r="J44" s="570">
        <v>0</v>
      </c>
      <c r="K44" s="570">
        <v>0</v>
      </c>
      <c r="L44" s="570">
        <v>0</v>
      </c>
      <c r="M44" s="570">
        <v>0</v>
      </c>
      <c r="N44" s="570" t="s">
        <v>1001</v>
      </c>
      <c r="O44" s="570">
        <v>1</v>
      </c>
      <c r="P44" s="571">
        <v>43152</v>
      </c>
      <c r="Q44" s="570">
        <v>35.082064000000003</v>
      </c>
      <c r="R44" s="570">
        <v>-97.410527000000002</v>
      </c>
      <c r="S44" s="570">
        <v>16.52</v>
      </c>
      <c r="T44" s="570" t="s">
        <v>1002</v>
      </c>
      <c r="U44" s="570" t="s">
        <v>1002</v>
      </c>
      <c r="V44" s="570">
        <v>4</v>
      </c>
      <c r="W44" s="570">
        <v>1</v>
      </c>
      <c r="X44" s="570" t="s">
        <v>1000</v>
      </c>
      <c r="Y44" s="570" t="s">
        <v>1013</v>
      </c>
      <c r="Z44" s="570">
        <v>6</v>
      </c>
      <c r="AA44" s="570">
        <v>0</v>
      </c>
      <c r="AB44" s="570">
        <v>0</v>
      </c>
      <c r="AC44" s="570">
        <v>0</v>
      </c>
      <c r="AD44" s="570">
        <v>0</v>
      </c>
      <c r="AE44" s="570" t="s">
        <v>1011</v>
      </c>
      <c r="AF44" s="570">
        <v>21</v>
      </c>
      <c r="AG44" s="570" t="s">
        <v>1005</v>
      </c>
      <c r="AH44" s="570">
        <v>0</v>
      </c>
      <c r="AI44" s="570" t="s">
        <v>1006</v>
      </c>
      <c r="AJ44" s="570">
        <v>10</v>
      </c>
      <c r="AK44" s="570">
        <v>98</v>
      </c>
      <c r="AL44" s="570">
        <v>3</v>
      </c>
      <c r="AM44" s="570">
        <v>0</v>
      </c>
      <c r="AN44" s="570">
        <v>0</v>
      </c>
      <c r="AO44" s="570">
        <v>9</v>
      </c>
      <c r="AP44" s="570" t="s">
        <v>1002</v>
      </c>
      <c r="AQ44" s="570"/>
      <c r="AR44" s="570"/>
      <c r="AS44" s="570"/>
    </row>
    <row r="45" spans="1:45" x14ac:dyDescent="0.35">
      <c r="A45" s="570">
        <v>300355004</v>
      </c>
      <c r="B45" s="570">
        <v>44</v>
      </c>
      <c r="C45" s="570">
        <v>0</v>
      </c>
      <c r="D45" s="570">
        <v>5</v>
      </c>
      <c r="E45" s="570">
        <v>0</v>
      </c>
      <c r="F45" s="570">
        <v>18.5</v>
      </c>
      <c r="G45" s="570" t="s">
        <v>1000</v>
      </c>
      <c r="H45" s="570">
        <v>2</v>
      </c>
      <c r="I45" s="570">
        <v>0</v>
      </c>
      <c r="J45" s="570">
        <v>0</v>
      </c>
      <c r="K45" s="570">
        <v>0</v>
      </c>
      <c r="L45" s="570">
        <v>0</v>
      </c>
      <c r="M45" s="570">
        <v>0</v>
      </c>
      <c r="N45" s="570" t="s">
        <v>1001</v>
      </c>
      <c r="O45" s="570">
        <v>1</v>
      </c>
      <c r="P45" s="571">
        <v>43183</v>
      </c>
      <c r="Q45" s="570">
        <v>35.101225300000003</v>
      </c>
      <c r="R45" s="570">
        <v>-97.428559699999994</v>
      </c>
      <c r="S45" s="570">
        <v>15.43</v>
      </c>
      <c r="T45" s="570" t="s">
        <v>1002</v>
      </c>
      <c r="U45" s="570" t="s">
        <v>1002</v>
      </c>
      <c r="V45" s="570">
        <v>7</v>
      </c>
      <c r="W45" s="570">
        <v>1</v>
      </c>
      <c r="X45" s="570" t="s">
        <v>1024</v>
      </c>
      <c r="Y45" s="570" t="s">
        <v>1025</v>
      </c>
      <c r="Z45" s="570">
        <v>1</v>
      </c>
      <c r="AA45" s="570">
        <v>0</v>
      </c>
      <c r="AB45" s="570">
        <v>0</v>
      </c>
      <c r="AC45" s="570">
        <v>0</v>
      </c>
      <c r="AD45" s="570">
        <v>0</v>
      </c>
      <c r="AE45" s="570" t="s">
        <v>1022</v>
      </c>
      <c r="AF45" s="570">
        <v>14</v>
      </c>
      <c r="AG45" s="570" t="s">
        <v>1005</v>
      </c>
      <c r="AH45" s="570">
        <v>0</v>
      </c>
      <c r="AI45" s="570" t="s">
        <v>1006</v>
      </c>
      <c r="AJ45" s="570">
        <v>20</v>
      </c>
      <c r="AK45" s="570">
        <v>14</v>
      </c>
      <c r="AL45" s="570">
        <v>1</v>
      </c>
      <c r="AM45" s="570">
        <v>0</v>
      </c>
      <c r="AN45" s="570">
        <v>34</v>
      </c>
      <c r="AO45" s="570" t="s">
        <v>1007</v>
      </c>
      <c r="AP45" s="570" t="s">
        <v>1008</v>
      </c>
      <c r="AQ45" s="570">
        <v>1</v>
      </c>
      <c r="AR45" s="570">
        <v>1</v>
      </c>
      <c r="AS45" s="570">
        <v>4</v>
      </c>
    </row>
    <row r="46" spans="1:45" x14ac:dyDescent="0.35">
      <c r="A46" s="570">
        <v>300355004</v>
      </c>
      <c r="B46" s="570">
        <v>44</v>
      </c>
      <c r="C46" s="570">
        <v>0</v>
      </c>
      <c r="D46" s="570">
        <v>5</v>
      </c>
      <c r="E46" s="570">
        <v>0</v>
      </c>
      <c r="F46" s="570">
        <v>18.5</v>
      </c>
      <c r="G46" s="570" t="s">
        <v>1000</v>
      </c>
      <c r="H46" s="570">
        <v>2</v>
      </c>
      <c r="I46" s="570">
        <v>0</v>
      </c>
      <c r="J46" s="570">
        <v>0</v>
      </c>
      <c r="K46" s="570">
        <v>0</v>
      </c>
      <c r="L46" s="570">
        <v>0</v>
      </c>
      <c r="M46" s="570">
        <v>0</v>
      </c>
      <c r="N46" s="570" t="s">
        <v>1001</v>
      </c>
      <c r="O46" s="570">
        <v>1</v>
      </c>
      <c r="P46" s="571">
        <v>43183</v>
      </c>
      <c r="Q46" s="570">
        <v>35.101225300000003</v>
      </c>
      <c r="R46" s="570">
        <v>-97.428559699999994</v>
      </c>
      <c r="S46" s="570">
        <v>15.43</v>
      </c>
      <c r="T46" s="570" t="s">
        <v>1002</v>
      </c>
      <c r="U46" s="570" t="s">
        <v>1002</v>
      </c>
      <c r="V46" s="570">
        <v>7</v>
      </c>
      <c r="W46" s="570">
        <v>1</v>
      </c>
      <c r="X46" s="570" t="s">
        <v>1024</v>
      </c>
      <c r="Y46" s="570" t="s">
        <v>1025</v>
      </c>
      <c r="Z46" s="570">
        <v>1</v>
      </c>
      <c r="AA46" s="570">
        <v>0</v>
      </c>
      <c r="AB46" s="570">
        <v>0</v>
      </c>
      <c r="AC46" s="570">
        <v>0</v>
      </c>
      <c r="AD46" s="570">
        <v>0</v>
      </c>
      <c r="AE46" s="570" t="s">
        <v>1022</v>
      </c>
      <c r="AF46" s="570">
        <v>14</v>
      </c>
      <c r="AG46" s="570" t="s">
        <v>1005</v>
      </c>
      <c r="AH46" s="570">
        <v>0</v>
      </c>
      <c r="AI46" s="570" t="s">
        <v>1006</v>
      </c>
      <c r="AJ46" s="570">
        <v>20</v>
      </c>
      <c r="AK46" s="570">
        <v>14</v>
      </c>
      <c r="AL46" s="570">
        <v>1</v>
      </c>
      <c r="AM46" s="570">
        <v>0</v>
      </c>
      <c r="AN46" s="570">
        <v>38</v>
      </c>
      <c r="AO46" s="570" t="s">
        <v>1009</v>
      </c>
      <c r="AP46" s="570" t="s">
        <v>1002</v>
      </c>
      <c r="AQ46" s="570">
        <v>1</v>
      </c>
      <c r="AR46" s="570"/>
      <c r="AS46" s="570">
        <v>4</v>
      </c>
    </row>
    <row r="47" spans="1:45" x14ac:dyDescent="0.35">
      <c r="A47" s="570">
        <v>300355004</v>
      </c>
      <c r="B47" s="570">
        <v>44</v>
      </c>
      <c r="C47" s="570">
        <v>0</v>
      </c>
      <c r="D47" s="570">
        <v>5</v>
      </c>
      <c r="E47" s="570">
        <v>0</v>
      </c>
      <c r="F47" s="570">
        <v>18.5</v>
      </c>
      <c r="G47" s="570" t="s">
        <v>1000</v>
      </c>
      <c r="H47" s="570">
        <v>2</v>
      </c>
      <c r="I47" s="570">
        <v>0</v>
      </c>
      <c r="J47" s="570">
        <v>0</v>
      </c>
      <c r="K47" s="570">
        <v>0</v>
      </c>
      <c r="L47" s="570">
        <v>0</v>
      </c>
      <c r="M47" s="570">
        <v>0</v>
      </c>
      <c r="N47" s="570" t="s">
        <v>1001</v>
      </c>
      <c r="O47" s="570">
        <v>1</v>
      </c>
      <c r="P47" s="571">
        <v>43183</v>
      </c>
      <c r="Q47" s="570">
        <v>35.101225300000003</v>
      </c>
      <c r="R47" s="570">
        <v>-97.428559699999994</v>
      </c>
      <c r="S47" s="570">
        <v>15.43</v>
      </c>
      <c r="T47" s="570" t="s">
        <v>1002</v>
      </c>
      <c r="U47" s="570" t="s">
        <v>1002</v>
      </c>
      <c r="V47" s="570">
        <v>7</v>
      </c>
      <c r="W47" s="570">
        <v>1</v>
      </c>
      <c r="X47" s="570" t="s">
        <v>1024</v>
      </c>
      <c r="Y47" s="570" t="s">
        <v>1025</v>
      </c>
      <c r="Z47" s="570">
        <v>1</v>
      </c>
      <c r="AA47" s="570">
        <v>0</v>
      </c>
      <c r="AB47" s="570">
        <v>0</v>
      </c>
      <c r="AC47" s="570">
        <v>0</v>
      </c>
      <c r="AD47" s="570">
        <v>0</v>
      </c>
      <c r="AE47" s="570" t="s">
        <v>1022</v>
      </c>
      <c r="AF47" s="570">
        <v>14</v>
      </c>
      <c r="AG47" s="570" t="s">
        <v>1005</v>
      </c>
      <c r="AH47" s="570">
        <v>0</v>
      </c>
      <c r="AI47" s="570" t="s">
        <v>1006</v>
      </c>
      <c r="AJ47" s="570">
        <v>20</v>
      </c>
      <c r="AK47" s="570">
        <v>14</v>
      </c>
      <c r="AL47" s="570">
        <v>1</v>
      </c>
      <c r="AM47" s="570">
        <v>0</v>
      </c>
      <c r="AN47" s="570">
        <v>12</v>
      </c>
      <c r="AO47" s="570" t="s">
        <v>1007</v>
      </c>
      <c r="AP47" s="570" t="s">
        <v>1002</v>
      </c>
      <c r="AQ47" s="570">
        <v>1</v>
      </c>
      <c r="AR47" s="570"/>
      <c r="AS47" s="570">
        <v>4</v>
      </c>
    </row>
    <row r="48" spans="1:45" x14ac:dyDescent="0.35">
      <c r="A48" s="570">
        <v>300355004</v>
      </c>
      <c r="B48" s="570">
        <v>44</v>
      </c>
      <c r="C48" s="570">
        <v>0</v>
      </c>
      <c r="D48" s="570">
        <v>5</v>
      </c>
      <c r="E48" s="570">
        <v>0</v>
      </c>
      <c r="F48" s="570">
        <v>18.5</v>
      </c>
      <c r="G48" s="570" t="s">
        <v>1000</v>
      </c>
      <c r="H48" s="570">
        <v>2</v>
      </c>
      <c r="I48" s="570">
        <v>0</v>
      </c>
      <c r="J48" s="570">
        <v>0</v>
      </c>
      <c r="K48" s="570">
        <v>0</v>
      </c>
      <c r="L48" s="570">
        <v>0</v>
      </c>
      <c r="M48" s="570">
        <v>0</v>
      </c>
      <c r="N48" s="570" t="s">
        <v>1001</v>
      </c>
      <c r="O48" s="570">
        <v>1</v>
      </c>
      <c r="P48" s="571">
        <v>43183</v>
      </c>
      <c r="Q48" s="570">
        <v>35.101225300000003</v>
      </c>
      <c r="R48" s="570">
        <v>-97.428559699999994</v>
      </c>
      <c r="S48" s="570">
        <v>15.43</v>
      </c>
      <c r="T48" s="570" t="s">
        <v>1002</v>
      </c>
      <c r="U48" s="570" t="s">
        <v>1002</v>
      </c>
      <c r="V48" s="570">
        <v>7</v>
      </c>
      <c r="W48" s="570">
        <v>1</v>
      </c>
      <c r="X48" s="570" t="s">
        <v>1024</v>
      </c>
      <c r="Y48" s="570" t="s">
        <v>1025</v>
      </c>
      <c r="Z48" s="570">
        <v>1</v>
      </c>
      <c r="AA48" s="570">
        <v>0</v>
      </c>
      <c r="AB48" s="570">
        <v>0</v>
      </c>
      <c r="AC48" s="570">
        <v>0</v>
      </c>
      <c r="AD48" s="570">
        <v>0</v>
      </c>
      <c r="AE48" s="570" t="s">
        <v>1022</v>
      </c>
      <c r="AF48" s="570">
        <v>14</v>
      </c>
      <c r="AG48" s="570" t="s">
        <v>1005</v>
      </c>
      <c r="AH48" s="570">
        <v>0</v>
      </c>
      <c r="AI48" s="570" t="s">
        <v>1006</v>
      </c>
      <c r="AJ48" s="570">
        <v>20</v>
      </c>
      <c r="AK48" s="570">
        <v>14</v>
      </c>
      <c r="AL48" s="570">
        <v>1</v>
      </c>
      <c r="AM48" s="570">
        <v>0</v>
      </c>
      <c r="AN48" s="570">
        <v>10</v>
      </c>
      <c r="AO48" s="570" t="s">
        <v>1009</v>
      </c>
      <c r="AP48" s="570" t="s">
        <v>1002</v>
      </c>
      <c r="AQ48" s="570">
        <v>1</v>
      </c>
      <c r="AR48" s="570"/>
      <c r="AS48" s="570">
        <v>4</v>
      </c>
    </row>
    <row r="49" spans="1:45" x14ac:dyDescent="0.35">
      <c r="A49" s="570">
        <v>300355004</v>
      </c>
      <c r="B49" s="570">
        <v>44</v>
      </c>
      <c r="C49" s="570">
        <v>0</v>
      </c>
      <c r="D49" s="570">
        <v>5</v>
      </c>
      <c r="E49" s="570">
        <v>0</v>
      </c>
      <c r="F49" s="570">
        <v>18.5</v>
      </c>
      <c r="G49" s="570" t="s">
        <v>1000</v>
      </c>
      <c r="H49" s="570">
        <v>2</v>
      </c>
      <c r="I49" s="570">
        <v>0</v>
      </c>
      <c r="J49" s="570">
        <v>0</v>
      </c>
      <c r="K49" s="570">
        <v>0</v>
      </c>
      <c r="L49" s="570">
        <v>0</v>
      </c>
      <c r="M49" s="570">
        <v>0</v>
      </c>
      <c r="N49" s="570" t="s">
        <v>1001</v>
      </c>
      <c r="O49" s="570">
        <v>1</v>
      </c>
      <c r="P49" s="571">
        <v>43183</v>
      </c>
      <c r="Q49" s="570">
        <v>35.101225300000003</v>
      </c>
      <c r="R49" s="570">
        <v>-97.428559699999994</v>
      </c>
      <c r="S49" s="570">
        <v>15.43</v>
      </c>
      <c r="T49" s="570" t="s">
        <v>1002</v>
      </c>
      <c r="U49" s="570" t="s">
        <v>1002</v>
      </c>
      <c r="V49" s="570">
        <v>7</v>
      </c>
      <c r="W49" s="570">
        <v>1</v>
      </c>
      <c r="X49" s="570" t="s">
        <v>1024</v>
      </c>
      <c r="Y49" s="570" t="s">
        <v>1025</v>
      </c>
      <c r="Z49" s="570">
        <v>1</v>
      </c>
      <c r="AA49" s="570">
        <v>0</v>
      </c>
      <c r="AB49" s="570">
        <v>0</v>
      </c>
      <c r="AC49" s="570">
        <v>0</v>
      </c>
      <c r="AD49" s="570">
        <v>0</v>
      </c>
      <c r="AE49" s="570" t="s">
        <v>1022</v>
      </c>
      <c r="AF49" s="570">
        <v>14</v>
      </c>
      <c r="AG49" s="570" t="s">
        <v>1005</v>
      </c>
      <c r="AH49" s="570">
        <v>0</v>
      </c>
      <c r="AI49" s="570" t="s">
        <v>1006</v>
      </c>
      <c r="AJ49" s="570">
        <v>20</v>
      </c>
      <c r="AK49" s="570">
        <v>98</v>
      </c>
      <c r="AL49" s="570">
        <v>1</v>
      </c>
      <c r="AM49" s="570">
        <v>0</v>
      </c>
      <c r="AN49" s="570">
        <v>54</v>
      </c>
      <c r="AO49" s="570" t="s">
        <v>1009</v>
      </c>
      <c r="AP49" s="570" t="s">
        <v>1008</v>
      </c>
      <c r="AQ49" s="570">
        <v>1</v>
      </c>
      <c r="AR49" s="570">
        <v>1</v>
      </c>
      <c r="AS49" s="570">
        <v>4</v>
      </c>
    </row>
    <row r="50" spans="1:45" x14ac:dyDescent="0.35">
      <c r="A50" s="570">
        <v>300355004</v>
      </c>
      <c r="B50" s="570">
        <v>44</v>
      </c>
      <c r="C50" s="570">
        <v>0</v>
      </c>
      <c r="D50" s="570">
        <v>5</v>
      </c>
      <c r="E50" s="570">
        <v>0</v>
      </c>
      <c r="F50" s="570">
        <v>18.5</v>
      </c>
      <c r="G50" s="570" t="s">
        <v>1000</v>
      </c>
      <c r="H50" s="570">
        <v>2</v>
      </c>
      <c r="I50" s="570">
        <v>0</v>
      </c>
      <c r="J50" s="570">
        <v>0</v>
      </c>
      <c r="K50" s="570">
        <v>0</v>
      </c>
      <c r="L50" s="570">
        <v>0</v>
      </c>
      <c r="M50" s="570">
        <v>0</v>
      </c>
      <c r="N50" s="570" t="s">
        <v>1001</v>
      </c>
      <c r="O50" s="570">
        <v>1</v>
      </c>
      <c r="P50" s="571">
        <v>43183</v>
      </c>
      <c r="Q50" s="570">
        <v>35.101225300000003</v>
      </c>
      <c r="R50" s="570">
        <v>-97.428559699999994</v>
      </c>
      <c r="S50" s="570">
        <v>15.43</v>
      </c>
      <c r="T50" s="570" t="s">
        <v>1002</v>
      </c>
      <c r="U50" s="570" t="s">
        <v>1002</v>
      </c>
      <c r="V50" s="570">
        <v>7</v>
      </c>
      <c r="W50" s="570">
        <v>1</v>
      </c>
      <c r="X50" s="570" t="s">
        <v>1024</v>
      </c>
      <c r="Y50" s="570" t="s">
        <v>1025</v>
      </c>
      <c r="Z50" s="570">
        <v>1</v>
      </c>
      <c r="AA50" s="570">
        <v>0</v>
      </c>
      <c r="AB50" s="570">
        <v>0</v>
      </c>
      <c r="AC50" s="570">
        <v>0</v>
      </c>
      <c r="AD50" s="570">
        <v>0</v>
      </c>
      <c r="AE50" s="570" t="s">
        <v>1022</v>
      </c>
      <c r="AF50" s="570">
        <v>14</v>
      </c>
      <c r="AG50" s="570" t="s">
        <v>1005</v>
      </c>
      <c r="AH50" s="570">
        <v>0</v>
      </c>
      <c r="AI50" s="570" t="s">
        <v>1006</v>
      </c>
      <c r="AJ50" s="570">
        <v>20</v>
      </c>
      <c r="AK50" s="570">
        <v>98</v>
      </c>
      <c r="AL50" s="570">
        <v>1</v>
      </c>
      <c r="AM50" s="570">
        <v>0</v>
      </c>
      <c r="AN50" s="570">
        <v>51</v>
      </c>
      <c r="AO50" s="570" t="s">
        <v>1007</v>
      </c>
      <c r="AP50" s="570" t="s">
        <v>1002</v>
      </c>
      <c r="AQ50" s="570">
        <v>1</v>
      </c>
      <c r="AR50" s="570"/>
      <c r="AS50" s="570">
        <v>4</v>
      </c>
    </row>
    <row r="51" spans="1:45" x14ac:dyDescent="0.35">
      <c r="A51" s="570">
        <v>300355004</v>
      </c>
      <c r="B51" s="570">
        <v>44</v>
      </c>
      <c r="C51" s="570">
        <v>0</v>
      </c>
      <c r="D51" s="570">
        <v>5</v>
      </c>
      <c r="E51" s="570">
        <v>0</v>
      </c>
      <c r="F51" s="570">
        <v>18.5</v>
      </c>
      <c r="G51" s="570" t="s">
        <v>1000</v>
      </c>
      <c r="H51" s="570">
        <v>2</v>
      </c>
      <c r="I51" s="570">
        <v>0</v>
      </c>
      <c r="J51" s="570">
        <v>0</v>
      </c>
      <c r="K51" s="570">
        <v>0</v>
      </c>
      <c r="L51" s="570">
        <v>0</v>
      </c>
      <c r="M51" s="570">
        <v>0</v>
      </c>
      <c r="N51" s="570" t="s">
        <v>1001</v>
      </c>
      <c r="O51" s="570">
        <v>1</v>
      </c>
      <c r="P51" s="571">
        <v>43183</v>
      </c>
      <c r="Q51" s="570">
        <v>35.101225300000003</v>
      </c>
      <c r="R51" s="570">
        <v>-97.428559699999994</v>
      </c>
      <c r="S51" s="570">
        <v>15.43</v>
      </c>
      <c r="T51" s="570" t="s">
        <v>1002</v>
      </c>
      <c r="U51" s="570" t="s">
        <v>1002</v>
      </c>
      <c r="V51" s="570">
        <v>7</v>
      </c>
      <c r="W51" s="570">
        <v>1</v>
      </c>
      <c r="X51" s="570" t="s">
        <v>1024</v>
      </c>
      <c r="Y51" s="570" t="s">
        <v>1025</v>
      </c>
      <c r="Z51" s="570">
        <v>1</v>
      </c>
      <c r="AA51" s="570">
        <v>0</v>
      </c>
      <c r="AB51" s="570">
        <v>0</v>
      </c>
      <c r="AC51" s="570">
        <v>0</v>
      </c>
      <c r="AD51" s="570">
        <v>0</v>
      </c>
      <c r="AE51" s="570" t="s">
        <v>1022</v>
      </c>
      <c r="AF51" s="570">
        <v>14</v>
      </c>
      <c r="AG51" s="570" t="s">
        <v>1005</v>
      </c>
      <c r="AH51" s="570">
        <v>0</v>
      </c>
      <c r="AI51" s="570" t="s">
        <v>1006</v>
      </c>
      <c r="AJ51" s="570">
        <v>20</v>
      </c>
      <c r="AK51" s="570">
        <v>98</v>
      </c>
      <c r="AL51" s="570">
        <v>1</v>
      </c>
      <c r="AM51" s="570">
        <v>0</v>
      </c>
      <c r="AN51" s="570">
        <v>29</v>
      </c>
      <c r="AO51" s="570" t="s">
        <v>1007</v>
      </c>
      <c r="AP51" s="570" t="s">
        <v>1002</v>
      </c>
      <c r="AQ51" s="570">
        <v>1</v>
      </c>
      <c r="AR51" s="570"/>
      <c r="AS51" s="570">
        <v>4</v>
      </c>
    </row>
    <row r="52" spans="1:45" x14ac:dyDescent="0.35">
      <c r="A52" s="570">
        <v>300355004</v>
      </c>
      <c r="B52" s="570">
        <v>44</v>
      </c>
      <c r="C52" s="570">
        <v>0</v>
      </c>
      <c r="D52" s="570">
        <v>5</v>
      </c>
      <c r="E52" s="570">
        <v>0</v>
      </c>
      <c r="F52" s="570">
        <v>18.5</v>
      </c>
      <c r="G52" s="570" t="s">
        <v>1000</v>
      </c>
      <c r="H52" s="570">
        <v>2</v>
      </c>
      <c r="I52" s="570">
        <v>0</v>
      </c>
      <c r="J52" s="570">
        <v>0</v>
      </c>
      <c r="K52" s="570">
        <v>0</v>
      </c>
      <c r="L52" s="570">
        <v>0</v>
      </c>
      <c r="M52" s="570">
        <v>0</v>
      </c>
      <c r="N52" s="570" t="s">
        <v>1001</v>
      </c>
      <c r="O52" s="570">
        <v>1</v>
      </c>
      <c r="P52" s="571">
        <v>43183</v>
      </c>
      <c r="Q52" s="570">
        <v>35.101225300000003</v>
      </c>
      <c r="R52" s="570">
        <v>-97.428559699999994</v>
      </c>
      <c r="S52" s="570">
        <v>15.43</v>
      </c>
      <c r="T52" s="570" t="s">
        <v>1002</v>
      </c>
      <c r="U52" s="570" t="s">
        <v>1002</v>
      </c>
      <c r="V52" s="570">
        <v>7</v>
      </c>
      <c r="W52" s="570">
        <v>1</v>
      </c>
      <c r="X52" s="570" t="s">
        <v>1024</v>
      </c>
      <c r="Y52" s="570" t="s">
        <v>1025</v>
      </c>
      <c r="Z52" s="570">
        <v>1</v>
      </c>
      <c r="AA52" s="570">
        <v>0</v>
      </c>
      <c r="AB52" s="570">
        <v>0</v>
      </c>
      <c r="AC52" s="570">
        <v>0</v>
      </c>
      <c r="AD52" s="570">
        <v>0</v>
      </c>
      <c r="AE52" s="570" t="s">
        <v>1022</v>
      </c>
      <c r="AF52" s="570">
        <v>14</v>
      </c>
      <c r="AG52" s="570" t="s">
        <v>1005</v>
      </c>
      <c r="AH52" s="570">
        <v>0</v>
      </c>
      <c r="AI52" s="570" t="s">
        <v>1006</v>
      </c>
      <c r="AJ52" s="570">
        <v>2</v>
      </c>
      <c r="AK52" s="570">
        <v>98</v>
      </c>
      <c r="AL52" s="570">
        <v>1</v>
      </c>
      <c r="AM52" s="570">
        <v>0</v>
      </c>
      <c r="AN52" s="570">
        <v>22</v>
      </c>
      <c r="AO52" s="570" t="s">
        <v>1007</v>
      </c>
      <c r="AP52" s="570" t="s">
        <v>1008</v>
      </c>
      <c r="AQ52" s="570">
        <v>1</v>
      </c>
      <c r="AR52" s="570">
        <v>1</v>
      </c>
      <c r="AS52" s="570">
        <v>4</v>
      </c>
    </row>
    <row r="53" spans="1:45" x14ac:dyDescent="0.35">
      <c r="A53" s="570">
        <v>300355004</v>
      </c>
      <c r="B53" s="570">
        <v>44</v>
      </c>
      <c r="C53" s="570">
        <v>0</v>
      </c>
      <c r="D53" s="570">
        <v>5</v>
      </c>
      <c r="E53" s="570">
        <v>0</v>
      </c>
      <c r="F53" s="570">
        <v>18.5</v>
      </c>
      <c r="G53" s="570" t="s">
        <v>1000</v>
      </c>
      <c r="H53" s="570">
        <v>2</v>
      </c>
      <c r="I53" s="570">
        <v>0</v>
      </c>
      <c r="J53" s="570">
        <v>0</v>
      </c>
      <c r="K53" s="570">
        <v>0</v>
      </c>
      <c r="L53" s="570">
        <v>0</v>
      </c>
      <c r="M53" s="570">
        <v>0</v>
      </c>
      <c r="N53" s="570" t="s">
        <v>1001</v>
      </c>
      <c r="O53" s="570">
        <v>1</v>
      </c>
      <c r="P53" s="571">
        <v>43183</v>
      </c>
      <c r="Q53" s="570">
        <v>35.101225300000003</v>
      </c>
      <c r="R53" s="570">
        <v>-97.428559699999994</v>
      </c>
      <c r="S53" s="570">
        <v>15.43</v>
      </c>
      <c r="T53" s="570" t="s">
        <v>1002</v>
      </c>
      <c r="U53" s="570" t="s">
        <v>1002</v>
      </c>
      <c r="V53" s="570">
        <v>7</v>
      </c>
      <c r="W53" s="570">
        <v>1</v>
      </c>
      <c r="X53" s="570" t="s">
        <v>1024</v>
      </c>
      <c r="Y53" s="570" t="s">
        <v>1025</v>
      </c>
      <c r="Z53" s="570">
        <v>1</v>
      </c>
      <c r="AA53" s="570">
        <v>0</v>
      </c>
      <c r="AB53" s="570">
        <v>0</v>
      </c>
      <c r="AC53" s="570">
        <v>0</v>
      </c>
      <c r="AD53" s="570">
        <v>0</v>
      </c>
      <c r="AE53" s="570" t="s">
        <v>1022</v>
      </c>
      <c r="AF53" s="570">
        <v>14</v>
      </c>
      <c r="AG53" s="570" t="s">
        <v>1005</v>
      </c>
      <c r="AH53" s="570">
        <v>0</v>
      </c>
      <c r="AI53" s="570" t="s">
        <v>1006</v>
      </c>
      <c r="AJ53" s="570">
        <v>2</v>
      </c>
      <c r="AK53" s="570">
        <v>98</v>
      </c>
      <c r="AL53" s="570">
        <v>1</v>
      </c>
      <c r="AM53" s="570">
        <v>0</v>
      </c>
      <c r="AN53" s="570">
        <v>0</v>
      </c>
      <c r="AO53" s="570">
        <v>9</v>
      </c>
      <c r="AP53" s="570" t="s">
        <v>1002</v>
      </c>
      <c r="AQ53" s="570"/>
      <c r="AR53" s="570"/>
      <c r="AS53" s="570"/>
    </row>
    <row r="54" spans="1:45" x14ac:dyDescent="0.35">
      <c r="A54" s="570">
        <v>300355004</v>
      </c>
      <c r="B54" s="570">
        <v>44</v>
      </c>
      <c r="C54" s="570">
        <v>0</v>
      </c>
      <c r="D54" s="570">
        <v>5</v>
      </c>
      <c r="E54" s="570">
        <v>0</v>
      </c>
      <c r="F54" s="570">
        <v>18.5</v>
      </c>
      <c r="G54" s="570" t="s">
        <v>1000</v>
      </c>
      <c r="H54" s="570">
        <v>2</v>
      </c>
      <c r="I54" s="570">
        <v>0</v>
      </c>
      <c r="J54" s="570">
        <v>0</v>
      </c>
      <c r="K54" s="570">
        <v>0</v>
      </c>
      <c r="L54" s="570">
        <v>0</v>
      </c>
      <c r="M54" s="570">
        <v>0</v>
      </c>
      <c r="N54" s="570" t="s">
        <v>1001</v>
      </c>
      <c r="O54" s="570">
        <v>1</v>
      </c>
      <c r="P54" s="571">
        <v>43183</v>
      </c>
      <c r="Q54" s="570">
        <v>35.101225300000003</v>
      </c>
      <c r="R54" s="570">
        <v>-97.428559699999994</v>
      </c>
      <c r="S54" s="570">
        <v>15.43</v>
      </c>
      <c r="T54" s="570" t="s">
        <v>1002</v>
      </c>
      <c r="U54" s="570" t="s">
        <v>1002</v>
      </c>
      <c r="V54" s="570">
        <v>7</v>
      </c>
      <c r="W54" s="570">
        <v>1</v>
      </c>
      <c r="X54" s="570" t="s">
        <v>1024</v>
      </c>
      <c r="Y54" s="570" t="s">
        <v>1025</v>
      </c>
      <c r="Z54" s="570">
        <v>1</v>
      </c>
      <c r="AA54" s="570">
        <v>0</v>
      </c>
      <c r="AB54" s="570">
        <v>0</v>
      </c>
      <c r="AC54" s="570">
        <v>0</v>
      </c>
      <c r="AD54" s="570">
        <v>0</v>
      </c>
      <c r="AE54" s="570" t="s">
        <v>1022</v>
      </c>
      <c r="AF54" s="570">
        <v>14</v>
      </c>
      <c r="AG54" s="570" t="s">
        <v>1005</v>
      </c>
      <c r="AH54" s="570">
        <v>0</v>
      </c>
      <c r="AI54" s="570" t="s">
        <v>1006</v>
      </c>
      <c r="AJ54" s="570">
        <v>2</v>
      </c>
      <c r="AK54" s="570">
        <v>98</v>
      </c>
      <c r="AL54" s="570">
        <v>1</v>
      </c>
      <c r="AM54" s="570">
        <v>0</v>
      </c>
      <c r="AN54" s="570">
        <v>25</v>
      </c>
      <c r="AO54" s="570" t="s">
        <v>1009</v>
      </c>
      <c r="AP54" s="570" t="s">
        <v>1002</v>
      </c>
      <c r="AQ54" s="570">
        <v>1</v>
      </c>
      <c r="AR54" s="570"/>
      <c r="AS54" s="570">
        <v>4</v>
      </c>
    </row>
    <row r="55" spans="1:45" x14ac:dyDescent="0.35">
      <c r="A55" s="570">
        <v>300367724</v>
      </c>
      <c r="B55" s="570">
        <v>44</v>
      </c>
      <c r="C55" s="570">
        <v>15</v>
      </c>
      <c r="D55" s="570">
        <v>5</v>
      </c>
      <c r="E55" s="570">
        <v>0</v>
      </c>
      <c r="F55" s="570">
        <v>17.309999999999999</v>
      </c>
      <c r="G55" s="570" t="s">
        <v>1000</v>
      </c>
      <c r="H55" s="570">
        <v>2</v>
      </c>
      <c r="I55" s="570">
        <v>72</v>
      </c>
      <c r="J55" s="570">
        <v>0</v>
      </c>
      <c r="K55" s="570">
        <v>0</v>
      </c>
      <c r="L55" s="570">
        <v>0</v>
      </c>
      <c r="M55" s="570">
        <v>0</v>
      </c>
      <c r="N55" s="570" t="s">
        <v>1001</v>
      </c>
      <c r="O55" s="570">
        <v>2</v>
      </c>
      <c r="P55" s="571">
        <v>43276</v>
      </c>
      <c r="Q55" s="570">
        <v>35.087538700000003</v>
      </c>
      <c r="R55" s="570">
        <v>-97.415761500000002</v>
      </c>
      <c r="S55" s="570">
        <v>11.52</v>
      </c>
      <c r="T55" s="570" t="s">
        <v>1002</v>
      </c>
      <c r="U55" s="570" t="s">
        <v>1002</v>
      </c>
      <c r="V55" s="570">
        <v>2</v>
      </c>
      <c r="W55" s="570">
        <v>1</v>
      </c>
      <c r="X55" s="570" t="s">
        <v>1000</v>
      </c>
      <c r="Y55" s="570" t="s">
        <v>1003</v>
      </c>
      <c r="Z55" s="570">
        <v>4</v>
      </c>
      <c r="AA55" s="570">
        <v>0</v>
      </c>
      <c r="AB55" s="570">
        <v>0</v>
      </c>
      <c r="AC55" s="570">
        <v>3</v>
      </c>
      <c r="AD55" s="570">
        <v>0</v>
      </c>
      <c r="AE55" s="570" t="s">
        <v>1011</v>
      </c>
      <c r="AF55" s="570">
        <v>19</v>
      </c>
      <c r="AG55" s="570" t="s">
        <v>1012</v>
      </c>
      <c r="AH55" s="570">
        <v>0</v>
      </c>
      <c r="AI55" s="570" t="s">
        <v>1006</v>
      </c>
      <c r="AJ55" s="570">
        <v>10</v>
      </c>
      <c r="AK55" s="570">
        <v>19</v>
      </c>
      <c r="AL55" s="570">
        <v>1</v>
      </c>
      <c r="AM55" s="570">
        <v>0</v>
      </c>
      <c r="AN55" s="570">
        <v>34</v>
      </c>
      <c r="AO55" s="570" t="s">
        <v>1009</v>
      </c>
      <c r="AP55" s="570" t="s">
        <v>1008</v>
      </c>
      <c r="AQ55" s="570">
        <v>1</v>
      </c>
      <c r="AR55" s="570">
        <v>1</v>
      </c>
      <c r="AS55" s="570">
        <v>4</v>
      </c>
    </row>
    <row r="56" spans="1:45" x14ac:dyDescent="0.35">
      <c r="A56" s="570">
        <v>300367724</v>
      </c>
      <c r="B56" s="570">
        <v>44</v>
      </c>
      <c r="C56" s="570">
        <v>15</v>
      </c>
      <c r="D56" s="570">
        <v>5</v>
      </c>
      <c r="E56" s="570">
        <v>0</v>
      </c>
      <c r="F56" s="570">
        <v>17.309999999999999</v>
      </c>
      <c r="G56" s="570" t="s">
        <v>1000</v>
      </c>
      <c r="H56" s="570">
        <v>2</v>
      </c>
      <c r="I56" s="570">
        <v>72</v>
      </c>
      <c r="J56" s="570">
        <v>0</v>
      </c>
      <c r="K56" s="570">
        <v>0</v>
      </c>
      <c r="L56" s="570">
        <v>0</v>
      </c>
      <c r="M56" s="570">
        <v>0</v>
      </c>
      <c r="N56" s="570" t="s">
        <v>1001</v>
      </c>
      <c r="O56" s="570">
        <v>2</v>
      </c>
      <c r="P56" s="571">
        <v>43276</v>
      </c>
      <c r="Q56" s="570">
        <v>35.087538700000003</v>
      </c>
      <c r="R56" s="570">
        <v>-97.415761500000002</v>
      </c>
      <c r="S56" s="570">
        <v>11.52</v>
      </c>
      <c r="T56" s="570" t="s">
        <v>1002</v>
      </c>
      <c r="U56" s="570" t="s">
        <v>1002</v>
      </c>
      <c r="V56" s="570">
        <v>2</v>
      </c>
      <c r="W56" s="570">
        <v>1</v>
      </c>
      <c r="X56" s="570" t="s">
        <v>1000</v>
      </c>
      <c r="Y56" s="570" t="s">
        <v>1003</v>
      </c>
      <c r="Z56" s="570">
        <v>4</v>
      </c>
      <c r="AA56" s="570">
        <v>0</v>
      </c>
      <c r="AB56" s="570">
        <v>0</v>
      </c>
      <c r="AC56" s="570">
        <v>3</v>
      </c>
      <c r="AD56" s="570">
        <v>0</v>
      </c>
      <c r="AE56" s="570" t="s">
        <v>1011</v>
      </c>
      <c r="AF56" s="570">
        <v>19</v>
      </c>
      <c r="AG56" s="570" t="s">
        <v>1012</v>
      </c>
      <c r="AH56" s="570">
        <v>0</v>
      </c>
      <c r="AI56" s="570" t="s">
        <v>1006</v>
      </c>
      <c r="AJ56" s="570">
        <v>10</v>
      </c>
      <c r="AK56" s="570">
        <v>19</v>
      </c>
      <c r="AL56" s="570">
        <v>1</v>
      </c>
      <c r="AM56" s="570">
        <v>0</v>
      </c>
      <c r="AN56" s="570">
        <v>0</v>
      </c>
      <c r="AO56" s="570">
        <v>9</v>
      </c>
      <c r="AP56" s="570" t="s">
        <v>1002</v>
      </c>
      <c r="AQ56" s="570"/>
      <c r="AR56" s="570"/>
      <c r="AS56" s="570"/>
    </row>
    <row r="57" spans="1:45" x14ac:dyDescent="0.35">
      <c r="A57" s="570">
        <v>300367724</v>
      </c>
      <c r="B57" s="570">
        <v>44</v>
      </c>
      <c r="C57" s="570">
        <v>15</v>
      </c>
      <c r="D57" s="570">
        <v>5</v>
      </c>
      <c r="E57" s="570">
        <v>0</v>
      </c>
      <c r="F57" s="570">
        <v>17.309999999999999</v>
      </c>
      <c r="G57" s="570" t="s">
        <v>1000</v>
      </c>
      <c r="H57" s="570">
        <v>2</v>
      </c>
      <c r="I57" s="570">
        <v>72</v>
      </c>
      <c r="J57" s="570">
        <v>0</v>
      </c>
      <c r="K57" s="570">
        <v>0</v>
      </c>
      <c r="L57" s="570">
        <v>0</v>
      </c>
      <c r="M57" s="570">
        <v>0</v>
      </c>
      <c r="N57" s="570" t="s">
        <v>1001</v>
      </c>
      <c r="O57" s="570">
        <v>2</v>
      </c>
      <c r="P57" s="571">
        <v>43276</v>
      </c>
      <c r="Q57" s="570">
        <v>35.087538700000003</v>
      </c>
      <c r="R57" s="570">
        <v>-97.415761500000002</v>
      </c>
      <c r="S57" s="570">
        <v>11.52</v>
      </c>
      <c r="T57" s="570" t="s">
        <v>1002</v>
      </c>
      <c r="U57" s="570" t="s">
        <v>1002</v>
      </c>
      <c r="V57" s="570">
        <v>2</v>
      </c>
      <c r="W57" s="570">
        <v>1</v>
      </c>
      <c r="X57" s="570" t="s">
        <v>1000</v>
      </c>
      <c r="Y57" s="570" t="s">
        <v>1003</v>
      </c>
      <c r="Z57" s="570">
        <v>4</v>
      </c>
      <c r="AA57" s="570">
        <v>0</v>
      </c>
      <c r="AB57" s="570">
        <v>0</v>
      </c>
      <c r="AC57" s="570">
        <v>3</v>
      </c>
      <c r="AD57" s="570">
        <v>0</v>
      </c>
      <c r="AE57" s="570" t="s">
        <v>1011</v>
      </c>
      <c r="AF57" s="570">
        <v>19</v>
      </c>
      <c r="AG57" s="570" t="s">
        <v>1012</v>
      </c>
      <c r="AH57" s="570">
        <v>0</v>
      </c>
      <c r="AI57" s="570" t="s">
        <v>1006</v>
      </c>
      <c r="AJ57" s="570">
        <v>20</v>
      </c>
      <c r="AK57" s="570">
        <v>88</v>
      </c>
      <c r="AL57" s="570">
        <v>1</v>
      </c>
      <c r="AM57" s="570">
        <v>0</v>
      </c>
      <c r="AN57" s="570">
        <v>36</v>
      </c>
      <c r="AO57" s="570" t="s">
        <v>1009</v>
      </c>
      <c r="AP57" s="570" t="s">
        <v>1008</v>
      </c>
      <c r="AQ57" s="570">
        <v>2</v>
      </c>
      <c r="AR57" s="570">
        <v>1</v>
      </c>
      <c r="AS57" s="570">
        <v>4</v>
      </c>
    </row>
    <row r="58" spans="1:45" x14ac:dyDescent="0.35">
      <c r="A58" s="570">
        <v>300367724</v>
      </c>
      <c r="B58" s="570">
        <v>44</v>
      </c>
      <c r="C58" s="570">
        <v>15</v>
      </c>
      <c r="D58" s="570">
        <v>5</v>
      </c>
      <c r="E58" s="570">
        <v>0</v>
      </c>
      <c r="F58" s="570">
        <v>17.309999999999999</v>
      </c>
      <c r="G58" s="570" t="s">
        <v>1000</v>
      </c>
      <c r="H58" s="570">
        <v>2</v>
      </c>
      <c r="I58" s="570">
        <v>72</v>
      </c>
      <c r="J58" s="570">
        <v>0</v>
      </c>
      <c r="K58" s="570">
        <v>0</v>
      </c>
      <c r="L58" s="570">
        <v>0</v>
      </c>
      <c r="M58" s="570">
        <v>0</v>
      </c>
      <c r="N58" s="570" t="s">
        <v>1001</v>
      </c>
      <c r="O58" s="570">
        <v>2</v>
      </c>
      <c r="P58" s="571">
        <v>43276</v>
      </c>
      <c r="Q58" s="570">
        <v>35.087538700000003</v>
      </c>
      <c r="R58" s="570">
        <v>-97.415761500000002</v>
      </c>
      <c r="S58" s="570">
        <v>11.52</v>
      </c>
      <c r="T58" s="570" t="s">
        <v>1002</v>
      </c>
      <c r="U58" s="570" t="s">
        <v>1002</v>
      </c>
      <c r="V58" s="570">
        <v>2</v>
      </c>
      <c r="W58" s="570">
        <v>1</v>
      </c>
      <c r="X58" s="570" t="s">
        <v>1000</v>
      </c>
      <c r="Y58" s="570" t="s">
        <v>1003</v>
      </c>
      <c r="Z58" s="570">
        <v>4</v>
      </c>
      <c r="AA58" s="570">
        <v>0</v>
      </c>
      <c r="AB58" s="570">
        <v>0</v>
      </c>
      <c r="AC58" s="570">
        <v>3</v>
      </c>
      <c r="AD58" s="570">
        <v>0</v>
      </c>
      <c r="AE58" s="570" t="s">
        <v>1011</v>
      </c>
      <c r="AF58" s="570">
        <v>19</v>
      </c>
      <c r="AG58" s="570" t="s">
        <v>1012</v>
      </c>
      <c r="AH58" s="570">
        <v>0</v>
      </c>
      <c r="AI58" s="570" t="s">
        <v>1006</v>
      </c>
      <c r="AJ58" s="570">
        <v>20</v>
      </c>
      <c r="AK58" s="570">
        <v>88</v>
      </c>
      <c r="AL58" s="570">
        <v>1</v>
      </c>
      <c r="AM58" s="570">
        <v>0</v>
      </c>
      <c r="AN58" s="570">
        <v>0</v>
      </c>
      <c r="AO58" s="570">
        <v>9</v>
      </c>
      <c r="AP58" s="570" t="s">
        <v>1002</v>
      </c>
      <c r="AQ58" s="570"/>
      <c r="AR58" s="570"/>
      <c r="AS58" s="570"/>
    </row>
    <row r="59" spans="1:45" x14ac:dyDescent="0.35">
      <c r="A59" s="570">
        <v>300367724</v>
      </c>
      <c r="B59" s="570">
        <v>44</v>
      </c>
      <c r="C59" s="570">
        <v>15</v>
      </c>
      <c r="D59" s="570">
        <v>5</v>
      </c>
      <c r="E59" s="570">
        <v>0</v>
      </c>
      <c r="F59" s="570">
        <v>17.309999999999999</v>
      </c>
      <c r="G59" s="570" t="s">
        <v>1000</v>
      </c>
      <c r="H59" s="570">
        <v>2</v>
      </c>
      <c r="I59" s="570">
        <v>72</v>
      </c>
      <c r="J59" s="570">
        <v>0</v>
      </c>
      <c r="K59" s="570">
        <v>0</v>
      </c>
      <c r="L59" s="570">
        <v>0</v>
      </c>
      <c r="M59" s="570">
        <v>0</v>
      </c>
      <c r="N59" s="570" t="s">
        <v>1001</v>
      </c>
      <c r="O59" s="570">
        <v>2</v>
      </c>
      <c r="P59" s="571">
        <v>43276</v>
      </c>
      <c r="Q59" s="570">
        <v>35.087538700000003</v>
      </c>
      <c r="R59" s="570">
        <v>-97.415761500000002</v>
      </c>
      <c r="S59" s="570">
        <v>11.52</v>
      </c>
      <c r="T59" s="570" t="s">
        <v>1002</v>
      </c>
      <c r="U59" s="570" t="s">
        <v>1002</v>
      </c>
      <c r="V59" s="570">
        <v>2</v>
      </c>
      <c r="W59" s="570">
        <v>1</v>
      </c>
      <c r="X59" s="570" t="s">
        <v>1000</v>
      </c>
      <c r="Y59" s="570" t="s">
        <v>1003</v>
      </c>
      <c r="Z59" s="570">
        <v>4</v>
      </c>
      <c r="AA59" s="570">
        <v>0</v>
      </c>
      <c r="AB59" s="570">
        <v>0</v>
      </c>
      <c r="AC59" s="570">
        <v>3</v>
      </c>
      <c r="AD59" s="570">
        <v>0</v>
      </c>
      <c r="AE59" s="570" t="s">
        <v>1011</v>
      </c>
      <c r="AF59" s="570">
        <v>19</v>
      </c>
      <c r="AG59" s="570" t="s">
        <v>1012</v>
      </c>
      <c r="AH59" s="570">
        <v>0</v>
      </c>
      <c r="AI59" s="570" t="s">
        <v>1006</v>
      </c>
      <c r="AJ59" s="570">
        <v>20</v>
      </c>
      <c r="AK59" s="570">
        <v>88</v>
      </c>
      <c r="AL59" s="570">
        <v>1</v>
      </c>
      <c r="AM59" s="570">
        <v>0</v>
      </c>
      <c r="AN59" s="570">
        <v>27</v>
      </c>
      <c r="AO59" s="570" t="s">
        <v>1009</v>
      </c>
      <c r="AP59" s="570" t="s">
        <v>1002</v>
      </c>
      <c r="AQ59" s="570">
        <v>2</v>
      </c>
      <c r="AR59" s="570"/>
      <c r="AS59" s="570">
        <v>4</v>
      </c>
    </row>
    <row r="60" spans="1:45" x14ac:dyDescent="0.35">
      <c r="A60" s="570">
        <v>300367724</v>
      </c>
      <c r="B60" s="570">
        <v>44</v>
      </c>
      <c r="C60" s="570">
        <v>15</v>
      </c>
      <c r="D60" s="570">
        <v>5</v>
      </c>
      <c r="E60" s="570">
        <v>0</v>
      </c>
      <c r="F60" s="570">
        <v>17.309999999999999</v>
      </c>
      <c r="G60" s="570" t="s">
        <v>1000</v>
      </c>
      <c r="H60" s="570">
        <v>2</v>
      </c>
      <c r="I60" s="570">
        <v>72</v>
      </c>
      <c r="J60" s="570">
        <v>0</v>
      </c>
      <c r="K60" s="570">
        <v>0</v>
      </c>
      <c r="L60" s="570">
        <v>0</v>
      </c>
      <c r="M60" s="570">
        <v>0</v>
      </c>
      <c r="N60" s="570" t="s">
        <v>1001</v>
      </c>
      <c r="O60" s="570">
        <v>2</v>
      </c>
      <c r="P60" s="571">
        <v>43276</v>
      </c>
      <c r="Q60" s="570">
        <v>35.087538700000003</v>
      </c>
      <c r="R60" s="570">
        <v>-97.415761500000002</v>
      </c>
      <c r="S60" s="570">
        <v>11.52</v>
      </c>
      <c r="T60" s="570" t="s">
        <v>1002</v>
      </c>
      <c r="U60" s="570" t="s">
        <v>1002</v>
      </c>
      <c r="V60" s="570">
        <v>2</v>
      </c>
      <c r="W60" s="570">
        <v>1</v>
      </c>
      <c r="X60" s="570" t="s">
        <v>1000</v>
      </c>
      <c r="Y60" s="570" t="s">
        <v>1003</v>
      </c>
      <c r="Z60" s="570">
        <v>4</v>
      </c>
      <c r="AA60" s="570">
        <v>0</v>
      </c>
      <c r="AB60" s="570">
        <v>0</v>
      </c>
      <c r="AC60" s="570">
        <v>3</v>
      </c>
      <c r="AD60" s="570">
        <v>0</v>
      </c>
      <c r="AE60" s="570" t="s">
        <v>1011</v>
      </c>
      <c r="AF60" s="570">
        <v>19</v>
      </c>
      <c r="AG60" s="570" t="s">
        <v>1012</v>
      </c>
      <c r="AH60" s="570">
        <v>0</v>
      </c>
      <c r="AI60" s="570" t="s">
        <v>1006</v>
      </c>
      <c r="AJ60" s="570">
        <v>20</v>
      </c>
      <c r="AK60" s="570">
        <v>88</v>
      </c>
      <c r="AL60" s="570">
        <v>1</v>
      </c>
      <c r="AM60" s="570">
        <v>0</v>
      </c>
      <c r="AN60" s="570">
        <v>26</v>
      </c>
      <c r="AO60" s="570" t="s">
        <v>1009</v>
      </c>
      <c r="AP60" s="570" t="s">
        <v>1002</v>
      </c>
      <c r="AQ60" s="570">
        <v>2</v>
      </c>
      <c r="AR60" s="570"/>
      <c r="AS60" s="570">
        <v>4</v>
      </c>
    </row>
    <row r="61" spans="1:45" x14ac:dyDescent="0.35">
      <c r="A61" s="570">
        <v>300371307</v>
      </c>
      <c r="B61" s="570">
        <v>44</v>
      </c>
      <c r="C61" s="570">
        <v>15</v>
      </c>
      <c r="D61" s="570">
        <v>5</v>
      </c>
      <c r="E61" s="570">
        <v>0</v>
      </c>
      <c r="F61" s="570">
        <v>17.53</v>
      </c>
      <c r="G61" s="570" t="s">
        <v>1000</v>
      </c>
      <c r="H61" s="570">
        <v>2</v>
      </c>
      <c r="I61" s="570">
        <v>0</v>
      </c>
      <c r="J61" s="570">
        <v>0</v>
      </c>
      <c r="K61" s="570">
        <v>0</v>
      </c>
      <c r="L61" s="570">
        <v>0</v>
      </c>
      <c r="M61" s="570">
        <v>0</v>
      </c>
      <c r="N61" s="570" t="s">
        <v>1001</v>
      </c>
      <c r="O61" s="570">
        <v>1</v>
      </c>
      <c r="P61" s="571">
        <v>43304</v>
      </c>
      <c r="Q61" s="570">
        <v>35.0900325</v>
      </c>
      <c r="R61" s="570">
        <v>-97.418184400000001</v>
      </c>
      <c r="S61" s="570">
        <v>11.23</v>
      </c>
      <c r="T61" s="570" t="s">
        <v>1002</v>
      </c>
      <c r="U61" s="570" t="s">
        <v>1002</v>
      </c>
      <c r="V61" s="570">
        <v>2</v>
      </c>
      <c r="W61" s="570">
        <v>1</v>
      </c>
      <c r="X61" s="570" t="s">
        <v>1000</v>
      </c>
      <c r="Y61" s="570" t="s">
        <v>1013</v>
      </c>
      <c r="Z61" s="570">
        <v>1</v>
      </c>
      <c r="AA61" s="570">
        <v>0</v>
      </c>
      <c r="AB61" s="570">
        <v>0</v>
      </c>
      <c r="AC61" s="570">
        <v>0</v>
      </c>
      <c r="AD61" s="570">
        <v>0</v>
      </c>
      <c r="AE61" s="570" t="s">
        <v>1022</v>
      </c>
      <c r="AF61" s="570">
        <v>14</v>
      </c>
      <c r="AG61" s="570" t="s">
        <v>1005</v>
      </c>
      <c r="AH61" s="570">
        <v>0</v>
      </c>
      <c r="AI61" s="570" t="s">
        <v>1006</v>
      </c>
      <c r="AJ61" s="570">
        <v>20</v>
      </c>
      <c r="AK61" s="570">
        <v>14</v>
      </c>
      <c r="AL61" s="570">
        <v>1</v>
      </c>
      <c r="AM61" s="570">
        <v>0</v>
      </c>
      <c r="AN61" s="570">
        <v>18</v>
      </c>
      <c r="AO61" s="570" t="s">
        <v>1007</v>
      </c>
      <c r="AP61" s="570" t="s">
        <v>1008</v>
      </c>
      <c r="AQ61" s="570">
        <v>1</v>
      </c>
      <c r="AR61" s="570">
        <v>1</v>
      </c>
      <c r="AS61" s="570">
        <v>4</v>
      </c>
    </row>
    <row r="62" spans="1:45" x14ac:dyDescent="0.35">
      <c r="A62" s="570">
        <v>300371307</v>
      </c>
      <c r="B62" s="570">
        <v>44</v>
      </c>
      <c r="C62" s="570">
        <v>15</v>
      </c>
      <c r="D62" s="570">
        <v>5</v>
      </c>
      <c r="E62" s="570">
        <v>0</v>
      </c>
      <c r="F62" s="570">
        <v>17.53</v>
      </c>
      <c r="G62" s="570" t="s">
        <v>1000</v>
      </c>
      <c r="H62" s="570">
        <v>2</v>
      </c>
      <c r="I62" s="570">
        <v>0</v>
      </c>
      <c r="J62" s="570">
        <v>0</v>
      </c>
      <c r="K62" s="570">
        <v>0</v>
      </c>
      <c r="L62" s="570">
        <v>0</v>
      </c>
      <c r="M62" s="570">
        <v>0</v>
      </c>
      <c r="N62" s="570" t="s">
        <v>1001</v>
      </c>
      <c r="O62" s="570">
        <v>1</v>
      </c>
      <c r="P62" s="571">
        <v>43304</v>
      </c>
      <c r="Q62" s="570">
        <v>35.0900325</v>
      </c>
      <c r="R62" s="570">
        <v>-97.418184400000001</v>
      </c>
      <c r="S62" s="570">
        <v>11.23</v>
      </c>
      <c r="T62" s="570" t="s">
        <v>1002</v>
      </c>
      <c r="U62" s="570" t="s">
        <v>1002</v>
      </c>
      <c r="V62" s="570">
        <v>2</v>
      </c>
      <c r="W62" s="570">
        <v>1</v>
      </c>
      <c r="X62" s="570" t="s">
        <v>1000</v>
      </c>
      <c r="Y62" s="570" t="s">
        <v>1013</v>
      </c>
      <c r="Z62" s="570">
        <v>1</v>
      </c>
      <c r="AA62" s="570">
        <v>0</v>
      </c>
      <c r="AB62" s="570">
        <v>0</v>
      </c>
      <c r="AC62" s="570">
        <v>0</v>
      </c>
      <c r="AD62" s="570">
        <v>0</v>
      </c>
      <c r="AE62" s="570" t="s">
        <v>1022</v>
      </c>
      <c r="AF62" s="570">
        <v>14</v>
      </c>
      <c r="AG62" s="570" t="s">
        <v>1005</v>
      </c>
      <c r="AH62" s="570">
        <v>0</v>
      </c>
      <c r="AI62" s="570" t="s">
        <v>1006</v>
      </c>
      <c r="AJ62" s="570">
        <v>20</v>
      </c>
      <c r="AK62" s="570">
        <v>14</v>
      </c>
      <c r="AL62" s="570">
        <v>1</v>
      </c>
      <c r="AM62" s="570">
        <v>0</v>
      </c>
      <c r="AN62" s="570">
        <v>0</v>
      </c>
      <c r="AO62" s="570">
        <v>9</v>
      </c>
      <c r="AP62" s="570" t="s">
        <v>1002</v>
      </c>
      <c r="AQ62" s="570"/>
      <c r="AR62" s="570"/>
      <c r="AS62" s="570"/>
    </row>
    <row r="63" spans="1:45" x14ac:dyDescent="0.35">
      <c r="A63" s="570">
        <v>300371307</v>
      </c>
      <c r="B63" s="570">
        <v>44</v>
      </c>
      <c r="C63" s="570">
        <v>15</v>
      </c>
      <c r="D63" s="570">
        <v>5</v>
      </c>
      <c r="E63" s="570">
        <v>0</v>
      </c>
      <c r="F63" s="570">
        <v>17.53</v>
      </c>
      <c r="G63" s="570" t="s">
        <v>1000</v>
      </c>
      <c r="H63" s="570">
        <v>2</v>
      </c>
      <c r="I63" s="570">
        <v>0</v>
      </c>
      <c r="J63" s="570">
        <v>0</v>
      </c>
      <c r="K63" s="570">
        <v>0</v>
      </c>
      <c r="L63" s="570">
        <v>0</v>
      </c>
      <c r="M63" s="570">
        <v>0</v>
      </c>
      <c r="N63" s="570" t="s">
        <v>1001</v>
      </c>
      <c r="O63" s="570">
        <v>1</v>
      </c>
      <c r="P63" s="571">
        <v>43304</v>
      </c>
      <c r="Q63" s="570">
        <v>35.0900325</v>
      </c>
      <c r="R63" s="570">
        <v>-97.418184400000001</v>
      </c>
      <c r="S63" s="570">
        <v>11.23</v>
      </c>
      <c r="T63" s="570" t="s">
        <v>1002</v>
      </c>
      <c r="U63" s="570" t="s">
        <v>1002</v>
      </c>
      <c r="V63" s="570">
        <v>2</v>
      </c>
      <c r="W63" s="570">
        <v>1</v>
      </c>
      <c r="X63" s="570" t="s">
        <v>1000</v>
      </c>
      <c r="Y63" s="570" t="s">
        <v>1013</v>
      </c>
      <c r="Z63" s="570">
        <v>1</v>
      </c>
      <c r="AA63" s="570">
        <v>0</v>
      </c>
      <c r="AB63" s="570">
        <v>0</v>
      </c>
      <c r="AC63" s="570">
        <v>0</v>
      </c>
      <c r="AD63" s="570">
        <v>0</v>
      </c>
      <c r="AE63" s="570" t="s">
        <v>1022</v>
      </c>
      <c r="AF63" s="570">
        <v>14</v>
      </c>
      <c r="AG63" s="570" t="s">
        <v>1005</v>
      </c>
      <c r="AH63" s="570">
        <v>0</v>
      </c>
      <c r="AI63" s="570" t="s">
        <v>1006</v>
      </c>
      <c r="AJ63" s="570">
        <v>20</v>
      </c>
      <c r="AK63" s="570">
        <v>14</v>
      </c>
      <c r="AL63" s="570">
        <v>1</v>
      </c>
      <c r="AM63" s="570">
        <v>0</v>
      </c>
      <c r="AN63" s="570">
        <v>18</v>
      </c>
      <c r="AO63" s="570" t="s">
        <v>1007</v>
      </c>
      <c r="AP63" s="570" t="s">
        <v>1002</v>
      </c>
      <c r="AQ63" s="570">
        <v>1</v>
      </c>
      <c r="AR63" s="570"/>
      <c r="AS63" s="570">
        <v>4</v>
      </c>
    </row>
    <row r="64" spans="1:45" x14ac:dyDescent="0.35">
      <c r="A64" s="570">
        <v>300371307</v>
      </c>
      <c r="B64" s="570">
        <v>44</v>
      </c>
      <c r="C64" s="570">
        <v>15</v>
      </c>
      <c r="D64" s="570">
        <v>5</v>
      </c>
      <c r="E64" s="570">
        <v>0</v>
      </c>
      <c r="F64" s="570">
        <v>17.53</v>
      </c>
      <c r="G64" s="570" t="s">
        <v>1000</v>
      </c>
      <c r="H64" s="570">
        <v>2</v>
      </c>
      <c r="I64" s="570">
        <v>0</v>
      </c>
      <c r="J64" s="570">
        <v>0</v>
      </c>
      <c r="K64" s="570">
        <v>0</v>
      </c>
      <c r="L64" s="570">
        <v>0</v>
      </c>
      <c r="M64" s="570">
        <v>0</v>
      </c>
      <c r="N64" s="570" t="s">
        <v>1001</v>
      </c>
      <c r="O64" s="570">
        <v>1</v>
      </c>
      <c r="P64" s="571">
        <v>43304</v>
      </c>
      <c r="Q64" s="570">
        <v>35.0900325</v>
      </c>
      <c r="R64" s="570">
        <v>-97.418184400000001</v>
      </c>
      <c r="S64" s="570">
        <v>11.23</v>
      </c>
      <c r="T64" s="570" t="s">
        <v>1002</v>
      </c>
      <c r="U64" s="570" t="s">
        <v>1002</v>
      </c>
      <c r="V64" s="570">
        <v>2</v>
      </c>
      <c r="W64" s="570">
        <v>1</v>
      </c>
      <c r="X64" s="570" t="s">
        <v>1000</v>
      </c>
      <c r="Y64" s="570" t="s">
        <v>1013</v>
      </c>
      <c r="Z64" s="570">
        <v>1</v>
      </c>
      <c r="AA64" s="570">
        <v>0</v>
      </c>
      <c r="AB64" s="570">
        <v>0</v>
      </c>
      <c r="AC64" s="570">
        <v>0</v>
      </c>
      <c r="AD64" s="570">
        <v>0</v>
      </c>
      <c r="AE64" s="570" t="s">
        <v>1022</v>
      </c>
      <c r="AF64" s="570">
        <v>14</v>
      </c>
      <c r="AG64" s="570" t="s">
        <v>1005</v>
      </c>
      <c r="AH64" s="570">
        <v>0</v>
      </c>
      <c r="AI64" s="570" t="s">
        <v>1006</v>
      </c>
      <c r="AJ64" s="570">
        <v>10</v>
      </c>
      <c r="AK64" s="570">
        <v>98</v>
      </c>
      <c r="AL64" s="570">
        <v>1</v>
      </c>
      <c r="AM64" s="570">
        <v>0</v>
      </c>
      <c r="AN64" s="570">
        <v>58</v>
      </c>
      <c r="AO64" s="570" t="s">
        <v>1009</v>
      </c>
      <c r="AP64" s="570" t="s">
        <v>1008</v>
      </c>
      <c r="AQ64" s="570">
        <v>1</v>
      </c>
      <c r="AR64" s="570">
        <v>1</v>
      </c>
      <c r="AS64" s="570">
        <v>4</v>
      </c>
    </row>
    <row r="65" spans="1:45" x14ac:dyDescent="0.35">
      <c r="A65" s="570">
        <v>300379102</v>
      </c>
      <c r="B65" s="570">
        <v>44</v>
      </c>
      <c r="C65" s="570">
        <v>15</v>
      </c>
      <c r="D65" s="570">
        <v>5</v>
      </c>
      <c r="E65" s="570">
        <v>0</v>
      </c>
      <c r="F65" s="570">
        <v>17.829999999999998</v>
      </c>
      <c r="G65" s="570" t="s">
        <v>1000</v>
      </c>
      <c r="H65" s="570">
        <v>2</v>
      </c>
      <c r="I65" s="570">
        <v>0</v>
      </c>
      <c r="J65" s="570">
        <v>0</v>
      </c>
      <c r="K65" s="570">
        <v>0</v>
      </c>
      <c r="L65" s="570">
        <v>0</v>
      </c>
      <c r="M65" s="570">
        <v>0</v>
      </c>
      <c r="N65" s="570" t="s">
        <v>1028</v>
      </c>
      <c r="O65" s="570">
        <v>1</v>
      </c>
      <c r="P65" s="571">
        <v>43349</v>
      </c>
      <c r="Q65" s="570">
        <v>35.093480800000002</v>
      </c>
      <c r="R65" s="570">
        <v>-97.421414499999997</v>
      </c>
      <c r="S65" s="570">
        <v>4.13</v>
      </c>
      <c r="T65" s="570" t="s">
        <v>1002</v>
      </c>
      <c r="U65" s="570" t="s">
        <v>1002</v>
      </c>
      <c r="V65" s="570">
        <v>5</v>
      </c>
      <c r="W65" s="570">
        <v>2</v>
      </c>
      <c r="X65" s="570" t="s">
        <v>1024</v>
      </c>
      <c r="Y65" s="570" t="s">
        <v>1026</v>
      </c>
      <c r="Z65" s="570">
        <v>3</v>
      </c>
      <c r="AA65" s="570">
        <v>0</v>
      </c>
      <c r="AB65" s="570">
        <v>0</v>
      </c>
      <c r="AC65" s="570">
        <v>0</v>
      </c>
      <c r="AD65" s="570">
        <v>0</v>
      </c>
      <c r="AE65" s="570" t="s">
        <v>1029</v>
      </c>
      <c r="AF65" s="570">
        <v>86</v>
      </c>
      <c r="AG65" s="570" t="s">
        <v>1012</v>
      </c>
      <c r="AH65" s="570">
        <v>0</v>
      </c>
      <c r="AI65" s="570" t="s">
        <v>1006</v>
      </c>
      <c r="AJ65" s="570">
        <v>4</v>
      </c>
      <c r="AK65" s="570">
        <v>86</v>
      </c>
      <c r="AL65" s="570">
        <v>1</v>
      </c>
      <c r="AM65" s="570">
        <v>0</v>
      </c>
      <c r="AN65" s="570">
        <v>18</v>
      </c>
      <c r="AO65" s="570" t="s">
        <v>1009</v>
      </c>
      <c r="AP65" s="570" t="s">
        <v>1008</v>
      </c>
      <c r="AQ65" s="570">
        <v>1</v>
      </c>
      <c r="AR65" s="570">
        <v>7</v>
      </c>
      <c r="AS65" s="570">
        <v>4</v>
      </c>
    </row>
    <row r="66" spans="1:45" x14ac:dyDescent="0.35">
      <c r="A66" s="570">
        <v>300379102</v>
      </c>
      <c r="B66" s="570">
        <v>44</v>
      </c>
      <c r="C66" s="570">
        <v>15</v>
      </c>
      <c r="D66" s="570">
        <v>5</v>
      </c>
      <c r="E66" s="570">
        <v>0</v>
      </c>
      <c r="F66" s="570">
        <v>17.829999999999998</v>
      </c>
      <c r="G66" s="570" t="s">
        <v>1000</v>
      </c>
      <c r="H66" s="570">
        <v>2</v>
      </c>
      <c r="I66" s="570">
        <v>0</v>
      </c>
      <c r="J66" s="570">
        <v>0</v>
      </c>
      <c r="K66" s="570">
        <v>0</v>
      </c>
      <c r="L66" s="570">
        <v>0</v>
      </c>
      <c r="M66" s="570">
        <v>0</v>
      </c>
      <c r="N66" s="570" t="s">
        <v>1028</v>
      </c>
      <c r="O66" s="570">
        <v>1</v>
      </c>
      <c r="P66" s="571">
        <v>43349</v>
      </c>
      <c r="Q66" s="570">
        <v>35.093480800000002</v>
      </c>
      <c r="R66" s="570">
        <v>-97.421414499999997</v>
      </c>
      <c r="S66" s="570">
        <v>4.13</v>
      </c>
      <c r="T66" s="570" t="s">
        <v>1002</v>
      </c>
      <c r="U66" s="570" t="s">
        <v>1002</v>
      </c>
      <c r="V66" s="570">
        <v>5</v>
      </c>
      <c r="W66" s="570">
        <v>2</v>
      </c>
      <c r="X66" s="570" t="s">
        <v>1024</v>
      </c>
      <c r="Y66" s="570" t="s">
        <v>1026</v>
      </c>
      <c r="Z66" s="570">
        <v>3</v>
      </c>
      <c r="AA66" s="570">
        <v>0</v>
      </c>
      <c r="AB66" s="570">
        <v>0</v>
      </c>
      <c r="AC66" s="570">
        <v>0</v>
      </c>
      <c r="AD66" s="570">
        <v>0</v>
      </c>
      <c r="AE66" s="570" t="s">
        <v>1029</v>
      </c>
      <c r="AF66" s="570">
        <v>86</v>
      </c>
      <c r="AG66" s="570" t="s">
        <v>1012</v>
      </c>
      <c r="AH66" s="570">
        <v>0</v>
      </c>
      <c r="AI66" s="570" t="s">
        <v>1006</v>
      </c>
      <c r="AJ66" s="570">
        <v>10</v>
      </c>
      <c r="AK66" s="570">
        <v>98</v>
      </c>
      <c r="AL66" s="570">
        <v>1</v>
      </c>
      <c r="AM66" s="570">
        <v>0</v>
      </c>
      <c r="AN66" s="570">
        <v>63</v>
      </c>
      <c r="AO66" s="570" t="s">
        <v>1009</v>
      </c>
      <c r="AP66" s="570" t="s">
        <v>1008</v>
      </c>
      <c r="AQ66" s="570">
        <v>1</v>
      </c>
      <c r="AR66" s="570">
        <v>1</v>
      </c>
      <c r="AS66" s="570">
        <v>4</v>
      </c>
    </row>
    <row r="67" spans="1:45" x14ac:dyDescent="0.35">
      <c r="A67" s="570">
        <v>300379102</v>
      </c>
      <c r="B67" s="570">
        <v>44</v>
      </c>
      <c r="C67" s="570">
        <v>15</v>
      </c>
      <c r="D67" s="570">
        <v>5</v>
      </c>
      <c r="E67" s="570">
        <v>0</v>
      </c>
      <c r="F67" s="570">
        <v>17.829999999999998</v>
      </c>
      <c r="G67" s="570" t="s">
        <v>1000</v>
      </c>
      <c r="H67" s="570">
        <v>2</v>
      </c>
      <c r="I67" s="570">
        <v>0</v>
      </c>
      <c r="J67" s="570">
        <v>0</v>
      </c>
      <c r="K67" s="570">
        <v>0</v>
      </c>
      <c r="L67" s="570">
        <v>0</v>
      </c>
      <c r="M67" s="570">
        <v>0</v>
      </c>
      <c r="N67" s="570" t="s">
        <v>1028</v>
      </c>
      <c r="O67" s="570">
        <v>1</v>
      </c>
      <c r="P67" s="571">
        <v>43349</v>
      </c>
      <c r="Q67" s="570">
        <v>35.093480800000002</v>
      </c>
      <c r="R67" s="570">
        <v>-97.421414499999997</v>
      </c>
      <c r="S67" s="570">
        <v>4.13</v>
      </c>
      <c r="T67" s="570" t="s">
        <v>1002</v>
      </c>
      <c r="U67" s="570" t="s">
        <v>1002</v>
      </c>
      <c r="V67" s="570">
        <v>5</v>
      </c>
      <c r="W67" s="570">
        <v>2</v>
      </c>
      <c r="X67" s="570" t="s">
        <v>1024</v>
      </c>
      <c r="Y67" s="570" t="s">
        <v>1026</v>
      </c>
      <c r="Z67" s="570">
        <v>3</v>
      </c>
      <c r="AA67" s="570">
        <v>0</v>
      </c>
      <c r="AB67" s="570">
        <v>0</v>
      </c>
      <c r="AC67" s="570">
        <v>0</v>
      </c>
      <c r="AD67" s="570">
        <v>0</v>
      </c>
      <c r="AE67" s="570" t="s">
        <v>1029</v>
      </c>
      <c r="AF67" s="570">
        <v>86</v>
      </c>
      <c r="AG67" s="570" t="s">
        <v>1012</v>
      </c>
      <c r="AH67" s="570">
        <v>0</v>
      </c>
      <c r="AI67" s="570" t="s">
        <v>1006</v>
      </c>
      <c r="AJ67" s="570">
        <v>10</v>
      </c>
      <c r="AK67" s="570">
        <v>98</v>
      </c>
      <c r="AL67" s="570">
        <v>1</v>
      </c>
      <c r="AM67" s="570">
        <v>0</v>
      </c>
      <c r="AN67" s="570">
        <v>0</v>
      </c>
      <c r="AO67" s="570">
        <v>9</v>
      </c>
      <c r="AP67" s="570" t="s">
        <v>1002</v>
      </c>
      <c r="AQ67" s="570"/>
      <c r="AR67" s="570"/>
      <c r="AS67" s="570"/>
    </row>
    <row r="68" spans="1:45" x14ac:dyDescent="0.35">
      <c r="A68" s="570">
        <v>300379141</v>
      </c>
      <c r="B68" s="570">
        <v>44</v>
      </c>
      <c r="C68" s="570">
        <v>0</v>
      </c>
      <c r="D68" s="570">
        <v>5</v>
      </c>
      <c r="E68" s="570">
        <v>0</v>
      </c>
      <c r="F68" s="570">
        <v>18.38</v>
      </c>
      <c r="G68" s="570" t="s">
        <v>1000</v>
      </c>
      <c r="H68" s="570">
        <v>2</v>
      </c>
      <c r="I68" s="570">
        <v>0</v>
      </c>
      <c r="J68" s="570">
        <v>0</v>
      </c>
      <c r="K68" s="570">
        <v>0</v>
      </c>
      <c r="L68" s="570">
        <v>0</v>
      </c>
      <c r="M68" s="570">
        <v>0</v>
      </c>
      <c r="N68" s="570" t="s">
        <v>1018</v>
      </c>
      <c r="O68" s="570">
        <v>1</v>
      </c>
      <c r="P68" s="571">
        <v>43358</v>
      </c>
      <c r="Q68" s="570">
        <v>35.099831399999999</v>
      </c>
      <c r="R68" s="570">
        <v>-97.427290799999994</v>
      </c>
      <c r="S68" s="570">
        <v>11.43</v>
      </c>
      <c r="T68" s="570" t="s">
        <v>1002</v>
      </c>
      <c r="U68" s="570" t="s">
        <v>1002</v>
      </c>
      <c r="V68" s="570">
        <v>7</v>
      </c>
      <c r="W68" s="570">
        <v>1</v>
      </c>
      <c r="X68" s="570" t="s">
        <v>1024</v>
      </c>
      <c r="Y68" s="570" t="s">
        <v>1025</v>
      </c>
      <c r="Z68" s="570">
        <v>4</v>
      </c>
      <c r="AA68" s="570">
        <v>0</v>
      </c>
      <c r="AB68" s="570">
        <v>0</v>
      </c>
      <c r="AC68" s="570">
        <v>0</v>
      </c>
      <c r="AD68" s="570">
        <v>0</v>
      </c>
      <c r="AE68" s="570" t="s">
        <v>1030</v>
      </c>
      <c r="AF68" s="570">
        <v>50</v>
      </c>
      <c r="AG68" s="570" t="s">
        <v>1020</v>
      </c>
      <c r="AH68" s="570">
        <v>0</v>
      </c>
      <c r="AI68" s="570" t="s">
        <v>1006</v>
      </c>
      <c r="AJ68" s="570">
        <v>20</v>
      </c>
      <c r="AK68" s="570">
        <v>50</v>
      </c>
      <c r="AL68" s="570">
        <v>2</v>
      </c>
      <c r="AM68" s="570">
        <v>0</v>
      </c>
      <c r="AN68" s="570">
        <v>44</v>
      </c>
      <c r="AO68" s="570" t="s">
        <v>1009</v>
      </c>
      <c r="AP68" s="570" t="s">
        <v>1008</v>
      </c>
      <c r="AQ68" s="570">
        <v>1</v>
      </c>
      <c r="AR68" s="570">
        <v>1</v>
      </c>
      <c r="AS68" s="570">
        <v>4</v>
      </c>
    </row>
    <row r="69" spans="1:45" x14ac:dyDescent="0.35">
      <c r="A69" s="570">
        <v>300380288</v>
      </c>
      <c r="B69" s="570">
        <v>44</v>
      </c>
      <c r="C69" s="570">
        <v>15</v>
      </c>
      <c r="D69" s="570">
        <v>5</v>
      </c>
      <c r="E69" s="570">
        <v>0</v>
      </c>
      <c r="F69" s="570">
        <v>17.010000000000002</v>
      </c>
      <c r="G69" s="570" t="s">
        <v>1000</v>
      </c>
      <c r="H69" s="570">
        <v>2</v>
      </c>
      <c r="I69" s="570">
        <v>0</v>
      </c>
      <c r="J69" s="570">
        <v>0</v>
      </c>
      <c r="K69" s="570">
        <v>0</v>
      </c>
      <c r="L69" s="570">
        <v>0</v>
      </c>
      <c r="M69" s="570">
        <v>0</v>
      </c>
      <c r="N69" s="570" t="s">
        <v>1001</v>
      </c>
      <c r="O69" s="570">
        <v>1</v>
      </c>
      <c r="P69" s="571">
        <v>43369</v>
      </c>
      <c r="Q69" s="570">
        <v>35.084149869999997</v>
      </c>
      <c r="R69" s="570">
        <v>-97.412523539999995</v>
      </c>
      <c r="S69" s="570">
        <v>6.27</v>
      </c>
      <c r="T69" s="570" t="s">
        <v>1002</v>
      </c>
      <c r="U69" s="570" t="s">
        <v>1002</v>
      </c>
      <c r="V69" s="570">
        <v>4</v>
      </c>
      <c r="W69" s="570">
        <v>2</v>
      </c>
      <c r="X69" s="570" t="s">
        <v>1000</v>
      </c>
      <c r="Y69" s="570" t="s">
        <v>1003</v>
      </c>
      <c r="Z69" s="570">
        <v>4</v>
      </c>
      <c r="AA69" s="570">
        <v>0</v>
      </c>
      <c r="AB69" s="570">
        <v>0</v>
      </c>
      <c r="AC69" s="570">
        <v>0</v>
      </c>
      <c r="AD69" s="570">
        <v>0</v>
      </c>
      <c r="AE69" s="570" t="s">
        <v>1011</v>
      </c>
      <c r="AF69" s="570">
        <v>22</v>
      </c>
      <c r="AG69" s="570" t="s">
        <v>1020</v>
      </c>
      <c r="AH69" s="570">
        <v>0</v>
      </c>
      <c r="AI69" s="570" t="s">
        <v>1006</v>
      </c>
      <c r="AJ69" s="570">
        <v>8</v>
      </c>
      <c r="AK69" s="570">
        <v>98</v>
      </c>
      <c r="AL69" s="570">
        <v>2</v>
      </c>
      <c r="AM69" s="570">
        <v>0</v>
      </c>
      <c r="AN69" s="570">
        <v>70</v>
      </c>
      <c r="AO69" s="570" t="s">
        <v>1009</v>
      </c>
      <c r="AP69" s="570" t="s">
        <v>1008</v>
      </c>
      <c r="AQ69" s="570">
        <v>1</v>
      </c>
      <c r="AR69" s="570">
        <v>1</v>
      </c>
      <c r="AS69" s="570">
        <v>4</v>
      </c>
    </row>
    <row r="70" spans="1:45" x14ac:dyDescent="0.35">
      <c r="A70" s="570">
        <v>300380288</v>
      </c>
      <c r="B70" s="570">
        <v>44</v>
      </c>
      <c r="C70" s="570">
        <v>15</v>
      </c>
      <c r="D70" s="570">
        <v>5</v>
      </c>
      <c r="E70" s="570">
        <v>0</v>
      </c>
      <c r="F70" s="570">
        <v>17.010000000000002</v>
      </c>
      <c r="G70" s="570" t="s">
        <v>1000</v>
      </c>
      <c r="H70" s="570">
        <v>2</v>
      </c>
      <c r="I70" s="570">
        <v>0</v>
      </c>
      <c r="J70" s="570">
        <v>0</v>
      </c>
      <c r="K70" s="570">
        <v>0</v>
      </c>
      <c r="L70" s="570">
        <v>0</v>
      </c>
      <c r="M70" s="570">
        <v>0</v>
      </c>
      <c r="N70" s="570" t="s">
        <v>1001</v>
      </c>
      <c r="O70" s="570">
        <v>1</v>
      </c>
      <c r="P70" s="571">
        <v>43369</v>
      </c>
      <c r="Q70" s="570">
        <v>35.084149869999997</v>
      </c>
      <c r="R70" s="570">
        <v>-97.412523539999995</v>
      </c>
      <c r="S70" s="570">
        <v>6.27</v>
      </c>
      <c r="T70" s="570" t="s">
        <v>1002</v>
      </c>
      <c r="U70" s="570" t="s">
        <v>1002</v>
      </c>
      <c r="V70" s="570">
        <v>4</v>
      </c>
      <c r="W70" s="570">
        <v>2</v>
      </c>
      <c r="X70" s="570" t="s">
        <v>1000</v>
      </c>
      <c r="Y70" s="570" t="s">
        <v>1003</v>
      </c>
      <c r="Z70" s="570">
        <v>4</v>
      </c>
      <c r="AA70" s="570">
        <v>0</v>
      </c>
      <c r="AB70" s="570">
        <v>0</v>
      </c>
      <c r="AC70" s="570">
        <v>0</v>
      </c>
      <c r="AD70" s="570">
        <v>0</v>
      </c>
      <c r="AE70" s="570" t="s">
        <v>1011</v>
      </c>
      <c r="AF70" s="570">
        <v>22</v>
      </c>
      <c r="AG70" s="570" t="s">
        <v>1020</v>
      </c>
      <c r="AH70" s="570">
        <v>0</v>
      </c>
      <c r="AI70" s="570" t="s">
        <v>1006</v>
      </c>
      <c r="AJ70" s="570">
        <v>8</v>
      </c>
      <c r="AK70" s="570">
        <v>98</v>
      </c>
      <c r="AL70" s="570">
        <v>2</v>
      </c>
      <c r="AM70" s="570">
        <v>0</v>
      </c>
      <c r="AN70" s="570">
        <v>0</v>
      </c>
      <c r="AO70" s="570">
        <v>9</v>
      </c>
      <c r="AP70" s="570" t="s">
        <v>1002</v>
      </c>
      <c r="AQ70" s="570"/>
      <c r="AR70" s="570"/>
      <c r="AS70" s="570"/>
    </row>
    <row r="71" spans="1:45" x14ac:dyDescent="0.35">
      <c r="A71" s="570">
        <v>300380288</v>
      </c>
      <c r="B71" s="570">
        <v>44</v>
      </c>
      <c r="C71" s="570">
        <v>15</v>
      </c>
      <c r="D71" s="570">
        <v>5</v>
      </c>
      <c r="E71" s="570">
        <v>0</v>
      </c>
      <c r="F71" s="570">
        <v>17.010000000000002</v>
      </c>
      <c r="G71" s="570" t="s">
        <v>1000</v>
      </c>
      <c r="H71" s="570">
        <v>2</v>
      </c>
      <c r="I71" s="570">
        <v>0</v>
      </c>
      <c r="J71" s="570">
        <v>0</v>
      </c>
      <c r="K71" s="570">
        <v>0</v>
      </c>
      <c r="L71" s="570">
        <v>0</v>
      </c>
      <c r="M71" s="570">
        <v>0</v>
      </c>
      <c r="N71" s="570" t="s">
        <v>1001</v>
      </c>
      <c r="O71" s="570">
        <v>1</v>
      </c>
      <c r="P71" s="571">
        <v>43369</v>
      </c>
      <c r="Q71" s="570">
        <v>35.084149869999997</v>
      </c>
      <c r="R71" s="570">
        <v>-97.412523539999995</v>
      </c>
      <c r="S71" s="570">
        <v>6.27</v>
      </c>
      <c r="T71" s="570" t="s">
        <v>1002</v>
      </c>
      <c r="U71" s="570" t="s">
        <v>1002</v>
      </c>
      <c r="V71" s="570">
        <v>4</v>
      </c>
      <c r="W71" s="570">
        <v>2</v>
      </c>
      <c r="X71" s="570" t="s">
        <v>1000</v>
      </c>
      <c r="Y71" s="570" t="s">
        <v>1003</v>
      </c>
      <c r="Z71" s="570">
        <v>4</v>
      </c>
      <c r="AA71" s="570">
        <v>0</v>
      </c>
      <c r="AB71" s="570">
        <v>0</v>
      </c>
      <c r="AC71" s="570">
        <v>0</v>
      </c>
      <c r="AD71" s="570">
        <v>0</v>
      </c>
      <c r="AE71" s="570" t="s">
        <v>1011</v>
      </c>
      <c r="AF71" s="570">
        <v>22</v>
      </c>
      <c r="AG71" s="570" t="s">
        <v>1020</v>
      </c>
      <c r="AH71" s="570">
        <v>0</v>
      </c>
      <c r="AI71" s="570" t="s">
        <v>1006</v>
      </c>
      <c r="AJ71" s="570">
        <v>2</v>
      </c>
      <c r="AK71" s="570">
        <v>22</v>
      </c>
      <c r="AL71" s="570">
        <v>2</v>
      </c>
      <c r="AM71" s="570">
        <v>0</v>
      </c>
      <c r="AN71" s="570">
        <v>38</v>
      </c>
      <c r="AO71" s="570" t="s">
        <v>1009</v>
      </c>
      <c r="AP71" s="570" t="s">
        <v>1008</v>
      </c>
      <c r="AQ71" s="570">
        <v>1</v>
      </c>
      <c r="AR71" s="570">
        <v>1</v>
      </c>
      <c r="AS71" s="570">
        <v>4</v>
      </c>
    </row>
    <row r="72" spans="1:45" x14ac:dyDescent="0.35">
      <c r="A72" s="570">
        <v>300384351</v>
      </c>
      <c r="B72" s="570">
        <v>44</v>
      </c>
      <c r="C72" s="570">
        <v>15</v>
      </c>
      <c r="D72" s="570">
        <v>5</v>
      </c>
      <c r="E72" s="570">
        <v>0</v>
      </c>
      <c r="F72" s="570">
        <v>17.809999999999999</v>
      </c>
      <c r="G72" s="570" t="s">
        <v>1000</v>
      </c>
      <c r="H72" s="570">
        <v>2</v>
      </c>
      <c r="I72" s="570">
        <v>0</v>
      </c>
      <c r="J72" s="570">
        <v>0</v>
      </c>
      <c r="K72" s="570">
        <v>0</v>
      </c>
      <c r="L72" s="570">
        <v>0</v>
      </c>
      <c r="M72" s="570">
        <v>0</v>
      </c>
      <c r="N72" s="570" t="s">
        <v>1028</v>
      </c>
      <c r="O72" s="570">
        <v>1</v>
      </c>
      <c r="P72" s="571">
        <v>43391</v>
      </c>
      <c r="Q72" s="570">
        <v>35.093249499999999</v>
      </c>
      <c r="R72" s="570">
        <v>-97.421201400000001</v>
      </c>
      <c r="S72" s="570">
        <v>11.54</v>
      </c>
      <c r="T72" s="570" t="s">
        <v>1002</v>
      </c>
      <c r="U72" s="570" t="s">
        <v>1002</v>
      </c>
      <c r="V72" s="570">
        <v>5</v>
      </c>
      <c r="W72" s="570">
        <v>1</v>
      </c>
      <c r="X72" s="570" t="s">
        <v>1000</v>
      </c>
      <c r="Y72" s="570" t="s">
        <v>1003</v>
      </c>
      <c r="Z72" s="570">
        <v>4</v>
      </c>
      <c r="AA72" s="570">
        <v>0</v>
      </c>
      <c r="AB72" s="570">
        <v>0</v>
      </c>
      <c r="AC72" s="570">
        <v>0</v>
      </c>
      <c r="AD72" s="570">
        <v>0</v>
      </c>
      <c r="AE72" s="570" t="s">
        <v>1031</v>
      </c>
      <c r="AF72" s="570">
        <v>38</v>
      </c>
      <c r="AG72" s="570" t="s">
        <v>1020</v>
      </c>
      <c r="AH72" s="570">
        <v>0</v>
      </c>
      <c r="AI72" s="570" t="s">
        <v>1006</v>
      </c>
      <c r="AJ72" s="570">
        <v>20</v>
      </c>
      <c r="AK72" s="570">
        <v>38</v>
      </c>
      <c r="AL72" s="570">
        <v>2</v>
      </c>
      <c r="AM72" s="570">
        <v>0</v>
      </c>
      <c r="AN72" s="570">
        <v>60</v>
      </c>
      <c r="AO72" s="570" t="s">
        <v>1009</v>
      </c>
      <c r="AP72" s="570" t="s">
        <v>1008</v>
      </c>
      <c r="AQ72" s="570">
        <v>1</v>
      </c>
      <c r="AR72" s="570">
        <v>1</v>
      </c>
      <c r="AS72" s="570">
        <v>4</v>
      </c>
    </row>
    <row r="73" spans="1:45" x14ac:dyDescent="0.35">
      <c r="A73" s="570">
        <v>300384351</v>
      </c>
      <c r="B73" s="570">
        <v>44</v>
      </c>
      <c r="C73" s="570">
        <v>15</v>
      </c>
      <c r="D73" s="570">
        <v>5</v>
      </c>
      <c r="E73" s="570">
        <v>0</v>
      </c>
      <c r="F73" s="570">
        <v>17.809999999999999</v>
      </c>
      <c r="G73" s="570" t="s">
        <v>1000</v>
      </c>
      <c r="H73" s="570">
        <v>2</v>
      </c>
      <c r="I73" s="570">
        <v>0</v>
      </c>
      <c r="J73" s="570">
        <v>0</v>
      </c>
      <c r="K73" s="570">
        <v>0</v>
      </c>
      <c r="L73" s="570">
        <v>0</v>
      </c>
      <c r="M73" s="570">
        <v>0</v>
      </c>
      <c r="N73" s="570" t="s">
        <v>1028</v>
      </c>
      <c r="O73" s="570">
        <v>1</v>
      </c>
      <c r="P73" s="571">
        <v>43391</v>
      </c>
      <c r="Q73" s="570">
        <v>35.093249499999999</v>
      </c>
      <c r="R73" s="570">
        <v>-97.421201400000001</v>
      </c>
      <c r="S73" s="570">
        <v>11.54</v>
      </c>
      <c r="T73" s="570" t="s">
        <v>1002</v>
      </c>
      <c r="U73" s="570" t="s">
        <v>1002</v>
      </c>
      <c r="V73" s="570">
        <v>5</v>
      </c>
      <c r="W73" s="570">
        <v>1</v>
      </c>
      <c r="X73" s="570" t="s">
        <v>1000</v>
      </c>
      <c r="Y73" s="570" t="s">
        <v>1003</v>
      </c>
      <c r="Z73" s="570">
        <v>4</v>
      </c>
      <c r="AA73" s="570">
        <v>0</v>
      </c>
      <c r="AB73" s="570">
        <v>0</v>
      </c>
      <c r="AC73" s="570">
        <v>0</v>
      </c>
      <c r="AD73" s="570">
        <v>0</v>
      </c>
      <c r="AE73" s="570" t="s">
        <v>1031</v>
      </c>
      <c r="AF73" s="570">
        <v>38</v>
      </c>
      <c r="AG73" s="570" t="s">
        <v>1020</v>
      </c>
      <c r="AH73" s="570">
        <v>0</v>
      </c>
      <c r="AI73" s="570" t="s">
        <v>1006</v>
      </c>
      <c r="AJ73" s="570">
        <v>20</v>
      </c>
      <c r="AK73" s="570">
        <v>38</v>
      </c>
      <c r="AL73" s="570">
        <v>2</v>
      </c>
      <c r="AM73" s="570">
        <v>0</v>
      </c>
      <c r="AN73" s="570">
        <v>0</v>
      </c>
      <c r="AO73" s="570">
        <v>9</v>
      </c>
      <c r="AP73" s="570" t="s">
        <v>1002</v>
      </c>
      <c r="AQ73" s="570"/>
      <c r="AR73" s="570"/>
      <c r="AS73" s="570"/>
    </row>
    <row r="74" spans="1:45" x14ac:dyDescent="0.35">
      <c r="A74" s="570">
        <v>300384351</v>
      </c>
      <c r="B74" s="570">
        <v>44</v>
      </c>
      <c r="C74" s="570">
        <v>15</v>
      </c>
      <c r="D74" s="570">
        <v>5</v>
      </c>
      <c r="E74" s="570">
        <v>0</v>
      </c>
      <c r="F74" s="570">
        <v>17.809999999999999</v>
      </c>
      <c r="G74" s="570" t="s">
        <v>1000</v>
      </c>
      <c r="H74" s="570">
        <v>2</v>
      </c>
      <c r="I74" s="570">
        <v>0</v>
      </c>
      <c r="J74" s="570">
        <v>0</v>
      </c>
      <c r="K74" s="570">
        <v>0</v>
      </c>
      <c r="L74" s="570">
        <v>0</v>
      </c>
      <c r="M74" s="570">
        <v>0</v>
      </c>
      <c r="N74" s="570" t="s">
        <v>1028</v>
      </c>
      <c r="O74" s="570">
        <v>1</v>
      </c>
      <c r="P74" s="571">
        <v>43391</v>
      </c>
      <c r="Q74" s="570">
        <v>35.093249499999999</v>
      </c>
      <c r="R74" s="570">
        <v>-97.421201400000001</v>
      </c>
      <c r="S74" s="570">
        <v>11.54</v>
      </c>
      <c r="T74" s="570" t="s">
        <v>1002</v>
      </c>
      <c r="U74" s="570" t="s">
        <v>1002</v>
      </c>
      <c r="V74" s="570">
        <v>5</v>
      </c>
      <c r="W74" s="570">
        <v>1</v>
      </c>
      <c r="X74" s="570" t="s">
        <v>1000</v>
      </c>
      <c r="Y74" s="570" t="s">
        <v>1003</v>
      </c>
      <c r="Z74" s="570">
        <v>4</v>
      </c>
      <c r="AA74" s="570">
        <v>0</v>
      </c>
      <c r="AB74" s="570">
        <v>0</v>
      </c>
      <c r="AC74" s="570">
        <v>0</v>
      </c>
      <c r="AD74" s="570">
        <v>0</v>
      </c>
      <c r="AE74" s="570" t="s">
        <v>1031</v>
      </c>
      <c r="AF74" s="570">
        <v>38</v>
      </c>
      <c r="AG74" s="570" t="s">
        <v>1020</v>
      </c>
      <c r="AH74" s="570">
        <v>0</v>
      </c>
      <c r="AI74" s="570" t="s">
        <v>1006</v>
      </c>
      <c r="AJ74" s="570">
        <v>20</v>
      </c>
      <c r="AK74" s="570">
        <v>38</v>
      </c>
      <c r="AL74" s="570">
        <v>2</v>
      </c>
      <c r="AM74" s="570">
        <v>0</v>
      </c>
      <c r="AN74" s="570">
        <v>54</v>
      </c>
      <c r="AO74" s="570" t="s">
        <v>1007</v>
      </c>
      <c r="AP74" s="570" t="s">
        <v>1002</v>
      </c>
      <c r="AQ74" s="570">
        <v>1</v>
      </c>
      <c r="AR74" s="570"/>
      <c r="AS74" s="570">
        <v>4</v>
      </c>
    </row>
    <row r="75" spans="1:45" x14ac:dyDescent="0.35">
      <c r="A75" s="570">
        <v>300384351</v>
      </c>
      <c r="B75" s="570">
        <v>44</v>
      </c>
      <c r="C75" s="570">
        <v>15</v>
      </c>
      <c r="D75" s="570">
        <v>5</v>
      </c>
      <c r="E75" s="570">
        <v>0</v>
      </c>
      <c r="F75" s="570">
        <v>17.809999999999999</v>
      </c>
      <c r="G75" s="570" t="s">
        <v>1000</v>
      </c>
      <c r="H75" s="570">
        <v>2</v>
      </c>
      <c r="I75" s="570">
        <v>0</v>
      </c>
      <c r="J75" s="570">
        <v>0</v>
      </c>
      <c r="K75" s="570">
        <v>0</v>
      </c>
      <c r="L75" s="570">
        <v>0</v>
      </c>
      <c r="M75" s="570">
        <v>0</v>
      </c>
      <c r="N75" s="570" t="s">
        <v>1028</v>
      </c>
      <c r="O75" s="570">
        <v>1</v>
      </c>
      <c r="P75" s="571">
        <v>43391</v>
      </c>
      <c r="Q75" s="570">
        <v>35.093249499999999</v>
      </c>
      <c r="R75" s="570">
        <v>-97.421201400000001</v>
      </c>
      <c r="S75" s="570">
        <v>11.54</v>
      </c>
      <c r="T75" s="570" t="s">
        <v>1002</v>
      </c>
      <c r="U75" s="570" t="s">
        <v>1002</v>
      </c>
      <c r="V75" s="570">
        <v>5</v>
      </c>
      <c r="W75" s="570">
        <v>1</v>
      </c>
      <c r="X75" s="570" t="s">
        <v>1000</v>
      </c>
      <c r="Y75" s="570" t="s">
        <v>1003</v>
      </c>
      <c r="Z75" s="570">
        <v>4</v>
      </c>
      <c r="AA75" s="570">
        <v>0</v>
      </c>
      <c r="AB75" s="570">
        <v>0</v>
      </c>
      <c r="AC75" s="570">
        <v>0</v>
      </c>
      <c r="AD75" s="570">
        <v>0</v>
      </c>
      <c r="AE75" s="570" t="s">
        <v>1031</v>
      </c>
      <c r="AF75" s="570">
        <v>38</v>
      </c>
      <c r="AG75" s="570" t="s">
        <v>1020</v>
      </c>
      <c r="AH75" s="570">
        <v>0</v>
      </c>
      <c r="AI75" s="570" t="s">
        <v>1006</v>
      </c>
      <c r="AJ75" s="570">
        <v>10</v>
      </c>
      <c r="AK75" s="570">
        <v>98</v>
      </c>
      <c r="AL75" s="570">
        <v>2</v>
      </c>
      <c r="AM75" s="570">
        <v>0</v>
      </c>
      <c r="AN75" s="570">
        <v>53</v>
      </c>
      <c r="AO75" s="570" t="s">
        <v>1009</v>
      </c>
      <c r="AP75" s="570" t="s">
        <v>1008</v>
      </c>
      <c r="AQ75" s="570">
        <v>1</v>
      </c>
      <c r="AR75" s="570">
        <v>1</v>
      </c>
      <c r="AS75" s="570">
        <v>4</v>
      </c>
    </row>
    <row r="76" spans="1:45" x14ac:dyDescent="0.35">
      <c r="A76" s="570">
        <v>300384351</v>
      </c>
      <c r="B76" s="570">
        <v>44</v>
      </c>
      <c r="C76" s="570">
        <v>15</v>
      </c>
      <c r="D76" s="570">
        <v>5</v>
      </c>
      <c r="E76" s="570">
        <v>0</v>
      </c>
      <c r="F76" s="570">
        <v>17.809999999999999</v>
      </c>
      <c r="G76" s="570" t="s">
        <v>1000</v>
      </c>
      <c r="H76" s="570">
        <v>2</v>
      </c>
      <c r="I76" s="570">
        <v>0</v>
      </c>
      <c r="J76" s="570">
        <v>0</v>
      </c>
      <c r="K76" s="570">
        <v>0</v>
      </c>
      <c r="L76" s="570">
        <v>0</v>
      </c>
      <c r="M76" s="570">
        <v>0</v>
      </c>
      <c r="N76" s="570" t="s">
        <v>1028</v>
      </c>
      <c r="O76" s="570">
        <v>1</v>
      </c>
      <c r="P76" s="571">
        <v>43391</v>
      </c>
      <c r="Q76" s="570">
        <v>35.093249499999999</v>
      </c>
      <c r="R76" s="570">
        <v>-97.421201400000001</v>
      </c>
      <c r="S76" s="570">
        <v>11.54</v>
      </c>
      <c r="T76" s="570" t="s">
        <v>1002</v>
      </c>
      <c r="U76" s="570" t="s">
        <v>1002</v>
      </c>
      <c r="V76" s="570">
        <v>5</v>
      </c>
      <c r="W76" s="570">
        <v>1</v>
      </c>
      <c r="X76" s="570" t="s">
        <v>1000</v>
      </c>
      <c r="Y76" s="570" t="s">
        <v>1003</v>
      </c>
      <c r="Z76" s="570">
        <v>4</v>
      </c>
      <c r="AA76" s="570">
        <v>0</v>
      </c>
      <c r="AB76" s="570">
        <v>0</v>
      </c>
      <c r="AC76" s="570">
        <v>0</v>
      </c>
      <c r="AD76" s="570">
        <v>0</v>
      </c>
      <c r="AE76" s="570" t="s">
        <v>1031</v>
      </c>
      <c r="AF76" s="570">
        <v>38</v>
      </c>
      <c r="AG76" s="570" t="s">
        <v>1020</v>
      </c>
      <c r="AH76" s="570">
        <v>0</v>
      </c>
      <c r="AI76" s="570" t="s">
        <v>1006</v>
      </c>
      <c r="AJ76" s="570">
        <v>10</v>
      </c>
      <c r="AK76" s="570">
        <v>98</v>
      </c>
      <c r="AL76" s="570">
        <v>2</v>
      </c>
      <c r="AM76" s="570">
        <v>0</v>
      </c>
      <c r="AN76" s="570">
        <v>0</v>
      </c>
      <c r="AO76" s="570">
        <v>9</v>
      </c>
      <c r="AP76" s="570" t="s">
        <v>1002</v>
      </c>
      <c r="AQ76" s="570"/>
      <c r="AR76" s="570"/>
      <c r="AS76" s="570"/>
    </row>
    <row r="77" spans="1:45" x14ac:dyDescent="0.35">
      <c r="A77" s="570">
        <v>300385428</v>
      </c>
      <c r="B77" s="570">
        <v>44</v>
      </c>
      <c r="C77" s="570">
        <v>15</v>
      </c>
      <c r="D77" s="570">
        <v>5</v>
      </c>
      <c r="E77" s="570">
        <v>0</v>
      </c>
      <c r="F77" s="570">
        <v>17.89</v>
      </c>
      <c r="G77" s="570" t="s">
        <v>1000</v>
      </c>
      <c r="H77" s="570">
        <v>2</v>
      </c>
      <c r="I77" s="570">
        <v>0</v>
      </c>
      <c r="J77" s="570">
        <v>0</v>
      </c>
      <c r="K77" s="570">
        <v>0</v>
      </c>
      <c r="L77" s="570">
        <v>0</v>
      </c>
      <c r="M77" s="570">
        <v>0</v>
      </c>
      <c r="N77" s="570" t="s">
        <v>1028</v>
      </c>
      <c r="O77" s="570">
        <v>2</v>
      </c>
      <c r="P77" s="571">
        <v>43390</v>
      </c>
      <c r="Q77" s="570">
        <v>35.094174700000003</v>
      </c>
      <c r="R77" s="570">
        <v>-97.4220538</v>
      </c>
      <c r="S77" s="570">
        <v>20.25</v>
      </c>
      <c r="T77" s="570" t="s">
        <v>1002</v>
      </c>
      <c r="U77" s="570" t="s">
        <v>1002</v>
      </c>
      <c r="V77" s="570">
        <v>4</v>
      </c>
      <c r="W77" s="570">
        <v>2</v>
      </c>
      <c r="X77" s="570" t="s">
        <v>1000</v>
      </c>
      <c r="Y77" s="570" t="s">
        <v>1013</v>
      </c>
      <c r="Z77" s="570">
        <v>1</v>
      </c>
      <c r="AA77" s="570">
        <v>0</v>
      </c>
      <c r="AB77" s="570">
        <v>0</v>
      </c>
      <c r="AC77" s="570">
        <v>3</v>
      </c>
      <c r="AD77" s="570">
        <v>0</v>
      </c>
      <c r="AE77" s="570" t="s">
        <v>1031</v>
      </c>
      <c r="AF77" s="570">
        <v>38</v>
      </c>
      <c r="AG77" s="570" t="s">
        <v>1005</v>
      </c>
      <c r="AH77" s="570">
        <v>0</v>
      </c>
      <c r="AI77" s="570" t="s">
        <v>1006</v>
      </c>
      <c r="AJ77" s="570">
        <v>10</v>
      </c>
      <c r="AK77" s="570">
        <v>38</v>
      </c>
      <c r="AL77" s="570">
        <v>1</v>
      </c>
      <c r="AM77" s="570">
        <v>0</v>
      </c>
      <c r="AN77" s="570">
        <v>0</v>
      </c>
      <c r="AO77" s="570">
        <v>9</v>
      </c>
      <c r="AP77" s="570" t="s">
        <v>1008</v>
      </c>
      <c r="AQ77" s="570">
        <v>1</v>
      </c>
      <c r="AR77" s="570">
        <v>99</v>
      </c>
      <c r="AS77" s="570">
        <v>99</v>
      </c>
    </row>
    <row r="78" spans="1:45" x14ac:dyDescent="0.35">
      <c r="A78" s="570">
        <v>300385428</v>
      </c>
      <c r="B78" s="570">
        <v>44</v>
      </c>
      <c r="C78" s="570">
        <v>15</v>
      </c>
      <c r="D78" s="570">
        <v>5</v>
      </c>
      <c r="E78" s="570">
        <v>0</v>
      </c>
      <c r="F78" s="570">
        <v>17.89</v>
      </c>
      <c r="G78" s="570" t="s">
        <v>1000</v>
      </c>
      <c r="H78" s="570">
        <v>2</v>
      </c>
      <c r="I78" s="570">
        <v>0</v>
      </c>
      <c r="J78" s="570">
        <v>0</v>
      </c>
      <c r="K78" s="570">
        <v>0</v>
      </c>
      <c r="L78" s="570">
        <v>0</v>
      </c>
      <c r="M78" s="570">
        <v>0</v>
      </c>
      <c r="N78" s="570" t="s">
        <v>1028</v>
      </c>
      <c r="O78" s="570">
        <v>2</v>
      </c>
      <c r="P78" s="571">
        <v>43390</v>
      </c>
      <c r="Q78" s="570">
        <v>35.094174700000003</v>
      </c>
      <c r="R78" s="570">
        <v>-97.4220538</v>
      </c>
      <c r="S78" s="570">
        <v>20.25</v>
      </c>
      <c r="T78" s="570" t="s">
        <v>1002</v>
      </c>
      <c r="U78" s="570" t="s">
        <v>1002</v>
      </c>
      <c r="V78" s="570">
        <v>4</v>
      </c>
      <c r="W78" s="570">
        <v>2</v>
      </c>
      <c r="X78" s="570" t="s">
        <v>1000</v>
      </c>
      <c r="Y78" s="570" t="s">
        <v>1013</v>
      </c>
      <c r="Z78" s="570">
        <v>1</v>
      </c>
      <c r="AA78" s="570">
        <v>0</v>
      </c>
      <c r="AB78" s="570">
        <v>0</v>
      </c>
      <c r="AC78" s="570">
        <v>3</v>
      </c>
      <c r="AD78" s="570">
        <v>0</v>
      </c>
      <c r="AE78" s="570" t="s">
        <v>1031</v>
      </c>
      <c r="AF78" s="570">
        <v>38</v>
      </c>
      <c r="AG78" s="570" t="s">
        <v>1005</v>
      </c>
      <c r="AH78" s="570">
        <v>0</v>
      </c>
      <c r="AI78" s="570" t="s">
        <v>1006</v>
      </c>
      <c r="AJ78" s="570">
        <v>10</v>
      </c>
      <c r="AK78" s="570">
        <v>38</v>
      </c>
      <c r="AL78" s="570">
        <v>1</v>
      </c>
      <c r="AM78" s="570">
        <v>0</v>
      </c>
      <c r="AN78" s="570">
        <v>0</v>
      </c>
      <c r="AO78" s="570">
        <v>9</v>
      </c>
      <c r="AP78" s="570" t="s">
        <v>1002</v>
      </c>
      <c r="AQ78" s="570"/>
      <c r="AR78" s="570"/>
      <c r="AS78" s="570"/>
    </row>
    <row r="79" spans="1:45" x14ac:dyDescent="0.35">
      <c r="A79" s="570">
        <v>300385428</v>
      </c>
      <c r="B79" s="570">
        <v>44</v>
      </c>
      <c r="C79" s="570">
        <v>15</v>
      </c>
      <c r="D79" s="570">
        <v>5</v>
      </c>
      <c r="E79" s="570">
        <v>0</v>
      </c>
      <c r="F79" s="570">
        <v>17.89</v>
      </c>
      <c r="G79" s="570" t="s">
        <v>1000</v>
      </c>
      <c r="H79" s="570">
        <v>2</v>
      </c>
      <c r="I79" s="570">
        <v>0</v>
      </c>
      <c r="J79" s="570">
        <v>0</v>
      </c>
      <c r="K79" s="570">
        <v>0</v>
      </c>
      <c r="L79" s="570">
        <v>0</v>
      </c>
      <c r="M79" s="570">
        <v>0</v>
      </c>
      <c r="N79" s="570" t="s">
        <v>1028</v>
      </c>
      <c r="O79" s="570">
        <v>2</v>
      </c>
      <c r="P79" s="571">
        <v>43390</v>
      </c>
      <c r="Q79" s="570">
        <v>35.094174700000003</v>
      </c>
      <c r="R79" s="570">
        <v>-97.4220538</v>
      </c>
      <c r="S79" s="570">
        <v>20.25</v>
      </c>
      <c r="T79" s="570" t="s">
        <v>1002</v>
      </c>
      <c r="U79" s="570" t="s">
        <v>1002</v>
      </c>
      <c r="V79" s="570">
        <v>4</v>
      </c>
      <c r="W79" s="570">
        <v>2</v>
      </c>
      <c r="X79" s="570" t="s">
        <v>1000</v>
      </c>
      <c r="Y79" s="570" t="s">
        <v>1013</v>
      </c>
      <c r="Z79" s="570">
        <v>1</v>
      </c>
      <c r="AA79" s="570">
        <v>0</v>
      </c>
      <c r="AB79" s="570">
        <v>0</v>
      </c>
      <c r="AC79" s="570">
        <v>3</v>
      </c>
      <c r="AD79" s="570">
        <v>0</v>
      </c>
      <c r="AE79" s="570" t="s">
        <v>1031</v>
      </c>
      <c r="AF79" s="570">
        <v>38</v>
      </c>
      <c r="AG79" s="570" t="s">
        <v>1005</v>
      </c>
      <c r="AH79" s="570">
        <v>0</v>
      </c>
      <c r="AI79" s="570" t="s">
        <v>1006</v>
      </c>
      <c r="AJ79" s="570">
        <v>2</v>
      </c>
      <c r="AK79" s="570">
        <v>98</v>
      </c>
      <c r="AL79" s="570">
        <v>1</v>
      </c>
      <c r="AM79" s="570">
        <v>0</v>
      </c>
      <c r="AN79" s="570">
        <v>50</v>
      </c>
      <c r="AO79" s="570" t="s">
        <v>1007</v>
      </c>
      <c r="AP79" s="570" t="s">
        <v>1008</v>
      </c>
      <c r="AQ79" s="570">
        <v>2</v>
      </c>
      <c r="AR79" s="570">
        <v>1</v>
      </c>
      <c r="AS79" s="570">
        <v>4</v>
      </c>
    </row>
    <row r="80" spans="1:45" x14ac:dyDescent="0.35">
      <c r="A80" s="570">
        <v>300385428</v>
      </c>
      <c r="B80" s="570">
        <v>44</v>
      </c>
      <c r="C80" s="570">
        <v>15</v>
      </c>
      <c r="D80" s="570">
        <v>5</v>
      </c>
      <c r="E80" s="570">
        <v>0</v>
      </c>
      <c r="F80" s="570">
        <v>17.89</v>
      </c>
      <c r="G80" s="570" t="s">
        <v>1000</v>
      </c>
      <c r="H80" s="570">
        <v>2</v>
      </c>
      <c r="I80" s="570">
        <v>0</v>
      </c>
      <c r="J80" s="570">
        <v>0</v>
      </c>
      <c r="K80" s="570">
        <v>0</v>
      </c>
      <c r="L80" s="570">
        <v>0</v>
      </c>
      <c r="M80" s="570">
        <v>0</v>
      </c>
      <c r="N80" s="570" t="s">
        <v>1028</v>
      </c>
      <c r="O80" s="570">
        <v>2</v>
      </c>
      <c r="P80" s="571">
        <v>43390</v>
      </c>
      <c r="Q80" s="570">
        <v>35.094174700000003</v>
      </c>
      <c r="R80" s="570">
        <v>-97.4220538</v>
      </c>
      <c r="S80" s="570">
        <v>20.25</v>
      </c>
      <c r="T80" s="570" t="s">
        <v>1002</v>
      </c>
      <c r="U80" s="570" t="s">
        <v>1002</v>
      </c>
      <c r="V80" s="570">
        <v>4</v>
      </c>
      <c r="W80" s="570">
        <v>2</v>
      </c>
      <c r="X80" s="570" t="s">
        <v>1000</v>
      </c>
      <c r="Y80" s="570" t="s">
        <v>1013</v>
      </c>
      <c r="Z80" s="570">
        <v>1</v>
      </c>
      <c r="AA80" s="570">
        <v>0</v>
      </c>
      <c r="AB80" s="570">
        <v>0</v>
      </c>
      <c r="AC80" s="570">
        <v>3</v>
      </c>
      <c r="AD80" s="570">
        <v>0</v>
      </c>
      <c r="AE80" s="570" t="s">
        <v>1031</v>
      </c>
      <c r="AF80" s="570">
        <v>38</v>
      </c>
      <c r="AG80" s="570" t="s">
        <v>1005</v>
      </c>
      <c r="AH80" s="570">
        <v>0</v>
      </c>
      <c r="AI80" s="570" t="s">
        <v>1006</v>
      </c>
      <c r="AJ80" s="570">
        <v>2</v>
      </c>
      <c r="AK80" s="570">
        <v>98</v>
      </c>
      <c r="AL80" s="570">
        <v>1</v>
      </c>
      <c r="AM80" s="570">
        <v>0</v>
      </c>
      <c r="AN80" s="570">
        <v>0</v>
      </c>
      <c r="AO80" s="570">
        <v>9</v>
      </c>
      <c r="AP80" s="570" t="s">
        <v>1002</v>
      </c>
      <c r="AQ80" s="570"/>
      <c r="AR80" s="570"/>
      <c r="AS80" s="570"/>
    </row>
    <row r="81" spans="1:45" x14ac:dyDescent="0.35">
      <c r="A81" s="570">
        <v>300385428</v>
      </c>
      <c r="B81" s="570">
        <v>44</v>
      </c>
      <c r="C81" s="570">
        <v>15</v>
      </c>
      <c r="D81" s="570">
        <v>5</v>
      </c>
      <c r="E81" s="570">
        <v>0</v>
      </c>
      <c r="F81" s="570">
        <v>17.89</v>
      </c>
      <c r="G81" s="570" t="s">
        <v>1000</v>
      </c>
      <c r="H81" s="570">
        <v>2</v>
      </c>
      <c r="I81" s="570">
        <v>0</v>
      </c>
      <c r="J81" s="570">
        <v>0</v>
      </c>
      <c r="K81" s="570">
        <v>0</v>
      </c>
      <c r="L81" s="570">
        <v>0</v>
      </c>
      <c r="M81" s="570">
        <v>0</v>
      </c>
      <c r="N81" s="570" t="s">
        <v>1028</v>
      </c>
      <c r="O81" s="570">
        <v>2</v>
      </c>
      <c r="P81" s="571">
        <v>43390</v>
      </c>
      <c r="Q81" s="570">
        <v>35.094174700000003</v>
      </c>
      <c r="R81" s="570">
        <v>-97.4220538</v>
      </c>
      <c r="S81" s="570">
        <v>20.25</v>
      </c>
      <c r="T81" s="570" t="s">
        <v>1002</v>
      </c>
      <c r="U81" s="570" t="s">
        <v>1002</v>
      </c>
      <c r="V81" s="570">
        <v>4</v>
      </c>
      <c r="W81" s="570">
        <v>2</v>
      </c>
      <c r="X81" s="570" t="s">
        <v>1000</v>
      </c>
      <c r="Y81" s="570" t="s">
        <v>1013</v>
      </c>
      <c r="Z81" s="570">
        <v>1</v>
      </c>
      <c r="AA81" s="570">
        <v>0</v>
      </c>
      <c r="AB81" s="570">
        <v>0</v>
      </c>
      <c r="AC81" s="570">
        <v>3</v>
      </c>
      <c r="AD81" s="570">
        <v>0</v>
      </c>
      <c r="AE81" s="570" t="s">
        <v>1031</v>
      </c>
      <c r="AF81" s="570">
        <v>38</v>
      </c>
      <c r="AG81" s="570" t="s">
        <v>1005</v>
      </c>
      <c r="AH81" s="570">
        <v>0</v>
      </c>
      <c r="AI81" s="570" t="s">
        <v>1006</v>
      </c>
      <c r="AJ81" s="570">
        <v>2</v>
      </c>
      <c r="AK81" s="570">
        <v>98</v>
      </c>
      <c r="AL81" s="570">
        <v>1</v>
      </c>
      <c r="AM81" s="570">
        <v>0</v>
      </c>
      <c r="AN81" s="570">
        <v>49</v>
      </c>
      <c r="AO81" s="570" t="s">
        <v>1007</v>
      </c>
      <c r="AP81" s="570" t="s">
        <v>1002</v>
      </c>
      <c r="AQ81" s="570">
        <v>2</v>
      </c>
      <c r="AR81" s="570"/>
      <c r="AS81" s="570">
        <v>4</v>
      </c>
    </row>
    <row r="82" spans="1:45" x14ac:dyDescent="0.35">
      <c r="A82" s="570">
        <v>300385428</v>
      </c>
      <c r="B82" s="570">
        <v>44</v>
      </c>
      <c r="C82" s="570">
        <v>15</v>
      </c>
      <c r="D82" s="570">
        <v>5</v>
      </c>
      <c r="E82" s="570">
        <v>0</v>
      </c>
      <c r="F82" s="570">
        <v>17.89</v>
      </c>
      <c r="G82" s="570" t="s">
        <v>1000</v>
      </c>
      <c r="H82" s="570">
        <v>2</v>
      </c>
      <c r="I82" s="570">
        <v>0</v>
      </c>
      <c r="J82" s="570">
        <v>0</v>
      </c>
      <c r="K82" s="570">
        <v>0</v>
      </c>
      <c r="L82" s="570">
        <v>0</v>
      </c>
      <c r="M82" s="570">
        <v>0</v>
      </c>
      <c r="N82" s="570" t="s">
        <v>1028</v>
      </c>
      <c r="O82" s="570">
        <v>2</v>
      </c>
      <c r="P82" s="571">
        <v>43390</v>
      </c>
      <c r="Q82" s="570">
        <v>35.094174700000003</v>
      </c>
      <c r="R82" s="570">
        <v>-97.4220538</v>
      </c>
      <c r="S82" s="570">
        <v>20.25</v>
      </c>
      <c r="T82" s="570" t="s">
        <v>1002</v>
      </c>
      <c r="U82" s="570" t="s">
        <v>1002</v>
      </c>
      <c r="V82" s="570">
        <v>4</v>
      </c>
      <c r="W82" s="570">
        <v>2</v>
      </c>
      <c r="X82" s="570" t="s">
        <v>1000</v>
      </c>
      <c r="Y82" s="570" t="s">
        <v>1013</v>
      </c>
      <c r="Z82" s="570">
        <v>1</v>
      </c>
      <c r="AA82" s="570">
        <v>0</v>
      </c>
      <c r="AB82" s="570">
        <v>0</v>
      </c>
      <c r="AC82" s="570">
        <v>3</v>
      </c>
      <c r="AD82" s="570">
        <v>0</v>
      </c>
      <c r="AE82" s="570" t="s">
        <v>1031</v>
      </c>
      <c r="AF82" s="570">
        <v>38</v>
      </c>
      <c r="AG82" s="570" t="s">
        <v>1005</v>
      </c>
      <c r="AH82" s="570">
        <v>0</v>
      </c>
      <c r="AI82" s="570" t="s">
        <v>1006</v>
      </c>
      <c r="AJ82" s="570">
        <v>2</v>
      </c>
      <c r="AK82" s="570">
        <v>98</v>
      </c>
      <c r="AL82" s="570">
        <v>1</v>
      </c>
      <c r="AM82" s="570">
        <v>0</v>
      </c>
      <c r="AN82" s="570">
        <v>22</v>
      </c>
      <c r="AO82" s="570" t="s">
        <v>1007</v>
      </c>
      <c r="AP82" s="570" t="s">
        <v>1002</v>
      </c>
      <c r="AQ82" s="570">
        <v>2</v>
      </c>
      <c r="AR82" s="570"/>
      <c r="AS82" s="570">
        <v>4</v>
      </c>
    </row>
    <row r="83" spans="1:45" x14ac:dyDescent="0.35">
      <c r="A83" s="570">
        <v>300388923</v>
      </c>
      <c r="B83" s="570">
        <v>44</v>
      </c>
      <c r="C83" s="570">
        <v>0</v>
      </c>
      <c r="D83" s="570">
        <v>5</v>
      </c>
      <c r="E83" s="570">
        <v>0</v>
      </c>
      <c r="F83" s="570">
        <v>18.5</v>
      </c>
      <c r="G83" s="570" t="s">
        <v>1000</v>
      </c>
      <c r="H83" s="570">
        <v>2</v>
      </c>
      <c r="I83" s="570">
        <v>0</v>
      </c>
      <c r="J83" s="570">
        <v>0</v>
      </c>
      <c r="K83" s="570">
        <v>0</v>
      </c>
      <c r="L83" s="570">
        <v>1</v>
      </c>
      <c r="M83" s="570">
        <v>0</v>
      </c>
      <c r="N83" s="570" t="s">
        <v>1001</v>
      </c>
      <c r="O83" s="570">
        <v>3</v>
      </c>
      <c r="P83" s="571">
        <v>43394</v>
      </c>
      <c r="Q83" s="570">
        <v>35.101225300000003</v>
      </c>
      <c r="R83" s="570">
        <v>-97.428559699999994</v>
      </c>
      <c r="S83" s="570">
        <v>18.309999999999999</v>
      </c>
      <c r="T83" s="570" t="s">
        <v>1002</v>
      </c>
      <c r="U83" s="570" t="s">
        <v>1002</v>
      </c>
      <c r="V83" s="570">
        <v>1</v>
      </c>
      <c r="W83" s="570">
        <v>5</v>
      </c>
      <c r="X83" s="570" t="s">
        <v>1024</v>
      </c>
      <c r="Y83" s="570" t="s">
        <v>1025</v>
      </c>
      <c r="Z83" s="570">
        <v>1</v>
      </c>
      <c r="AA83" s="570">
        <v>0</v>
      </c>
      <c r="AB83" s="570">
        <v>1</v>
      </c>
      <c r="AC83" s="570">
        <v>0</v>
      </c>
      <c r="AD83" s="570">
        <v>0</v>
      </c>
      <c r="AE83" s="570" t="s">
        <v>1011</v>
      </c>
      <c r="AF83" s="570">
        <v>19</v>
      </c>
      <c r="AG83" s="570" t="s">
        <v>1005</v>
      </c>
      <c r="AH83" s="570">
        <v>0</v>
      </c>
      <c r="AI83" s="570" t="s">
        <v>1006</v>
      </c>
      <c r="AJ83" s="570">
        <v>4</v>
      </c>
      <c r="AK83" s="570">
        <v>19</v>
      </c>
      <c r="AL83" s="570">
        <v>1</v>
      </c>
      <c r="AM83" s="570">
        <v>0</v>
      </c>
      <c r="AN83" s="570">
        <v>38</v>
      </c>
      <c r="AO83" s="570" t="s">
        <v>1009</v>
      </c>
      <c r="AP83" s="570" t="s">
        <v>1008</v>
      </c>
      <c r="AQ83" s="570">
        <v>1</v>
      </c>
      <c r="AR83" s="570">
        <v>1</v>
      </c>
      <c r="AS83" s="570">
        <v>4</v>
      </c>
    </row>
    <row r="84" spans="1:45" x14ac:dyDescent="0.35">
      <c r="A84" s="570">
        <v>300388923</v>
      </c>
      <c r="B84" s="570">
        <v>44</v>
      </c>
      <c r="C84" s="570">
        <v>0</v>
      </c>
      <c r="D84" s="570">
        <v>5</v>
      </c>
      <c r="E84" s="570">
        <v>0</v>
      </c>
      <c r="F84" s="570">
        <v>18.5</v>
      </c>
      <c r="G84" s="570" t="s">
        <v>1000</v>
      </c>
      <c r="H84" s="570">
        <v>2</v>
      </c>
      <c r="I84" s="570">
        <v>0</v>
      </c>
      <c r="J84" s="570">
        <v>0</v>
      </c>
      <c r="K84" s="570">
        <v>0</v>
      </c>
      <c r="L84" s="570">
        <v>1</v>
      </c>
      <c r="M84" s="570">
        <v>0</v>
      </c>
      <c r="N84" s="570" t="s">
        <v>1001</v>
      </c>
      <c r="O84" s="570">
        <v>3</v>
      </c>
      <c r="P84" s="571">
        <v>43394</v>
      </c>
      <c r="Q84" s="570">
        <v>35.101225300000003</v>
      </c>
      <c r="R84" s="570">
        <v>-97.428559699999994</v>
      </c>
      <c r="S84" s="570">
        <v>18.309999999999999</v>
      </c>
      <c r="T84" s="570" t="s">
        <v>1002</v>
      </c>
      <c r="U84" s="570" t="s">
        <v>1002</v>
      </c>
      <c r="V84" s="570">
        <v>1</v>
      </c>
      <c r="W84" s="570">
        <v>5</v>
      </c>
      <c r="X84" s="570" t="s">
        <v>1024</v>
      </c>
      <c r="Y84" s="570" t="s">
        <v>1025</v>
      </c>
      <c r="Z84" s="570">
        <v>1</v>
      </c>
      <c r="AA84" s="570">
        <v>0</v>
      </c>
      <c r="AB84" s="570">
        <v>1</v>
      </c>
      <c r="AC84" s="570">
        <v>0</v>
      </c>
      <c r="AD84" s="570">
        <v>0</v>
      </c>
      <c r="AE84" s="570" t="s">
        <v>1011</v>
      </c>
      <c r="AF84" s="570">
        <v>19</v>
      </c>
      <c r="AG84" s="570" t="s">
        <v>1005</v>
      </c>
      <c r="AH84" s="570">
        <v>0</v>
      </c>
      <c r="AI84" s="570" t="s">
        <v>1006</v>
      </c>
      <c r="AJ84" s="570">
        <v>4</v>
      </c>
      <c r="AK84" s="570">
        <v>19</v>
      </c>
      <c r="AL84" s="570">
        <v>1</v>
      </c>
      <c r="AM84" s="570">
        <v>0</v>
      </c>
      <c r="AN84" s="570">
        <v>0</v>
      </c>
      <c r="AO84" s="570">
        <v>9</v>
      </c>
      <c r="AP84" s="570" t="s">
        <v>1002</v>
      </c>
      <c r="AQ84" s="570"/>
      <c r="AR84" s="570"/>
      <c r="AS84" s="570"/>
    </row>
    <row r="85" spans="1:45" x14ac:dyDescent="0.35">
      <c r="A85" s="570">
        <v>300388923</v>
      </c>
      <c r="B85" s="570">
        <v>44</v>
      </c>
      <c r="C85" s="570">
        <v>0</v>
      </c>
      <c r="D85" s="570">
        <v>5</v>
      </c>
      <c r="E85" s="570">
        <v>0</v>
      </c>
      <c r="F85" s="570">
        <v>18.5</v>
      </c>
      <c r="G85" s="570" t="s">
        <v>1000</v>
      </c>
      <c r="H85" s="570">
        <v>2</v>
      </c>
      <c r="I85" s="570">
        <v>0</v>
      </c>
      <c r="J85" s="570">
        <v>0</v>
      </c>
      <c r="K85" s="570">
        <v>0</v>
      </c>
      <c r="L85" s="570">
        <v>1</v>
      </c>
      <c r="M85" s="570">
        <v>0</v>
      </c>
      <c r="N85" s="570" t="s">
        <v>1001</v>
      </c>
      <c r="O85" s="570">
        <v>3</v>
      </c>
      <c r="P85" s="571">
        <v>43394</v>
      </c>
      <c r="Q85" s="570">
        <v>35.101225300000003</v>
      </c>
      <c r="R85" s="570">
        <v>-97.428559699999994</v>
      </c>
      <c r="S85" s="570">
        <v>18.309999999999999</v>
      </c>
      <c r="T85" s="570" t="s">
        <v>1002</v>
      </c>
      <c r="U85" s="570" t="s">
        <v>1002</v>
      </c>
      <c r="V85" s="570">
        <v>1</v>
      </c>
      <c r="W85" s="570">
        <v>5</v>
      </c>
      <c r="X85" s="570" t="s">
        <v>1024</v>
      </c>
      <c r="Y85" s="570" t="s">
        <v>1025</v>
      </c>
      <c r="Z85" s="570">
        <v>1</v>
      </c>
      <c r="AA85" s="570">
        <v>0</v>
      </c>
      <c r="AB85" s="570">
        <v>1</v>
      </c>
      <c r="AC85" s="570">
        <v>0</v>
      </c>
      <c r="AD85" s="570">
        <v>0</v>
      </c>
      <c r="AE85" s="570" t="s">
        <v>1011</v>
      </c>
      <c r="AF85" s="570">
        <v>19</v>
      </c>
      <c r="AG85" s="570" t="s">
        <v>1005</v>
      </c>
      <c r="AH85" s="570">
        <v>0</v>
      </c>
      <c r="AI85" s="570" t="s">
        <v>1006</v>
      </c>
      <c r="AJ85" s="570">
        <v>4</v>
      </c>
      <c r="AK85" s="570">
        <v>98</v>
      </c>
      <c r="AL85" s="570">
        <v>1</v>
      </c>
      <c r="AM85" s="570">
        <v>0</v>
      </c>
      <c r="AN85" s="570">
        <v>53</v>
      </c>
      <c r="AO85" s="570" t="s">
        <v>1009</v>
      </c>
      <c r="AP85" s="570" t="s">
        <v>1008</v>
      </c>
      <c r="AQ85" s="570">
        <v>3</v>
      </c>
      <c r="AR85" s="570">
        <v>1</v>
      </c>
      <c r="AS85" s="570">
        <v>4</v>
      </c>
    </row>
    <row r="86" spans="1:45" x14ac:dyDescent="0.35">
      <c r="A86" s="570">
        <v>300388923</v>
      </c>
      <c r="B86" s="570">
        <v>44</v>
      </c>
      <c r="C86" s="570">
        <v>0</v>
      </c>
      <c r="D86" s="570">
        <v>5</v>
      </c>
      <c r="E86" s="570">
        <v>0</v>
      </c>
      <c r="F86" s="570">
        <v>18.5</v>
      </c>
      <c r="G86" s="570" t="s">
        <v>1000</v>
      </c>
      <c r="H86" s="570">
        <v>2</v>
      </c>
      <c r="I86" s="570">
        <v>0</v>
      </c>
      <c r="J86" s="570">
        <v>0</v>
      </c>
      <c r="K86" s="570">
        <v>0</v>
      </c>
      <c r="L86" s="570">
        <v>1</v>
      </c>
      <c r="M86" s="570">
        <v>0</v>
      </c>
      <c r="N86" s="570" t="s">
        <v>1001</v>
      </c>
      <c r="O86" s="570">
        <v>3</v>
      </c>
      <c r="P86" s="571">
        <v>43394</v>
      </c>
      <c r="Q86" s="570">
        <v>35.101225300000003</v>
      </c>
      <c r="R86" s="570">
        <v>-97.428559699999994</v>
      </c>
      <c r="S86" s="570">
        <v>18.309999999999999</v>
      </c>
      <c r="T86" s="570" t="s">
        <v>1002</v>
      </c>
      <c r="U86" s="570" t="s">
        <v>1002</v>
      </c>
      <c r="V86" s="570">
        <v>1</v>
      </c>
      <c r="W86" s="570">
        <v>5</v>
      </c>
      <c r="X86" s="570" t="s">
        <v>1024</v>
      </c>
      <c r="Y86" s="570" t="s">
        <v>1025</v>
      </c>
      <c r="Z86" s="570">
        <v>1</v>
      </c>
      <c r="AA86" s="570">
        <v>0</v>
      </c>
      <c r="AB86" s="570">
        <v>1</v>
      </c>
      <c r="AC86" s="570">
        <v>0</v>
      </c>
      <c r="AD86" s="570">
        <v>0</v>
      </c>
      <c r="AE86" s="570" t="s">
        <v>1011</v>
      </c>
      <c r="AF86" s="570">
        <v>19</v>
      </c>
      <c r="AG86" s="570" t="s">
        <v>1005</v>
      </c>
      <c r="AH86" s="570">
        <v>0</v>
      </c>
      <c r="AI86" s="570" t="s">
        <v>1006</v>
      </c>
      <c r="AJ86" s="570">
        <v>20</v>
      </c>
      <c r="AK86" s="570">
        <v>98</v>
      </c>
      <c r="AL86" s="570">
        <v>1</v>
      </c>
      <c r="AM86" s="570">
        <v>0</v>
      </c>
      <c r="AN86" s="570">
        <v>53</v>
      </c>
      <c r="AO86" s="570" t="s">
        <v>1007</v>
      </c>
      <c r="AP86" s="570" t="s">
        <v>1008</v>
      </c>
      <c r="AQ86" s="570">
        <v>1</v>
      </c>
      <c r="AR86" s="570">
        <v>1</v>
      </c>
      <c r="AS86" s="570">
        <v>4</v>
      </c>
    </row>
    <row r="87" spans="1:45" x14ac:dyDescent="0.35">
      <c r="A87" s="570">
        <v>300388923</v>
      </c>
      <c r="B87" s="570">
        <v>44</v>
      </c>
      <c r="C87" s="570">
        <v>0</v>
      </c>
      <c r="D87" s="570">
        <v>5</v>
      </c>
      <c r="E87" s="570">
        <v>0</v>
      </c>
      <c r="F87" s="570">
        <v>18.5</v>
      </c>
      <c r="G87" s="570" t="s">
        <v>1000</v>
      </c>
      <c r="H87" s="570">
        <v>2</v>
      </c>
      <c r="I87" s="570">
        <v>0</v>
      </c>
      <c r="J87" s="570">
        <v>0</v>
      </c>
      <c r="K87" s="570">
        <v>0</v>
      </c>
      <c r="L87" s="570">
        <v>1</v>
      </c>
      <c r="M87" s="570">
        <v>0</v>
      </c>
      <c r="N87" s="570" t="s">
        <v>1001</v>
      </c>
      <c r="O87" s="570">
        <v>3</v>
      </c>
      <c r="P87" s="571">
        <v>43394</v>
      </c>
      <c r="Q87" s="570">
        <v>35.101225300000003</v>
      </c>
      <c r="R87" s="570">
        <v>-97.428559699999994</v>
      </c>
      <c r="S87" s="570">
        <v>18.309999999999999</v>
      </c>
      <c r="T87" s="570" t="s">
        <v>1002</v>
      </c>
      <c r="U87" s="570" t="s">
        <v>1002</v>
      </c>
      <c r="V87" s="570">
        <v>1</v>
      </c>
      <c r="W87" s="570">
        <v>5</v>
      </c>
      <c r="X87" s="570" t="s">
        <v>1024</v>
      </c>
      <c r="Y87" s="570" t="s">
        <v>1025</v>
      </c>
      <c r="Z87" s="570">
        <v>1</v>
      </c>
      <c r="AA87" s="570">
        <v>0</v>
      </c>
      <c r="AB87" s="570">
        <v>1</v>
      </c>
      <c r="AC87" s="570">
        <v>0</v>
      </c>
      <c r="AD87" s="570">
        <v>0</v>
      </c>
      <c r="AE87" s="570" t="s">
        <v>1011</v>
      </c>
      <c r="AF87" s="570">
        <v>19</v>
      </c>
      <c r="AG87" s="570" t="s">
        <v>1005</v>
      </c>
      <c r="AH87" s="570">
        <v>0</v>
      </c>
      <c r="AI87" s="570" t="s">
        <v>1006</v>
      </c>
      <c r="AJ87" s="570">
        <v>20</v>
      </c>
      <c r="AK87" s="570">
        <v>98</v>
      </c>
      <c r="AL87" s="570">
        <v>1</v>
      </c>
      <c r="AM87" s="570">
        <v>0</v>
      </c>
      <c r="AN87" s="570">
        <v>40</v>
      </c>
      <c r="AO87" s="570" t="s">
        <v>1007</v>
      </c>
      <c r="AP87" s="570" t="s">
        <v>1008</v>
      </c>
      <c r="AQ87" s="570">
        <v>1</v>
      </c>
      <c r="AR87" s="570">
        <v>1</v>
      </c>
      <c r="AS87" s="570">
        <v>4</v>
      </c>
    </row>
    <row r="88" spans="1:45" x14ac:dyDescent="0.35">
      <c r="A88" s="570">
        <v>300388923</v>
      </c>
      <c r="B88" s="570">
        <v>44</v>
      </c>
      <c r="C88" s="570">
        <v>0</v>
      </c>
      <c r="D88" s="570">
        <v>5</v>
      </c>
      <c r="E88" s="570">
        <v>0</v>
      </c>
      <c r="F88" s="570">
        <v>18.5</v>
      </c>
      <c r="G88" s="570" t="s">
        <v>1000</v>
      </c>
      <c r="H88" s="570">
        <v>2</v>
      </c>
      <c r="I88" s="570">
        <v>0</v>
      </c>
      <c r="J88" s="570">
        <v>0</v>
      </c>
      <c r="K88" s="570">
        <v>0</v>
      </c>
      <c r="L88" s="570">
        <v>1</v>
      </c>
      <c r="M88" s="570">
        <v>0</v>
      </c>
      <c r="N88" s="570" t="s">
        <v>1001</v>
      </c>
      <c r="O88" s="570">
        <v>3</v>
      </c>
      <c r="P88" s="571">
        <v>43394</v>
      </c>
      <c r="Q88" s="570">
        <v>35.101225300000003</v>
      </c>
      <c r="R88" s="570">
        <v>-97.428559699999994</v>
      </c>
      <c r="S88" s="570">
        <v>18.309999999999999</v>
      </c>
      <c r="T88" s="570" t="s">
        <v>1002</v>
      </c>
      <c r="U88" s="570" t="s">
        <v>1002</v>
      </c>
      <c r="V88" s="570">
        <v>1</v>
      </c>
      <c r="W88" s="570">
        <v>5</v>
      </c>
      <c r="X88" s="570" t="s">
        <v>1024</v>
      </c>
      <c r="Y88" s="570" t="s">
        <v>1025</v>
      </c>
      <c r="Z88" s="570">
        <v>1</v>
      </c>
      <c r="AA88" s="570">
        <v>0</v>
      </c>
      <c r="AB88" s="570">
        <v>1</v>
      </c>
      <c r="AC88" s="570">
        <v>0</v>
      </c>
      <c r="AD88" s="570">
        <v>0</v>
      </c>
      <c r="AE88" s="570" t="s">
        <v>1011</v>
      </c>
      <c r="AF88" s="570">
        <v>19</v>
      </c>
      <c r="AG88" s="570" t="s">
        <v>1005</v>
      </c>
      <c r="AH88" s="570">
        <v>0</v>
      </c>
      <c r="AI88" s="570" t="s">
        <v>1006</v>
      </c>
      <c r="AJ88" s="570">
        <v>20</v>
      </c>
      <c r="AK88" s="570">
        <v>98</v>
      </c>
      <c r="AL88" s="570">
        <v>1</v>
      </c>
      <c r="AM88" s="570">
        <v>0</v>
      </c>
      <c r="AN88" s="570">
        <v>15</v>
      </c>
      <c r="AO88" s="570" t="s">
        <v>1009</v>
      </c>
      <c r="AP88" s="570" t="s">
        <v>1002</v>
      </c>
      <c r="AQ88" s="570">
        <v>1</v>
      </c>
      <c r="AR88" s="570"/>
      <c r="AS88" s="570">
        <v>4</v>
      </c>
    </row>
    <row r="89" spans="1:45" x14ac:dyDescent="0.35">
      <c r="A89" s="570">
        <v>300388923</v>
      </c>
      <c r="B89" s="570">
        <v>44</v>
      </c>
      <c r="C89" s="570">
        <v>0</v>
      </c>
      <c r="D89" s="570">
        <v>5</v>
      </c>
      <c r="E89" s="570">
        <v>0</v>
      </c>
      <c r="F89" s="570">
        <v>18.5</v>
      </c>
      <c r="G89" s="570" t="s">
        <v>1000</v>
      </c>
      <c r="H89" s="570">
        <v>2</v>
      </c>
      <c r="I89" s="570">
        <v>0</v>
      </c>
      <c r="J89" s="570">
        <v>0</v>
      </c>
      <c r="K89" s="570">
        <v>0</v>
      </c>
      <c r="L89" s="570">
        <v>1</v>
      </c>
      <c r="M89" s="570">
        <v>0</v>
      </c>
      <c r="N89" s="570" t="s">
        <v>1001</v>
      </c>
      <c r="O89" s="570">
        <v>3</v>
      </c>
      <c r="P89" s="571">
        <v>43394</v>
      </c>
      <c r="Q89" s="570">
        <v>35.101225300000003</v>
      </c>
      <c r="R89" s="570">
        <v>-97.428559699999994</v>
      </c>
      <c r="S89" s="570">
        <v>18.309999999999999</v>
      </c>
      <c r="T89" s="570" t="s">
        <v>1002</v>
      </c>
      <c r="U89" s="570" t="s">
        <v>1002</v>
      </c>
      <c r="V89" s="570">
        <v>1</v>
      </c>
      <c r="W89" s="570">
        <v>5</v>
      </c>
      <c r="X89" s="570" t="s">
        <v>1024</v>
      </c>
      <c r="Y89" s="570" t="s">
        <v>1025</v>
      </c>
      <c r="Z89" s="570">
        <v>1</v>
      </c>
      <c r="AA89" s="570">
        <v>0</v>
      </c>
      <c r="AB89" s="570">
        <v>1</v>
      </c>
      <c r="AC89" s="570">
        <v>0</v>
      </c>
      <c r="AD89" s="570">
        <v>0</v>
      </c>
      <c r="AE89" s="570" t="s">
        <v>1011</v>
      </c>
      <c r="AF89" s="570">
        <v>19</v>
      </c>
      <c r="AG89" s="570" t="s">
        <v>1005</v>
      </c>
      <c r="AH89" s="570">
        <v>0</v>
      </c>
      <c r="AI89" s="570" t="s">
        <v>1006</v>
      </c>
      <c r="AJ89" s="570">
        <v>20</v>
      </c>
      <c r="AK89" s="570">
        <v>98</v>
      </c>
      <c r="AL89" s="570">
        <v>1</v>
      </c>
      <c r="AM89" s="570">
        <v>0</v>
      </c>
      <c r="AN89" s="570">
        <v>13</v>
      </c>
      <c r="AO89" s="570" t="s">
        <v>1009</v>
      </c>
      <c r="AP89" s="570" t="s">
        <v>1002</v>
      </c>
      <c r="AQ89" s="570">
        <v>1</v>
      </c>
      <c r="AR89" s="570"/>
      <c r="AS89" s="570">
        <v>3</v>
      </c>
    </row>
    <row r="90" spans="1:45" x14ac:dyDescent="0.35">
      <c r="A90" s="570">
        <v>300390975</v>
      </c>
      <c r="B90" s="570">
        <v>44</v>
      </c>
      <c r="C90" s="570">
        <v>15</v>
      </c>
      <c r="D90" s="570">
        <v>5</v>
      </c>
      <c r="E90" s="570">
        <v>0</v>
      </c>
      <c r="F90" s="570">
        <v>17.53</v>
      </c>
      <c r="G90" s="570" t="s">
        <v>1000</v>
      </c>
      <c r="H90" s="570">
        <v>2</v>
      </c>
      <c r="I90" s="570">
        <v>72</v>
      </c>
      <c r="J90" s="570">
        <v>0</v>
      </c>
      <c r="K90" s="570">
        <v>0</v>
      </c>
      <c r="L90" s="570">
        <v>0</v>
      </c>
      <c r="M90" s="570">
        <v>0</v>
      </c>
      <c r="N90" s="570" t="s">
        <v>1001</v>
      </c>
      <c r="O90" s="570">
        <v>1</v>
      </c>
      <c r="P90" s="571">
        <v>43429</v>
      </c>
      <c r="Q90" s="570">
        <v>35.0900325</v>
      </c>
      <c r="R90" s="570">
        <v>-97.418184400000001</v>
      </c>
      <c r="S90" s="570">
        <v>15.41</v>
      </c>
      <c r="T90" s="570" t="s">
        <v>1002</v>
      </c>
      <c r="U90" s="570" t="s">
        <v>1002</v>
      </c>
      <c r="V90" s="570">
        <v>1</v>
      </c>
      <c r="W90" s="570">
        <v>1</v>
      </c>
      <c r="X90" s="570" t="s">
        <v>1000</v>
      </c>
      <c r="Y90" s="570" t="s">
        <v>1013</v>
      </c>
      <c r="Z90" s="570">
        <v>1</v>
      </c>
      <c r="AA90" s="570">
        <v>0</v>
      </c>
      <c r="AB90" s="570">
        <v>0</v>
      </c>
      <c r="AC90" s="570">
        <v>0</v>
      </c>
      <c r="AD90" s="570">
        <v>0</v>
      </c>
      <c r="AE90" s="570" t="s">
        <v>1022</v>
      </c>
      <c r="AF90" s="570">
        <v>13</v>
      </c>
      <c r="AG90" s="570" t="s">
        <v>1005</v>
      </c>
      <c r="AH90" s="570">
        <v>0</v>
      </c>
      <c r="AI90" s="570" t="s">
        <v>1006</v>
      </c>
      <c r="AJ90" s="570">
        <v>2</v>
      </c>
      <c r="AK90" s="570">
        <v>13</v>
      </c>
      <c r="AL90" s="570">
        <v>1</v>
      </c>
      <c r="AM90" s="570">
        <v>0</v>
      </c>
      <c r="AN90" s="570">
        <v>18</v>
      </c>
      <c r="AO90" s="570" t="s">
        <v>1007</v>
      </c>
      <c r="AP90" s="570" t="s">
        <v>1008</v>
      </c>
      <c r="AQ90" s="570">
        <v>1</v>
      </c>
      <c r="AR90" s="570">
        <v>1</v>
      </c>
      <c r="AS90" s="570">
        <v>4</v>
      </c>
    </row>
    <row r="91" spans="1:45" x14ac:dyDescent="0.35">
      <c r="A91" s="570">
        <v>300390975</v>
      </c>
      <c r="B91" s="570">
        <v>44</v>
      </c>
      <c r="C91" s="570">
        <v>15</v>
      </c>
      <c r="D91" s="570">
        <v>5</v>
      </c>
      <c r="E91" s="570">
        <v>0</v>
      </c>
      <c r="F91" s="570">
        <v>17.53</v>
      </c>
      <c r="G91" s="570" t="s">
        <v>1000</v>
      </c>
      <c r="H91" s="570">
        <v>2</v>
      </c>
      <c r="I91" s="570">
        <v>72</v>
      </c>
      <c r="J91" s="570">
        <v>0</v>
      </c>
      <c r="K91" s="570">
        <v>0</v>
      </c>
      <c r="L91" s="570">
        <v>0</v>
      </c>
      <c r="M91" s="570">
        <v>0</v>
      </c>
      <c r="N91" s="570" t="s">
        <v>1001</v>
      </c>
      <c r="O91" s="570">
        <v>1</v>
      </c>
      <c r="P91" s="571">
        <v>43429</v>
      </c>
      <c r="Q91" s="570">
        <v>35.0900325</v>
      </c>
      <c r="R91" s="570">
        <v>-97.418184400000001</v>
      </c>
      <c r="S91" s="570">
        <v>15.41</v>
      </c>
      <c r="T91" s="570" t="s">
        <v>1002</v>
      </c>
      <c r="U91" s="570" t="s">
        <v>1002</v>
      </c>
      <c r="V91" s="570">
        <v>1</v>
      </c>
      <c r="W91" s="570">
        <v>1</v>
      </c>
      <c r="X91" s="570" t="s">
        <v>1000</v>
      </c>
      <c r="Y91" s="570" t="s">
        <v>1013</v>
      </c>
      <c r="Z91" s="570">
        <v>1</v>
      </c>
      <c r="AA91" s="570">
        <v>0</v>
      </c>
      <c r="AB91" s="570">
        <v>0</v>
      </c>
      <c r="AC91" s="570">
        <v>0</v>
      </c>
      <c r="AD91" s="570">
        <v>0</v>
      </c>
      <c r="AE91" s="570" t="s">
        <v>1022</v>
      </c>
      <c r="AF91" s="570">
        <v>13</v>
      </c>
      <c r="AG91" s="570" t="s">
        <v>1005</v>
      </c>
      <c r="AH91" s="570">
        <v>0</v>
      </c>
      <c r="AI91" s="570" t="s">
        <v>1006</v>
      </c>
      <c r="AJ91" s="570">
        <v>2</v>
      </c>
      <c r="AK91" s="570">
        <v>13</v>
      </c>
      <c r="AL91" s="570">
        <v>1</v>
      </c>
      <c r="AM91" s="570">
        <v>0</v>
      </c>
      <c r="AN91" s="570">
        <v>0</v>
      </c>
      <c r="AO91" s="570">
        <v>9</v>
      </c>
      <c r="AP91" s="570" t="s">
        <v>1002</v>
      </c>
      <c r="AQ91" s="570"/>
      <c r="AR91" s="570"/>
      <c r="AS91" s="570"/>
    </row>
    <row r="92" spans="1:45" x14ac:dyDescent="0.35">
      <c r="A92" s="570">
        <v>300390975</v>
      </c>
      <c r="B92" s="570">
        <v>44</v>
      </c>
      <c r="C92" s="570">
        <v>15</v>
      </c>
      <c r="D92" s="570">
        <v>5</v>
      </c>
      <c r="E92" s="570">
        <v>0</v>
      </c>
      <c r="F92" s="570">
        <v>17.53</v>
      </c>
      <c r="G92" s="570" t="s">
        <v>1000</v>
      </c>
      <c r="H92" s="570">
        <v>2</v>
      </c>
      <c r="I92" s="570">
        <v>72</v>
      </c>
      <c r="J92" s="570">
        <v>0</v>
      </c>
      <c r="K92" s="570">
        <v>0</v>
      </c>
      <c r="L92" s="570">
        <v>0</v>
      </c>
      <c r="M92" s="570">
        <v>0</v>
      </c>
      <c r="N92" s="570" t="s">
        <v>1001</v>
      </c>
      <c r="O92" s="570">
        <v>1</v>
      </c>
      <c r="P92" s="571">
        <v>43429</v>
      </c>
      <c r="Q92" s="570">
        <v>35.0900325</v>
      </c>
      <c r="R92" s="570">
        <v>-97.418184400000001</v>
      </c>
      <c r="S92" s="570">
        <v>15.41</v>
      </c>
      <c r="T92" s="570" t="s">
        <v>1002</v>
      </c>
      <c r="U92" s="570" t="s">
        <v>1002</v>
      </c>
      <c r="V92" s="570">
        <v>1</v>
      </c>
      <c r="W92" s="570">
        <v>1</v>
      </c>
      <c r="X92" s="570" t="s">
        <v>1000</v>
      </c>
      <c r="Y92" s="570" t="s">
        <v>1013</v>
      </c>
      <c r="Z92" s="570">
        <v>1</v>
      </c>
      <c r="AA92" s="570">
        <v>0</v>
      </c>
      <c r="AB92" s="570">
        <v>0</v>
      </c>
      <c r="AC92" s="570">
        <v>0</v>
      </c>
      <c r="AD92" s="570">
        <v>0</v>
      </c>
      <c r="AE92" s="570" t="s">
        <v>1022</v>
      </c>
      <c r="AF92" s="570">
        <v>13</v>
      </c>
      <c r="AG92" s="570" t="s">
        <v>1005</v>
      </c>
      <c r="AH92" s="570">
        <v>0</v>
      </c>
      <c r="AI92" s="570" t="s">
        <v>1006</v>
      </c>
      <c r="AJ92" s="570">
        <v>20</v>
      </c>
      <c r="AK92" s="570">
        <v>98</v>
      </c>
      <c r="AL92" s="570">
        <v>1</v>
      </c>
      <c r="AM92" s="570">
        <v>0</v>
      </c>
      <c r="AN92" s="570">
        <v>23</v>
      </c>
      <c r="AO92" s="570" t="s">
        <v>1009</v>
      </c>
      <c r="AP92" s="570" t="s">
        <v>1008</v>
      </c>
      <c r="AQ92" s="570">
        <v>1</v>
      </c>
      <c r="AR92" s="570">
        <v>1</v>
      </c>
      <c r="AS92" s="570">
        <v>4</v>
      </c>
    </row>
    <row r="93" spans="1:45" x14ac:dyDescent="0.35">
      <c r="A93" s="570">
        <v>300390975</v>
      </c>
      <c r="B93" s="570">
        <v>44</v>
      </c>
      <c r="C93" s="570">
        <v>15</v>
      </c>
      <c r="D93" s="570">
        <v>5</v>
      </c>
      <c r="E93" s="570">
        <v>0</v>
      </c>
      <c r="F93" s="570">
        <v>17.53</v>
      </c>
      <c r="G93" s="570" t="s">
        <v>1000</v>
      </c>
      <c r="H93" s="570">
        <v>2</v>
      </c>
      <c r="I93" s="570">
        <v>72</v>
      </c>
      <c r="J93" s="570">
        <v>0</v>
      </c>
      <c r="K93" s="570">
        <v>0</v>
      </c>
      <c r="L93" s="570">
        <v>0</v>
      </c>
      <c r="M93" s="570">
        <v>0</v>
      </c>
      <c r="N93" s="570" t="s">
        <v>1001</v>
      </c>
      <c r="O93" s="570">
        <v>1</v>
      </c>
      <c r="P93" s="571">
        <v>43429</v>
      </c>
      <c r="Q93" s="570">
        <v>35.0900325</v>
      </c>
      <c r="R93" s="570">
        <v>-97.418184400000001</v>
      </c>
      <c r="S93" s="570">
        <v>15.41</v>
      </c>
      <c r="T93" s="570" t="s">
        <v>1002</v>
      </c>
      <c r="U93" s="570" t="s">
        <v>1002</v>
      </c>
      <c r="V93" s="570">
        <v>1</v>
      </c>
      <c r="W93" s="570">
        <v>1</v>
      </c>
      <c r="X93" s="570" t="s">
        <v>1000</v>
      </c>
      <c r="Y93" s="570" t="s">
        <v>1013</v>
      </c>
      <c r="Z93" s="570">
        <v>1</v>
      </c>
      <c r="AA93" s="570">
        <v>0</v>
      </c>
      <c r="AB93" s="570">
        <v>0</v>
      </c>
      <c r="AC93" s="570">
        <v>0</v>
      </c>
      <c r="AD93" s="570">
        <v>0</v>
      </c>
      <c r="AE93" s="570" t="s">
        <v>1022</v>
      </c>
      <c r="AF93" s="570">
        <v>13</v>
      </c>
      <c r="AG93" s="570" t="s">
        <v>1005</v>
      </c>
      <c r="AH93" s="570">
        <v>0</v>
      </c>
      <c r="AI93" s="570" t="s">
        <v>1006</v>
      </c>
      <c r="AJ93" s="570">
        <v>20</v>
      </c>
      <c r="AK93" s="570">
        <v>98</v>
      </c>
      <c r="AL93" s="570">
        <v>1</v>
      </c>
      <c r="AM93" s="570">
        <v>0</v>
      </c>
      <c r="AN93" s="570">
        <v>20</v>
      </c>
      <c r="AO93" s="570" t="s">
        <v>1007</v>
      </c>
      <c r="AP93" s="570" t="s">
        <v>1002</v>
      </c>
      <c r="AQ93" s="570">
        <v>1</v>
      </c>
      <c r="AR93" s="570"/>
      <c r="AS93" s="570">
        <v>4</v>
      </c>
    </row>
    <row r="94" spans="1:45" x14ac:dyDescent="0.35">
      <c r="A94" s="570">
        <v>300390975</v>
      </c>
      <c r="B94" s="570">
        <v>44</v>
      </c>
      <c r="C94" s="570">
        <v>15</v>
      </c>
      <c r="D94" s="570">
        <v>5</v>
      </c>
      <c r="E94" s="570">
        <v>0</v>
      </c>
      <c r="F94" s="570">
        <v>17.53</v>
      </c>
      <c r="G94" s="570" t="s">
        <v>1000</v>
      </c>
      <c r="H94" s="570">
        <v>2</v>
      </c>
      <c r="I94" s="570">
        <v>72</v>
      </c>
      <c r="J94" s="570">
        <v>0</v>
      </c>
      <c r="K94" s="570">
        <v>0</v>
      </c>
      <c r="L94" s="570">
        <v>0</v>
      </c>
      <c r="M94" s="570">
        <v>0</v>
      </c>
      <c r="N94" s="570" t="s">
        <v>1001</v>
      </c>
      <c r="O94" s="570">
        <v>1</v>
      </c>
      <c r="P94" s="571">
        <v>43429</v>
      </c>
      <c r="Q94" s="570">
        <v>35.0900325</v>
      </c>
      <c r="R94" s="570">
        <v>-97.418184400000001</v>
      </c>
      <c r="S94" s="570">
        <v>15.41</v>
      </c>
      <c r="T94" s="570" t="s">
        <v>1002</v>
      </c>
      <c r="U94" s="570" t="s">
        <v>1002</v>
      </c>
      <c r="V94" s="570">
        <v>1</v>
      </c>
      <c r="W94" s="570">
        <v>1</v>
      </c>
      <c r="X94" s="570" t="s">
        <v>1000</v>
      </c>
      <c r="Y94" s="570" t="s">
        <v>1013</v>
      </c>
      <c r="Z94" s="570">
        <v>1</v>
      </c>
      <c r="AA94" s="570">
        <v>0</v>
      </c>
      <c r="AB94" s="570">
        <v>0</v>
      </c>
      <c r="AC94" s="570">
        <v>0</v>
      </c>
      <c r="AD94" s="570">
        <v>0</v>
      </c>
      <c r="AE94" s="570" t="s">
        <v>1022</v>
      </c>
      <c r="AF94" s="570">
        <v>13</v>
      </c>
      <c r="AG94" s="570" t="s">
        <v>1005</v>
      </c>
      <c r="AH94" s="570">
        <v>0</v>
      </c>
      <c r="AI94" s="570" t="s">
        <v>1006</v>
      </c>
      <c r="AJ94" s="570">
        <v>20</v>
      </c>
      <c r="AK94" s="570">
        <v>98</v>
      </c>
      <c r="AL94" s="570">
        <v>1</v>
      </c>
      <c r="AM94" s="570">
        <v>0</v>
      </c>
      <c r="AN94" s="570">
        <v>21</v>
      </c>
      <c r="AO94" s="570" t="s">
        <v>1009</v>
      </c>
      <c r="AP94" s="570" t="s">
        <v>1008</v>
      </c>
      <c r="AQ94" s="570">
        <v>1</v>
      </c>
      <c r="AR94" s="570">
        <v>1</v>
      </c>
      <c r="AS94" s="570">
        <v>4</v>
      </c>
    </row>
    <row r="95" spans="1:45" x14ac:dyDescent="0.35">
      <c r="A95" s="570">
        <v>300390975</v>
      </c>
      <c r="B95" s="570">
        <v>44</v>
      </c>
      <c r="C95" s="570">
        <v>15</v>
      </c>
      <c r="D95" s="570">
        <v>5</v>
      </c>
      <c r="E95" s="570">
        <v>0</v>
      </c>
      <c r="F95" s="570">
        <v>17.53</v>
      </c>
      <c r="G95" s="570" t="s">
        <v>1000</v>
      </c>
      <c r="H95" s="570">
        <v>2</v>
      </c>
      <c r="I95" s="570">
        <v>72</v>
      </c>
      <c r="J95" s="570">
        <v>0</v>
      </c>
      <c r="K95" s="570">
        <v>0</v>
      </c>
      <c r="L95" s="570">
        <v>0</v>
      </c>
      <c r="M95" s="570">
        <v>0</v>
      </c>
      <c r="N95" s="570" t="s">
        <v>1001</v>
      </c>
      <c r="O95" s="570">
        <v>1</v>
      </c>
      <c r="P95" s="571">
        <v>43429</v>
      </c>
      <c r="Q95" s="570">
        <v>35.0900325</v>
      </c>
      <c r="R95" s="570">
        <v>-97.418184400000001</v>
      </c>
      <c r="S95" s="570">
        <v>15.41</v>
      </c>
      <c r="T95" s="570" t="s">
        <v>1002</v>
      </c>
      <c r="U95" s="570" t="s">
        <v>1002</v>
      </c>
      <c r="V95" s="570">
        <v>1</v>
      </c>
      <c r="W95" s="570">
        <v>1</v>
      </c>
      <c r="X95" s="570" t="s">
        <v>1000</v>
      </c>
      <c r="Y95" s="570" t="s">
        <v>1013</v>
      </c>
      <c r="Z95" s="570">
        <v>1</v>
      </c>
      <c r="AA95" s="570">
        <v>0</v>
      </c>
      <c r="AB95" s="570">
        <v>0</v>
      </c>
      <c r="AC95" s="570">
        <v>0</v>
      </c>
      <c r="AD95" s="570">
        <v>0</v>
      </c>
      <c r="AE95" s="570" t="s">
        <v>1022</v>
      </c>
      <c r="AF95" s="570">
        <v>13</v>
      </c>
      <c r="AG95" s="570" t="s">
        <v>1005</v>
      </c>
      <c r="AH95" s="570">
        <v>0</v>
      </c>
      <c r="AI95" s="570" t="s">
        <v>1006</v>
      </c>
      <c r="AJ95" s="570">
        <v>20</v>
      </c>
      <c r="AK95" s="570">
        <v>98</v>
      </c>
      <c r="AL95" s="570">
        <v>1</v>
      </c>
      <c r="AM95" s="570">
        <v>0</v>
      </c>
      <c r="AN95" s="570">
        <v>0</v>
      </c>
      <c r="AO95" s="570">
        <v>9</v>
      </c>
      <c r="AP95" s="570" t="s">
        <v>1002</v>
      </c>
      <c r="AQ95" s="570"/>
      <c r="AR95" s="570"/>
      <c r="AS95" s="570"/>
    </row>
    <row r="96" spans="1:45" x14ac:dyDescent="0.35">
      <c r="A96" s="570">
        <v>300390975</v>
      </c>
      <c r="B96" s="570">
        <v>44</v>
      </c>
      <c r="C96" s="570">
        <v>15</v>
      </c>
      <c r="D96" s="570">
        <v>5</v>
      </c>
      <c r="E96" s="570">
        <v>0</v>
      </c>
      <c r="F96" s="570">
        <v>17.53</v>
      </c>
      <c r="G96" s="570" t="s">
        <v>1000</v>
      </c>
      <c r="H96" s="570">
        <v>2</v>
      </c>
      <c r="I96" s="570">
        <v>72</v>
      </c>
      <c r="J96" s="570">
        <v>0</v>
      </c>
      <c r="K96" s="570">
        <v>0</v>
      </c>
      <c r="L96" s="570">
        <v>0</v>
      </c>
      <c r="M96" s="570">
        <v>0</v>
      </c>
      <c r="N96" s="570" t="s">
        <v>1001</v>
      </c>
      <c r="O96" s="570">
        <v>1</v>
      </c>
      <c r="P96" s="571">
        <v>43429</v>
      </c>
      <c r="Q96" s="570">
        <v>35.0900325</v>
      </c>
      <c r="R96" s="570">
        <v>-97.418184400000001</v>
      </c>
      <c r="S96" s="570">
        <v>15.41</v>
      </c>
      <c r="T96" s="570" t="s">
        <v>1002</v>
      </c>
      <c r="U96" s="570" t="s">
        <v>1002</v>
      </c>
      <c r="V96" s="570">
        <v>1</v>
      </c>
      <c r="W96" s="570">
        <v>1</v>
      </c>
      <c r="X96" s="570" t="s">
        <v>1000</v>
      </c>
      <c r="Y96" s="570" t="s">
        <v>1013</v>
      </c>
      <c r="Z96" s="570">
        <v>1</v>
      </c>
      <c r="AA96" s="570">
        <v>0</v>
      </c>
      <c r="AB96" s="570">
        <v>0</v>
      </c>
      <c r="AC96" s="570">
        <v>0</v>
      </c>
      <c r="AD96" s="570">
        <v>0</v>
      </c>
      <c r="AE96" s="570" t="s">
        <v>1022</v>
      </c>
      <c r="AF96" s="570">
        <v>13</v>
      </c>
      <c r="AG96" s="570" t="s">
        <v>1005</v>
      </c>
      <c r="AH96" s="570">
        <v>0</v>
      </c>
      <c r="AI96" s="570" t="s">
        <v>1006</v>
      </c>
      <c r="AJ96" s="570">
        <v>20</v>
      </c>
      <c r="AK96" s="570">
        <v>98</v>
      </c>
      <c r="AL96" s="570">
        <v>1</v>
      </c>
      <c r="AM96" s="570">
        <v>0</v>
      </c>
      <c r="AN96" s="570">
        <v>30</v>
      </c>
      <c r="AO96" s="570" t="s">
        <v>1007</v>
      </c>
      <c r="AP96" s="570" t="s">
        <v>1002</v>
      </c>
      <c r="AQ96" s="570">
        <v>1</v>
      </c>
      <c r="AR96" s="570"/>
      <c r="AS96" s="570">
        <v>4</v>
      </c>
    </row>
    <row r="97" spans="1:45" x14ac:dyDescent="0.35">
      <c r="A97" s="570">
        <v>300390975</v>
      </c>
      <c r="B97" s="570">
        <v>44</v>
      </c>
      <c r="C97" s="570">
        <v>15</v>
      </c>
      <c r="D97" s="570">
        <v>5</v>
      </c>
      <c r="E97" s="570">
        <v>0</v>
      </c>
      <c r="F97" s="570">
        <v>17.53</v>
      </c>
      <c r="G97" s="570" t="s">
        <v>1000</v>
      </c>
      <c r="H97" s="570">
        <v>2</v>
      </c>
      <c r="I97" s="570">
        <v>72</v>
      </c>
      <c r="J97" s="570">
        <v>0</v>
      </c>
      <c r="K97" s="570">
        <v>0</v>
      </c>
      <c r="L97" s="570">
        <v>0</v>
      </c>
      <c r="M97" s="570">
        <v>0</v>
      </c>
      <c r="N97" s="570" t="s">
        <v>1001</v>
      </c>
      <c r="O97" s="570">
        <v>1</v>
      </c>
      <c r="P97" s="571">
        <v>43429</v>
      </c>
      <c r="Q97" s="570">
        <v>35.0900325</v>
      </c>
      <c r="R97" s="570">
        <v>-97.418184400000001</v>
      </c>
      <c r="S97" s="570">
        <v>15.41</v>
      </c>
      <c r="T97" s="570" t="s">
        <v>1002</v>
      </c>
      <c r="U97" s="570" t="s">
        <v>1002</v>
      </c>
      <c r="V97" s="570">
        <v>1</v>
      </c>
      <c r="W97" s="570">
        <v>1</v>
      </c>
      <c r="X97" s="570" t="s">
        <v>1000</v>
      </c>
      <c r="Y97" s="570" t="s">
        <v>1013</v>
      </c>
      <c r="Z97" s="570">
        <v>1</v>
      </c>
      <c r="AA97" s="570">
        <v>0</v>
      </c>
      <c r="AB97" s="570">
        <v>0</v>
      </c>
      <c r="AC97" s="570">
        <v>0</v>
      </c>
      <c r="AD97" s="570">
        <v>0</v>
      </c>
      <c r="AE97" s="570" t="s">
        <v>1022</v>
      </c>
      <c r="AF97" s="570">
        <v>13</v>
      </c>
      <c r="AG97" s="570" t="s">
        <v>1005</v>
      </c>
      <c r="AH97" s="570">
        <v>0</v>
      </c>
      <c r="AI97" s="570" t="s">
        <v>1006</v>
      </c>
      <c r="AJ97" s="570">
        <v>2</v>
      </c>
      <c r="AK97" s="570">
        <v>98</v>
      </c>
      <c r="AL97" s="570">
        <v>1</v>
      </c>
      <c r="AM97" s="570">
        <v>0</v>
      </c>
      <c r="AN97" s="570">
        <v>25</v>
      </c>
      <c r="AO97" s="570" t="s">
        <v>1007</v>
      </c>
      <c r="AP97" s="570" t="s">
        <v>1008</v>
      </c>
      <c r="AQ97" s="570">
        <v>1</v>
      </c>
      <c r="AR97" s="570">
        <v>1</v>
      </c>
      <c r="AS97" s="570">
        <v>4</v>
      </c>
    </row>
    <row r="98" spans="1:45" x14ac:dyDescent="0.35">
      <c r="A98" s="570">
        <v>300390975</v>
      </c>
      <c r="B98" s="570">
        <v>44</v>
      </c>
      <c r="C98" s="570">
        <v>15</v>
      </c>
      <c r="D98" s="570">
        <v>5</v>
      </c>
      <c r="E98" s="570">
        <v>0</v>
      </c>
      <c r="F98" s="570">
        <v>17.53</v>
      </c>
      <c r="G98" s="570" t="s">
        <v>1000</v>
      </c>
      <c r="H98" s="570">
        <v>2</v>
      </c>
      <c r="I98" s="570">
        <v>72</v>
      </c>
      <c r="J98" s="570">
        <v>0</v>
      </c>
      <c r="K98" s="570">
        <v>0</v>
      </c>
      <c r="L98" s="570">
        <v>0</v>
      </c>
      <c r="M98" s="570">
        <v>0</v>
      </c>
      <c r="N98" s="570" t="s">
        <v>1001</v>
      </c>
      <c r="O98" s="570">
        <v>1</v>
      </c>
      <c r="P98" s="571">
        <v>43429</v>
      </c>
      <c r="Q98" s="570">
        <v>35.0900325</v>
      </c>
      <c r="R98" s="570">
        <v>-97.418184400000001</v>
      </c>
      <c r="S98" s="570">
        <v>15.41</v>
      </c>
      <c r="T98" s="570" t="s">
        <v>1002</v>
      </c>
      <c r="U98" s="570" t="s">
        <v>1002</v>
      </c>
      <c r="V98" s="570">
        <v>1</v>
      </c>
      <c r="W98" s="570">
        <v>1</v>
      </c>
      <c r="X98" s="570" t="s">
        <v>1000</v>
      </c>
      <c r="Y98" s="570" t="s">
        <v>1013</v>
      </c>
      <c r="Z98" s="570">
        <v>1</v>
      </c>
      <c r="AA98" s="570">
        <v>0</v>
      </c>
      <c r="AB98" s="570">
        <v>0</v>
      </c>
      <c r="AC98" s="570">
        <v>0</v>
      </c>
      <c r="AD98" s="570">
        <v>0</v>
      </c>
      <c r="AE98" s="570" t="s">
        <v>1022</v>
      </c>
      <c r="AF98" s="570">
        <v>13</v>
      </c>
      <c r="AG98" s="570" t="s">
        <v>1005</v>
      </c>
      <c r="AH98" s="570">
        <v>0</v>
      </c>
      <c r="AI98" s="570" t="s">
        <v>1006</v>
      </c>
      <c r="AJ98" s="570">
        <v>2</v>
      </c>
      <c r="AK98" s="570">
        <v>98</v>
      </c>
      <c r="AL98" s="570">
        <v>1</v>
      </c>
      <c r="AM98" s="570">
        <v>0</v>
      </c>
      <c r="AN98" s="570">
        <v>0</v>
      </c>
      <c r="AO98" s="570">
        <v>9</v>
      </c>
      <c r="AP98" s="570" t="s">
        <v>1002</v>
      </c>
      <c r="AQ98" s="570"/>
      <c r="AR98" s="570"/>
      <c r="AS98" s="570"/>
    </row>
    <row r="99" spans="1:45" x14ac:dyDescent="0.35">
      <c r="A99" s="570">
        <v>300390975</v>
      </c>
      <c r="B99" s="570">
        <v>44</v>
      </c>
      <c r="C99" s="570">
        <v>15</v>
      </c>
      <c r="D99" s="570">
        <v>5</v>
      </c>
      <c r="E99" s="570">
        <v>0</v>
      </c>
      <c r="F99" s="570">
        <v>17.53</v>
      </c>
      <c r="G99" s="570" t="s">
        <v>1000</v>
      </c>
      <c r="H99" s="570">
        <v>2</v>
      </c>
      <c r="I99" s="570">
        <v>72</v>
      </c>
      <c r="J99" s="570">
        <v>0</v>
      </c>
      <c r="K99" s="570">
        <v>0</v>
      </c>
      <c r="L99" s="570">
        <v>0</v>
      </c>
      <c r="M99" s="570">
        <v>0</v>
      </c>
      <c r="N99" s="570" t="s">
        <v>1001</v>
      </c>
      <c r="O99" s="570">
        <v>1</v>
      </c>
      <c r="P99" s="571">
        <v>43429</v>
      </c>
      <c r="Q99" s="570">
        <v>35.0900325</v>
      </c>
      <c r="R99" s="570">
        <v>-97.418184400000001</v>
      </c>
      <c r="S99" s="570">
        <v>15.41</v>
      </c>
      <c r="T99" s="570" t="s">
        <v>1002</v>
      </c>
      <c r="U99" s="570" t="s">
        <v>1002</v>
      </c>
      <c r="V99" s="570">
        <v>1</v>
      </c>
      <c r="W99" s="570">
        <v>1</v>
      </c>
      <c r="X99" s="570" t="s">
        <v>1000</v>
      </c>
      <c r="Y99" s="570" t="s">
        <v>1013</v>
      </c>
      <c r="Z99" s="570">
        <v>1</v>
      </c>
      <c r="AA99" s="570">
        <v>0</v>
      </c>
      <c r="AB99" s="570">
        <v>0</v>
      </c>
      <c r="AC99" s="570">
        <v>0</v>
      </c>
      <c r="AD99" s="570">
        <v>0</v>
      </c>
      <c r="AE99" s="570" t="s">
        <v>1022</v>
      </c>
      <c r="AF99" s="570">
        <v>13</v>
      </c>
      <c r="AG99" s="570" t="s">
        <v>1005</v>
      </c>
      <c r="AH99" s="570">
        <v>0</v>
      </c>
      <c r="AI99" s="570" t="s">
        <v>1006</v>
      </c>
      <c r="AJ99" s="570">
        <v>2</v>
      </c>
      <c r="AK99" s="570">
        <v>98</v>
      </c>
      <c r="AL99" s="570">
        <v>1</v>
      </c>
      <c r="AM99" s="570">
        <v>0</v>
      </c>
      <c r="AN99" s="570">
        <v>50</v>
      </c>
      <c r="AO99" s="570" t="s">
        <v>1007</v>
      </c>
      <c r="AP99" s="570" t="s">
        <v>1002</v>
      </c>
      <c r="AQ99" s="570">
        <v>1</v>
      </c>
      <c r="AR99" s="570"/>
      <c r="AS99" s="570">
        <v>4</v>
      </c>
    </row>
    <row r="100" spans="1:45" x14ac:dyDescent="0.35">
      <c r="A100" s="570">
        <v>300390975</v>
      </c>
      <c r="B100" s="570">
        <v>44</v>
      </c>
      <c r="C100" s="570">
        <v>15</v>
      </c>
      <c r="D100" s="570">
        <v>5</v>
      </c>
      <c r="E100" s="570">
        <v>0</v>
      </c>
      <c r="F100" s="570">
        <v>17.53</v>
      </c>
      <c r="G100" s="570" t="s">
        <v>1000</v>
      </c>
      <c r="H100" s="570">
        <v>2</v>
      </c>
      <c r="I100" s="570">
        <v>72</v>
      </c>
      <c r="J100" s="570">
        <v>0</v>
      </c>
      <c r="K100" s="570">
        <v>0</v>
      </c>
      <c r="L100" s="570">
        <v>0</v>
      </c>
      <c r="M100" s="570">
        <v>0</v>
      </c>
      <c r="N100" s="570" t="s">
        <v>1001</v>
      </c>
      <c r="O100" s="570">
        <v>1</v>
      </c>
      <c r="P100" s="571">
        <v>43429</v>
      </c>
      <c r="Q100" s="570">
        <v>35.0900325</v>
      </c>
      <c r="R100" s="570">
        <v>-97.418184400000001</v>
      </c>
      <c r="S100" s="570">
        <v>15.41</v>
      </c>
      <c r="T100" s="570" t="s">
        <v>1002</v>
      </c>
      <c r="U100" s="570" t="s">
        <v>1002</v>
      </c>
      <c r="V100" s="570">
        <v>1</v>
      </c>
      <c r="W100" s="570">
        <v>1</v>
      </c>
      <c r="X100" s="570" t="s">
        <v>1000</v>
      </c>
      <c r="Y100" s="570" t="s">
        <v>1013</v>
      </c>
      <c r="Z100" s="570">
        <v>1</v>
      </c>
      <c r="AA100" s="570">
        <v>0</v>
      </c>
      <c r="AB100" s="570">
        <v>0</v>
      </c>
      <c r="AC100" s="570">
        <v>0</v>
      </c>
      <c r="AD100" s="570">
        <v>0</v>
      </c>
      <c r="AE100" s="570" t="s">
        <v>1022</v>
      </c>
      <c r="AF100" s="570">
        <v>13</v>
      </c>
      <c r="AG100" s="570" t="s">
        <v>1005</v>
      </c>
      <c r="AH100" s="570">
        <v>0</v>
      </c>
      <c r="AI100" s="570" t="s">
        <v>1006</v>
      </c>
      <c r="AJ100" s="570">
        <v>20</v>
      </c>
      <c r="AK100" s="570">
        <v>98</v>
      </c>
      <c r="AL100" s="570">
        <v>1</v>
      </c>
      <c r="AM100" s="570">
        <v>0</v>
      </c>
      <c r="AN100" s="570">
        <v>74</v>
      </c>
      <c r="AO100" s="570" t="s">
        <v>1009</v>
      </c>
      <c r="AP100" s="570" t="s">
        <v>1008</v>
      </c>
      <c r="AQ100" s="570">
        <v>1</v>
      </c>
      <c r="AR100" s="570">
        <v>1</v>
      </c>
      <c r="AS100" s="570">
        <v>4</v>
      </c>
    </row>
    <row r="101" spans="1:45" x14ac:dyDescent="0.35">
      <c r="A101" s="570">
        <v>300390975</v>
      </c>
      <c r="B101" s="570">
        <v>44</v>
      </c>
      <c r="C101" s="570">
        <v>15</v>
      </c>
      <c r="D101" s="570">
        <v>5</v>
      </c>
      <c r="E101" s="570">
        <v>0</v>
      </c>
      <c r="F101" s="570">
        <v>17.53</v>
      </c>
      <c r="G101" s="570" t="s">
        <v>1000</v>
      </c>
      <c r="H101" s="570">
        <v>2</v>
      </c>
      <c r="I101" s="570">
        <v>72</v>
      </c>
      <c r="J101" s="570">
        <v>0</v>
      </c>
      <c r="K101" s="570">
        <v>0</v>
      </c>
      <c r="L101" s="570">
        <v>0</v>
      </c>
      <c r="M101" s="570">
        <v>0</v>
      </c>
      <c r="N101" s="570" t="s">
        <v>1001</v>
      </c>
      <c r="O101" s="570">
        <v>1</v>
      </c>
      <c r="P101" s="571">
        <v>43429</v>
      </c>
      <c r="Q101" s="570">
        <v>35.0900325</v>
      </c>
      <c r="R101" s="570">
        <v>-97.418184400000001</v>
      </c>
      <c r="S101" s="570">
        <v>15.41</v>
      </c>
      <c r="T101" s="570" t="s">
        <v>1002</v>
      </c>
      <c r="U101" s="570" t="s">
        <v>1002</v>
      </c>
      <c r="V101" s="570">
        <v>1</v>
      </c>
      <c r="W101" s="570">
        <v>1</v>
      </c>
      <c r="X101" s="570" t="s">
        <v>1000</v>
      </c>
      <c r="Y101" s="570" t="s">
        <v>1013</v>
      </c>
      <c r="Z101" s="570">
        <v>1</v>
      </c>
      <c r="AA101" s="570">
        <v>0</v>
      </c>
      <c r="AB101" s="570">
        <v>0</v>
      </c>
      <c r="AC101" s="570">
        <v>0</v>
      </c>
      <c r="AD101" s="570">
        <v>0</v>
      </c>
      <c r="AE101" s="570" t="s">
        <v>1022</v>
      </c>
      <c r="AF101" s="570">
        <v>13</v>
      </c>
      <c r="AG101" s="570" t="s">
        <v>1005</v>
      </c>
      <c r="AH101" s="570">
        <v>0</v>
      </c>
      <c r="AI101" s="570" t="s">
        <v>1006</v>
      </c>
      <c r="AJ101" s="570">
        <v>20</v>
      </c>
      <c r="AK101" s="570">
        <v>98</v>
      </c>
      <c r="AL101" s="570">
        <v>1</v>
      </c>
      <c r="AM101" s="570">
        <v>0</v>
      </c>
      <c r="AN101" s="570">
        <v>0</v>
      </c>
      <c r="AO101" s="570">
        <v>9</v>
      </c>
      <c r="AP101" s="570" t="s">
        <v>1002</v>
      </c>
      <c r="AQ101" s="570"/>
      <c r="AR101" s="570"/>
      <c r="AS101" s="570"/>
    </row>
    <row r="102" spans="1:45" x14ac:dyDescent="0.35">
      <c r="A102" s="570">
        <v>300390975</v>
      </c>
      <c r="B102" s="570">
        <v>44</v>
      </c>
      <c r="C102" s="570">
        <v>15</v>
      </c>
      <c r="D102" s="570">
        <v>5</v>
      </c>
      <c r="E102" s="570">
        <v>0</v>
      </c>
      <c r="F102" s="570">
        <v>17.53</v>
      </c>
      <c r="G102" s="570" t="s">
        <v>1000</v>
      </c>
      <c r="H102" s="570">
        <v>2</v>
      </c>
      <c r="I102" s="570">
        <v>72</v>
      </c>
      <c r="J102" s="570">
        <v>0</v>
      </c>
      <c r="K102" s="570">
        <v>0</v>
      </c>
      <c r="L102" s="570">
        <v>0</v>
      </c>
      <c r="M102" s="570">
        <v>0</v>
      </c>
      <c r="N102" s="570" t="s">
        <v>1001</v>
      </c>
      <c r="O102" s="570">
        <v>1</v>
      </c>
      <c r="P102" s="571">
        <v>43429</v>
      </c>
      <c r="Q102" s="570">
        <v>35.0900325</v>
      </c>
      <c r="R102" s="570">
        <v>-97.418184400000001</v>
      </c>
      <c r="S102" s="570">
        <v>15.41</v>
      </c>
      <c r="T102" s="570" t="s">
        <v>1002</v>
      </c>
      <c r="U102" s="570" t="s">
        <v>1002</v>
      </c>
      <c r="V102" s="570">
        <v>1</v>
      </c>
      <c r="W102" s="570">
        <v>1</v>
      </c>
      <c r="X102" s="570" t="s">
        <v>1000</v>
      </c>
      <c r="Y102" s="570" t="s">
        <v>1013</v>
      </c>
      <c r="Z102" s="570">
        <v>1</v>
      </c>
      <c r="AA102" s="570">
        <v>0</v>
      </c>
      <c r="AB102" s="570">
        <v>0</v>
      </c>
      <c r="AC102" s="570">
        <v>0</v>
      </c>
      <c r="AD102" s="570">
        <v>0</v>
      </c>
      <c r="AE102" s="570" t="s">
        <v>1022</v>
      </c>
      <c r="AF102" s="570">
        <v>13</v>
      </c>
      <c r="AG102" s="570" t="s">
        <v>1005</v>
      </c>
      <c r="AH102" s="570">
        <v>0</v>
      </c>
      <c r="AI102" s="570" t="s">
        <v>1006</v>
      </c>
      <c r="AJ102" s="570">
        <v>20</v>
      </c>
      <c r="AK102" s="570">
        <v>98</v>
      </c>
      <c r="AL102" s="570">
        <v>1</v>
      </c>
      <c r="AM102" s="570">
        <v>0</v>
      </c>
      <c r="AN102" s="570">
        <v>70</v>
      </c>
      <c r="AO102" s="570" t="s">
        <v>1007</v>
      </c>
      <c r="AP102" s="570" t="s">
        <v>1002</v>
      </c>
      <c r="AQ102" s="570">
        <v>1</v>
      </c>
      <c r="AR102" s="570"/>
      <c r="AS102" s="570">
        <v>4</v>
      </c>
    </row>
    <row r="103" spans="1:45" x14ac:dyDescent="0.35">
      <c r="A103" s="570">
        <v>300393975</v>
      </c>
      <c r="B103" s="570">
        <v>44</v>
      </c>
      <c r="C103" s="570">
        <v>15</v>
      </c>
      <c r="D103" s="570">
        <v>5</v>
      </c>
      <c r="E103" s="570">
        <v>0</v>
      </c>
      <c r="F103" s="570">
        <v>17.53</v>
      </c>
      <c r="G103" s="570" t="s">
        <v>1000</v>
      </c>
      <c r="H103" s="570">
        <v>2</v>
      </c>
      <c r="I103" s="570">
        <v>0</v>
      </c>
      <c r="J103" s="570">
        <v>0</v>
      </c>
      <c r="K103" s="570">
        <v>0</v>
      </c>
      <c r="L103" s="570">
        <v>0</v>
      </c>
      <c r="M103" s="570">
        <v>0</v>
      </c>
      <c r="N103" s="570" t="s">
        <v>1032</v>
      </c>
      <c r="O103" s="570">
        <v>1</v>
      </c>
      <c r="P103" s="571">
        <v>43451</v>
      </c>
      <c r="Q103" s="570">
        <v>35.0900325</v>
      </c>
      <c r="R103" s="570">
        <v>-97.418184400000001</v>
      </c>
      <c r="S103" s="570">
        <v>11.33</v>
      </c>
      <c r="T103" s="570" t="s">
        <v>1002</v>
      </c>
      <c r="U103" s="570" t="s">
        <v>1002</v>
      </c>
      <c r="V103" s="570">
        <v>2</v>
      </c>
      <c r="W103" s="570">
        <v>1</v>
      </c>
      <c r="X103" s="570" t="s">
        <v>1000</v>
      </c>
      <c r="Y103" s="570" t="s">
        <v>1013</v>
      </c>
      <c r="Z103" s="570">
        <v>3</v>
      </c>
      <c r="AA103" s="570">
        <v>0</v>
      </c>
      <c r="AB103" s="570">
        <v>0</v>
      </c>
      <c r="AC103" s="570">
        <v>0</v>
      </c>
      <c r="AD103" s="570">
        <v>0</v>
      </c>
      <c r="AE103" s="570" t="s">
        <v>1014</v>
      </c>
      <c r="AF103" s="570">
        <v>88</v>
      </c>
      <c r="AG103" s="570" t="s">
        <v>1020</v>
      </c>
      <c r="AH103" s="570">
        <v>0</v>
      </c>
      <c r="AI103" s="570" t="s">
        <v>1006</v>
      </c>
      <c r="AJ103" s="570">
        <v>2</v>
      </c>
      <c r="AK103" s="570">
        <v>88</v>
      </c>
      <c r="AL103" s="570">
        <v>1</v>
      </c>
      <c r="AM103" s="570">
        <v>0</v>
      </c>
      <c r="AN103" s="570">
        <v>84</v>
      </c>
      <c r="AO103" s="570" t="s">
        <v>1009</v>
      </c>
      <c r="AP103" s="570" t="s">
        <v>1008</v>
      </c>
      <c r="AQ103" s="570">
        <v>1</v>
      </c>
      <c r="AR103" s="570">
        <v>1</v>
      </c>
      <c r="AS103" s="570">
        <v>4</v>
      </c>
    </row>
    <row r="104" spans="1:45" x14ac:dyDescent="0.35">
      <c r="A104" s="570">
        <v>300397531</v>
      </c>
      <c r="B104" s="570">
        <v>44</v>
      </c>
      <c r="C104" s="570">
        <v>15</v>
      </c>
      <c r="D104" s="570">
        <v>5</v>
      </c>
      <c r="E104" s="570">
        <v>0</v>
      </c>
      <c r="F104" s="570">
        <v>16.93</v>
      </c>
      <c r="G104" s="570" t="s">
        <v>1000</v>
      </c>
      <c r="H104" s="570">
        <v>2</v>
      </c>
      <c r="I104" s="570">
        <v>0</v>
      </c>
      <c r="J104" s="570">
        <v>0</v>
      </c>
      <c r="K104" s="570">
        <v>0</v>
      </c>
      <c r="L104" s="570">
        <v>0</v>
      </c>
      <c r="M104" s="570">
        <v>0</v>
      </c>
      <c r="N104" s="570" t="s">
        <v>1033</v>
      </c>
      <c r="O104" s="570">
        <v>1</v>
      </c>
      <c r="P104" s="571">
        <v>43473</v>
      </c>
      <c r="Q104" s="570">
        <v>35.083204100000003</v>
      </c>
      <c r="R104" s="570">
        <v>-97.411618200000007</v>
      </c>
      <c r="S104" s="570">
        <v>2.42</v>
      </c>
      <c r="T104" s="570" t="s">
        <v>1002</v>
      </c>
      <c r="U104" s="570" t="s">
        <v>1002</v>
      </c>
      <c r="V104" s="570">
        <v>3</v>
      </c>
      <c r="W104" s="570">
        <v>2</v>
      </c>
      <c r="X104" s="570" t="s">
        <v>1000</v>
      </c>
      <c r="Y104" s="570" t="s">
        <v>1013</v>
      </c>
      <c r="Z104" s="570">
        <v>1</v>
      </c>
      <c r="AA104" s="570">
        <v>0</v>
      </c>
      <c r="AB104" s="570">
        <v>0</v>
      </c>
      <c r="AC104" s="570">
        <v>0</v>
      </c>
      <c r="AD104" s="570">
        <v>0</v>
      </c>
      <c r="AE104" s="570" t="s">
        <v>1004</v>
      </c>
      <c r="AF104" s="570">
        <v>71</v>
      </c>
      <c r="AG104" s="570" t="s">
        <v>1020</v>
      </c>
      <c r="AH104" s="570">
        <v>0</v>
      </c>
      <c r="AI104" s="570" t="s">
        <v>1006</v>
      </c>
      <c r="AJ104" s="570">
        <v>10</v>
      </c>
      <c r="AK104" s="570">
        <v>71</v>
      </c>
      <c r="AL104" s="570">
        <v>1</v>
      </c>
      <c r="AM104" s="570">
        <v>0</v>
      </c>
      <c r="AN104" s="570">
        <v>60</v>
      </c>
      <c r="AO104" s="570" t="s">
        <v>1009</v>
      </c>
      <c r="AP104" s="570" t="s">
        <v>1008</v>
      </c>
      <c r="AQ104" s="570">
        <v>1</v>
      </c>
      <c r="AR104" s="570">
        <v>1</v>
      </c>
      <c r="AS104" s="570">
        <v>4</v>
      </c>
    </row>
    <row r="105" spans="1:45" x14ac:dyDescent="0.35">
      <c r="A105" s="570">
        <v>300397531</v>
      </c>
      <c r="B105" s="570">
        <v>44</v>
      </c>
      <c r="C105" s="570">
        <v>15</v>
      </c>
      <c r="D105" s="570">
        <v>5</v>
      </c>
      <c r="E105" s="570">
        <v>0</v>
      </c>
      <c r="F105" s="570">
        <v>16.93</v>
      </c>
      <c r="G105" s="570" t="s">
        <v>1000</v>
      </c>
      <c r="H105" s="570">
        <v>2</v>
      </c>
      <c r="I105" s="570">
        <v>0</v>
      </c>
      <c r="J105" s="570">
        <v>0</v>
      </c>
      <c r="K105" s="570">
        <v>0</v>
      </c>
      <c r="L105" s="570">
        <v>0</v>
      </c>
      <c r="M105" s="570">
        <v>0</v>
      </c>
      <c r="N105" s="570" t="s">
        <v>1033</v>
      </c>
      <c r="O105" s="570">
        <v>1</v>
      </c>
      <c r="P105" s="571">
        <v>43473</v>
      </c>
      <c r="Q105" s="570">
        <v>35.083204100000003</v>
      </c>
      <c r="R105" s="570">
        <v>-97.411618200000007</v>
      </c>
      <c r="S105" s="570">
        <v>2.42</v>
      </c>
      <c r="T105" s="570" t="s">
        <v>1002</v>
      </c>
      <c r="U105" s="570" t="s">
        <v>1002</v>
      </c>
      <c r="V105" s="570">
        <v>3</v>
      </c>
      <c r="W105" s="570">
        <v>2</v>
      </c>
      <c r="X105" s="570" t="s">
        <v>1000</v>
      </c>
      <c r="Y105" s="570" t="s">
        <v>1013</v>
      </c>
      <c r="Z105" s="570">
        <v>1</v>
      </c>
      <c r="AA105" s="570">
        <v>0</v>
      </c>
      <c r="AB105" s="570">
        <v>0</v>
      </c>
      <c r="AC105" s="570">
        <v>0</v>
      </c>
      <c r="AD105" s="570">
        <v>0</v>
      </c>
      <c r="AE105" s="570" t="s">
        <v>1004</v>
      </c>
      <c r="AF105" s="570">
        <v>71</v>
      </c>
      <c r="AG105" s="570" t="s">
        <v>1020</v>
      </c>
      <c r="AH105" s="570">
        <v>0</v>
      </c>
      <c r="AI105" s="570" t="s">
        <v>1006</v>
      </c>
      <c r="AJ105" s="570">
        <v>10</v>
      </c>
      <c r="AK105" s="570">
        <v>71</v>
      </c>
      <c r="AL105" s="570">
        <v>1</v>
      </c>
      <c r="AM105" s="570">
        <v>0</v>
      </c>
      <c r="AN105" s="570">
        <v>0</v>
      </c>
      <c r="AO105" s="570">
        <v>9</v>
      </c>
      <c r="AP105" s="570" t="s">
        <v>1002</v>
      </c>
      <c r="AQ105" s="570"/>
      <c r="AR105" s="570"/>
      <c r="AS105" s="570"/>
    </row>
    <row r="106" spans="1:45" x14ac:dyDescent="0.35">
      <c r="A106" s="570">
        <v>300398936</v>
      </c>
      <c r="B106" s="570">
        <v>44</v>
      </c>
      <c r="C106" s="570">
        <v>15</v>
      </c>
      <c r="D106" s="570">
        <v>5</v>
      </c>
      <c r="E106" s="570">
        <v>0</v>
      </c>
      <c r="F106" s="570">
        <v>17.03</v>
      </c>
      <c r="G106" s="570" t="s">
        <v>1000</v>
      </c>
      <c r="H106" s="570">
        <v>2</v>
      </c>
      <c r="I106" s="570">
        <v>0</v>
      </c>
      <c r="J106" s="570">
        <v>0</v>
      </c>
      <c r="K106" s="570">
        <v>0</v>
      </c>
      <c r="L106" s="570">
        <v>3</v>
      </c>
      <c r="M106" s="570">
        <v>0</v>
      </c>
      <c r="N106" s="570" t="s">
        <v>1033</v>
      </c>
      <c r="O106" s="570">
        <v>3</v>
      </c>
      <c r="P106" s="571">
        <v>43493</v>
      </c>
      <c r="Q106" s="570">
        <v>35.084344199999997</v>
      </c>
      <c r="R106" s="570">
        <v>-97.412709500000005</v>
      </c>
      <c r="S106" s="570">
        <v>9.4700000000000006</v>
      </c>
      <c r="T106" s="570" t="s">
        <v>1002</v>
      </c>
      <c r="U106" s="570" t="s">
        <v>1002</v>
      </c>
      <c r="V106" s="570">
        <v>2</v>
      </c>
      <c r="W106" s="570">
        <v>1</v>
      </c>
      <c r="X106" s="570" t="s">
        <v>1024</v>
      </c>
      <c r="Y106" s="570" t="s">
        <v>1034</v>
      </c>
      <c r="Z106" s="570">
        <v>3</v>
      </c>
      <c r="AA106" s="570">
        <v>0</v>
      </c>
      <c r="AB106" s="570">
        <v>3</v>
      </c>
      <c r="AC106" s="570">
        <v>0</v>
      </c>
      <c r="AD106" s="570">
        <v>0</v>
      </c>
      <c r="AE106" s="570" t="s">
        <v>1014</v>
      </c>
      <c r="AF106" s="570">
        <v>88</v>
      </c>
      <c r="AG106" s="570" t="s">
        <v>1020</v>
      </c>
      <c r="AH106" s="570">
        <v>0</v>
      </c>
      <c r="AI106" s="570" t="s">
        <v>1006</v>
      </c>
      <c r="AJ106" s="570">
        <v>4</v>
      </c>
      <c r="AK106" s="570">
        <v>88</v>
      </c>
      <c r="AL106" s="570">
        <v>1</v>
      </c>
      <c r="AM106" s="570">
        <v>0</v>
      </c>
      <c r="AN106" s="570">
        <v>72</v>
      </c>
      <c r="AO106" s="570" t="s">
        <v>1009</v>
      </c>
      <c r="AP106" s="570" t="s">
        <v>1008</v>
      </c>
      <c r="AQ106" s="570">
        <v>3</v>
      </c>
      <c r="AR106" s="570">
        <v>1</v>
      </c>
      <c r="AS106" s="570">
        <v>4</v>
      </c>
    </row>
    <row r="107" spans="1:45" x14ac:dyDescent="0.35">
      <c r="A107" s="570">
        <v>300398936</v>
      </c>
      <c r="B107" s="570">
        <v>44</v>
      </c>
      <c r="C107" s="570">
        <v>15</v>
      </c>
      <c r="D107" s="570">
        <v>5</v>
      </c>
      <c r="E107" s="570">
        <v>0</v>
      </c>
      <c r="F107" s="570">
        <v>17.03</v>
      </c>
      <c r="G107" s="570" t="s">
        <v>1000</v>
      </c>
      <c r="H107" s="570">
        <v>2</v>
      </c>
      <c r="I107" s="570">
        <v>0</v>
      </c>
      <c r="J107" s="570">
        <v>0</v>
      </c>
      <c r="K107" s="570">
        <v>0</v>
      </c>
      <c r="L107" s="570">
        <v>3</v>
      </c>
      <c r="M107" s="570">
        <v>0</v>
      </c>
      <c r="N107" s="570" t="s">
        <v>1033</v>
      </c>
      <c r="O107" s="570">
        <v>3</v>
      </c>
      <c r="P107" s="571">
        <v>43493</v>
      </c>
      <c r="Q107" s="570">
        <v>35.084344199999997</v>
      </c>
      <c r="R107" s="570">
        <v>-97.412709500000005</v>
      </c>
      <c r="S107" s="570">
        <v>9.4700000000000006</v>
      </c>
      <c r="T107" s="570" t="s">
        <v>1002</v>
      </c>
      <c r="U107" s="570" t="s">
        <v>1002</v>
      </c>
      <c r="V107" s="570">
        <v>2</v>
      </c>
      <c r="W107" s="570">
        <v>1</v>
      </c>
      <c r="X107" s="570" t="s">
        <v>1024</v>
      </c>
      <c r="Y107" s="570" t="s">
        <v>1034</v>
      </c>
      <c r="Z107" s="570">
        <v>3</v>
      </c>
      <c r="AA107" s="570">
        <v>0</v>
      </c>
      <c r="AB107" s="570">
        <v>3</v>
      </c>
      <c r="AC107" s="570">
        <v>0</v>
      </c>
      <c r="AD107" s="570">
        <v>0</v>
      </c>
      <c r="AE107" s="570" t="s">
        <v>1014</v>
      </c>
      <c r="AF107" s="570">
        <v>88</v>
      </c>
      <c r="AG107" s="570" t="s">
        <v>1020</v>
      </c>
      <c r="AH107" s="570">
        <v>0</v>
      </c>
      <c r="AI107" s="570" t="s">
        <v>1006</v>
      </c>
      <c r="AJ107" s="570">
        <v>4</v>
      </c>
      <c r="AK107" s="570">
        <v>88</v>
      </c>
      <c r="AL107" s="570">
        <v>1</v>
      </c>
      <c r="AM107" s="570">
        <v>0</v>
      </c>
      <c r="AN107" s="570">
        <v>0</v>
      </c>
      <c r="AO107" s="570">
        <v>9</v>
      </c>
      <c r="AP107" s="570" t="s">
        <v>1002</v>
      </c>
      <c r="AQ107" s="570"/>
      <c r="AR107" s="570"/>
      <c r="AS107" s="570"/>
    </row>
    <row r="108" spans="1:45" x14ac:dyDescent="0.35">
      <c r="A108" s="570">
        <v>300398936</v>
      </c>
      <c r="B108" s="570">
        <v>44</v>
      </c>
      <c r="C108" s="570">
        <v>15</v>
      </c>
      <c r="D108" s="570">
        <v>5</v>
      </c>
      <c r="E108" s="570">
        <v>0</v>
      </c>
      <c r="F108" s="570">
        <v>17.03</v>
      </c>
      <c r="G108" s="570" t="s">
        <v>1000</v>
      </c>
      <c r="H108" s="570">
        <v>2</v>
      </c>
      <c r="I108" s="570">
        <v>0</v>
      </c>
      <c r="J108" s="570">
        <v>0</v>
      </c>
      <c r="K108" s="570">
        <v>0</v>
      </c>
      <c r="L108" s="570">
        <v>3</v>
      </c>
      <c r="M108" s="570">
        <v>0</v>
      </c>
      <c r="N108" s="570" t="s">
        <v>1033</v>
      </c>
      <c r="O108" s="570">
        <v>3</v>
      </c>
      <c r="P108" s="571">
        <v>43493</v>
      </c>
      <c r="Q108" s="570">
        <v>35.084344199999997</v>
      </c>
      <c r="R108" s="570">
        <v>-97.412709500000005</v>
      </c>
      <c r="S108" s="570">
        <v>9.4700000000000006</v>
      </c>
      <c r="T108" s="570" t="s">
        <v>1002</v>
      </c>
      <c r="U108" s="570" t="s">
        <v>1002</v>
      </c>
      <c r="V108" s="570">
        <v>2</v>
      </c>
      <c r="W108" s="570">
        <v>1</v>
      </c>
      <c r="X108" s="570" t="s">
        <v>1024</v>
      </c>
      <c r="Y108" s="570" t="s">
        <v>1034</v>
      </c>
      <c r="Z108" s="570">
        <v>3</v>
      </c>
      <c r="AA108" s="570">
        <v>0</v>
      </c>
      <c r="AB108" s="570">
        <v>3</v>
      </c>
      <c r="AC108" s="570">
        <v>0</v>
      </c>
      <c r="AD108" s="570">
        <v>0</v>
      </c>
      <c r="AE108" s="570" t="s">
        <v>1014</v>
      </c>
      <c r="AF108" s="570">
        <v>88</v>
      </c>
      <c r="AG108" s="570" t="s">
        <v>1020</v>
      </c>
      <c r="AH108" s="570">
        <v>0</v>
      </c>
      <c r="AI108" s="570" t="s">
        <v>1006</v>
      </c>
      <c r="AJ108" s="570">
        <v>4</v>
      </c>
      <c r="AK108" s="570">
        <v>88</v>
      </c>
      <c r="AL108" s="570">
        <v>1</v>
      </c>
      <c r="AM108" s="570">
        <v>0</v>
      </c>
      <c r="AN108" s="570">
        <v>58</v>
      </c>
      <c r="AO108" s="570" t="s">
        <v>1009</v>
      </c>
      <c r="AP108" s="570" t="s">
        <v>1002</v>
      </c>
      <c r="AQ108" s="570">
        <v>3</v>
      </c>
      <c r="AR108" s="570"/>
      <c r="AS108" s="570">
        <v>4</v>
      </c>
    </row>
    <row r="109" spans="1:45" x14ac:dyDescent="0.35">
      <c r="A109" s="570">
        <v>300398936</v>
      </c>
      <c r="B109" s="570">
        <v>44</v>
      </c>
      <c r="C109" s="570">
        <v>15</v>
      </c>
      <c r="D109" s="570">
        <v>5</v>
      </c>
      <c r="E109" s="570">
        <v>0</v>
      </c>
      <c r="F109" s="570">
        <v>17.03</v>
      </c>
      <c r="G109" s="570" t="s">
        <v>1000</v>
      </c>
      <c r="H109" s="570">
        <v>2</v>
      </c>
      <c r="I109" s="570">
        <v>0</v>
      </c>
      <c r="J109" s="570">
        <v>0</v>
      </c>
      <c r="K109" s="570">
        <v>0</v>
      </c>
      <c r="L109" s="570">
        <v>3</v>
      </c>
      <c r="M109" s="570">
        <v>0</v>
      </c>
      <c r="N109" s="570" t="s">
        <v>1033</v>
      </c>
      <c r="O109" s="570">
        <v>3</v>
      </c>
      <c r="P109" s="571">
        <v>43493</v>
      </c>
      <c r="Q109" s="570">
        <v>35.084344199999997</v>
      </c>
      <c r="R109" s="570">
        <v>-97.412709500000005</v>
      </c>
      <c r="S109" s="570">
        <v>9.4700000000000006</v>
      </c>
      <c r="T109" s="570" t="s">
        <v>1002</v>
      </c>
      <c r="U109" s="570" t="s">
        <v>1002</v>
      </c>
      <c r="V109" s="570">
        <v>2</v>
      </c>
      <c r="W109" s="570">
        <v>1</v>
      </c>
      <c r="X109" s="570" t="s">
        <v>1024</v>
      </c>
      <c r="Y109" s="570" t="s">
        <v>1034</v>
      </c>
      <c r="Z109" s="570">
        <v>3</v>
      </c>
      <c r="AA109" s="570">
        <v>0</v>
      </c>
      <c r="AB109" s="570">
        <v>3</v>
      </c>
      <c r="AC109" s="570">
        <v>0</v>
      </c>
      <c r="AD109" s="570">
        <v>0</v>
      </c>
      <c r="AE109" s="570" t="s">
        <v>1014</v>
      </c>
      <c r="AF109" s="570">
        <v>88</v>
      </c>
      <c r="AG109" s="570" t="s">
        <v>1020</v>
      </c>
      <c r="AH109" s="570">
        <v>0</v>
      </c>
      <c r="AI109" s="570" t="s">
        <v>1006</v>
      </c>
      <c r="AJ109" s="570">
        <v>4</v>
      </c>
      <c r="AK109" s="570">
        <v>88</v>
      </c>
      <c r="AL109" s="570">
        <v>1</v>
      </c>
      <c r="AM109" s="570">
        <v>0</v>
      </c>
      <c r="AN109" s="570">
        <v>53</v>
      </c>
      <c r="AO109" s="570" t="s">
        <v>1009</v>
      </c>
      <c r="AP109" s="570" t="s">
        <v>1002</v>
      </c>
      <c r="AQ109" s="570">
        <v>3</v>
      </c>
      <c r="AR109" s="570"/>
      <c r="AS109" s="570">
        <v>4</v>
      </c>
    </row>
    <row r="110" spans="1:45" x14ac:dyDescent="0.35">
      <c r="A110" s="570">
        <v>300404527</v>
      </c>
      <c r="B110" s="570">
        <v>44</v>
      </c>
      <c r="C110" s="570">
        <v>15</v>
      </c>
      <c r="D110" s="570">
        <v>5</v>
      </c>
      <c r="E110" s="570">
        <v>0</v>
      </c>
      <c r="F110" s="570">
        <v>16.91</v>
      </c>
      <c r="G110" s="570" t="s">
        <v>1000</v>
      </c>
      <c r="H110" s="570">
        <v>2</v>
      </c>
      <c r="I110" s="570">
        <v>0</v>
      </c>
      <c r="J110" s="570">
        <v>0</v>
      </c>
      <c r="K110" s="570">
        <v>0</v>
      </c>
      <c r="L110" s="570">
        <v>0</v>
      </c>
      <c r="M110" s="570">
        <v>0</v>
      </c>
      <c r="N110" s="570" t="s">
        <v>1010</v>
      </c>
      <c r="O110" s="570">
        <v>1</v>
      </c>
      <c r="P110" s="571">
        <v>43535</v>
      </c>
      <c r="Q110" s="570">
        <v>35.082976100000003</v>
      </c>
      <c r="R110" s="570">
        <v>-97.4114</v>
      </c>
      <c r="S110" s="570">
        <v>0.33</v>
      </c>
      <c r="T110" s="570" t="s">
        <v>1002</v>
      </c>
      <c r="U110" s="570" t="s">
        <v>1002</v>
      </c>
      <c r="V110" s="570">
        <v>2</v>
      </c>
      <c r="W110" s="570">
        <v>2</v>
      </c>
      <c r="X110" s="570" t="s">
        <v>1000</v>
      </c>
      <c r="Y110" s="570" t="s">
        <v>1003</v>
      </c>
      <c r="Z110" s="570">
        <v>4</v>
      </c>
      <c r="AA110" s="570">
        <v>0</v>
      </c>
      <c r="AB110" s="570">
        <v>0</v>
      </c>
      <c r="AC110" s="570">
        <v>0</v>
      </c>
      <c r="AD110" s="570">
        <v>0</v>
      </c>
      <c r="AE110" s="570" t="s">
        <v>1011</v>
      </c>
      <c r="AF110" s="570">
        <v>22</v>
      </c>
      <c r="AG110" s="570" t="s">
        <v>1012</v>
      </c>
      <c r="AH110" s="570">
        <v>0</v>
      </c>
      <c r="AI110" s="570" t="s">
        <v>1006</v>
      </c>
      <c r="AJ110" s="570">
        <v>2</v>
      </c>
      <c r="AK110" s="570">
        <v>22</v>
      </c>
      <c r="AL110" s="570">
        <v>1</v>
      </c>
      <c r="AM110" s="570">
        <v>0</v>
      </c>
      <c r="AN110" s="570">
        <v>40</v>
      </c>
      <c r="AO110" s="570" t="s">
        <v>1007</v>
      </c>
      <c r="AP110" s="570" t="s">
        <v>1008</v>
      </c>
      <c r="AQ110" s="570">
        <v>1</v>
      </c>
      <c r="AR110" s="570">
        <v>1</v>
      </c>
      <c r="AS110" s="570">
        <v>4</v>
      </c>
    </row>
    <row r="111" spans="1:45" x14ac:dyDescent="0.35">
      <c r="A111" s="570">
        <v>300404527</v>
      </c>
      <c r="B111" s="570">
        <v>44</v>
      </c>
      <c r="C111" s="570">
        <v>15</v>
      </c>
      <c r="D111" s="570">
        <v>5</v>
      </c>
      <c r="E111" s="570">
        <v>0</v>
      </c>
      <c r="F111" s="570">
        <v>16.91</v>
      </c>
      <c r="G111" s="570" t="s">
        <v>1000</v>
      </c>
      <c r="H111" s="570">
        <v>2</v>
      </c>
      <c r="I111" s="570">
        <v>0</v>
      </c>
      <c r="J111" s="570">
        <v>0</v>
      </c>
      <c r="K111" s="570">
        <v>0</v>
      </c>
      <c r="L111" s="570">
        <v>0</v>
      </c>
      <c r="M111" s="570">
        <v>0</v>
      </c>
      <c r="N111" s="570" t="s">
        <v>1010</v>
      </c>
      <c r="O111" s="570">
        <v>1</v>
      </c>
      <c r="P111" s="571">
        <v>43535</v>
      </c>
      <c r="Q111" s="570">
        <v>35.082976100000003</v>
      </c>
      <c r="R111" s="570">
        <v>-97.4114</v>
      </c>
      <c r="S111" s="570">
        <v>0.33</v>
      </c>
      <c r="T111" s="570" t="s">
        <v>1002</v>
      </c>
      <c r="U111" s="570" t="s">
        <v>1002</v>
      </c>
      <c r="V111" s="570">
        <v>2</v>
      </c>
      <c r="W111" s="570">
        <v>2</v>
      </c>
      <c r="X111" s="570" t="s">
        <v>1000</v>
      </c>
      <c r="Y111" s="570" t="s">
        <v>1003</v>
      </c>
      <c r="Z111" s="570">
        <v>4</v>
      </c>
      <c r="AA111" s="570">
        <v>0</v>
      </c>
      <c r="AB111" s="570">
        <v>0</v>
      </c>
      <c r="AC111" s="570">
        <v>0</v>
      </c>
      <c r="AD111" s="570">
        <v>0</v>
      </c>
      <c r="AE111" s="570" t="s">
        <v>1011</v>
      </c>
      <c r="AF111" s="570">
        <v>22</v>
      </c>
      <c r="AG111" s="570" t="s">
        <v>1012</v>
      </c>
      <c r="AH111" s="570">
        <v>0</v>
      </c>
      <c r="AI111" s="570" t="s">
        <v>1006</v>
      </c>
      <c r="AJ111" s="570">
        <v>2</v>
      </c>
      <c r="AK111" s="570">
        <v>22</v>
      </c>
      <c r="AL111" s="570">
        <v>1</v>
      </c>
      <c r="AM111" s="570">
        <v>0</v>
      </c>
      <c r="AN111" s="570">
        <v>21</v>
      </c>
      <c r="AO111" s="570" t="s">
        <v>1007</v>
      </c>
      <c r="AP111" s="570" t="s">
        <v>1002</v>
      </c>
      <c r="AQ111" s="570">
        <v>1</v>
      </c>
      <c r="AR111" s="570"/>
      <c r="AS111" s="570">
        <v>4</v>
      </c>
    </row>
    <row r="112" spans="1:45" x14ac:dyDescent="0.35">
      <c r="A112" s="570">
        <v>300405536</v>
      </c>
      <c r="B112" s="570">
        <v>44</v>
      </c>
      <c r="C112" s="570">
        <v>15</v>
      </c>
      <c r="D112" s="570">
        <v>5</v>
      </c>
      <c r="E112" s="570">
        <v>0</v>
      </c>
      <c r="F112" s="570">
        <v>17.309999999999999</v>
      </c>
      <c r="G112" s="570" t="s">
        <v>1000</v>
      </c>
      <c r="H112" s="570">
        <v>2</v>
      </c>
      <c r="I112" s="570">
        <v>0</v>
      </c>
      <c r="J112" s="570">
        <v>0</v>
      </c>
      <c r="K112" s="570">
        <v>0</v>
      </c>
      <c r="L112" s="570">
        <v>0</v>
      </c>
      <c r="M112" s="570">
        <v>0</v>
      </c>
      <c r="N112" s="570" t="s">
        <v>1010</v>
      </c>
      <c r="O112" s="570">
        <v>1</v>
      </c>
      <c r="P112" s="571">
        <v>43537</v>
      </c>
      <c r="Q112" s="570">
        <v>35.087538700000003</v>
      </c>
      <c r="R112" s="570">
        <v>-97.415761500000002</v>
      </c>
      <c r="S112" s="570">
        <v>6.05</v>
      </c>
      <c r="T112" s="570" t="s">
        <v>1002</v>
      </c>
      <c r="U112" s="570" t="s">
        <v>1002</v>
      </c>
      <c r="V112" s="570">
        <v>4</v>
      </c>
      <c r="W112" s="570">
        <v>2</v>
      </c>
      <c r="X112" s="570" t="s">
        <v>1000</v>
      </c>
      <c r="Y112" s="570" t="s">
        <v>1003</v>
      </c>
      <c r="Z112" s="570">
        <v>4</v>
      </c>
      <c r="AA112" s="570">
        <v>0</v>
      </c>
      <c r="AB112" s="570">
        <v>0</v>
      </c>
      <c r="AC112" s="570">
        <v>0</v>
      </c>
      <c r="AD112" s="570">
        <v>0</v>
      </c>
      <c r="AE112" s="570" t="s">
        <v>1011</v>
      </c>
      <c r="AF112" s="570">
        <v>22</v>
      </c>
      <c r="AG112" s="570" t="s">
        <v>1012</v>
      </c>
      <c r="AH112" s="570">
        <v>0</v>
      </c>
      <c r="AI112" s="570" t="s">
        <v>1006</v>
      </c>
      <c r="AJ112" s="570">
        <v>20</v>
      </c>
      <c r="AK112" s="570">
        <v>22</v>
      </c>
      <c r="AL112" s="570">
        <v>2</v>
      </c>
      <c r="AM112" s="570">
        <v>0</v>
      </c>
      <c r="AN112" s="570">
        <v>36</v>
      </c>
      <c r="AO112" s="570" t="s">
        <v>1009</v>
      </c>
      <c r="AP112" s="570" t="s">
        <v>1008</v>
      </c>
      <c r="AQ112" s="570">
        <v>1</v>
      </c>
      <c r="AR112" s="570">
        <v>1</v>
      </c>
      <c r="AS112" s="570">
        <v>4</v>
      </c>
    </row>
    <row r="113" spans="1:45" x14ac:dyDescent="0.35">
      <c r="A113" s="570">
        <v>300405536</v>
      </c>
      <c r="B113" s="570">
        <v>44</v>
      </c>
      <c r="C113" s="570">
        <v>15</v>
      </c>
      <c r="D113" s="570">
        <v>5</v>
      </c>
      <c r="E113" s="570">
        <v>0</v>
      </c>
      <c r="F113" s="570">
        <v>17.309999999999999</v>
      </c>
      <c r="G113" s="570" t="s">
        <v>1000</v>
      </c>
      <c r="H113" s="570">
        <v>2</v>
      </c>
      <c r="I113" s="570">
        <v>0</v>
      </c>
      <c r="J113" s="570">
        <v>0</v>
      </c>
      <c r="K113" s="570">
        <v>0</v>
      </c>
      <c r="L113" s="570">
        <v>0</v>
      </c>
      <c r="M113" s="570">
        <v>0</v>
      </c>
      <c r="N113" s="570" t="s">
        <v>1010</v>
      </c>
      <c r="O113" s="570">
        <v>1</v>
      </c>
      <c r="P113" s="571">
        <v>43537</v>
      </c>
      <c r="Q113" s="570">
        <v>35.087538700000003</v>
      </c>
      <c r="R113" s="570">
        <v>-97.415761500000002</v>
      </c>
      <c r="S113" s="570">
        <v>6.05</v>
      </c>
      <c r="T113" s="570" t="s">
        <v>1002</v>
      </c>
      <c r="U113" s="570" t="s">
        <v>1002</v>
      </c>
      <c r="V113" s="570">
        <v>4</v>
      </c>
      <c r="W113" s="570">
        <v>2</v>
      </c>
      <c r="X113" s="570" t="s">
        <v>1000</v>
      </c>
      <c r="Y113" s="570" t="s">
        <v>1003</v>
      </c>
      <c r="Z113" s="570">
        <v>4</v>
      </c>
      <c r="AA113" s="570">
        <v>0</v>
      </c>
      <c r="AB113" s="570">
        <v>0</v>
      </c>
      <c r="AC113" s="570">
        <v>0</v>
      </c>
      <c r="AD113" s="570">
        <v>0</v>
      </c>
      <c r="AE113" s="570" t="s">
        <v>1011</v>
      </c>
      <c r="AF113" s="570">
        <v>22</v>
      </c>
      <c r="AG113" s="570" t="s">
        <v>1012</v>
      </c>
      <c r="AH113" s="570">
        <v>0</v>
      </c>
      <c r="AI113" s="570" t="s">
        <v>1006</v>
      </c>
      <c r="AJ113" s="570">
        <v>20</v>
      </c>
      <c r="AK113" s="570">
        <v>22</v>
      </c>
      <c r="AL113" s="570">
        <v>2</v>
      </c>
      <c r="AM113" s="570">
        <v>0</v>
      </c>
      <c r="AN113" s="570">
        <v>0</v>
      </c>
      <c r="AO113" s="570">
        <v>9</v>
      </c>
      <c r="AP113" s="570" t="s">
        <v>1002</v>
      </c>
      <c r="AQ113" s="570"/>
      <c r="AR113" s="570"/>
      <c r="AS113" s="570"/>
    </row>
    <row r="114" spans="1:45" x14ac:dyDescent="0.35">
      <c r="A114" s="570">
        <v>300405536</v>
      </c>
      <c r="B114" s="570">
        <v>44</v>
      </c>
      <c r="C114" s="570">
        <v>15</v>
      </c>
      <c r="D114" s="570">
        <v>5</v>
      </c>
      <c r="E114" s="570">
        <v>0</v>
      </c>
      <c r="F114" s="570">
        <v>17.309999999999999</v>
      </c>
      <c r="G114" s="570" t="s">
        <v>1000</v>
      </c>
      <c r="H114" s="570">
        <v>2</v>
      </c>
      <c r="I114" s="570">
        <v>0</v>
      </c>
      <c r="J114" s="570">
        <v>0</v>
      </c>
      <c r="K114" s="570">
        <v>0</v>
      </c>
      <c r="L114" s="570">
        <v>0</v>
      </c>
      <c r="M114" s="570">
        <v>0</v>
      </c>
      <c r="N114" s="570" t="s">
        <v>1010</v>
      </c>
      <c r="O114" s="570">
        <v>1</v>
      </c>
      <c r="P114" s="571">
        <v>43537</v>
      </c>
      <c r="Q114" s="570">
        <v>35.087538700000003</v>
      </c>
      <c r="R114" s="570">
        <v>-97.415761500000002</v>
      </c>
      <c r="S114" s="570">
        <v>6.05</v>
      </c>
      <c r="T114" s="570" t="s">
        <v>1002</v>
      </c>
      <c r="U114" s="570" t="s">
        <v>1002</v>
      </c>
      <c r="V114" s="570">
        <v>4</v>
      </c>
      <c r="W114" s="570">
        <v>2</v>
      </c>
      <c r="X114" s="570" t="s">
        <v>1000</v>
      </c>
      <c r="Y114" s="570" t="s">
        <v>1003</v>
      </c>
      <c r="Z114" s="570">
        <v>4</v>
      </c>
      <c r="AA114" s="570">
        <v>0</v>
      </c>
      <c r="AB114" s="570">
        <v>0</v>
      </c>
      <c r="AC114" s="570">
        <v>0</v>
      </c>
      <c r="AD114" s="570">
        <v>0</v>
      </c>
      <c r="AE114" s="570" t="s">
        <v>1011</v>
      </c>
      <c r="AF114" s="570">
        <v>22</v>
      </c>
      <c r="AG114" s="570" t="s">
        <v>1012</v>
      </c>
      <c r="AH114" s="570">
        <v>0</v>
      </c>
      <c r="AI114" s="570" t="s">
        <v>1006</v>
      </c>
      <c r="AJ114" s="570">
        <v>20</v>
      </c>
      <c r="AK114" s="570">
        <v>22</v>
      </c>
      <c r="AL114" s="570">
        <v>2</v>
      </c>
      <c r="AM114" s="570">
        <v>0</v>
      </c>
      <c r="AN114" s="570">
        <v>0</v>
      </c>
      <c r="AO114" s="570">
        <v>9</v>
      </c>
      <c r="AP114" s="570" t="s">
        <v>1002</v>
      </c>
      <c r="AQ114" s="570">
        <v>1</v>
      </c>
      <c r="AR114" s="570">
        <v>99</v>
      </c>
      <c r="AS114" s="570">
        <v>99</v>
      </c>
    </row>
    <row r="115" spans="1:45" x14ac:dyDescent="0.35">
      <c r="A115" s="570">
        <v>300405541</v>
      </c>
      <c r="B115" s="570">
        <v>44</v>
      </c>
      <c r="C115" s="570">
        <v>15</v>
      </c>
      <c r="D115" s="570">
        <v>5</v>
      </c>
      <c r="E115" s="570">
        <v>0</v>
      </c>
      <c r="F115" s="570">
        <v>17.190000000000001</v>
      </c>
      <c r="G115" s="570" t="s">
        <v>1000</v>
      </c>
      <c r="H115" s="570">
        <v>2</v>
      </c>
      <c r="I115" s="570">
        <v>0</v>
      </c>
      <c r="J115" s="570">
        <v>0</v>
      </c>
      <c r="K115" s="570">
        <v>0</v>
      </c>
      <c r="L115" s="570">
        <v>0</v>
      </c>
      <c r="M115" s="570">
        <v>0</v>
      </c>
      <c r="N115" s="570" t="s">
        <v>1010</v>
      </c>
      <c r="O115" s="570">
        <v>1</v>
      </c>
      <c r="P115" s="571">
        <v>43537</v>
      </c>
      <c r="Q115" s="570">
        <v>35.086169499999997</v>
      </c>
      <c r="R115" s="570">
        <v>-97.414453699999996</v>
      </c>
      <c r="S115" s="570">
        <v>15.21</v>
      </c>
      <c r="T115" s="570" t="s">
        <v>1002</v>
      </c>
      <c r="U115" s="570" t="s">
        <v>1002</v>
      </c>
      <c r="V115" s="570">
        <v>4</v>
      </c>
      <c r="W115" s="570">
        <v>1</v>
      </c>
      <c r="X115" s="570" t="s">
        <v>1000</v>
      </c>
      <c r="Y115" s="570" t="s">
        <v>1013</v>
      </c>
      <c r="Z115" s="570">
        <v>1</v>
      </c>
      <c r="AA115" s="570">
        <v>0</v>
      </c>
      <c r="AB115" s="570">
        <v>0</v>
      </c>
      <c r="AC115" s="570">
        <v>0</v>
      </c>
      <c r="AD115" s="570">
        <v>0</v>
      </c>
      <c r="AE115" s="570" t="s">
        <v>1011</v>
      </c>
      <c r="AF115" s="570">
        <v>18</v>
      </c>
      <c r="AG115" s="570" t="s">
        <v>1012</v>
      </c>
      <c r="AH115" s="570">
        <v>0</v>
      </c>
      <c r="AI115" s="570" t="s">
        <v>1006</v>
      </c>
      <c r="AJ115" s="570">
        <v>20</v>
      </c>
      <c r="AK115" s="570">
        <v>18</v>
      </c>
      <c r="AL115" s="570">
        <v>1</v>
      </c>
      <c r="AM115" s="570">
        <v>0</v>
      </c>
      <c r="AN115" s="570">
        <v>0</v>
      </c>
      <c r="AO115" s="570">
        <v>9</v>
      </c>
      <c r="AP115" s="570" t="s">
        <v>1008</v>
      </c>
      <c r="AQ115" s="570">
        <v>1</v>
      </c>
      <c r="AR115" s="570">
        <v>99</v>
      </c>
      <c r="AS115" s="570">
        <v>99</v>
      </c>
    </row>
    <row r="116" spans="1:45" x14ac:dyDescent="0.35">
      <c r="A116" s="570">
        <v>300405541</v>
      </c>
      <c r="B116" s="570">
        <v>44</v>
      </c>
      <c r="C116" s="570">
        <v>15</v>
      </c>
      <c r="D116" s="570">
        <v>5</v>
      </c>
      <c r="E116" s="570">
        <v>0</v>
      </c>
      <c r="F116" s="570">
        <v>17.190000000000001</v>
      </c>
      <c r="G116" s="570" t="s">
        <v>1000</v>
      </c>
      <c r="H116" s="570">
        <v>2</v>
      </c>
      <c r="I116" s="570">
        <v>0</v>
      </c>
      <c r="J116" s="570">
        <v>0</v>
      </c>
      <c r="K116" s="570">
        <v>0</v>
      </c>
      <c r="L116" s="570">
        <v>0</v>
      </c>
      <c r="M116" s="570">
        <v>0</v>
      </c>
      <c r="N116" s="570" t="s">
        <v>1010</v>
      </c>
      <c r="O116" s="570">
        <v>1</v>
      </c>
      <c r="P116" s="571">
        <v>43537</v>
      </c>
      <c r="Q116" s="570">
        <v>35.086169499999997</v>
      </c>
      <c r="R116" s="570">
        <v>-97.414453699999996</v>
      </c>
      <c r="S116" s="570">
        <v>15.21</v>
      </c>
      <c r="T116" s="570" t="s">
        <v>1002</v>
      </c>
      <c r="U116" s="570" t="s">
        <v>1002</v>
      </c>
      <c r="V116" s="570">
        <v>4</v>
      </c>
      <c r="W116" s="570">
        <v>1</v>
      </c>
      <c r="X116" s="570" t="s">
        <v>1000</v>
      </c>
      <c r="Y116" s="570" t="s">
        <v>1013</v>
      </c>
      <c r="Z116" s="570">
        <v>1</v>
      </c>
      <c r="AA116" s="570">
        <v>0</v>
      </c>
      <c r="AB116" s="570">
        <v>0</v>
      </c>
      <c r="AC116" s="570">
        <v>0</v>
      </c>
      <c r="AD116" s="570">
        <v>0</v>
      </c>
      <c r="AE116" s="570" t="s">
        <v>1011</v>
      </c>
      <c r="AF116" s="570">
        <v>18</v>
      </c>
      <c r="AG116" s="570" t="s">
        <v>1012</v>
      </c>
      <c r="AH116" s="570">
        <v>0</v>
      </c>
      <c r="AI116" s="570" t="s">
        <v>1006</v>
      </c>
      <c r="AJ116" s="570">
        <v>20</v>
      </c>
      <c r="AK116" s="570">
        <v>18</v>
      </c>
      <c r="AL116" s="570">
        <v>1</v>
      </c>
      <c r="AM116" s="570">
        <v>0</v>
      </c>
      <c r="AN116" s="570">
        <v>0</v>
      </c>
      <c r="AO116" s="570">
        <v>9</v>
      </c>
      <c r="AP116" s="570" t="s">
        <v>1002</v>
      </c>
      <c r="AQ116" s="570"/>
      <c r="AR116" s="570"/>
      <c r="AS116" s="570"/>
    </row>
    <row r="117" spans="1:45" x14ac:dyDescent="0.35">
      <c r="A117" s="570">
        <v>300411862</v>
      </c>
      <c r="B117" s="570">
        <v>44</v>
      </c>
      <c r="C117" s="570">
        <v>15</v>
      </c>
      <c r="D117" s="570">
        <v>5</v>
      </c>
      <c r="E117" s="570">
        <v>0</v>
      </c>
      <c r="F117" s="570">
        <v>17</v>
      </c>
      <c r="G117" s="570" t="s">
        <v>1000</v>
      </c>
      <c r="H117" s="570">
        <v>2</v>
      </c>
      <c r="I117" s="570">
        <v>0</v>
      </c>
      <c r="J117" s="570">
        <v>0</v>
      </c>
      <c r="K117" s="570">
        <v>0</v>
      </c>
      <c r="L117" s="570">
        <v>0</v>
      </c>
      <c r="M117" s="570">
        <v>0</v>
      </c>
      <c r="N117" s="570" t="s">
        <v>1010</v>
      </c>
      <c r="O117" s="570">
        <v>1</v>
      </c>
      <c r="P117" s="571">
        <v>43585</v>
      </c>
      <c r="Q117" s="570">
        <v>35.0840022</v>
      </c>
      <c r="R117" s="570">
        <v>-97.412382100000002</v>
      </c>
      <c r="S117" s="570">
        <v>20.170000000000002</v>
      </c>
      <c r="T117" s="570" t="s">
        <v>1002</v>
      </c>
      <c r="U117" s="570" t="s">
        <v>1002</v>
      </c>
      <c r="V117" s="570">
        <v>3</v>
      </c>
      <c r="W117" s="570">
        <v>2</v>
      </c>
      <c r="X117" s="570" t="s">
        <v>1000</v>
      </c>
      <c r="Y117" s="570" t="s">
        <v>1035</v>
      </c>
      <c r="Z117" s="570">
        <v>4</v>
      </c>
      <c r="AA117" s="570">
        <v>0</v>
      </c>
      <c r="AB117" s="570">
        <v>0</v>
      </c>
      <c r="AC117" s="570">
        <v>0</v>
      </c>
      <c r="AD117" s="570">
        <v>0</v>
      </c>
      <c r="AE117" s="570" t="s">
        <v>1011</v>
      </c>
      <c r="AF117" s="570">
        <v>22</v>
      </c>
      <c r="AG117" s="570" t="s">
        <v>1012</v>
      </c>
      <c r="AH117" s="570">
        <v>0</v>
      </c>
      <c r="AI117" s="570" t="s">
        <v>1006</v>
      </c>
      <c r="AJ117" s="570">
        <v>2</v>
      </c>
      <c r="AK117" s="570">
        <v>22</v>
      </c>
      <c r="AL117" s="570">
        <v>2</v>
      </c>
      <c r="AM117" s="570">
        <v>0</v>
      </c>
      <c r="AN117" s="570">
        <v>34</v>
      </c>
      <c r="AO117" s="570" t="s">
        <v>1007</v>
      </c>
      <c r="AP117" s="570" t="s">
        <v>1008</v>
      </c>
      <c r="AQ117" s="570">
        <v>1</v>
      </c>
      <c r="AR117" s="570">
        <v>1</v>
      </c>
      <c r="AS117" s="570">
        <v>4</v>
      </c>
    </row>
    <row r="118" spans="1:45" x14ac:dyDescent="0.35">
      <c r="A118" s="570">
        <v>300415159</v>
      </c>
      <c r="B118" s="570">
        <v>44</v>
      </c>
      <c r="C118" s="570">
        <v>15</v>
      </c>
      <c r="D118" s="570">
        <v>5</v>
      </c>
      <c r="E118" s="570">
        <v>0</v>
      </c>
      <c r="F118" s="570">
        <v>17.37</v>
      </c>
      <c r="G118" s="570" t="s">
        <v>1000</v>
      </c>
      <c r="H118" s="570">
        <v>2</v>
      </c>
      <c r="I118" s="570">
        <v>0</v>
      </c>
      <c r="J118" s="570">
        <v>0</v>
      </c>
      <c r="K118" s="570">
        <v>0</v>
      </c>
      <c r="L118" s="570">
        <v>0</v>
      </c>
      <c r="M118" s="570">
        <v>0</v>
      </c>
      <c r="N118" s="570" t="s">
        <v>1010</v>
      </c>
      <c r="O118" s="570">
        <v>1</v>
      </c>
      <c r="P118" s="571">
        <v>43606</v>
      </c>
      <c r="Q118" s="570">
        <v>35.088218300000001</v>
      </c>
      <c r="R118" s="570">
        <v>-97.416423100000003</v>
      </c>
      <c r="S118" s="570">
        <v>6.39</v>
      </c>
      <c r="T118" s="570" t="s">
        <v>1002</v>
      </c>
      <c r="U118" s="570" t="s">
        <v>1002</v>
      </c>
      <c r="V118" s="570">
        <v>3</v>
      </c>
      <c r="W118" s="570">
        <v>4</v>
      </c>
      <c r="X118" s="570" t="s">
        <v>1000</v>
      </c>
      <c r="Y118" s="570" t="s">
        <v>1003</v>
      </c>
      <c r="Z118" s="570">
        <v>4</v>
      </c>
      <c r="AA118" s="570">
        <v>0</v>
      </c>
      <c r="AB118" s="570">
        <v>0</v>
      </c>
      <c r="AC118" s="570">
        <v>0</v>
      </c>
      <c r="AD118" s="570">
        <v>0</v>
      </c>
      <c r="AE118" s="570" t="s">
        <v>1011</v>
      </c>
      <c r="AF118" s="570">
        <v>22</v>
      </c>
      <c r="AG118" s="570" t="s">
        <v>1012</v>
      </c>
      <c r="AH118" s="570">
        <v>0</v>
      </c>
      <c r="AI118" s="570" t="s">
        <v>1006</v>
      </c>
      <c r="AJ118" s="570">
        <v>2</v>
      </c>
      <c r="AK118" s="570">
        <v>22</v>
      </c>
      <c r="AL118" s="570">
        <v>2</v>
      </c>
      <c r="AM118" s="570">
        <v>0</v>
      </c>
      <c r="AN118" s="570">
        <v>23</v>
      </c>
      <c r="AO118" s="570" t="s">
        <v>1009</v>
      </c>
      <c r="AP118" s="570" t="s">
        <v>1008</v>
      </c>
      <c r="AQ118" s="570">
        <v>1</v>
      </c>
      <c r="AR118" s="570">
        <v>1</v>
      </c>
      <c r="AS118" s="570">
        <v>4</v>
      </c>
    </row>
    <row r="119" spans="1:45" x14ac:dyDescent="0.35">
      <c r="A119" s="570">
        <v>300415159</v>
      </c>
      <c r="B119" s="570">
        <v>44</v>
      </c>
      <c r="C119" s="570">
        <v>15</v>
      </c>
      <c r="D119" s="570">
        <v>5</v>
      </c>
      <c r="E119" s="570">
        <v>0</v>
      </c>
      <c r="F119" s="570">
        <v>17.37</v>
      </c>
      <c r="G119" s="570" t="s">
        <v>1000</v>
      </c>
      <c r="H119" s="570">
        <v>2</v>
      </c>
      <c r="I119" s="570">
        <v>0</v>
      </c>
      <c r="J119" s="570">
        <v>0</v>
      </c>
      <c r="K119" s="570">
        <v>0</v>
      </c>
      <c r="L119" s="570">
        <v>0</v>
      </c>
      <c r="M119" s="570">
        <v>0</v>
      </c>
      <c r="N119" s="570" t="s">
        <v>1010</v>
      </c>
      <c r="O119" s="570">
        <v>1</v>
      </c>
      <c r="P119" s="571">
        <v>43606</v>
      </c>
      <c r="Q119" s="570">
        <v>35.088218300000001</v>
      </c>
      <c r="R119" s="570">
        <v>-97.416423100000003</v>
      </c>
      <c r="S119" s="570">
        <v>6.39</v>
      </c>
      <c r="T119" s="570" t="s">
        <v>1002</v>
      </c>
      <c r="U119" s="570" t="s">
        <v>1002</v>
      </c>
      <c r="V119" s="570">
        <v>3</v>
      </c>
      <c r="W119" s="570">
        <v>4</v>
      </c>
      <c r="X119" s="570" t="s">
        <v>1000</v>
      </c>
      <c r="Y119" s="570" t="s">
        <v>1003</v>
      </c>
      <c r="Z119" s="570">
        <v>4</v>
      </c>
      <c r="AA119" s="570">
        <v>0</v>
      </c>
      <c r="AB119" s="570">
        <v>0</v>
      </c>
      <c r="AC119" s="570">
        <v>0</v>
      </c>
      <c r="AD119" s="570">
        <v>0</v>
      </c>
      <c r="AE119" s="570" t="s">
        <v>1011</v>
      </c>
      <c r="AF119" s="570">
        <v>22</v>
      </c>
      <c r="AG119" s="570" t="s">
        <v>1012</v>
      </c>
      <c r="AH119" s="570">
        <v>0</v>
      </c>
      <c r="AI119" s="570" t="s">
        <v>1006</v>
      </c>
      <c r="AJ119" s="570">
        <v>2</v>
      </c>
      <c r="AK119" s="570">
        <v>22</v>
      </c>
      <c r="AL119" s="570">
        <v>2</v>
      </c>
      <c r="AM119" s="570">
        <v>0</v>
      </c>
      <c r="AN119" s="570">
        <v>0</v>
      </c>
      <c r="AO119" s="570">
        <v>9</v>
      </c>
      <c r="AP119" s="570" t="s">
        <v>1002</v>
      </c>
      <c r="AQ119" s="570"/>
      <c r="AR119" s="570"/>
      <c r="AS119" s="570"/>
    </row>
    <row r="120" spans="1:45" x14ac:dyDescent="0.35">
      <c r="A120" s="570">
        <v>300416593</v>
      </c>
      <c r="B120" s="570">
        <v>44</v>
      </c>
      <c r="C120" s="570">
        <v>15</v>
      </c>
      <c r="D120" s="570">
        <v>5</v>
      </c>
      <c r="E120" s="570">
        <v>0</v>
      </c>
      <c r="F120" s="570">
        <v>17.329999999999998</v>
      </c>
      <c r="G120" s="570" t="s">
        <v>1000</v>
      </c>
      <c r="H120" s="570">
        <v>2</v>
      </c>
      <c r="I120" s="570">
        <v>0</v>
      </c>
      <c r="J120" s="570">
        <v>0</v>
      </c>
      <c r="K120" s="570">
        <v>0</v>
      </c>
      <c r="L120" s="570">
        <v>0</v>
      </c>
      <c r="M120" s="570">
        <v>0</v>
      </c>
      <c r="N120" s="570" t="s">
        <v>1010</v>
      </c>
      <c r="O120" s="570">
        <v>1</v>
      </c>
      <c r="P120" s="571">
        <v>43613</v>
      </c>
      <c r="Q120" s="570">
        <v>35.0877652</v>
      </c>
      <c r="R120" s="570">
        <v>-97.415982</v>
      </c>
      <c r="S120" s="570">
        <v>13.18</v>
      </c>
      <c r="T120" s="570" t="s">
        <v>1002</v>
      </c>
      <c r="U120" s="570" t="s">
        <v>1002</v>
      </c>
      <c r="V120" s="570">
        <v>3</v>
      </c>
      <c r="W120" s="570">
        <v>1</v>
      </c>
      <c r="X120" s="570" t="s">
        <v>1000</v>
      </c>
      <c r="Y120" s="570" t="s">
        <v>1003</v>
      </c>
      <c r="Z120" s="570">
        <v>1</v>
      </c>
      <c r="AA120" s="570">
        <v>0</v>
      </c>
      <c r="AB120" s="570">
        <v>0</v>
      </c>
      <c r="AC120" s="570">
        <v>0</v>
      </c>
      <c r="AD120" s="570">
        <v>0</v>
      </c>
      <c r="AE120" s="570" t="s">
        <v>1022</v>
      </c>
      <c r="AF120" s="570">
        <v>13</v>
      </c>
      <c r="AG120" s="570" t="s">
        <v>1012</v>
      </c>
      <c r="AH120" s="570">
        <v>0</v>
      </c>
      <c r="AI120" s="570" t="s">
        <v>1006</v>
      </c>
      <c r="AJ120" s="570">
        <v>10</v>
      </c>
      <c r="AK120" s="570">
        <v>13</v>
      </c>
      <c r="AL120" s="570">
        <v>1</v>
      </c>
      <c r="AM120" s="570">
        <v>0</v>
      </c>
      <c r="AN120" s="570">
        <v>47</v>
      </c>
      <c r="AO120" s="570" t="s">
        <v>1009</v>
      </c>
      <c r="AP120" s="570" t="s">
        <v>1008</v>
      </c>
      <c r="AQ120" s="570">
        <v>1</v>
      </c>
      <c r="AR120" s="570">
        <v>1</v>
      </c>
      <c r="AS120" s="570">
        <v>4</v>
      </c>
    </row>
    <row r="121" spans="1:45" x14ac:dyDescent="0.35">
      <c r="A121" s="570">
        <v>300416593</v>
      </c>
      <c r="B121" s="570">
        <v>44</v>
      </c>
      <c r="C121" s="570">
        <v>15</v>
      </c>
      <c r="D121" s="570">
        <v>5</v>
      </c>
      <c r="E121" s="570">
        <v>0</v>
      </c>
      <c r="F121" s="570">
        <v>17.329999999999998</v>
      </c>
      <c r="G121" s="570" t="s">
        <v>1000</v>
      </c>
      <c r="H121" s="570">
        <v>2</v>
      </c>
      <c r="I121" s="570">
        <v>0</v>
      </c>
      <c r="J121" s="570">
        <v>0</v>
      </c>
      <c r="K121" s="570">
        <v>0</v>
      </c>
      <c r="L121" s="570">
        <v>0</v>
      </c>
      <c r="M121" s="570">
        <v>0</v>
      </c>
      <c r="N121" s="570" t="s">
        <v>1010</v>
      </c>
      <c r="O121" s="570">
        <v>1</v>
      </c>
      <c r="P121" s="571">
        <v>43613</v>
      </c>
      <c r="Q121" s="570">
        <v>35.0877652</v>
      </c>
      <c r="R121" s="570">
        <v>-97.415982</v>
      </c>
      <c r="S121" s="570">
        <v>13.18</v>
      </c>
      <c r="T121" s="570" t="s">
        <v>1002</v>
      </c>
      <c r="U121" s="570" t="s">
        <v>1002</v>
      </c>
      <c r="V121" s="570">
        <v>3</v>
      </c>
      <c r="W121" s="570">
        <v>1</v>
      </c>
      <c r="X121" s="570" t="s">
        <v>1000</v>
      </c>
      <c r="Y121" s="570" t="s">
        <v>1003</v>
      </c>
      <c r="Z121" s="570">
        <v>1</v>
      </c>
      <c r="AA121" s="570">
        <v>0</v>
      </c>
      <c r="AB121" s="570">
        <v>0</v>
      </c>
      <c r="AC121" s="570">
        <v>0</v>
      </c>
      <c r="AD121" s="570">
        <v>0</v>
      </c>
      <c r="AE121" s="570" t="s">
        <v>1022</v>
      </c>
      <c r="AF121" s="570">
        <v>13</v>
      </c>
      <c r="AG121" s="570" t="s">
        <v>1012</v>
      </c>
      <c r="AH121" s="570">
        <v>0</v>
      </c>
      <c r="AI121" s="570" t="s">
        <v>1006</v>
      </c>
      <c r="AJ121" s="570">
        <v>10</v>
      </c>
      <c r="AK121" s="570">
        <v>13</v>
      </c>
      <c r="AL121" s="570">
        <v>1</v>
      </c>
      <c r="AM121" s="570">
        <v>0</v>
      </c>
      <c r="AN121" s="570">
        <v>0</v>
      </c>
      <c r="AO121" s="570">
        <v>9</v>
      </c>
      <c r="AP121" s="570" t="s">
        <v>1002</v>
      </c>
      <c r="AQ121" s="570"/>
      <c r="AR121" s="570"/>
      <c r="AS121" s="570"/>
    </row>
    <row r="122" spans="1:45" x14ac:dyDescent="0.35">
      <c r="A122" s="570">
        <v>300417710</v>
      </c>
      <c r="B122" s="570">
        <v>44</v>
      </c>
      <c r="C122" s="570">
        <v>15</v>
      </c>
      <c r="D122" s="570">
        <v>5</v>
      </c>
      <c r="E122" s="570">
        <v>0</v>
      </c>
      <c r="F122" s="570">
        <v>17.309999999999999</v>
      </c>
      <c r="G122" s="570" t="s">
        <v>1000</v>
      </c>
      <c r="H122" s="570">
        <v>2</v>
      </c>
      <c r="I122" s="570">
        <v>0</v>
      </c>
      <c r="J122" s="570">
        <v>0</v>
      </c>
      <c r="K122" s="570">
        <v>0</v>
      </c>
      <c r="L122" s="570">
        <v>0</v>
      </c>
      <c r="M122" s="570">
        <v>0</v>
      </c>
      <c r="N122" s="570" t="s">
        <v>1014</v>
      </c>
      <c r="O122" s="570">
        <v>1</v>
      </c>
      <c r="P122" s="571">
        <v>43612</v>
      </c>
      <c r="Q122" s="570">
        <v>35.087538700000003</v>
      </c>
      <c r="R122" s="570">
        <v>-97.415761500000002</v>
      </c>
      <c r="S122" s="570">
        <v>21.24</v>
      </c>
      <c r="T122" s="570" t="s">
        <v>1002</v>
      </c>
      <c r="U122" s="570" t="s">
        <v>1002</v>
      </c>
      <c r="V122" s="570">
        <v>2</v>
      </c>
      <c r="W122" s="570">
        <v>2</v>
      </c>
      <c r="X122" s="570" t="s">
        <v>1000</v>
      </c>
      <c r="Y122" s="570" t="s">
        <v>1003</v>
      </c>
      <c r="Z122" s="570">
        <v>3</v>
      </c>
      <c r="AA122" s="570">
        <v>0</v>
      </c>
      <c r="AB122" s="570">
        <v>0</v>
      </c>
      <c r="AC122" s="570">
        <v>0</v>
      </c>
      <c r="AD122" s="570">
        <v>0</v>
      </c>
      <c r="AE122" s="570" t="s">
        <v>1004</v>
      </c>
      <c r="AF122" s="570">
        <v>71</v>
      </c>
      <c r="AG122" s="570" t="s">
        <v>1020</v>
      </c>
      <c r="AH122" s="570">
        <v>0</v>
      </c>
      <c r="AI122" s="570" t="s">
        <v>1036</v>
      </c>
      <c r="AJ122" s="570">
        <v>20</v>
      </c>
      <c r="AK122" s="570">
        <v>98</v>
      </c>
      <c r="AL122" s="570">
        <v>1</v>
      </c>
      <c r="AM122" s="570">
        <v>0</v>
      </c>
      <c r="AN122" s="570">
        <v>0</v>
      </c>
      <c r="AO122" s="570"/>
      <c r="AP122" s="570" t="s">
        <v>1002</v>
      </c>
      <c r="AQ122" s="570">
        <v>1</v>
      </c>
      <c r="AR122" s="570">
        <v>99</v>
      </c>
      <c r="AS122" s="570">
        <v>99</v>
      </c>
    </row>
    <row r="123" spans="1:45" x14ac:dyDescent="0.35">
      <c r="A123" s="570">
        <v>300417710</v>
      </c>
      <c r="B123" s="570">
        <v>44</v>
      </c>
      <c r="C123" s="570">
        <v>15</v>
      </c>
      <c r="D123" s="570">
        <v>5</v>
      </c>
      <c r="E123" s="570">
        <v>0</v>
      </c>
      <c r="F123" s="570">
        <v>17.309999999999999</v>
      </c>
      <c r="G123" s="570" t="s">
        <v>1000</v>
      </c>
      <c r="H123" s="570">
        <v>2</v>
      </c>
      <c r="I123" s="570">
        <v>0</v>
      </c>
      <c r="J123" s="570">
        <v>0</v>
      </c>
      <c r="K123" s="570">
        <v>0</v>
      </c>
      <c r="L123" s="570">
        <v>0</v>
      </c>
      <c r="M123" s="570">
        <v>0</v>
      </c>
      <c r="N123" s="570" t="s">
        <v>1014</v>
      </c>
      <c r="O123" s="570">
        <v>1</v>
      </c>
      <c r="P123" s="571">
        <v>43612</v>
      </c>
      <c r="Q123" s="570">
        <v>35.087538700000003</v>
      </c>
      <c r="R123" s="570">
        <v>-97.415761500000002</v>
      </c>
      <c r="S123" s="570">
        <v>21.24</v>
      </c>
      <c r="T123" s="570" t="s">
        <v>1002</v>
      </c>
      <c r="U123" s="570" t="s">
        <v>1002</v>
      </c>
      <c r="V123" s="570">
        <v>2</v>
      </c>
      <c r="W123" s="570">
        <v>2</v>
      </c>
      <c r="X123" s="570" t="s">
        <v>1000</v>
      </c>
      <c r="Y123" s="570" t="s">
        <v>1003</v>
      </c>
      <c r="Z123" s="570">
        <v>3</v>
      </c>
      <c r="AA123" s="570">
        <v>0</v>
      </c>
      <c r="AB123" s="570">
        <v>0</v>
      </c>
      <c r="AC123" s="570">
        <v>0</v>
      </c>
      <c r="AD123" s="570">
        <v>0</v>
      </c>
      <c r="AE123" s="570" t="s">
        <v>1004</v>
      </c>
      <c r="AF123" s="570">
        <v>71</v>
      </c>
      <c r="AG123" s="570" t="s">
        <v>1020</v>
      </c>
      <c r="AH123" s="570">
        <v>0</v>
      </c>
      <c r="AI123" s="570" t="s">
        <v>1036</v>
      </c>
      <c r="AJ123" s="570">
        <v>20</v>
      </c>
      <c r="AK123" s="570">
        <v>98</v>
      </c>
      <c r="AL123" s="570">
        <v>1</v>
      </c>
      <c r="AM123" s="570">
        <v>0</v>
      </c>
      <c r="AN123" s="570">
        <v>0</v>
      </c>
      <c r="AO123" s="570">
        <v>9</v>
      </c>
      <c r="AP123" s="570" t="s">
        <v>1002</v>
      </c>
      <c r="AQ123" s="570"/>
      <c r="AR123" s="570"/>
      <c r="AS123" s="570"/>
    </row>
    <row r="124" spans="1:45" x14ac:dyDescent="0.35">
      <c r="A124" s="570">
        <v>300417710</v>
      </c>
      <c r="B124" s="570">
        <v>44</v>
      </c>
      <c r="C124" s="570">
        <v>15</v>
      </c>
      <c r="D124" s="570">
        <v>5</v>
      </c>
      <c r="E124" s="570">
        <v>0</v>
      </c>
      <c r="F124" s="570">
        <v>17.309999999999999</v>
      </c>
      <c r="G124" s="570" t="s">
        <v>1000</v>
      </c>
      <c r="H124" s="570">
        <v>2</v>
      </c>
      <c r="I124" s="570">
        <v>0</v>
      </c>
      <c r="J124" s="570">
        <v>0</v>
      </c>
      <c r="K124" s="570">
        <v>0</v>
      </c>
      <c r="L124" s="570">
        <v>0</v>
      </c>
      <c r="M124" s="570">
        <v>0</v>
      </c>
      <c r="N124" s="570" t="s">
        <v>1014</v>
      </c>
      <c r="O124" s="570">
        <v>1</v>
      </c>
      <c r="P124" s="571">
        <v>43612</v>
      </c>
      <c r="Q124" s="570">
        <v>35.087538700000003</v>
      </c>
      <c r="R124" s="570">
        <v>-97.415761500000002</v>
      </c>
      <c r="S124" s="570">
        <v>21.24</v>
      </c>
      <c r="T124" s="570" t="s">
        <v>1002</v>
      </c>
      <c r="U124" s="570" t="s">
        <v>1002</v>
      </c>
      <c r="V124" s="570">
        <v>2</v>
      </c>
      <c r="W124" s="570">
        <v>2</v>
      </c>
      <c r="X124" s="570" t="s">
        <v>1000</v>
      </c>
      <c r="Y124" s="570" t="s">
        <v>1003</v>
      </c>
      <c r="Z124" s="570">
        <v>3</v>
      </c>
      <c r="AA124" s="570">
        <v>0</v>
      </c>
      <c r="AB124" s="570">
        <v>0</v>
      </c>
      <c r="AC124" s="570">
        <v>0</v>
      </c>
      <c r="AD124" s="570">
        <v>0</v>
      </c>
      <c r="AE124" s="570" t="s">
        <v>1004</v>
      </c>
      <c r="AF124" s="570">
        <v>71</v>
      </c>
      <c r="AG124" s="570" t="s">
        <v>1020</v>
      </c>
      <c r="AH124" s="570">
        <v>0</v>
      </c>
      <c r="AI124" s="570" t="s">
        <v>1006</v>
      </c>
      <c r="AJ124" s="570">
        <v>8</v>
      </c>
      <c r="AK124" s="570">
        <v>71</v>
      </c>
      <c r="AL124" s="570">
        <v>1</v>
      </c>
      <c r="AM124" s="570">
        <v>0</v>
      </c>
      <c r="AN124" s="570">
        <v>0</v>
      </c>
      <c r="AO124" s="570">
        <v>9</v>
      </c>
      <c r="AP124" s="570" t="s">
        <v>1008</v>
      </c>
      <c r="AQ124" s="570">
        <v>1</v>
      </c>
      <c r="AR124" s="570">
        <v>99</v>
      </c>
      <c r="AS124" s="570">
        <v>99</v>
      </c>
    </row>
    <row r="125" spans="1:45" x14ac:dyDescent="0.35">
      <c r="A125" s="570">
        <v>300417710</v>
      </c>
      <c r="B125" s="570">
        <v>44</v>
      </c>
      <c r="C125" s="570">
        <v>15</v>
      </c>
      <c r="D125" s="570">
        <v>5</v>
      </c>
      <c r="E125" s="570">
        <v>0</v>
      </c>
      <c r="F125" s="570">
        <v>17.309999999999999</v>
      </c>
      <c r="G125" s="570" t="s">
        <v>1000</v>
      </c>
      <c r="H125" s="570">
        <v>2</v>
      </c>
      <c r="I125" s="570">
        <v>0</v>
      </c>
      <c r="J125" s="570">
        <v>0</v>
      </c>
      <c r="K125" s="570">
        <v>0</v>
      </c>
      <c r="L125" s="570">
        <v>0</v>
      </c>
      <c r="M125" s="570">
        <v>0</v>
      </c>
      <c r="N125" s="570" t="s">
        <v>1014</v>
      </c>
      <c r="O125" s="570">
        <v>1</v>
      </c>
      <c r="P125" s="571">
        <v>43612</v>
      </c>
      <c r="Q125" s="570">
        <v>35.087538700000003</v>
      </c>
      <c r="R125" s="570">
        <v>-97.415761500000002</v>
      </c>
      <c r="S125" s="570">
        <v>21.24</v>
      </c>
      <c r="T125" s="570" t="s">
        <v>1002</v>
      </c>
      <c r="U125" s="570" t="s">
        <v>1002</v>
      </c>
      <c r="V125" s="570">
        <v>2</v>
      </c>
      <c r="W125" s="570">
        <v>2</v>
      </c>
      <c r="X125" s="570" t="s">
        <v>1000</v>
      </c>
      <c r="Y125" s="570" t="s">
        <v>1003</v>
      </c>
      <c r="Z125" s="570">
        <v>3</v>
      </c>
      <c r="AA125" s="570">
        <v>0</v>
      </c>
      <c r="AB125" s="570">
        <v>0</v>
      </c>
      <c r="AC125" s="570">
        <v>0</v>
      </c>
      <c r="AD125" s="570">
        <v>0</v>
      </c>
      <c r="AE125" s="570" t="s">
        <v>1004</v>
      </c>
      <c r="AF125" s="570">
        <v>71</v>
      </c>
      <c r="AG125" s="570" t="s">
        <v>1020</v>
      </c>
      <c r="AH125" s="570">
        <v>0</v>
      </c>
      <c r="AI125" s="570" t="s">
        <v>1006</v>
      </c>
      <c r="AJ125" s="570">
        <v>2</v>
      </c>
      <c r="AK125" s="570">
        <v>98</v>
      </c>
      <c r="AL125" s="570">
        <v>1</v>
      </c>
      <c r="AM125" s="570">
        <v>0</v>
      </c>
      <c r="AN125" s="570">
        <v>34</v>
      </c>
      <c r="AO125" s="570" t="s">
        <v>1007</v>
      </c>
      <c r="AP125" s="570" t="s">
        <v>1008</v>
      </c>
      <c r="AQ125" s="570">
        <v>1</v>
      </c>
      <c r="AR125" s="570">
        <v>1</v>
      </c>
      <c r="AS125" s="570">
        <v>4</v>
      </c>
    </row>
    <row r="126" spans="1:45" x14ac:dyDescent="0.35">
      <c r="A126" s="570">
        <v>300417710</v>
      </c>
      <c r="B126" s="570">
        <v>44</v>
      </c>
      <c r="C126" s="570">
        <v>15</v>
      </c>
      <c r="D126" s="570">
        <v>5</v>
      </c>
      <c r="E126" s="570">
        <v>0</v>
      </c>
      <c r="F126" s="570">
        <v>17.309999999999999</v>
      </c>
      <c r="G126" s="570" t="s">
        <v>1000</v>
      </c>
      <c r="H126" s="570">
        <v>2</v>
      </c>
      <c r="I126" s="570">
        <v>0</v>
      </c>
      <c r="J126" s="570">
        <v>0</v>
      </c>
      <c r="K126" s="570">
        <v>0</v>
      </c>
      <c r="L126" s="570">
        <v>0</v>
      </c>
      <c r="M126" s="570">
        <v>0</v>
      </c>
      <c r="N126" s="570" t="s">
        <v>1014</v>
      </c>
      <c r="O126" s="570">
        <v>1</v>
      </c>
      <c r="P126" s="571">
        <v>43612</v>
      </c>
      <c r="Q126" s="570">
        <v>35.087538700000003</v>
      </c>
      <c r="R126" s="570">
        <v>-97.415761500000002</v>
      </c>
      <c r="S126" s="570">
        <v>21.24</v>
      </c>
      <c r="T126" s="570" t="s">
        <v>1002</v>
      </c>
      <c r="U126" s="570" t="s">
        <v>1002</v>
      </c>
      <c r="V126" s="570">
        <v>2</v>
      </c>
      <c r="W126" s="570">
        <v>2</v>
      </c>
      <c r="X126" s="570" t="s">
        <v>1000</v>
      </c>
      <c r="Y126" s="570" t="s">
        <v>1003</v>
      </c>
      <c r="Z126" s="570">
        <v>3</v>
      </c>
      <c r="AA126" s="570">
        <v>0</v>
      </c>
      <c r="AB126" s="570">
        <v>0</v>
      </c>
      <c r="AC126" s="570">
        <v>0</v>
      </c>
      <c r="AD126" s="570">
        <v>0</v>
      </c>
      <c r="AE126" s="570" t="s">
        <v>1004</v>
      </c>
      <c r="AF126" s="570">
        <v>71</v>
      </c>
      <c r="AG126" s="570" t="s">
        <v>1020</v>
      </c>
      <c r="AH126" s="570">
        <v>0</v>
      </c>
      <c r="AI126" s="570" t="s">
        <v>1006</v>
      </c>
      <c r="AJ126" s="570">
        <v>2</v>
      </c>
      <c r="AK126" s="570">
        <v>98</v>
      </c>
      <c r="AL126" s="570">
        <v>1</v>
      </c>
      <c r="AM126" s="570">
        <v>0</v>
      </c>
      <c r="AN126" s="570">
        <v>0</v>
      </c>
      <c r="AO126" s="570">
        <v>9</v>
      </c>
      <c r="AP126" s="570" t="s">
        <v>1002</v>
      </c>
      <c r="AQ126" s="570"/>
      <c r="AR126" s="570"/>
      <c r="AS126" s="570"/>
    </row>
    <row r="127" spans="1:45" x14ac:dyDescent="0.35">
      <c r="A127" s="570">
        <v>300417710</v>
      </c>
      <c r="B127" s="570">
        <v>44</v>
      </c>
      <c r="C127" s="570">
        <v>15</v>
      </c>
      <c r="D127" s="570">
        <v>5</v>
      </c>
      <c r="E127" s="570">
        <v>0</v>
      </c>
      <c r="F127" s="570">
        <v>17.309999999999999</v>
      </c>
      <c r="G127" s="570" t="s">
        <v>1000</v>
      </c>
      <c r="H127" s="570">
        <v>2</v>
      </c>
      <c r="I127" s="570">
        <v>0</v>
      </c>
      <c r="J127" s="570">
        <v>0</v>
      </c>
      <c r="K127" s="570">
        <v>0</v>
      </c>
      <c r="L127" s="570">
        <v>0</v>
      </c>
      <c r="M127" s="570">
        <v>0</v>
      </c>
      <c r="N127" s="570" t="s">
        <v>1014</v>
      </c>
      <c r="O127" s="570">
        <v>1</v>
      </c>
      <c r="P127" s="571">
        <v>43612</v>
      </c>
      <c r="Q127" s="570">
        <v>35.087538700000003</v>
      </c>
      <c r="R127" s="570">
        <v>-97.415761500000002</v>
      </c>
      <c r="S127" s="570">
        <v>21.24</v>
      </c>
      <c r="T127" s="570" t="s">
        <v>1002</v>
      </c>
      <c r="U127" s="570" t="s">
        <v>1002</v>
      </c>
      <c r="V127" s="570">
        <v>2</v>
      </c>
      <c r="W127" s="570">
        <v>2</v>
      </c>
      <c r="X127" s="570" t="s">
        <v>1000</v>
      </c>
      <c r="Y127" s="570" t="s">
        <v>1003</v>
      </c>
      <c r="Z127" s="570">
        <v>3</v>
      </c>
      <c r="AA127" s="570">
        <v>0</v>
      </c>
      <c r="AB127" s="570">
        <v>0</v>
      </c>
      <c r="AC127" s="570">
        <v>0</v>
      </c>
      <c r="AD127" s="570">
        <v>0</v>
      </c>
      <c r="AE127" s="570" t="s">
        <v>1004</v>
      </c>
      <c r="AF127" s="570">
        <v>71</v>
      </c>
      <c r="AG127" s="570" t="s">
        <v>1020</v>
      </c>
      <c r="AH127" s="570">
        <v>0</v>
      </c>
      <c r="AI127" s="570" t="s">
        <v>1006</v>
      </c>
      <c r="AJ127" s="570">
        <v>2</v>
      </c>
      <c r="AK127" s="570">
        <v>98</v>
      </c>
      <c r="AL127" s="570">
        <v>1</v>
      </c>
      <c r="AM127" s="570">
        <v>0</v>
      </c>
      <c r="AN127" s="570">
        <v>0</v>
      </c>
      <c r="AO127" s="570">
        <v>9</v>
      </c>
      <c r="AP127" s="570" t="s">
        <v>1008</v>
      </c>
      <c r="AQ127" s="570">
        <v>1</v>
      </c>
      <c r="AR127" s="570">
        <v>99</v>
      </c>
      <c r="AS127" s="570">
        <v>99</v>
      </c>
    </row>
    <row r="128" spans="1:45" x14ac:dyDescent="0.35">
      <c r="A128" s="570">
        <v>300419925</v>
      </c>
      <c r="B128" s="570">
        <v>44</v>
      </c>
      <c r="C128" s="570">
        <v>15</v>
      </c>
      <c r="D128" s="570">
        <v>5</v>
      </c>
      <c r="E128" s="570">
        <v>0</v>
      </c>
      <c r="F128" s="570">
        <v>17.350000000000001</v>
      </c>
      <c r="G128" s="570" t="s">
        <v>1000</v>
      </c>
      <c r="H128" s="570">
        <v>2</v>
      </c>
      <c r="I128" s="570">
        <v>0</v>
      </c>
      <c r="J128" s="570">
        <v>0</v>
      </c>
      <c r="K128" s="570">
        <v>0</v>
      </c>
      <c r="L128" s="570">
        <v>0</v>
      </c>
      <c r="M128" s="570">
        <v>0</v>
      </c>
      <c r="N128" s="570" t="s">
        <v>1010</v>
      </c>
      <c r="O128" s="570">
        <v>1</v>
      </c>
      <c r="P128" s="571">
        <v>43639</v>
      </c>
      <c r="Q128" s="570">
        <v>35.087991799999998</v>
      </c>
      <c r="R128" s="570">
        <v>-97.416202600000005</v>
      </c>
      <c r="S128" s="570">
        <v>8.3000000000000007</v>
      </c>
      <c r="T128" s="570" t="s">
        <v>1002</v>
      </c>
      <c r="U128" s="570" t="s">
        <v>1002</v>
      </c>
      <c r="V128" s="570">
        <v>1</v>
      </c>
      <c r="W128" s="570">
        <v>1</v>
      </c>
      <c r="X128" s="570" t="s">
        <v>1000</v>
      </c>
      <c r="Y128" s="570" t="s">
        <v>1003</v>
      </c>
      <c r="Z128" s="570">
        <v>4</v>
      </c>
      <c r="AA128" s="570">
        <v>0</v>
      </c>
      <c r="AB128" s="570">
        <v>0</v>
      </c>
      <c r="AC128" s="570">
        <v>0</v>
      </c>
      <c r="AD128" s="570">
        <v>0</v>
      </c>
      <c r="AE128" s="570" t="s">
        <v>1011</v>
      </c>
      <c r="AF128" s="570">
        <v>22</v>
      </c>
      <c r="AG128" s="570" t="s">
        <v>1012</v>
      </c>
      <c r="AH128" s="570">
        <v>0</v>
      </c>
      <c r="AI128" s="570" t="s">
        <v>1006</v>
      </c>
      <c r="AJ128" s="570">
        <v>2</v>
      </c>
      <c r="AK128" s="570">
        <v>22</v>
      </c>
      <c r="AL128" s="570">
        <v>2</v>
      </c>
      <c r="AM128" s="570">
        <v>0</v>
      </c>
      <c r="AN128" s="570">
        <v>62</v>
      </c>
      <c r="AO128" s="570" t="s">
        <v>1009</v>
      </c>
      <c r="AP128" s="570" t="s">
        <v>1008</v>
      </c>
      <c r="AQ128" s="570">
        <v>1</v>
      </c>
      <c r="AR128" s="570">
        <v>1</v>
      </c>
      <c r="AS128" s="570">
        <v>4</v>
      </c>
    </row>
    <row r="129" spans="1:45" x14ac:dyDescent="0.35">
      <c r="A129" s="570">
        <v>300419925</v>
      </c>
      <c r="B129" s="570">
        <v>44</v>
      </c>
      <c r="C129" s="570">
        <v>15</v>
      </c>
      <c r="D129" s="570">
        <v>5</v>
      </c>
      <c r="E129" s="570">
        <v>0</v>
      </c>
      <c r="F129" s="570">
        <v>17.350000000000001</v>
      </c>
      <c r="G129" s="570" t="s">
        <v>1000</v>
      </c>
      <c r="H129" s="570">
        <v>2</v>
      </c>
      <c r="I129" s="570">
        <v>0</v>
      </c>
      <c r="J129" s="570">
        <v>0</v>
      </c>
      <c r="K129" s="570">
        <v>0</v>
      </c>
      <c r="L129" s="570">
        <v>0</v>
      </c>
      <c r="M129" s="570">
        <v>0</v>
      </c>
      <c r="N129" s="570" t="s">
        <v>1010</v>
      </c>
      <c r="O129" s="570">
        <v>1</v>
      </c>
      <c r="P129" s="571">
        <v>43639</v>
      </c>
      <c r="Q129" s="570">
        <v>35.087991799999998</v>
      </c>
      <c r="R129" s="570">
        <v>-97.416202600000005</v>
      </c>
      <c r="S129" s="570">
        <v>8.3000000000000007</v>
      </c>
      <c r="T129" s="570" t="s">
        <v>1002</v>
      </c>
      <c r="U129" s="570" t="s">
        <v>1002</v>
      </c>
      <c r="V129" s="570">
        <v>1</v>
      </c>
      <c r="W129" s="570">
        <v>1</v>
      </c>
      <c r="X129" s="570" t="s">
        <v>1000</v>
      </c>
      <c r="Y129" s="570" t="s">
        <v>1003</v>
      </c>
      <c r="Z129" s="570">
        <v>4</v>
      </c>
      <c r="AA129" s="570">
        <v>0</v>
      </c>
      <c r="AB129" s="570">
        <v>0</v>
      </c>
      <c r="AC129" s="570">
        <v>0</v>
      </c>
      <c r="AD129" s="570">
        <v>0</v>
      </c>
      <c r="AE129" s="570" t="s">
        <v>1011</v>
      </c>
      <c r="AF129" s="570">
        <v>22</v>
      </c>
      <c r="AG129" s="570" t="s">
        <v>1012</v>
      </c>
      <c r="AH129" s="570">
        <v>0</v>
      </c>
      <c r="AI129" s="570" t="s">
        <v>1006</v>
      </c>
      <c r="AJ129" s="570">
        <v>2</v>
      </c>
      <c r="AK129" s="570">
        <v>22</v>
      </c>
      <c r="AL129" s="570">
        <v>2</v>
      </c>
      <c r="AM129" s="570">
        <v>0</v>
      </c>
      <c r="AN129" s="570">
        <v>0</v>
      </c>
      <c r="AO129" s="570">
        <v>9</v>
      </c>
      <c r="AP129" s="570" t="s">
        <v>1002</v>
      </c>
      <c r="AQ129" s="570"/>
      <c r="AR129" s="570"/>
      <c r="AS129" s="570"/>
    </row>
    <row r="130" spans="1:45" x14ac:dyDescent="0.35">
      <c r="A130" s="570">
        <v>300420992</v>
      </c>
      <c r="B130" s="570">
        <v>44</v>
      </c>
      <c r="C130" s="570">
        <v>15</v>
      </c>
      <c r="D130" s="570">
        <v>5</v>
      </c>
      <c r="E130" s="570">
        <v>0</v>
      </c>
      <c r="F130" s="570">
        <v>17.809999999999999</v>
      </c>
      <c r="G130" s="570" t="s">
        <v>1000</v>
      </c>
      <c r="H130" s="570">
        <v>2</v>
      </c>
      <c r="I130" s="570">
        <v>0</v>
      </c>
      <c r="J130" s="570">
        <v>0</v>
      </c>
      <c r="K130" s="570">
        <v>0</v>
      </c>
      <c r="L130" s="570">
        <v>0</v>
      </c>
      <c r="M130" s="570">
        <v>0</v>
      </c>
      <c r="N130" s="570" t="s">
        <v>1014</v>
      </c>
      <c r="O130" s="570">
        <v>1</v>
      </c>
      <c r="P130" s="571">
        <v>43648</v>
      </c>
      <c r="Q130" s="570">
        <v>35.093249499999999</v>
      </c>
      <c r="R130" s="570">
        <v>-97.421201400000001</v>
      </c>
      <c r="S130" s="570">
        <v>7.03</v>
      </c>
      <c r="T130" s="570" t="s">
        <v>1002</v>
      </c>
      <c r="U130" s="570" t="s">
        <v>1002</v>
      </c>
      <c r="V130" s="570">
        <v>3</v>
      </c>
      <c r="W130" s="570">
        <v>1</v>
      </c>
      <c r="X130" s="570" t="s">
        <v>1000</v>
      </c>
      <c r="Y130" s="570" t="s">
        <v>1003</v>
      </c>
      <c r="Z130" s="570">
        <v>4</v>
      </c>
      <c r="AA130" s="570">
        <v>0</v>
      </c>
      <c r="AB130" s="570">
        <v>0</v>
      </c>
      <c r="AC130" s="570">
        <v>0</v>
      </c>
      <c r="AD130" s="570">
        <v>0</v>
      </c>
      <c r="AE130" s="570" t="s">
        <v>1011</v>
      </c>
      <c r="AF130" s="570">
        <v>22</v>
      </c>
      <c r="AG130" s="570" t="s">
        <v>1020</v>
      </c>
      <c r="AH130" s="570">
        <v>0</v>
      </c>
      <c r="AI130" s="570" t="s">
        <v>1006</v>
      </c>
      <c r="AJ130" s="570">
        <v>2</v>
      </c>
      <c r="AK130" s="570">
        <v>22</v>
      </c>
      <c r="AL130" s="570">
        <v>2</v>
      </c>
      <c r="AM130" s="570">
        <v>0</v>
      </c>
      <c r="AN130" s="570">
        <v>26</v>
      </c>
      <c r="AO130" s="570" t="s">
        <v>1007</v>
      </c>
      <c r="AP130" s="570" t="s">
        <v>1008</v>
      </c>
      <c r="AQ130" s="570">
        <v>1</v>
      </c>
      <c r="AR130" s="570">
        <v>1</v>
      </c>
      <c r="AS130" s="570">
        <v>4</v>
      </c>
    </row>
    <row r="131" spans="1:45" x14ac:dyDescent="0.35">
      <c r="A131" s="570">
        <v>300420992</v>
      </c>
      <c r="B131" s="570">
        <v>44</v>
      </c>
      <c r="C131" s="570">
        <v>15</v>
      </c>
      <c r="D131" s="570">
        <v>5</v>
      </c>
      <c r="E131" s="570">
        <v>0</v>
      </c>
      <c r="F131" s="570">
        <v>17.809999999999999</v>
      </c>
      <c r="G131" s="570" t="s">
        <v>1000</v>
      </c>
      <c r="H131" s="570">
        <v>2</v>
      </c>
      <c r="I131" s="570">
        <v>0</v>
      </c>
      <c r="J131" s="570">
        <v>0</v>
      </c>
      <c r="K131" s="570">
        <v>0</v>
      </c>
      <c r="L131" s="570">
        <v>0</v>
      </c>
      <c r="M131" s="570">
        <v>0</v>
      </c>
      <c r="N131" s="570" t="s">
        <v>1014</v>
      </c>
      <c r="O131" s="570">
        <v>1</v>
      </c>
      <c r="P131" s="571">
        <v>43648</v>
      </c>
      <c r="Q131" s="570">
        <v>35.093249499999999</v>
      </c>
      <c r="R131" s="570">
        <v>-97.421201400000001</v>
      </c>
      <c r="S131" s="570">
        <v>7.03</v>
      </c>
      <c r="T131" s="570" t="s">
        <v>1002</v>
      </c>
      <c r="U131" s="570" t="s">
        <v>1002</v>
      </c>
      <c r="V131" s="570">
        <v>3</v>
      </c>
      <c r="W131" s="570">
        <v>1</v>
      </c>
      <c r="X131" s="570" t="s">
        <v>1000</v>
      </c>
      <c r="Y131" s="570" t="s">
        <v>1003</v>
      </c>
      <c r="Z131" s="570">
        <v>4</v>
      </c>
      <c r="AA131" s="570">
        <v>0</v>
      </c>
      <c r="AB131" s="570">
        <v>0</v>
      </c>
      <c r="AC131" s="570">
        <v>0</v>
      </c>
      <c r="AD131" s="570">
        <v>0</v>
      </c>
      <c r="AE131" s="570" t="s">
        <v>1011</v>
      </c>
      <c r="AF131" s="570">
        <v>22</v>
      </c>
      <c r="AG131" s="570" t="s">
        <v>1020</v>
      </c>
      <c r="AH131" s="570">
        <v>0</v>
      </c>
      <c r="AI131" s="570" t="s">
        <v>1006</v>
      </c>
      <c r="AJ131" s="570">
        <v>2</v>
      </c>
      <c r="AK131" s="570">
        <v>22</v>
      </c>
      <c r="AL131" s="570">
        <v>2</v>
      </c>
      <c r="AM131" s="570">
        <v>0</v>
      </c>
      <c r="AN131" s="570">
        <v>0</v>
      </c>
      <c r="AO131" s="570">
        <v>9</v>
      </c>
      <c r="AP131" s="570" t="s">
        <v>1002</v>
      </c>
      <c r="AQ131" s="570"/>
      <c r="AR131" s="570"/>
      <c r="AS131" s="570"/>
    </row>
    <row r="132" spans="1:45" x14ac:dyDescent="0.35">
      <c r="A132" s="570">
        <v>300420992</v>
      </c>
      <c r="B132" s="570">
        <v>44</v>
      </c>
      <c r="C132" s="570">
        <v>15</v>
      </c>
      <c r="D132" s="570">
        <v>5</v>
      </c>
      <c r="E132" s="570">
        <v>0</v>
      </c>
      <c r="F132" s="570">
        <v>17.809999999999999</v>
      </c>
      <c r="G132" s="570" t="s">
        <v>1000</v>
      </c>
      <c r="H132" s="570">
        <v>2</v>
      </c>
      <c r="I132" s="570">
        <v>0</v>
      </c>
      <c r="J132" s="570">
        <v>0</v>
      </c>
      <c r="K132" s="570">
        <v>0</v>
      </c>
      <c r="L132" s="570">
        <v>0</v>
      </c>
      <c r="M132" s="570">
        <v>0</v>
      </c>
      <c r="N132" s="570" t="s">
        <v>1014</v>
      </c>
      <c r="O132" s="570">
        <v>1</v>
      </c>
      <c r="P132" s="571">
        <v>43648</v>
      </c>
      <c r="Q132" s="570">
        <v>35.093249499999999</v>
      </c>
      <c r="R132" s="570">
        <v>-97.421201400000001</v>
      </c>
      <c r="S132" s="570">
        <v>7.03</v>
      </c>
      <c r="T132" s="570" t="s">
        <v>1002</v>
      </c>
      <c r="U132" s="570" t="s">
        <v>1002</v>
      </c>
      <c r="V132" s="570">
        <v>3</v>
      </c>
      <c r="W132" s="570">
        <v>1</v>
      </c>
      <c r="X132" s="570" t="s">
        <v>1000</v>
      </c>
      <c r="Y132" s="570" t="s">
        <v>1003</v>
      </c>
      <c r="Z132" s="570">
        <v>4</v>
      </c>
      <c r="AA132" s="570">
        <v>0</v>
      </c>
      <c r="AB132" s="570">
        <v>0</v>
      </c>
      <c r="AC132" s="570">
        <v>0</v>
      </c>
      <c r="AD132" s="570">
        <v>0</v>
      </c>
      <c r="AE132" s="570" t="s">
        <v>1011</v>
      </c>
      <c r="AF132" s="570">
        <v>22</v>
      </c>
      <c r="AG132" s="570" t="s">
        <v>1020</v>
      </c>
      <c r="AH132" s="570">
        <v>0</v>
      </c>
      <c r="AI132" s="570" t="s">
        <v>1006</v>
      </c>
      <c r="AJ132" s="570">
        <v>2</v>
      </c>
      <c r="AK132" s="570">
        <v>22</v>
      </c>
      <c r="AL132" s="570">
        <v>2</v>
      </c>
      <c r="AM132" s="570">
        <v>0</v>
      </c>
      <c r="AN132" s="570">
        <v>44</v>
      </c>
      <c r="AO132" s="570" t="s">
        <v>1007</v>
      </c>
      <c r="AP132" s="570" t="s">
        <v>1008</v>
      </c>
      <c r="AQ132" s="570">
        <v>1</v>
      </c>
      <c r="AR132" s="570">
        <v>1</v>
      </c>
      <c r="AS132" s="570">
        <v>4</v>
      </c>
    </row>
    <row r="133" spans="1:45" x14ac:dyDescent="0.35">
      <c r="A133" s="570">
        <v>300420992</v>
      </c>
      <c r="B133" s="570">
        <v>44</v>
      </c>
      <c r="C133" s="570">
        <v>15</v>
      </c>
      <c r="D133" s="570">
        <v>5</v>
      </c>
      <c r="E133" s="570">
        <v>0</v>
      </c>
      <c r="F133" s="570">
        <v>17.809999999999999</v>
      </c>
      <c r="G133" s="570" t="s">
        <v>1000</v>
      </c>
      <c r="H133" s="570">
        <v>2</v>
      </c>
      <c r="I133" s="570">
        <v>0</v>
      </c>
      <c r="J133" s="570">
        <v>0</v>
      </c>
      <c r="K133" s="570">
        <v>0</v>
      </c>
      <c r="L133" s="570">
        <v>0</v>
      </c>
      <c r="M133" s="570">
        <v>0</v>
      </c>
      <c r="N133" s="570" t="s">
        <v>1014</v>
      </c>
      <c r="O133" s="570">
        <v>1</v>
      </c>
      <c r="P133" s="571">
        <v>43648</v>
      </c>
      <c r="Q133" s="570">
        <v>35.093249499999999</v>
      </c>
      <c r="R133" s="570">
        <v>-97.421201400000001</v>
      </c>
      <c r="S133" s="570">
        <v>7.03</v>
      </c>
      <c r="T133" s="570" t="s">
        <v>1002</v>
      </c>
      <c r="U133" s="570" t="s">
        <v>1002</v>
      </c>
      <c r="V133" s="570">
        <v>3</v>
      </c>
      <c r="W133" s="570">
        <v>1</v>
      </c>
      <c r="X133" s="570" t="s">
        <v>1000</v>
      </c>
      <c r="Y133" s="570" t="s">
        <v>1003</v>
      </c>
      <c r="Z133" s="570">
        <v>4</v>
      </c>
      <c r="AA133" s="570">
        <v>0</v>
      </c>
      <c r="AB133" s="570">
        <v>0</v>
      </c>
      <c r="AC133" s="570">
        <v>0</v>
      </c>
      <c r="AD133" s="570">
        <v>0</v>
      </c>
      <c r="AE133" s="570" t="s">
        <v>1011</v>
      </c>
      <c r="AF133" s="570">
        <v>22</v>
      </c>
      <c r="AG133" s="570" t="s">
        <v>1020</v>
      </c>
      <c r="AH133" s="570">
        <v>0</v>
      </c>
      <c r="AI133" s="570" t="s">
        <v>1006</v>
      </c>
      <c r="AJ133" s="570">
        <v>2</v>
      </c>
      <c r="AK133" s="570">
        <v>22</v>
      </c>
      <c r="AL133" s="570">
        <v>2</v>
      </c>
      <c r="AM133" s="570">
        <v>0</v>
      </c>
      <c r="AN133" s="570">
        <v>0</v>
      </c>
      <c r="AO133" s="570">
        <v>9</v>
      </c>
      <c r="AP133" s="570" t="s">
        <v>1002</v>
      </c>
      <c r="AQ133" s="570"/>
      <c r="AR133" s="570"/>
      <c r="AS133" s="570"/>
    </row>
    <row r="134" spans="1:45" x14ac:dyDescent="0.35">
      <c r="A134" s="570">
        <v>300422942</v>
      </c>
      <c r="B134" s="570">
        <v>44</v>
      </c>
      <c r="C134" s="570">
        <v>15</v>
      </c>
      <c r="D134" s="570">
        <v>5</v>
      </c>
      <c r="E134" s="570">
        <v>0</v>
      </c>
      <c r="F134" s="570">
        <v>17.13</v>
      </c>
      <c r="G134" s="570" t="s">
        <v>1000</v>
      </c>
      <c r="H134" s="570">
        <v>2</v>
      </c>
      <c r="I134" s="570">
        <v>0</v>
      </c>
      <c r="J134" s="570">
        <v>0</v>
      </c>
      <c r="K134" s="570">
        <v>0</v>
      </c>
      <c r="L134" s="570">
        <v>0</v>
      </c>
      <c r="M134" s="570">
        <v>0</v>
      </c>
      <c r="N134" s="570" t="s">
        <v>1018</v>
      </c>
      <c r="O134" s="570">
        <v>1</v>
      </c>
      <c r="P134" s="571">
        <v>43659</v>
      </c>
      <c r="Q134" s="570">
        <v>35.085484299999997</v>
      </c>
      <c r="R134" s="570">
        <v>-97.413800800000004</v>
      </c>
      <c r="S134" s="570">
        <v>4.32</v>
      </c>
      <c r="T134" s="570" t="s">
        <v>1002</v>
      </c>
      <c r="U134" s="570" t="s">
        <v>1002</v>
      </c>
      <c r="V134" s="570">
        <v>7</v>
      </c>
      <c r="W134" s="570">
        <v>2</v>
      </c>
      <c r="X134" s="570" t="s">
        <v>1000</v>
      </c>
      <c r="Y134" s="570" t="s">
        <v>1013</v>
      </c>
      <c r="Z134" s="570">
        <v>1</v>
      </c>
      <c r="AA134" s="570">
        <v>0</v>
      </c>
      <c r="AB134" s="570">
        <v>0</v>
      </c>
      <c r="AC134" s="570">
        <v>0</v>
      </c>
      <c r="AD134" s="570">
        <v>0</v>
      </c>
      <c r="AE134" s="570" t="s">
        <v>1029</v>
      </c>
      <c r="AF134" s="570">
        <v>86</v>
      </c>
      <c r="AG134" s="570" t="s">
        <v>1020</v>
      </c>
      <c r="AH134" s="570">
        <v>0</v>
      </c>
      <c r="AI134" s="570" t="s">
        <v>1006</v>
      </c>
      <c r="AJ134" s="570">
        <v>10</v>
      </c>
      <c r="AK134" s="570">
        <v>86</v>
      </c>
      <c r="AL134" s="570">
        <v>1</v>
      </c>
      <c r="AM134" s="570">
        <v>0</v>
      </c>
      <c r="AN134" s="570">
        <v>51</v>
      </c>
      <c r="AO134" s="570" t="s">
        <v>1009</v>
      </c>
      <c r="AP134" s="570" t="s">
        <v>1008</v>
      </c>
      <c r="AQ134" s="570">
        <v>1</v>
      </c>
      <c r="AR134" s="570">
        <v>7</v>
      </c>
      <c r="AS134" s="570">
        <v>4</v>
      </c>
    </row>
    <row r="135" spans="1:45" x14ac:dyDescent="0.35">
      <c r="A135" s="570">
        <v>300422942</v>
      </c>
      <c r="B135" s="570">
        <v>44</v>
      </c>
      <c r="C135" s="570">
        <v>15</v>
      </c>
      <c r="D135" s="570">
        <v>5</v>
      </c>
      <c r="E135" s="570">
        <v>0</v>
      </c>
      <c r="F135" s="570">
        <v>17.13</v>
      </c>
      <c r="G135" s="570" t="s">
        <v>1000</v>
      </c>
      <c r="H135" s="570">
        <v>2</v>
      </c>
      <c r="I135" s="570">
        <v>0</v>
      </c>
      <c r="J135" s="570">
        <v>0</v>
      </c>
      <c r="K135" s="570">
        <v>0</v>
      </c>
      <c r="L135" s="570">
        <v>0</v>
      </c>
      <c r="M135" s="570">
        <v>0</v>
      </c>
      <c r="N135" s="570" t="s">
        <v>1018</v>
      </c>
      <c r="O135" s="570">
        <v>1</v>
      </c>
      <c r="P135" s="571">
        <v>43659</v>
      </c>
      <c r="Q135" s="570">
        <v>35.085484299999997</v>
      </c>
      <c r="R135" s="570">
        <v>-97.413800800000004</v>
      </c>
      <c r="S135" s="570">
        <v>4.32</v>
      </c>
      <c r="T135" s="570" t="s">
        <v>1002</v>
      </c>
      <c r="U135" s="570" t="s">
        <v>1002</v>
      </c>
      <c r="V135" s="570">
        <v>7</v>
      </c>
      <c r="W135" s="570">
        <v>2</v>
      </c>
      <c r="X135" s="570" t="s">
        <v>1000</v>
      </c>
      <c r="Y135" s="570" t="s">
        <v>1013</v>
      </c>
      <c r="Z135" s="570">
        <v>1</v>
      </c>
      <c r="AA135" s="570">
        <v>0</v>
      </c>
      <c r="AB135" s="570">
        <v>0</v>
      </c>
      <c r="AC135" s="570">
        <v>0</v>
      </c>
      <c r="AD135" s="570">
        <v>0</v>
      </c>
      <c r="AE135" s="570" t="s">
        <v>1029</v>
      </c>
      <c r="AF135" s="570">
        <v>86</v>
      </c>
      <c r="AG135" s="570" t="s">
        <v>1020</v>
      </c>
      <c r="AH135" s="570">
        <v>0</v>
      </c>
      <c r="AI135" s="570" t="s">
        <v>1006</v>
      </c>
      <c r="AJ135" s="570">
        <v>10</v>
      </c>
      <c r="AK135" s="570">
        <v>86</v>
      </c>
      <c r="AL135" s="570">
        <v>1</v>
      </c>
      <c r="AM135" s="570">
        <v>0</v>
      </c>
      <c r="AN135" s="570">
        <v>0</v>
      </c>
      <c r="AO135" s="570">
        <v>9</v>
      </c>
      <c r="AP135" s="570" t="s">
        <v>1002</v>
      </c>
      <c r="AQ135" s="570"/>
      <c r="AR135" s="570"/>
      <c r="AS135" s="570"/>
    </row>
    <row r="136" spans="1:45" x14ac:dyDescent="0.35">
      <c r="A136" s="570">
        <v>300423853</v>
      </c>
      <c r="B136" s="570">
        <v>44</v>
      </c>
      <c r="C136" s="570">
        <v>15</v>
      </c>
      <c r="D136" s="570">
        <v>5</v>
      </c>
      <c r="E136" s="570">
        <v>0</v>
      </c>
      <c r="F136" s="570">
        <v>17.100000000000001</v>
      </c>
      <c r="G136" s="570" t="s">
        <v>1000</v>
      </c>
      <c r="H136" s="570">
        <v>2</v>
      </c>
      <c r="I136" s="570">
        <v>0</v>
      </c>
      <c r="J136" s="570">
        <v>5</v>
      </c>
      <c r="K136" s="570">
        <v>0</v>
      </c>
      <c r="L136" s="570">
        <v>0</v>
      </c>
      <c r="M136" s="570">
        <v>0</v>
      </c>
      <c r="N136" s="570" t="s">
        <v>1001</v>
      </c>
      <c r="O136" s="570">
        <v>1</v>
      </c>
      <c r="P136" s="571">
        <v>43657</v>
      </c>
      <c r="Q136" s="570">
        <v>35.085142300000001</v>
      </c>
      <c r="R136" s="570">
        <v>-97.413473400000001</v>
      </c>
      <c r="S136" s="570">
        <v>11.36</v>
      </c>
      <c r="T136" s="570" t="s">
        <v>1002</v>
      </c>
      <c r="U136" s="570" t="s">
        <v>1002</v>
      </c>
      <c r="V136" s="570">
        <v>5</v>
      </c>
      <c r="W136" s="570">
        <v>1</v>
      </c>
      <c r="X136" s="570" t="s">
        <v>1000</v>
      </c>
      <c r="Y136" s="570" t="s">
        <v>1037</v>
      </c>
      <c r="Z136" s="570">
        <v>1</v>
      </c>
      <c r="AA136" s="570">
        <v>0</v>
      </c>
      <c r="AB136" s="570">
        <v>0</v>
      </c>
      <c r="AC136" s="570">
        <v>0</v>
      </c>
      <c r="AD136" s="570">
        <v>0</v>
      </c>
      <c r="AE136" s="570" t="s">
        <v>1022</v>
      </c>
      <c r="AF136" s="570">
        <v>14</v>
      </c>
      <c r="AG136" s="570" t="s">
        <v>1005</v>
      </c>
      <c r="AH136" s="570">
        <v>0</v>
      </c>
      <c r="AI136" s="570" t="s">
        <v>1006</v>
      </c>
      <c r="AJ136" s="570">
        <v>10</v>
      </c>
      <c r="AK136" s="570">
        <v>14</v>
      </c>
      <c r="AL136" s="570">
        <v>1</v>
      </c>
      <c r="AM136" s="570">
        <v>6</v>
      </c>
      <c r="AN136" s="570">
        <v>29</v>
      </c>
      <c r="AO136" s="570" t="s">
        <v>1009</v>
      </c>
      <c r="AP136" s="570" t="s">
        <v>1008</v>
      </c>
      <c r="AQ136" s="570">
        <v>1</v>
      </c>
      <c r="AR136" s="570">
        <v>1</v>
      </c>
      <c r="AS136" s="570">
        <v>4</v>
      </c>
    </row>
    <row r="137" spans="1:45" x14ac:dyDescent="0.35">
      <c r="A137" s="570">
        <v>300423853</v>
      </c>
      <c r="B137" s="570">
        <v>44</v>
      </c>
      <c r="C137" s="570">
        <v>15</v>
      </c>
      <c r="D137" s="570">
        <v>5</v>
      </c>
      <c r="E137" s="570">
        <v>0</v>
      </c>
      <c r="F137" s="570">
        <v>17.100000000000001</v>
      </c>
      <c r="G137" s="570" t="s">
        <v>1000</v>
      </c>
      <c r="H137" s="570">
        <v>2</v>
      </c>
      <c r="I137" s="570">
        <v>0</v>
      </c>
      <c r="J137" s="570">
        <v>5</v>
      </c>
      <c r="K137" s="570">
        <v>0</v>
      </c>
      <c r="L137" s="570">
        <v>0</v>
      </c>
      <c r="M137" s="570">
        <v>0</v>
      </c>
      <c r="N137" s="570" t="s">
        <v>1001</v>
      </c>
      <c r="O137" s="570">
        <v>1</v>
      </c>
      <c r="P137" s="571">
        <v>43657</v>
      </c>
      <c r="Q137" s="570">
        <v>35.085142300000001</v>
      </c>
      <c r="R137" s="570">
        <v>-97.413473400000001</v>
      </c>
      <c r="S137" s="570">
        <v>11.36</v>
      </c>
      <c r="T137" s="570" t="s">
        <v>1002</v>
      </c>
      <c r="U137" s="570" t="s">
        <v>1002</v>
      </c>
      <c r="V137" s="570">
        <v>5</v>
      </c>
      <c r="W137" s="570">
        <v>1</v>
      </c>
      <c r="X137" s="570" t="s">
        <v>1000</v>
      </c>
      <c r="Y137" s="570" t="s">
        <v>1037</v>
      </c>
      <c r="Z137" s="570">
        <v>1</v>
      </c>
      <c r="AA137" s="570">
        <v>0</v>
      </c>
      <c r="AB137" s="570">
        <v>0</v>
      </c>
      <c r="AC137" s="570">
        <v>0</v>
      </c>
      <c r="AD137" s="570">
        <v>0</v>
      </c>
      <c r="AE137" s="570" t="s">
        <v>1022</v>
      </c>
      <c r="AF137" s="570">
        <v>14</v>
      </c>
      <c r="AG137" s="570" t="s">
        <v>1005</v>
      </c>
      <c r="AH137" s="570">
        <v>0</v>
      </c>
      <c r="AI137" s="570" t="s">
        <v>1006</v>
      </c>
      <c r="AJ137" s="570">
        <v>10</v>
      </c>
      <c r="AK137" s="570">
        <v>14</v>
      </c>
      <c r="AL137" s="570">
        <v>1</v>
      </c>
      <c r="AM137" s="570">
        <v>6</v>
      </c>
      <c r="AN137" s="570">
        <v>0</v>
      </c>
      <c r="AO137" s="570">
        <v>9</v>
      </c>
      <c r="AP137" s="570" t="s">
        <v>1002</v>
      </c>
      <c r="AQ137" s="570"/>
      <c r="AR137" s="570"/>
      <c r="AS137" s="570"/>
    </row>
    <row r="138" spans="1:45" x14ac:dyDescent="0.35">
      <c r="A138" s="570">
        <v>300423853</v>
      </c>
      <c r="B138" s="570">
        <v>44</v>
      </c>
      <c r="C138" s="570">
        <v>15</v>
      </c>
      <c r="D138" s="570">
        <v>5</v>
      </c>
      <c r="E138" s="570">
        <v>0</v>
      </c>
      <c r="F138" s="570">
        <v>17.100000000000001</v>
      </c>
      <c r="G138" s="570" t="s">
        <v>1000</v>
      </c>
      <c r="H138" s="570">
        <v>2</v>
      </c>
      <c r="I138" s="570">
        <v>0</v>
      </c>
      <c r="J138" s="570">
        <v>5</v>
      </c>
      <c r="K138" s="570">
        <v>0</v>
      </c>
      <c r="L138" s="570">
        <v>0</v>
      </c>
      <c r="M138" s="570">
        <v>0</v>
      </c>
      <c r="N138" s="570" t="s">
        <v>1001</v>
      </c>
      <c r="O138" s="570">
        <v>1</v>
      </c>
      <c r="P138" s="571">
        <v>43657</v>
      </c>
      <c r="Q138" s="570">
        <v>35.085142300000001</v>
      </c>
      <c r="R138" s="570">
        <v>-97.413473400000001</v>
      </c>
      <c r="S138" s="570">
        <v>11.36</v>
      </c>
      <c r="T138" s="570" t="s">
        <v>1002</v>
      </c>
      <c r="U138" s="570" t="s">
        <v>1002</v>
      </c>
      <c r="V138" s="570">
        <v>5</v>
      </c>
      <c r="W138" s="570">
        <v>1</v>
      </c>
      <c r="X138" s="570" t="s">
        <v>1000</v>
      </c>
      <c r="Y138" s="570" t="s">
        <v>1037</v>
      </c>
      <c r="Z138" s="570">
        <v>1</v>
      </c>
      <c r="AA138" s="570">
        <v>0</v>
      </c>
      <c r="AB138" s="570">
        <v>0</v>
      </c>
      <c r="AC138" s="570">
        <v>0</v>
      </c>
      <c r="AD138" s="570">
        <v>0</v>
      </c>
      <c r="AE138" s="570" t="s">
        <v>1022</v>
      </c>
      <c r="AF138" s="570">
        <v>14</v>
      </c>
      <c r="AG138" s="570" t="s">
        <v>1005</v>
      </c>
      <c r="AH138" s="570">
        <v>0</v>
      </c>
      <c r="AI138" s="570" t="s">
        <v>1006</v>
      </c>
      <c r="AJ138" s="570">
        <v>2</v>
      </c>
      <c r="AK138" s="570">
        <v>98</v>
      </c>
      <c r="AL138" s="570">
        <v>1</v>
      </c>
      <c r="AM138" s="570">
        <v>6</v>
      </c>
      <c r="AN138" s="570">
        <v>22</v>
      </c>
      <c r="AO138" s="570" t="s">
        <v>1007</v>
      </c>
      <c r="AP138" s="570" t="s">
        <v>1008</v>
      </c>
      <c r="AQ138" s="570">
        <v>1</v>
      </c>
      <c r="AR138" s="570">
        <v>1</v>
      </c>
      <c r="AS138" s="570">
        <v>4</v>
      </c>
    </row>
    <row r="139" spans="1:45" x14ac:dyDescent="0.35">
      <c r="A139" s="570">
        <v>300423853</v>
      </c>
      <c r="B139" s="570">
        <v>44</v>
      </c>
      <c r="C139" s="570">
        <v>15</v>
      </c>
      <c r="D139" s="570">
        <v>5</v>
      </c>
      <c r="E139" s="570">
        <v>0</v>
      </c>
      <c r="F139" s="570">
        <v>17.100000000000001</v>
      </c>
      <c r="G139" s="570" t="s">
        <v>1000</v>
      </c>
      <c r="H139" s="570">
        <v>2</v>
      </c>
      <c r="I139" s="570">
        <v>0</v>
      </c>
      <c r="J139" s="570">
        <v>5</v>
      </c>
      <c r="K139" s="570">
        <v>0</v>
      </c>
      <c r="L139" s="570">
        <v>0</v>
      </c>
      <c r="M139" s="570">
        <v>0</v>
      </c>
      <c r="N139" s="570" t="s">
        <v>1001</v>
      </c>
      <c r="O139" s="570">
        <v>1</v>
      </c>
      <c r="P139" s="571">
        <v>43657</v>
      </c>
      <c r="Q139" s="570">
        <v>35.085142300000001</v>
      </c>
      <c r="R139" s="570">
        <v>-97.413473400000001</v>
      </c>
      <c r="S139" s="570">
        <v>11.36</v>
      </c>
      <c r="T139" s="570" t="s">
        <v>1002</v>
      </c>
      <c r="U139" s="570" t="s">
        <v>1002</v>
      </c>
      <c r="V139" s="570">
        <v>5</v>
      </c>
      <c r="W139" s="570">
        <v>1</v>
      </c>
      <c r="X139" s="570" t="s">
        <v>1000</v>
      </c>
      <c r="Y139" s="570" t="s">
        <v>1037</v>
      </c>
      <c r="Z139" s="570">
        <v>1</v>
      </c>
      <c r="AA139" s="570">
        <v>0</v>
      </c>
      <c r="AB139" s="570">
        <v>0</v>
      </c>
      <c r="AC139" s="570">
        <v>0</v>
      </c>
      <c r="AD139" s="570">
        <v>0</v>
      </c>
      <c r="AE139" s="570" t="s">
        <v>1022</v>
      </c>
      <c r="AF139" s="570">
        <v>14</v>
      </c>
      <c r="AG139" s="570" t="s">
        <v>1005</v>
      </c>
      <c r="AH139" s="570">
        <v>0</v>
      </c>
      <c r="AI139" s="570" t="s">
        <v>1006</v>
      </c>
      <c r="AJ139" s="570">
        <v>2</v>
      </c>
      <c r="AK139" s="570">
        <v>98</v>
      </c>
      <c r="AL139" s="570">
        <v>1</v>
      </c>
      <c r="AM139" s="570">
        <v>6</v>
      </c>
      <c r="AN139" s="570">
        <v>0</v>
      </c>
      <c r="AO139" s="570">
        <v>9</v>
      </c>
      <c r="AP139" s="570" t="s">
        <v>1002</v>
      </c>
      <c r="AQ139" s="570"/>
      <c r="AR139" s="570"/>
      <c r="AS139" s="570"/>
    </row>
    <row r="140" spans="1:45" x14ac:dyDescent="0.35">
      <c r="A140" s="570">
        <v>300423853</v>
      </c>
      <c r="B140" s="570">
        <v>44</v>
      </c>
      <c r="C140" s="570">
        <v>15</v>
      </c>
      <c r="D140" s="570">
        <v>5</v>
      </c>
      <c r="E140" s="570">
        <v>0</v>
      </c>
      <c r="F140" s="570">
        <v>17.100000000000001</v>
      </c>
      <c r="G140" s="570" t="s">
        <v>1000</v>
      </c>
      <c r="H140" s="570">
        <v>2</v>
      </c>
      <c r="I140" s="570">
        <v>0</v>
      </c>
      <c r="J140" s="570">
        <v>5</v>
      </c>
      <c r="K140" s="570">
        <v>0</v>
      </c>
      <c r="L140" s="570">
        <v>0</v>
      </c>
      <c r="M140" s="570">
        <v>0</v>
      </c>
      <c r="N140" s="570" t="s">
        <v>1001</v>
      </c>
      <c r="O140" s="570">
        <v>1</v>
      </c>
      <c r="P140" s="571">
        <v>43657</v>
      </c>
      <c r="Q140" s="570">
        <v>35.085142300000001</v>
      </c>
      <c r="R140" s="570">
        <v>-97.413473400000001</v>
      </c>
      <c r="S140" s="570">
        <v>11.36</v>
      </c>
      <c r="T140" s="570" t="s">
        <v>1002</v>
      </c>
      <c r="U140" s="570" t="s">
        <v>1002</v>
      </c>
      <c r="V140" s="570">
        <v>5</v>
      </c>
      <c r="W140" s="570">
        <v>1</v>
      </c>
      <c r="X140" s="570" t="s">
        <v>1000</v>
      </c>
      <c r="Y140" s="570" t="s">
        <v>1037</v>
      </c>
      <c r="Z140" s="570">
        <v>1</v>
      </c>
      <c r="AA140" s="570">
        <v>0</v>
      </c>
      <c r="AB140" s="570">
        <v>0</v>
      </c>
      <c r="AC140" s="570">
        <v>0</v>
      </c>
      <c r="AD140" s="570">
        <v>0</v>
      </c>
      <c r="AE140" s="570" t="s">
        <v>1022</v>
      </c>
      <c r="AF140" s="570">
        <v>14</v>
      </c>
      <c r="AG140" s="570" t="s">
        <v>1005</v>
      </c>
      <c r="AH140" s="570">
        <v>0</v>
      </c>
      <c r="AI140" s="570" t="s">
        <v>1006</v>
      </c>
      <c r="AJ140" s="570">
        <v>2</v>
      </c>
      <c r="AK140" s="570">
        <v>98</v>
      </c>
      <c r="AL140" s="570">
        <v>1</v>
      </c>
      <c r="AM140" s="570">
        <v>6</v>
      </c>
      <c r="AN140" s="570">
        <v>23</v>
      </c>
      <c r="AO140" s="570" t="s">
        <v>1009</v>
      </c>
      <c r="AP140" s="570" t="s">
        <v>1002</v>
      </c>
      <c r="AQ140" s="570">
        <v>1</v>
      </c>
      <c r="AR140" s="570"/>
      <c r="AS140" s="570">
        <v>4</v>
      </c>
    </row>
    <row r="141" spans="1:45" x14ac:dyDescent="0.35">
      <c r="A141" s="570">
        <v>300430177</v>
      </c>
      <c r="B141" s="570">
        <v>44</v>
      </c>
      <c r="C141" s="570">
        <v>15</v>
      </c>
      <c r="D141" s="570">
        <v>5</v>
      </c>
      <c r="E141" s="570">
        <v>0</v>
      </c>
      <c r="F141" s="570">
        <v>17.71</v>
      </c>
      <c r="G141" s="570" t="s">
        <v>1000</v>
      </c>
      <c r="H141" s="570">
        <v>2</v>
      </c>
      <c r="I141" s="570">
        <v>0</v>
      </c>
      <c r="J141" s="570">
        <v>5</v>
      </c>
      <c r="K141" s="570">
        <v>0</v>
      </c>
      <c r="L141" s="570">
        <v>0</v>
      </c>
      <c r="M141" s="570">
        <v>0</v>
      </c>
      <c r="N141" s="570" t="s">
        <v>1014</v>
      </c>
      <c r="O141" s="570">
        <v>1</v>
      </c>
      <c r="P141" s="571">
        <v>43689</v>
      </c>
      <c r="Q141" s="570">
        <v>35.092129249999999</v>
      </c>
      <c r="R141" s="570">
        <v>-97.420167579999998</v>
      </c>
      <c r="S141" s="570">
        <v>8.18</v>
      </c>
      <c r="T141" s="570" t="s">
        <v>1002</v>
      </c>
      <c r="U141" s="570" t="s">
        <v>1002</v>
      </c>
      <c r="V141" s="570">
        <v>2</v>
      </c>
      <c r="W141" s="570">
        <v>1</v>
      </c>
      <c r="X141" s="570" t="s">
        <v>1000</v>
      </c>
      <c r="Y141" s="570" t="s">
        <v>1038</v>
      </c>
      <c r="Z141" s="570">
        <v>1</v>
      </c>
      <c r="AA141" s="570">
        <v>0</v>
      </c>
      <c r="AB141" s="570">
        <v>0</v>
      </c>
      <c r="AC141" s="570">
        <v>0</v>
      </c>
      <c r="AD141" s="570">
        <v>0</v>
      </c>
      <c r="AE141" s="570" t="s">
        <v>1017</v>
      </c>
      <c r="AF141" s="570">
        <v>84</v>
      </c>
      <c r="AG141" s="570" t="s">
        <v>1020</v>
      </c>
      <c r="AH141" s="570">
        <v>0</v>
      </c>
      <c r="AI141" s="570" t="s">
        <v>1006</v>
      </c>
      <c r="AJ141" s="570">
        <v>10</v>
      </c>
      <c r="AK141" s="570">
        <v>84</v>
      </c>
      <c r="AL141" s="570">
        <v>1</v>
      </c>
      <c r="AM141" s="570">
        <v>6</v>
      </c>
      <c r="AN141" s="570">
        <v>59</v>
      </c>
      <c r="AO141" s="570" t="s">
        <v>1009</v>
      </c>
      <c r="AP141" s="570" t="s">
        <v>1008</v>
      </c>
      <c r="AQ141" s="570">
        <v>1</v>
      </c>
      <c r="AR141" s="570">
        <v>1</v>
      </c>
      <c r="AS141" s="570">
        <v>4</v>
      </c>
    </row>
    <row r="142" spans="1:45" x14ac:dyDescent="0.35">
      <c r="A142" s="570">
        <v>300430177</v>
      </c>
      <c r="B142" s="570">
        <v>44</v>
      </c>
      <c r="C142" s="570">
        <v>15</v>
      </c>
      <c r="D142" s="570">
        <v>5</v>
      </c>
      <c r="E142" s="570">
        <v>0</v>
      </c>
      <c r="F142" s="570">
        <v>17.71</v>
      </c>
      <c r="G142" s="570" t="s">
        <v>1000</v>
      </c>
      <c r="H142" s="570">
        <v>2</v>
      </c>
      <c r="I142" s="570">
        <v>0</v>
      </c>
      <c r="J142" s="570">
        <v>5</v>
      </c>
      <c r="K142" s="570">
        <v>0</v>
      </c>
      <c r="L142" s="570">
        <v>0</v>
      </c>
      <c r="M142" s="570">
        <v>0</v>
      </c>
      <c r="N142" s="570" t="s">
        <v>1014</v>
      </c>
      <c r="O142" s="570">
        <v>1</v>
      </c>
      <c r="P142" s="571">
        <v>43689</v>
      </c>
      <c r="Q142" s="570">
        <v>35.092129249999999</v>
      </c>
      <c r="R142" s="570">
        <v>-97.420167579999998</v>
      </c>
      <c r="S142" s="570">
        <v>8.18</v>
      </c>
      <c r="T142" s="570" t="s">
        <v>1002</v>
      </c>
      <c r="U142" s="570" t="s">
        <v>1002</v>
      </c>
      <c r="V142" s="570">
        <v>2</v>
      </c>
      <c r="W142" s="570">
        <v>1</v>
      </c>
      <c r="X142" s="570" t="s">
        <v>1000</v>
      </c>
      <c r="Y142" s="570" t="s">
        <v>1038</v>
      </c>
      <c r="Z142" s="570">
        <v>1</v>
      </c>
      <c r="AA142" s="570">
        <v>0</v>
      </c>
      <c r="AB142" s="570">
        <v>0</v>
      </c>
      <c r="AC142" s="570">
        <v>0</v>
      </c>
      <c r="AD142" s="570">
        <v>0</v>
      </c>
      <c r="AE142" s="570" t="s">
        <v>1017</v>
      </c>
      <c r="AF142" s="570">
        <v>84</v>
      </c>
      <c r="AG142" s="570" t="s">
        <v>1020</v>
      </c>
      <c r="AH142" s="570">
        <v>0</v>
      </c>
      <c r="AI142" s="570" t="s">
        <v>1006</v>
      </c>
      <c r="AJ142" s="570">
        <v>10</v>
      </c>
      <c r="AK142" s="570">
        <v>84</v>
      </c>
      <c r="AL142" s="570">
        <v>1</v>
      </c>
      <c r="AM142" s="570">
        <v>6</v>
      </c>
      <c r="AN142" s="570">
        <v>0</v>
      </c>
      <c r="AO142" s="570">
        <v>9</v>
      </c>
      <c r="AP142" s="570" t="s">
        <v>1002</v>
      </c>
      <c r="AQ142" s="570"/>
      <c r="AR142" s="570"/>
      <c r="AS142" s="570"/>
    </row>
    <row r="143" spans="1:45" x14ac:dyDescent="0.35">
      <c r="A143" s="570">
        <v>300430177</v>
      </c>
      <c r="B143" s="570">
        <v>44</v>
      </c>
      <c r="C143" s="570">
        <v>15</v>
      </c>
      <c r="D143" s="570">
        <v>5</v>
      </c>
      <c r="E143" s="570">
        <v>0</v>
      </c>
      <c r="F143" s="570">
        <v>17.71</v>
      </c>
      <c r="G143" s="570" t="s">
        <v>1000</v>
      </c>
      <c r="H143" s="570">
        <v>2</v>
      </c>
      <c r="I143" s="570">
        <v>0</v>
      </c>
      <c r="J143" s="570">
        <v>5</v>
      </c>
      <c r="K143" s="570">
        <v>0</v>
      </c>
      <c r="L143" s="570">
        <v>0</v>
      </c>
      <c r="M143" s="570">
        <v>0</v>
      </c>
      <c r="N143" s="570" t="s">
        <v>1014</v>
      </c>
      <c r="O143" s="570">
        <v>1</v>
      </c>
      <c r="P143" s="571">
        <v>43689</v>
      </c>
      <c r="Q143" s="570">
        <v>35.092129249999999</v>
      </c>
      <c r="R143" s="570">
        <v>-97.420167579999998</v>
      </c>
      <c r="S143" s="570">
        <v>8.18</v>
      </c>
      <c r="T143" s="570" t="s">
        <v>1002</v>
      </c>
      <c r="U143" s="570" t="s">
        <v>1002</v>
      </c>
      <c r="V143" s="570">
        <v>2</v>
      </c>
      <c r="W143" s="570">
        <v>1</v>
      </c>
      <c r="X143" s="570" t="s">
        <v>1000</v>
      </c>
      <c r="Y143" s="570" t="s">
        <v>1038</v>
      </c>
      <c r="Z143" s="570">
        <v>1</v>
      </c>
      <c r="AA143" s="570">
        <v>0</v>
      </c>
      <c r="AB143" s="570">
        <v>0</v>
      </c>
      <c r="AC143" s="570">
        <v>0</v>
      </c>
      <c r="AD143" s="570">
        <v>0</v>
      </c>
      <c r="AE143" s="570" t="s">
        <v>1017</v>
      </c>
      <c r="AF143" s="570">
        <v>84</v>
      </c>
      <c r="AG143" s="570" t="s">
        <v>1020</v>
      </c>
      <c r="AH143" s="570">
        <v>0</v>
      </c>
      <c r="AI143" s="570" t="s">
        <v>1006</v>
      </c>
      <c r="AJ143" s="570">
        <v>5</v>
      </c>
      <c r="AK143" s="570">
        <v>98</v>
      </c>
      <c r="AL143" s="570">
        <v>1</v>
      </c>
      <c r="AM143" s="570">
        <v>0</v>
      </c>
      <c r="AN143" s="570">
        <v>47</v>
      </c>
      <c r="AO143" s="570" t="s">
        <v>1009</v>
      </c>
      <c r="AP143" s="570" t="s">
        <v>1008</v>
      </c>
      <c r="AQ143" s="570">
        <v>1</v>
      </c>
      <c r="AR143" s="570">
        <v>1</v>
      </c>
      <c r="AS143" s="570">
        <v>4</v>
      </c>
    </row>
    <row r="144" spans="1:45" x14ac:dyDescent="0.35">
      <c r="A144" s="570">
        <v>300430177</v>
      </c>
      <c r="B144" s="570">
        <v>44</v>
      </c>
      <c r="C144" s="570">
        <v>15</v>
      </c>
      <c r="D144" s="570">
        <v>5</v>
      </c>
      <c r="E144" s="570">
        <v>0</v>
      </c>
      <c r="F144" s="570">
        <v>17.71</v>
      </c>
      <c r="G144" s="570" t="s">
        <v>1000</v>
      </c>
      <c r="H144" s="570">
        <v>2</v>
      </c>
      <c r="I144" s="570">
        <v>0</v>
      </c>
      <c r="J144" s="570">
        <v>5</v>
      </c>
      <c r="K144" s="570">
        <v>0</v>
      </c>
      <c r="L144" s="570">
        <v>0</v>
      </c>
      <c r="M144" s="570">
        <v>0</v>
      </c>
      <c r="N144" s="570" t="s">
        <v>1014</v>
      </c>
      <c r="O144" s="570">
        <v>1</v>
      </c>
      <c r="P144" s="571">
        <v>43689</v>
      </c>
      <c r="Q144" s="570">
        <v>35.092129249999999</v>
      </c>
      <c r="R144" s="570">
        <v>-97.420167579999998</v>
      </c>
      <c r="S144" s="570">
        <v>8.18</v>
      </c>
      <c r="T144" s="570" t="s">
        <v>1002</v>
      </c>
      <c r="U144" s="570" t="s">
        <v>1002</v>
      </c>
      <c r="V144" s="570">
        <v>2</v>
      </c>
      <c r="W144" s="570">
        <v>1</v>
      </c>
      <c r="X144" s="570" t="s">
        <v>1000</v>
      </c>
      <c r="Y144" s="570" t="s">
        <v>1038</v>
      </c>
      <c r="Z144" s="570">
        <v>1</v>
      </c>
      <c r="AA144" s="570">
        <v>0</v>
      </c>
      <c r="AB144" s="570">
        <v>0</v>
      </c>
      <c r="AC144" s="570">
        <v>0</v>
      </c>
      <c r="AD144" s="570">
        <v>0</v>
      </c>
      <c r="AE144" s="570" t="s">
        <v>1017</v>
      </c>
      <c r="AF144" s="570">
        <v>84</v>
      </c>
      <c r="AG144" s="570" t="s">
        <v>1020</v>
      </c>
      <c r="AH144" s="570">
        <v>0</v>
      </c>
      <c r="AI144" s="570" t="s">
        <v>1006</v>
      </c>
      <c r="AJ144" s="570">
        <v>5</v>
      </c>
      <c r="AK144" s="570">
        <v>98</v>
      </c>
      <c r="AL144" s="570">
        <v>1</v>
      </c>
      <c r="AM144" s="570">
        <v>0</v>
      </c>
      <c r="AN144" s="570">
        <v>0</v>
      </c>
      <c r="AO144" s="570">
        <v>9</v>
      </c>
      <c r="AP144" s="570" t="s">
        <v>1002</v>
      </c>
      <c r="AQ144" s="570"/>
      <c r="AR144" s="570"/>
      <c r="AS144" s="570"/>
    </row>
    <row r="145" spans="1:45" x14ac:dyDescent="0.35">
      <c r="A145" s="570">
        <v>300430193</v>
      </c>
      <c r="B145" s="570">
        <v>44</v>
      </c>
      <c r="C145" s="570">
        <v>15</v>
      </c>
      <c r="D145" s="570">
        <v>5</v>
      </c>
      <c r="E145" s="570">
        <v>0</v>
      </c>
      <c r="F145" s="570">
        <v>17.03</v>
      </c>
      <c r="G145" s="570" t="s">
        <v>1000</v>
      </c>
      <c r="H145" s="570">
        <v>2</v>
      </c>
      <c r="I145" s="570">
        <v>0</v>
      </c>
      <c r="J145" s="570">
        <v>0</v>
      </c>
      <c r="K145" s="570">
        <v>0</v>
      </c>
      <c r="L145" s="570">
        <v>0</v>
      </c>
      <c r="M145" s="570">
        <v>0</v>
      </c>
      <c r="N145" s="570" t="s">
        <v>1001</v>
      </c>
      <c r="O145" s="570">
        <v>1</v>
      </c>
      <c r="P145" s="571">
        <v>43699</v>
      </c>
      <c r="Q145" s="570">
        <v>35.084377930000002</v>
      </c>
      <c r="R145" s="570">
        <v>-97.412741819999994</v>
      </c>
      <c r="S145" s="570">
        <v>18.2</v>
      </c>
      <c r="T145" s="570" t="s">
        <v>1002</v>
      </c>
      <c r="U145" s="570" t="s">
        <v>1002</v>
      </c>
      <c r="V145" s="570">
        <v>5</v>
      </c>
      <c r="W145" s="570">
        <v>1</v>
      </c>
      <c r="X145" s="570" t="s">
        <v>1000</v>
      </c>
      <c r="Y145" s="570" t="s">
        <v>1034</v>
      </c>
      <c r="Z145" s="570">
        <v>4</v>
      </c>
      <c r="AA145" s="570">
        <v>0</v>
      </c>
      <c r="AB145" s="570">
        <v>0</v>
      </c>
      <c r="AC145" s="570">
        <v>0</v>
      </c>
      <c r="AD145" s="570">
        <v>0</v>
      </c>
      <c r="AE145" s="570" t="s">
        <v>1011</v>
      </c>
      <c r="AF145" s="570">
        <v>22</v>
      </c>
      <c r="AG145" s="570" t="s">
        <v>1020</v>
      </c>
      <c r="AH145" s="570">
        <v>0</v>
      </c>
      <c r="AI145" s="570" t="s">
        <v>1006</v>
      </c>
      <c r="AJ145" s="570">
        <v>4</v>
      </c>
      <c r="AK145" s="570">
        <v>22</v>
      </c>
      <c r="AL145" s="570">
        <v>2</v>
      </c>
      <c r="AM145" s="570">
        <v>0</v>
      </c>
      <c r="AN145" s="570">
        <v>66</v>
      </c>
      <c r="AO145" s="570" t="s">
        <v>1009</v>
      </c>
      <c r="AP145" s="570" t="s">
        <v>1008</v>
      </c>
      <c r="AQ145" s="570">
        <v>1</v>
      </c>
      <c r="AR145" s="570">
        <v>1</v>
      </c>
      <c r="AS145" s="570">
        <v>4</v>
      </c>
    </row>
    <row r="146" spans="1:45" x14ac:dyDescent="0.35">
      <c r="A146" s="570">
        <v>300430193</v>
      </c>
      <c r="B146" s="570">
        <v>44</v>
      </c>
      <c r="C146" s="570">
        <v>15</v>
      </c>
      <c r="D146" s="570">
        <v>5</v>
      </c>
      <c r="E146" s="570">
        <v>0</v>
      </c>
      <c r="F146" s="570">
        <v>17.03</v>
      </c>
      <c r="G146" s="570" t="s">
        <v>1000</v>
      </c>
      <c r="H146" s="570">
        <v>2</v>
      </c>
      <c r="I146" s="570">
        <v>0</v>
      </c>
      <c r="J146" s="570">
        <v>0</v>
      </c>
      <c r="K146" s="570">
        <v>0</v>
      </c>
      <c r="L146" s="570">
        <v>0</v>
      </c>
      <c r="M146" s="570">
        <v>0</v>
      </c>
      <c r="N146" s="570" t="s">
        <v>1001</v>
      </c>
      <c r="O146" s="570">
        <v>1</v>
      </c>
      <c r="P146" s="571">
        <v>43699</v>
      </c>
      <c r="Q146" s="570">
        <v>35.084377930000002</v>
      </c>
      <c r="R146" s="570">
        <v>-97.412741819999994</v>
      </c>
      <c r="S146" s="570">
        <v>18.2</v>
      </c>
      <c r="T146" s="570" t="s">
        <v>1002</v>
      </c>
      <c r="U146" s="570" t="s">
        <v>1002</v>
      </c>
      <c r="V146" s="570">
        <v>5</v>
      </c>
      <c r="W146" s="570">
        <v>1</v>
      </c>
      <c r="X146" s="570" t="s">
        <v>1000</v>
      </c>
      <c r="Y146" s="570" t="s">
        <v>1034</v>
      </c>
      <c r="Z146" s="570">
        <v>4</v>
      </c>
      <c r="AA146" s="570">
        <v>0</v>
      </c>
      <c r="AB146" s="570">
        <v>0</v>
      </c>
      <c r="AC146" s="570">
        <v>0</v>
      </c>
      <c r="AD146" s="570">
        <v>0</v>
      </c>
      <c r="AE146" s="570" t="s">
        <v>1011</v>
      </c>
      <c r="AF146" s="570">
        <v>22</v>
      </c>
      <c r="AG146" s="570" t="s">
        <v>1020</v>
      </c>
      <c r="AH146" s="570">
        <v>0</v>
      </c>
      <c r="AI146" s="570" t="s">
        <v>1006</v>
      </c>
      <c r="AJ146" s="570">
        <v>10</v>
      </c>
      <c r="AK146" s="570">
        <v>98</v>
      </c>
      <c r="AL146" s="570">
        <v>2</v>
      </c>
      <c r="AM146" s="570">
        <v>0</v>
      </c>
      <c r="AN146" s="570">
        <v>0</v>
      </c>
      <c r="AO146" s="570">
        <v>9</v>
      </c>
      <c r="AP146" s="570" t="s">
        <v>1008</v>
      </c>
      <c r="AQ146" s="570">
        <v>1</v>
      </c>
      <c r="AR146" s="570">
        <v>99</v>
      </c>
      <c r="AS146" s="570">
        <v>99</v>
      </c>
    </row>
    <row r="147" spans="1:45" x14ac:dyDescent="0.35">
      <c r="A147" s="570">
        <v>300430193</v>
      </c>
      <c r="B147" s="570">
        <v>44</v>
      </c>
      <c r="C147" s="570">
        <v>15</v>
      </c>
      <c r="D147" s="570">
        <v>5</v>
      </c>
      <c r="E147" s="570">
        <v>0</v>
      </c>
      <c r="F147" s="570">
        <v>17.03</v>
      </c>
      <c r="G147" s="570" t="s">
        <v>1000</v>
      </c>
      <c r="H147" s="570">
        <v>2</v>
      </c>
      <c r="I147" s="570">
        <v>0</v>
      </c>
      <c r="J147" s="570">
        <v>0</v>
      </c>
      <c r="K147" s="570">
        <v>0</v>
      </c>
      <c r="L147" s="570">
        <v>0</v>
      </c>
      <c r="M147" s="570">
        <v>0</v>
      </c>
      <c r="N147" s="570" t="s">
        <v>1001</v>
      </c>
      <c r="O147" s="570">
        <v>1</v>
      </c>
      <c r="P147" s="571">
        <v>43699</v>
      </c>
      <c r="Q147" s="570">
        <v>35.084377930000002</v>
      </c>
      <c r="R147" s="570">
        <v>-97.412741819999994</v>
      </c>
      <c r="S147" s="570">
        <v>18.2</v>
      </c>
      <c r="T147" s="570" t="s">
        <v>1002</v>
      </c>
      <c r="U147" s="570" t="s">
        <v>1002</v>
      </c>
      <c r="V147" s="570">
        <v>5</v>
      </c>
      <c r="W147" s="570">
        <v>1</v>
      </c>
      <c r="X147" s="570" t="s">
        <v>1000</v>
      </c>
      <c r="Y147" s="570" t="s">
        <v>1034</v>
      </c>
      <c r="Z147" s="570">
        <v>4</v>
      </c>
      <c r="AA147" s="570">
        <v>0</v>
      </c>
      <c r="AB147" s="570">
        <v>0</v>
      </c>
      <c r="AC147" s="570">
        <v>0</v>
      </c>
      <c r="AD147" s="570">
        <v>0</v>
      </c>
      <c r="AE147" s="570" t="s">
        <v>1011</v>
      </c>
      <c r="AF147" s="570">
        <v>22</v>
      </c>
      <c r="AG147" s="570" t="s">
        <v>1020</v>
      </c>
      <c r="AH147" s="570">
        <v>0</v>
      </c>
      <c r="AI147" s="570" t="s">
        <v>1006</v>
      </c>
      <c r="AJ147" s="570">
        <v>10</v>
      </c>
      <c r="AK147" s="570">
        <v>98</v>
      </c>
      <c r="AL147" s="570">
        <v>2</v>
      </c>
      <c r="AM147" s="570">
        <v>0</v>
      </c>
      <c r="AN147" s="570">
        <v>0</v>
      </c>
      <c r="AO147" s="570">
        <v>9</v>
      </c>
      <c r="AP147" s="570" t="s">
        <v>1002</v>
      </c>
      <c r="AQ147" s="570"/>
      <c r="AR147" s="570"/>
      <c r="AS147" s="570"/>
    </row>
    <row r="148" spans="1:45" x14ac:dyDescent="0.35">
      <c r="A148" s="570">
        <v>300430252</v>
      </c>
      <c r="B148" s="570">
        <v>44</v>
      </c>
      <c r="C148" s="570">
        <v>15</v>
      </c>
      <c r="D148" s="570">
        <v>5</v>
      </c>
      <c r="E148" s="570">
        <v>0</v>
      </c>
      <c r="F148" s="570">
        <v>17.510000000000002</v>
      </c>
      <c r="G148" s="570" t="s">
        <v>1000</v>
      </c>
      <c r="H148" s="570">
        <v>2</v>
      </c>
      <c r="I148" s="570">
        <v>0</v>
      </c>
      <c r="J148" s="570">
        <v>0</v>
      </c>
      <c r="K148" s="570">
        <v>0</v>
      </c>
      <c r="L148" s="570">
        <v>0</v>
      </c>
      <c r="M148" s="570">
        <v>0</v>
      </c>
      <c r="N148" s="570" t="s">
        <v>1010</v>
      </c>
      <c r="O148" s="570">
        <v>1</v>
      </c>
      <c r="P148" s="571">
        <v>43707</v>
      </c>
      <c r="Q148" s="570">
        <v>35.089838659999998</v>
      </c>
      <c r="R148" s="570">
        <v>-97.418000180000007</v>
      </c>
      <c r="S148" s="570">
        <v>10.130000000000001</v>
      </c>
      <c r="T148" s="570" t="s">
        <v>1002</v>
      </c>
      <c r="U148" s="570" t="s">
        <v>1002</v>
      </c>
      <c r="V148" s="570">
        <v>6</v>
      </c>
      <c r="W148" s="570">
        <v>1</v>
      </c>
      <c r="X148" s="570" t="s">
        <v>1000</v>
      </c>
      <c r="Y148" s="570" t="s">
        <v>1003</v>
      </c>
      <c r="Z148" s="570">
        <v>4</v>
      </c>
      <c r="AA148" s="570">
        <v>0</v>
      </c>
      <c r="AB148" s="570">
        <v>0</v>
      </c>
      <c r="AC148" s="570">
        <v>0</v>
      </c>
      <c r="AD148" s="570">
        <v>0</v>
      </c>
      <c r="AE148" s="570" t="s">
        <v>1011</v>
      </c>
      <c r="AF148" s="570">
        <v>22</v>
      </c>
      <c r="AG148" s="570" t="s">
        <v>1012</v>
      </c>
      <c r="AH148" s="570">
        <v>0</v>
      </c>
      <c r="AI148" s="570" t="s">
        <v>1006</v>
      </c>
      <c r="AJ148" s="570">
        <v>20</v>
      </c>
      <c r="AK148" s="570">
        <v>22</v>
      </c>
      <c r="AL148" s="570">
        <v>2</v>
      </c>
      <c r="AM148" s="570">
        <v>0</v>
      </c>
      <c r="AN148" s="570">
        <v>33</v>
      </c>
      <c r="AO148" s="570" t="s">
        <v>1007</v>
      </c>
      <c r="AP148" s="570" t="s">
        <v>1008</v>
      </c>
      <c r="AQ148" s="570">
        <v>1</v>
      </c>
      <c r="AR148" s="570">
        <v>1</v>
      </c>
      <c r="AS148" s="570">
        <v>4</v>
      </c>
    </row>
    <row r="149" spans="1:45" x14ac:dyDescent="0.35">
      <c r="A149" s="570">
        <v>300430252</v>
      </c>
      <c r="B149" s="570">
        <v>44</v>
      </c>
      <c r="C149" s="570">
        <v>15</v>
      </c>
      <c r="D149" s="570">
        <v>5</v>
      </c>
      <c r="E149" s="570">
        <v>0</v>
      </c>
      <c r="F149" s="570">
        <v>17.510000000000002</v>
      </c>
      <c r="G149" s="570" t="s">
        <v>1000</v>
      </c>
      <c r="H149" s="570">
        <v>2</v>
      </c>
      <c r="I149" s="570">
        <v>0</v>
      </c>
      <c r="J149" s="570">
        <v>0</v>
      </c>
      <c r="K149" s="570">
        <v>0</v>
      </c>
      <c r="L149" s="570">
        <v>0</v>
      </c>
      <c r="M149" s="570">
        <v>0</v>
      </c>
      <c r="N149" s="570" t="s">
        <v>1010</v>
      </c>
      <c r="O149" s="570">
        <v>1</v>
      </c>
      <c r="P149" s="571">
        <v>43707</v>
      </c>
      <c r="Q149" s="570">
        <v>35.089838659999998</v>
      </c>
      <c r="R149" s="570">
        <v>-97.418000180000007</v>
      </c>
      <c r="S149" s="570">
        <v>10.130000000000001</v>
      </c>
      <c r="T149" s="570" t="s">
        <v>1002</v>
      </c>
      <c r="U149" s="570" t="s">
        <v>1002</v>
      </c>
      <c r="V149" s="570">
        <v>6</v>
      </c>
      <c r="W149" s="570">
        <v>1</v>
      </c>
      <c r="X149" s="570" t="s">
        <v>1000</v>
      </c>
      <c r="Y149" s="570" t="s">
        <v>1003</v>
      </c>
      <c r="Z149" s="570">
        <v>4</v>
      </c>
      <c r="AA149" s="570">
        <v>0</v>
      </c>
      <c r="AB149" s="570">
        <v>0</v>
      </c>
      <c r="AC149" s="570">
        <v>0</v>
      </c>
      <c r="AD149" s="570">
        <v>0</v>
      </c>
      <c r="AE149" s="570" t="s">
        <v>1011</v>
      </c>
      <c r="AF149" s="570">
        <v>22</v>
      </c>
      <c r="AG149" s="570" t="s">
        <v>1012</v>
      </c>
      <c r="AH149" s="570">
        <v>0</v>
      </c>
      <c r="AI149" s="570" t="s">
        <v>1006</v>
      </c>
      <c r="AJ149" s="570">
        <v>20</v>
      </c>
      <c r="AK149" s="570">
        <v>22</v>
      </c>
      <c r="AL149" s="570">
        <v>2</v>
      </c>
      <c r="AM149" s="570">
        <v>0</v>
      </c>
      <c r="AN149" s="570">
        <v>55</v>
      </c>
      <c r="AO149" s="570" t="s">
        <v>1007</v>
      </c>
      <c r="AP149" s="570" t="s">
        <v>1002</v>
      </c>
      <c r="AQ149" s="570">
        <v>1</v>
      </c>
      <c r="AR149" s="570"/>
      <c r="AS149" s="570">
        <v>4</v>
      </c>
    </row>
    <row r="150" spans="1:45" x14ac:dyDescent="0.35">
      <c r="A150" s="570">
        <v>300433172</v>
      </c>
      <c r="B150" s="570">
        <v>44</v>
      </c>
      <c r="C150" s="570">
        <v>15</v>
      </c>
      <c r="D150" s="570">
        <v>5</v>
      </c>
      <c r="E150" s="570">
        <v>0</v>
      </c>
      <c r="F150" s="570">
        <v>17.91</v>
      </c>
      <c r="G150" s="570" t="s">
        <v>1000</v>
      </c>
      <c r="H150" s="570">
        <v>2</v>
      </c>
      <c r="I150" s="570">
        <v>0</v>
      </c>
      <c r="J150" s="570">
        <v>5</v>
      </c>
      <c r="K150" s="570">
        <v>0</v>
      </c>
      <c r="L150" s="570">
        <v>0</v>
      </c>
      <c r="M150" s="570">
        <v>0</v>
      </c>
      <c r="N150" s="570" t="s">
        <v>1001</v>
      </c>
      <c r="O150" s="570">
        <v>1</v>
      </c>
      <c r="P150" s="571">
        <v>43714</v>
      </c>
      <c r="Q150" s="570">
        <v>35.094448049999997</v>
      </c>
      <c r="R150" s="570">
        <v>-97.422290259999997</v>
      </c>
      <c r="S150" s="570">
        <v>21.22</v>
      </c>
      <c r="T150" s="570" t="s">
        <v>1002</v>
      </c>
      <c r="U150" s="570" t="s">
        <v>1002</v>
      </c>
      <c r="V150" s="570">
        <v>6</v>
      </c>
      <c r="W150" s="570">
        <v>2</v>
      </c>
      <c r="X150" s="570" t="s">
        <v>1024</v>
      </c>
      <c r="Y150" s="570" t="s">
        <v>1026</v>
      </c>
      <c r="Z150" s="570">
        <v>1</v>
      </c>
      <c r="AA150" s="570">
        <v>0</v>
      </c>
      <c r="AB150" s="570">
        <v>0</v>
      </c>
      <c r="AC150" s="570">
        <v>0</v>
      </c>
      <c r="AD150" s="570">
        <v>0</v>
      </c>
      <c r="AE150" s="570" t="s">
        <v>1022</v>
      </c>
      <c r="AF150" s="570">
        <v>14</v>
      </c>
      <c r="AG150" s="570" t="s">
        <v>1005</v>
      </c>
      <c r="AH150" s="570">
        <v>0</v>
      </c>
      <c r="AI150" s="570" t="s">
        <v>1006</v>
      </c>
      <c r="AJ150" s="570">
        <v>20</v>
      </c>
      <c r="AK150" s="570">
        <v>14</v>
      </c>
      <c r="AL150" s="570">
        <v>1</v>
      </c>
      <c r="AM150" s="570">
        <v>0</v>
      </c>
      <c r="AN150" s="570">
        <v>17</v>
      </c>
      <c r="AO150" s="570" t="s">
        <v>1009</v>
      </c>
      <c r="AP150" s="570" t="s">
        <v>1008</v>
      </c>
      <c r="AQ150" s="570">
        <v>1</v>
      </c>
      <c r="AR150" s="570">
        <v>1</v>
      </c>
      <c r="AS150" s="570">
        <v>4</v>
      </c>
    </row>
    <row r="151" spans="1:45" x14ac:dyDescent="0.35">
      <c r="A151" s="570">
        <v>300433172</v>
      </c>
      <c r="B151" s="570">
        <v>44</v>
      </c>
      <c r="C151" s="570">
        <v>15</v>
      </c>
      <c r="D151" s="570">
        <v>5</v>
      </c>
      <c r="E151" s="570">
        <v>0</v>
      </c>
      <c r="F151" s="570">
        <v>17.91</v>
      </c>
      <c r="G151" s="570" t="s">
        <v>1000</v>
      </c>
      <c r="H151" s="570">
        <v>2</v>
      </c>
      <c r="I151" s="570">
        <v>0</v>
      </c>
      <c r="J151" s="570">
        <v>5</v>
      </c>
      <c r="K151" s="570">
        <v>0</v>
      </c>
      <c r="L151" s="570">
        <v>0</v>
      </c>
      <c r="M151" s="570">
        <v>0</v>
      </c>
      <c r="N151" s="570" t="s">
        <v>1001</v>
      </c>
      <c r="O151" s="570">
        <v>1</v>
      </c>
      <c r="P151" s="571">
        <v>43714</v>
      </c>
      <c r="Q151" s="570">
        <v>35.094448049999997</v>
      </c>
      <c r="R151" s="570">
        <v>-97.422290259999997</v>
      </c>
      <c r="S151" s="570">
        <v>21.22</v>
      </c>
      <c r="T151" s="570" t="s">
        <v>1002</v>
      </c>
      <c r="U151" s="570" t="s">
        <v>1002</v>
      </c>
      <c r="V151" s="570">
        <v>6</v>
      </c>
      <c r="W151" s="570">
        <v>2</v>
      </c>
      <c r="X151" s="570" t="s">
        <v>1024</v>
      </c>
      <c r="Y151" s="570" t="s">
        <v>1026</v>
      </c>
      <c r="Z151" s="570">
        <v>1</v>
      </c>
      <c r="AA151" s="570">
        <v>0</v>
      </c>
      <c r="AB151" s="570">
        <v>0</v>
      </c>
      <c r="AC151" s="570">
        <v>0</v>
      </c>
      <c r="AD151" s="570">
        <v>0</v>
      </c>
      <c r="AE151" s="570" t="s">
        <v>1022</v>
      </c>
      <c r="AF151" s="570">
        <v>14</v>
      </c>
      <c r="AG151" s="570" t="s">
        <v>1005</v>
      </c>
      <c r="AH151" s="570">
        <v>0</v>
      </c>
      <c r="AI151" s="570" t="s">
        <v>1006</v>
      </c>
      <c r="AJ151" s="570">
        <v>20</v>
      </c>
      <c r="AK151" s="570">
        <v>14</v>
      </c>
      <c r="AL151" s="570">
        <v>1</v>
      </c>
      <c r="AM151" s="570">
        <v>0</v>
      </c>
      <c r="AN151" s="570">
        <v>0</v>
      </c>
      <c r="AO151" s="570">
        <v>9</v>
      </c>
      <c r="AP151" s="570" t="s">
        <v>1002</v>
      </c>
      <c r="AQ151" s="570"/>
      <c r="AR151" s="570"/>
      <c r="AS151" s="570"/>
    </row>
    <row r="152" spans="1:45" x14ac:dyDescent="0.35">
      <c r="A152" s="570">
        <v>300433172</v>
      </c>
      <c r="B152" s="570">
        <v>44</v>
      </c>
      <c r="C152" s="570">
        <v>15</v>
      </c>
      <c r="D152" s="570">
        <v>5</v>
      </c>
      <c r="E152" s="570">
        <v>0</v>
      </c>
      <c r="F152" s="570">
        <v>17.91</v>
      </c>
      <c r="G152" s="570" t="s">
        <v>1000</v>
      </c>
      <c r="H152" s="570">
        <v>2</v>
      </c>
      <c r="I152" s="570">
        <v>0</v>
      </c>
      <c r="J152" s="570">
        <v>5</v>
      </c>
      <c r="K152" s="570">
        <v>0</v>
      </c>
      <c r="L152" s="570">
        <v>0</v>
      </c>
      <c r="M152" s="570">
        <v>0</v>
      </c>
      <c r="N152" s="570" t="s">
        <v>1001</v>
      </c>
      <c r="O152" s="570">
        <v>1</v>
      </c>
      <c r="P152" s="571">
        <v>43714</v>
      </c>
      <c r="Q152" s="570">
        <v>35.094448049999997</v>
      </c>
      <c r="R152" s="570">
        <v>-97.422290259999997</v>
      </c>
      <c r="S152" s="570">
        <v>21.22</v>
      </c>
      <c r="T152" s="570" t="s">
        <v>1002</v>
      </c>
      <c r="U152" s="570" t="s">
        <v>1002</v>
      </c>
      <c r="V152" s="570">
        <v>6</v>
      </c>
      <c r="W152" s="570">
        <v>2</v>
      </c>
      <c r="X152" s="570" t="s">
        <v>1024</v>
      </c>
      <c r="Y152" s="570" t="s">
        <v>1026</v>
      </c>
      <c r="Z152" s="570">
        <v>1</v>
      </c>
      <c r="AA152" s="570">
        <v>0</v>
      </c>
      <c r="AB152" s="570">
        <v>0</v>
      </c>
      <c r="AC152" s="570">
        <v>0</v>
      </c>
      <c r="AD152" s="570">
        <v>0</v>
      </c>
      <c r="AE152" s="570" t="s">
        <v>1022</v>
      </c>
      <c r="AF152" s="570">
        <v>14</v>
      </c>
      <c r="AG152" s="570" t="s">
        <v>1005</v>
      </c>
      <c r="AH152" s="570">
        <v>0</v>
      </c>
      <c r="AI152" s="570" t="s">
        <v>1006</v>
      </c>
      <c r="AJ152" s="570">
        <v>20</v>
      </c>
      <c r="AK152" s="570">
        <v>14</v>
      </c>
      <c r="AL152" s="570">
        <v>1</v>
      </c>
      <c r="AM152" s="570">
        <v>0</v>
      </c>
      <c r="AN152" s="570">
        <v>16</v>
      </c>
      <c r="AO152" s="570" t="s">
        <v>1009</v>
      </c>
      <c r="AP152" s="570" t="s">
        <v>1002</v>
      </c>
      <c r="AQ152" s="570">
        <v>1</v>
      </c>
      <c r="AR152" s="570"/>
      <c r="AS152" s="570">
        <v>4</v>
      </c>
    </row>
    <row r="153" spans="1:45" x14ac:dyDescent="0.35">
      <c r="A153" s="570">
        <v>300433172</v>
      </c>
      <c r="B153" s="570">
        <v>44</v>
      </c>
      <c r="C153" s="570">
        <v>15</v>
      </c>
      <c r="D153" s="570">
        <v>5</v>
      </c>
      <c r="E153" s="570">
        <v>0</v>
      </c>
      <c r="F153" s="570">
        <v>17.91</v>
      </c>
      <c r="G153" s="570" t="s">
        <v>1000</v>
      </c>
      <c r="H153" s="570">
        <v>2</v>
      </c>
      <c r="I153" s="570">
        <v>0</v>
      </c>
      <c r="J153" s="570">
        <v>5</v>
      </c>
      <c r="K153" s="570">
        <v>0</v>
      </c>
      <c r="L153" s="570">
        <v>0</v>
      </c>
      <c r="M153" s="570">
        <v>0</v>
      </c>
      <c r="N153" s="570" t="s">
        <v>1001</v>
      </c>
      <c r="O153" s="570">
        <v>1</v>
      </c>
      <c r="P153" s="571">
        <v>43714</v>
      </c>
      <c r="Q153" s="570">
        <v>35.094448049999997</v>
      </c>
      <c r="R153" s="570">
        <v>-97.422290259999997</v>
      </c>
      <c r="S153" s="570">
        <v>21.22</v>
      </c>
      <c r="T153" s="570" t="s">
        <v>1002</v>
      </c>
      <c r="U153" s="570" t="s">
        <v>1002</v>
      </c>
      <c r="V153" s="570">
        <v>6</v>
      </c>
      <c r="W153" s="570">
        <v>2</v>
      </c>
      <c r="X153" s="570" t="s">
        <v>1024</v>
      </c>
      <c r="Y153" s="570" t="s">
        <v>1026</v>
      </c>
      <c r="Z153" s="570">
        <v>1</v>
      </c>
      <c r="AA153" s="570">
        <v>0</v>
      </c>
      <c r="AB153" s="570">
        <v>0</v>
      </c>
      <c r="AC153" s="570">
        <v>0</v>
      </c>
      <c r="AD153" s="570">
        <v>0</v>
      </c>
      <c r="AE153" s="570" t="s">
        <v>1022</v>
      </c>
      <c r="AF153" s="570">
        <v>14</v>
      </c>
      <c r="AG153" s="570" t="s">
        <v>1005</v>
      </c>
      <c r="AH153" s="570">
        <v>0</v>
      </c>
      <c r="AI153" s="570" t="s">
        <v>1006</v>
      </c>
      <c r="AJ153" s="570">
        <v>20</v>
      </c>
      <c r="AK153" s="570">
        <v>14</v>
      </c>
      <c r="AL153" s="570">
        <v>1</v>
      </c>
      <c r="AM153" s="570">
        <v>0</v>
      </c>
      <c r="AN153" s="570">
        <v>16</v>
      </c>
      <c r="AO153" s="570" t="s">
        <v>1009</v>
      </c>
      <c r="AP153" s="570" t="s">
        <v>1002</v>
      </c>
      <c r="AQ153" s="570">
        <v>1</v>
      </c>
      <c r="AR153" s="570"/>
      <c r="AS153" s="570">
        <v>4</v>
      </c>
    </row>
    <row r="154" spans="1:45" x14ac:dyDescent="0.35">
      <c r="A154" s="570">
        <v>300433172</v>
      </c>
      <c r="B154" s="570">
        <v>44</v>
      </c>
      <c r="C154" s="570">
        <v>15</v>
      </c>
      <c r="D154" s="570">
        <v>5</v>
      </c>
      <c r="E154" s="570">
        <v>0</v>
      </c>
      <c r="F154" s="570">
        <v>17.91</v>
      </c>
      <c r="G154" s="570" t="s">
        <v>1000</v>
      </c>
      <c r="H154" s="570">
        <v>2</v>
      </c>
      <c r="I154" s="570">
        <v>0</v>
      </c>
      <c r="J154" s="570">
        <v>5</v>
      </c>
      <c r="K154" s="570">
        <v>0</v>
      </c>
      <c r="L154" s="570">
        <v>0</v>
      </c>
      <c r="M154" s="570">
        <v>0</v>
      </c>
      <c r="N154" s="570" t="s">
        <v>1001</v>
      </c>
      <c r="O154" s="570">
        <v>1</v>
      </c>
      <c r="P154" s="571">
        <v>43714</v>
      </c>
      <c r="Q154" s="570">
        <v>35.094448049999997</v>
      </c>
      <c r="R154" s="570">
        <v>-97.422290259999997</v>
      </c>
      <c r="S154" s="570">
        <v>21.22</v>
      </c>
      <c r="T154" s="570" t="s">
        <v>1002</v>
      </c>
      <c r="U154" s="570" t="s">
        <v>1002</v>
      </c>
      <c r="V154" s="570">
        <v>6</v>
      </c>
      <c r="W154" s="570">
        <v>2</v>
      </c>
      <c r="X154" s="570" t="s">
        <v>1024</v>
      </c>
      <c r="Y154" s="570" t="s">
        <v>1026</v>
      </c>
      <c r="Z154" s="570">
        <v>1</v>
      </c>
      <c r="AA154" s="570">
        <v>0</v>
      </c>
      <c r="AB154" s="570">
        <v>0</v>
      </c>
      <c r="AC154" s="570">
        <v>0</v>
      </c>
      <c r="AD154" s="570">
        <v>0</v>
      </c>
      <c r="AE154" s="570" t="s">
        <v>1022</v>
      </c>
      <c r="AF154" s="570">
        <v>14</v>
      </c>
      <c r="AG154" s="570" t="s">
        <v>1005</v>
      </c>
      <c r="AH154" s="570">
        <v>0</v>
      </c>
      <c r="AI154" s="570" t="s">
        <v>1006</v>
      </c>
      <c r="AJ154" s="570">
        <v>20</v>
      </c>
      <c r="AK154" s="570">
        <v>98</v>
      </c>
      <c r="AL154" s="570">
        <v>1</v>
      </c>
      <c r="AM154" s="570">
        <v>0</v>
      </c>
      <c r="AN154" s="570">
        <v>48</v>
      </c>
      <c r="AO154" s="570" t="s">
        <v>1007</v>
      </c>
      <c r="AP154" s="570" t="s">
        <v>1008</v>
      </c>
      <c r="AQ154" s="570">
        <v>1</v>
      </c>
      <c r="AR154" s="570">
        <v>1</v>
      </c>
      <c r="AS154" s="570">
        <v>4</v>
      </c>
    </row>
    <row r="155" spans="1:45" x14ac:dyDescent="0.35">
      <c r="A155" s="570">
        <v>300433172</v>
      </c>
      <c r="B155" s="570">
        <v>44</v>
      </c>
      <c r="C155" s="570">
        <v>15</v>
      </c>
      <c r="D155" s="570">
        <v>5</v>
      </c>
      <c r="E155" s="570">
        <v>0</v>
      </c>
      <c r="F155" s="570">
        <v>17.91</v>
      </c>
      <c r="G155" s="570" t="s">
        <v>1000</v>
      </c>
      <c r="H155" s="570">
        <v>2</v>
      </c>
      <c r="I155" s="570">
        <v>0</v>
      </c>
      <c r="J155" s="570">
        <v>5</v>
      </c>
      <c r="K155" s="570">
        <v>0</v>
      </c>
      <c r="L155" s="570">
        <v>0</v>
      </c>
      <c r="M155" s="570">
        <v>0</v>
      </c>
      <c r="N155" s="570" t="s">
        <v>1001</v>
      </c>
      <c r="O155" s="570">
        <v>1</v>
      </c>
      <c r="P155" s="571">
        <v>43714</v>
      </c>
      <c r="Q155" s="570">
        <v>35.094448049999997</v>
      </c>
      <c r="R155" s="570">
        <v>-97.422290259999997</v>
      </c>
      <c r="S155" s="570">
        <v>21.22</v>
      </c>
      <c r="T155" s="570" t="s">
        <v>1002</v>
      </c>
      <c r="U155" s="570" t="s">
        <v>1002</v>
      </c>
      <c r="V155" s="570">
        <v>6</v>
      </c>
      <c r="W155" s="570">
        <v>2</v>
      </c>
      <c r="X155" s="570" t="s">
        <v>1024</v>
      </c>
      <c r="Y155" s="570" t="s">
        <v>1026</v>
      </c>
      <c r="Z155" s="570">
        <v>1</v>
      </c>
      <c r="AA155" s="570">
        <v>0</v>
      </c>
      <c r="AB155" s="570">
        <v>0</v>
      </c>
      <c r="AC155" s="570">
        <v>0</v>
      </c>
      <c r="AD155" s="570">
        <v>0</v>
      </c>
      <c r="AE155" s="570" t="s">
        <v>1022</v>
      </c>
      <c r="AF155" s="570">
        <v>14</v>
      </c>
      <c r="AG155" s="570" t="s">
        <v>1005</v>
      </c>
      <c r="AH155" s="570">
        <v>0</v>
      </c>
      <c r="AI155" s="570" t="s">
        <v>1006</v>
      </c>
      <c r="AJ155" s="570">
        <v>20</v>
      </c>
      <c r="AK155" s="570">
        <v>98</v>
      </c>
      <c r="AL155" s="570">
        <v>1</v>
      </c>
      <c r="AM155" s="570">
        <v>0</v>
      </c>
      <c r="AN155" s="570">
        <v>0</v>
      </c>
      <c r="AO155" s="570">
        <v>9</v>
      </c>
      <c r="AP155" s="570" t="s">
        <v>1002</v>
      </c>
      <c r="AQ155" s="570"/>
      <c r="AR155" s="570"/>
      <c r="AS155" s="570"/>
    </row>
    <row r="156" spans="1:45" x14ac:dyDescent="0.35">
      <c r="A156" s="570">
        <v>300433172</v>
      </c>
      <c r="B156" s="570">
        <v>44</v>
      </c>
      <c r="C156" s="570">
        <v>15</v>
      </c>
      <c r="D156" s="570">
        <v>5</v>
      </c>
      <c r="E156" s="570">
        <v>0</v>
      </c>
      <c r="F156" s="570">
        <v>17.91</v>
      </c>
      <c r="G156" s="570" t="s">
        <v>1000</v>
      </c>
      <c r="H156" s="570">
        <v>2</v>
      </c>
      <c r="I156" s="570">
        <v>0</v>
      </c>
      <c r="J156" s="570">
        <v>5</v>
      </c>
      <c r="K156" s="570">
        <v>0</v>
      </c>
      <c r="L156" s="570">
        <v>0</v>
      </c>
      <c r="M156" s="570">
        <v>0</v>
      </c>
      <c r="N156" s="570" t="s">
        <v>1001</v>
      </c>
      <c r="O156" s="570">
        <v>1</v>
      </c>
      <c r="P156" s="571">
        <v>43714</v>
      </c>
      <c r="Q156" s="570">
        <v>35.094448049999997</v>
      </c>
      <c r="R156" s="570">
        <v>-97.422290259999997</v>
      </c>
      <c r="S156" s="570">
        <v>21.22</v>
      </c>
      <c r="T156" s="570" t="s">
        <v>1002</v>
      </c>
      <c r="U156" s="570" t="s">
        <v>1002</v>
      </c>
      <c r="V156" s="570">
        <v>6</v>
      </c>
      <c r="W156" s="570">
        <v>2</v>
      </c>
      <c r="X156" s="570" t="s">
        <v>1024</v>
      </c>
      <c r="Y156" s="570" t="s">
        <v>1026</v>
      </c>
      <c r="Z156" s="570">
        <v>1</v>
      </c>
      <c r="AA156" s="570">
        <v>0</v>
      </c>
      <c r="AB156" s="570">
        <v>0</v>
      </c>
      <c r="AC156" s="570">
        <v>0</v>
      </c>
      <c r="AD156" s="570">
        <v>0</v>
      </c>
      <c r="AE156" s="570" t="s">
        <v>1022</v>
      </c>
      <c r="AF156" s="570">
        <v>14</v>
      </c>
      <c r="AG156" s="570" t="s">
        <v>1005</v>
      </c>
      <c r="AH156" s="570">
        <v>0</v>
      </c>
      <c r="AI156" s="570" t="s">
        <v>1006</v>
      </c>
      <c r="AJ156" s="570">
        <v>20</v>
      </c>
      <c r="AK156" s="570">
        <v>98</v>
      </c>
      <c r="AL156" s="570">
        <v>1</v>
      </c>
      <c r="AM156" s="570">
        <v>0</v>
      </c>
      <c r="AN156" s="570">
        <v>44</v>
      </c>
      <c r="AO156" s="570" t="s">
        <v>1007</v>
      </c>
      <c r="AP156" s="570" t="s">
        <v>1002</v>
      </c>
      <c r="AQ156" s="570">
        <v>1</v>
      </c>
      <c r="AR156" s="570"/>
      <c r="AS156" s="570">
        <v>4</v>
      </c>
    </row>
    <row r="157" spans="1:45" x14ac:dyDescent="0.35">
      <c r="A157" s="570">
        <v>300435412</v>
      </c>
      <c r="B157" s="570">
        <v>44</v>
      </c>
      <c r="C157" s="570">
        <v>15</v>
      </c>
      <c r="D157" s="570">
        <v>5</v>
      </c>
      <c r="E157" s="570">
        <v>0</v>
      </c>
      <c r="F157" s="570">
        <v>17.579999999999998</v>
      </c>
      <c r="G157" s="570" t="s">
        <v>1000</v>
      </c>
      <c r="H157" s="570">
        <v>2</v>
      </c>
      <c r="I157" s="570">
        <v>0</v>
      </c>
      <c r="J157" s="570">
        <v>0</v>
      </c>
      <c r="K157" s="570">
        <v>0</v>
      </c>
      <c r="L157" s="570">
        <v>0</v>
      </c>
      <c r="M157" s="570">
        <v>0</v>
      </c>
      <c r="N157" s="570" t="s">
        <v>1039</v>
      </c>
      <c r="O157" s="570">
        <v>2</v>
      </c>
      <c r="P157" s="571">
        <v>43735</v>
      </c>
      <c r="Q157" s="570">
        <v>35.090639080000003</v>
      </c>
      <c r="R157" s="570">
        <v>-97.418760800000001</v>
      </c>
      <c r="S157" s="570">
        <v>2.25</v>
      </c>
      <c r="T157" s="570" t="s">
        <v>1008</v>
      </c>
      <c r="U157" s="570" t="s">
        <v>1002</v>
      </c>
      <c r="V157" s="570">
        <v>6</v>
      </c>
      <c r="W157" s="570">
        <v>2</v>
      </c>
      <c r="X157" s="570" t="s">
        <v>1024</v>
      </c>
      <c r="Y157" s="570" t="s">
        <v>1040</v>
      </c>
      <c r="Z157" s="570">
        <v>1</v>
      </c>
      <c r="AA157" s="570">
        <v>0</v>
      </c>
      <c r="AB157" s="570">
        <v>0</v>
      </c>
      <c r="AC157" s="570">
        <v>1</v>
      </c>
      <c r="AD157" s="570">
        <v>0</v>
      </c>
      <c r="AE157" s="570" t="s">
        <v>1041</v>
      </c>
      <c r="AF157" s="570">
        <v>80</v>
      </c>
      <c r="AG157" s="570" t="s">
        <v>1020</v>
      </c>
      <c r="AH157" s="570">
        <v>0</v>
      </c>
      <c r="AI157" s="570" t="s">
        <v>1006</v>
      </c>
      <c r="AJ157" s="570">
        <v>10</v>
      </c>
      <c r="AK157" s="570">
        <v>80</v>
      </c>
      <c r="AL157" s="570">
        <v>1</v>
      </c>
      <c r="AM157" s="570">
        <v>0</v>
      </c>
      <c r="AN157" s="570">
        <v>40</v>
      </c>
      <c r="AO157" s="570" t="s">
        <v>1009</v>
      </c>
      <c r="AP157" s="570" t="s">
        <v>1008</v>
      </c>
      <c r="AQ157" s="570">
        <v>2</v>
      </c>
      <c r="AR157" s="570">
        <v>2</v>
      </c>
      <c r="AS157" s="570">
        <v>4</v>
      </c>
    </row>
    <row r="158" spans="1:45" x14ac:dyDescent="0.35">
      <c r="A158" s="570">
        <v>300435412</v>
      </c>
      <c r="B158" s="570">
        <v>44</v>
      </c>
      <c r="C158" s="570">
        <v>15</v>
      </c>
      <c r="D158" s="570">
        <v>5</v>
      </c>
      <c r="E158" s="570">
        <v>0</v>
      </c>
      <c r="F158" s="570">
        <v>17.579999999999998</v>
      </c>
      <c r="G158" s="570" t="s">
        <v>1000</v>
      </c>
      <c r="H158" s="570">
        <v>2</v>
      </c>
      <c r="I158" s="570">
        <v>0</v>
      </c>
      <c r="J158" s="570">
        <v>0</v>
      </c>
      <c r="K158" s="570">
        <v>0</v>
      </c>
      <c r="L158" s="570">
        <v>0</v>
      </c>
      <c r="M158" s="570">
        <v>0</v>
      </c>
      <c r="N158" s="570" t="s">
        <v>1039</v>
      </c>
      <c r="O158" s="570">
        <v>2</v>
      </c>
      <c r="P158" s="571">
        <v>43735</v>
      </c>
      <c r="Q158" s="570">
        <v>35.090639080000003</v>
      </c>
      <c r="R158" s="570">
        <v>-97.418760800000001</v>
      </c>
      <c r="S158" s="570">
        <v>2.25</v>
      </c>
      <c r="T158" s="570" t="s">
        <v>1008</v>
      </c>
      <c r="U158" s="570" t="s">
        <v>1002</v>
      </c>
      <c r="V158" s="570">
        <v>6</v>
      </c>
      <c r="W158" s="570">
        <v>2</v>
      </c>
      <c r="X158" s="570" t="s">
        <v>1024</v>
      </c>
      <c r="Y158" s="570" t="s">
        <v>1040</v>
      </c>
      <c r="Z158" s="570">
        <v>1</v>
      </c>
      <c r="AA158" s="570">
        <v>0</v>
      </c>
      <c r="AB158" s="570">
        <v>0</v>
      </c>
      <c r="AC158" s="570">
        <v>1</v>
      </c>
      <c r="AD158" s="570">
        <v>0</v>
      </c>
      <c r="AE158" s="570" t="s">
        <v>1041</v>
      </c>
      <c r="AF158" s="570">
        <v>80</v>
      </c>
      <c r="AG158" s="570" t="s">
        <v>1020</v>
      </c>
      <c r="AH158" s="570">
        <v>0</v>
      </c>
      <c r="AI158" s="570" t="s">
        <v>1006</v>
      </c>
      <c r="AJ158" s="570">
        <v>10</v>
      </c>
      <c r="AK158" s="570">
        <v>80</v>
      </c>
      <c r="AL158" s="570">
        <v>1</v>
      </c>
      <c r="AM158" s="570">
        <v>0</v>
      </c>
      <c r="AN158" s="570">
        <v>0</v>
      </c>
      <c r="AO158" s="570">
        <v>9</v>
      </c>
      <c r="AP158" s="570" t="s">
        <v>1002</v>
      </c>
      <c r="AQ158" s="570"/>
      <c r="AR158" s="570"/>
      <c r="AS158" s="570"/>
    </row>
    <row r="159" spans="1:45" x14ac:dyDescent="0.35">
      <c r="A159" s="570">
        <v>300437406</v>
      </c>
      <c r="B159" s="570">
        <v>44</v>
      </c>
      <c r="C159" s="570">
        <v>15</v>
      </c>
      <c r="D159" s="570">
        <v>5</v>
      </c>
      <c r="E159" s="570">
        <v>0</v>
      </c>
      <c r="F159" s="570">
        <v>17.53</v>
      </c>
      <c r="G159" s="570" t="s">
        <v>1000</v>
      </c>
      <c r="H159" s="570">
        <v>2</v>
      </c>
      <c r="I159" s="570">
        <v>0</v>
      </c>
      <c r="J159" s="570">
        <v>0</v>
      </c>
      <c r="K159" s="570">
        <v>0</v>
      </c>
      <c r="L159" s="570">
        <v>0</v>
      </c>
      <c r="M159" s="570">
        <v>0</v>
      </c>
      <c r="N159" s="570" t="s">
        <v>1028</v>
      </c>
      <c r="O159" s="570">
        <v>1</v>
      </c>
      <c r="P159" s="571">
        <v>43755</v>
      </c>
      <c r="Q159" s="570">
        <v>35.090067349999998</v>
      </c>
      <c r="R159" s="570">
        <v>-97.418217499999997</v>
      </c>
      <c r="S159" s="570">
        <v>14.55</v>
      </c>
      <c r="T159" s="570" t="s">
        <v>1002</v>
      </c>
      <c r="U159" s="570" t="s">
        <v>1002</v>
      </c>
      <c r="V159" s="570">
        <v>5</v>
      </c>
      <c r="W159" s="570">
        <v>1</v>
      </c>
      <c r="X159" s="570" t="s">
        <v>1000</v>
      </c>
      <c r="Y159" s="570" t="s">
        <v>1034</v>
      </c>
      <c r="Z159" s="570">
        <v>1</v>
      </c>
      <c r="AA159" s="570">
        <v>0</v>
      </c>
      <c r="AB159" s="570">
        <v>0</v>
      </c>
      <c r="AC159" s="570">
        <v>0</v>
      </c>
      <c r="AD159" s="570">
        <v>0</v>
      </c>
      <c r="AE159" s="570" t="s">
        <v>1031</v>
      </c>
      <c r="AF159" s="570">
        <v>38</v>
      </c>
      <c r="AG159" s="570" t="s">
        <v>1005</v>
      </c>
      <c r="AH159" s="570">
        <v>0</v>
      </c>
      <c r="AI159" s="570" t="s">
        <v>1006</v>
      </c>
      <c r="AJ159" s="570">
        <v>4</v>
      </c>
      <c r="AK159" s="570">
        <v>38</v>
      </c>
      <c r="AL159" s="570">
        <v>1</v>
      </c>
      <c r="AM159" s="570">
        <v>0</v>
      </c>
      <c r="AN159" s="570">
        <v>35</v>
      </c>
      <c r="AO159" s="570" t="s">
        <v>1007</v>
      </c>
      <c r="AP159" s="570" t="s">
        <v>1008</v>
      </c>
      <c r="AQ159" s="570">
        <v>1</v>
      </c>
      <c r="AR159" s="570">
        <v>1</v>
      </c>
      <c r="AS159" s="570">
        <v>4</v>
      </c>
    </row>
    <row r="160" spans="1:45" x14ac:dyDescent="0.35">
      <c r="A160" s="570">
        <v>300437406</v>
      </c>
      <c r="B160" s="570">
        <v>44</v>
      </c>
      <c r="C160" s="570">
        <v>15</v>
      </c>
      <c r="D160" s="570">
        <v>5</v>
      </c>
      <c r="E160" s="570">
        <v>0</v>
      </c>
      <c r="F160" s="570">
        <v>17.53</v>
      </c>
      <c r="G160" s="570" t="s">
        <v>1000</v>
      </c>
      <c r="H160" s="570">
        <v>2</v>
      </c>
      <c r="I160" s="570">
        <v>0</v>
      </c>
      <c r="J160" s="570">
        <v>0</v>
      </c>
      <c r="K160" s="570">
        <v>0</v>
      </c>
      <c r="L160" s="570">
        <v>0</v>
      </c>
      <c r="M160" s="570">
        <v>0</v>
      </c>
      <c r="N160" s="570" t="s">
        <v>1028</v>
      </c>
      <c r="O160" s="570">
        <v>1</v>
      </c>
      <c r="P160" s="571">
        <v>43755</v>
      </c>
      <c r="Q160" s="570">
        <v>35.090067349999998</v>
      </c>
      <c r="R160" s="570">
        <v>-97.418217499999997</v>
      </c>
      <c r="S160" s="570">
        <v>14.55</v>
      </c>
      <c r="T160" s="570" t="s">
        <v>1002</v>
      </c>
      <c r="U160" s="570" t="s">
        <v>1002</v>
      </c>
      <c r="V160" s="570">
        <v>5</v>
      </c>
      <c r="W160" s="570">
        <v>1</v>
      </c>
      <c r="X160" s="570" t="s">
        <v>1000</v>
      </c>
      <c r="Y160" s="570" t="s">
        <v>1034</v>
      </c>
      <c r="Z160" s="570">
        <v>1</v>
      </c>
      <c r="AA160" s="570">
        <v>0</v>
      </c>
      <c r="AB160" s="570">
        <v>0</v>
      </c>
      <c r="AC160" s="570">
        <v>0</v>
      </c>
      <c r="AD160" s="570">
        <v>0</v>
      </c>
      <c r="AE160" s="570" t="s">
        <v>1031</v>
      </c>
      <c r="AF160" s="570">
        <v>38</v>
      </c>
      <c r="AG160" s="570" t="s">
        <v>1005</v>
      </c>
      <c r="AH160" s="570">
        <v>0</v>
      </c>
      <c r="AI160" s="570" t="s">
        <v>1006</v>
      </c>
      <c r="AJ160" s="570">
        <v>4</v>
      </c>
      <c r="AK160" s="570">
        <v>38</v>
      </c>
      <c r="AL160" s="570">
        <v>1</v>
      </c>
      <c r="AM160" s="570">
        <v>0</v>
      </c>
      <c r="AN160" s="570">
        <v>0</v>
      </c>
      <c r="AO160" s="570">
        <v>9</v>
      </c>
      <c r="AP160" s="570" t="s">
        <v>1002</v>
      </c>
      <c r="AQ160" s="570"/>
      <c r="AR160" s="570"/>
      <c r="AS160" s="570"/>
    </row>
    <row r="161" spans="1:45" x14ac:dyDescent="0.35">
      <c r="A161" s="570">
        <v>300437406</v>
      </c>
      <c r="B161" s="570">
        <v>44</v>
      </c>
      <c r="C161" s="570">
        <v>15</v>
      </c>
      <c r="D161" s="570">
        <v>5</v>
      </c>
      <c r="E161" s="570">
        <v>0</v>
      </c>
      <c r="F161" s="570">
        <v>17.53</v>
      </c>
      <c r="G161" s="570" t="s">
        <v>1000</v>
      </c>
      <c r="H161" s="570">
        <v>2</v>
      </c>
      <c r="I161" s="570">
        <v>0</v>
      </c>
      <c r="J161" s="570">
        <v>0</v>
      </c>
      <c r="K161" s="570">
        <v>0</v>
      </c>
      <c r="L161" s="570">
        <v>0</v>
      </c>
      <c r="M161" s="570">
        <v>0</v>
      </c>
      <c r="N161" s="570" t="s">
        <v>1028</v>
      </c>
      <c r="O161" s="570">
        <v>1</v>
      </c>
      <c r="P161" s="571">
        <v>43755</v>
      </c>
      <c r="Q161" s="570">
        <v>35.090067349999998</v>
      </c>
      <c r="R161" s="570">
        <v>-97.418217499999997</v>
      </c>
      <c r="S161" s="570">
        <v>14.55</v>
      </c>
      <c r="T161" s="570" t="s">
        <v>1002</v>
      </c>
      <c r="U161" s="570" t="s">
        <v>1002</v>
      </c>
      <c r="V161" s="570">
        <v>5</v>
      </c>
      <c r="W161" s="570">
        <v>1</v>
      </c>
      <c r="X161" s="570" t="s">
        <v>1000</v>
      </c>
      <c r="Y161" s="570" t="s">
        <v>1034</v>
      </c>
      <c r="Z161" s="570">
        <v>1</v>
      </c>
      <c r="AA161" s="570">
        <v>0</v>
      </c>
      <c r="AB161" s="570">
        <v>0</v>
      </c>
      <c r="AC161" s="570">
        <v>0</v>
      </c>
      <c r="AD161" s="570">
        <v>0</v>
      </c>
      <c r="AE161" s="570" t="s">
        <v>1031</v>
      </c>
      <c r="AF161" s="570">
        <v>38</v>
      </c>
      <c r="AG161" s="570" t="s">
        <v>1005</v>
      </c>
      <c r="AH161" s="570">
        <v>0</v>
      </c>
      <c r="AI161" s="570" t="s">
        <v>1006</v>
      </c>
      <c r="AJ161" s="570">
        <v>4</v>
      </c>
      <c r="AK161" s="570">
        <v>98</v>
      </c>
      <c r="AL161" s="570">
        <v>1</v>
      </c>
      <c r="AM161" s="570">
        <v>0</v>
      </c>
      <c r="AN161" s="570">
        <v>31</v>
      </c>
      <c r="AO161" s="570" t="s">
        <v>1009</v>
      </c>
      <c r="AP161" s="570" t="s">
        <v>1008</v>
      </c>
      <c r="AQ161" s="570">
        <v>1</v>
      </c>
      <c r="AR161" s="570">
        <v>1</v>
      </c>
      <c r="AS161" s="570">
        <v>4</v>
      </c>
    </row>
    <row r="162" spans="1:45" x14ac:dyDescent="0.35">
      <c r="A162" s="570">
        <v>300437406</v>
      </c>
      <c r="B162" s="570">
        <v>44</v>
      </c>
      <c r="C162" s="570">
        <v>15</v>
      </c>
      <c r="D162" s="570">
        <v>5</v>
      </c>
      <c r="E162" s="570">
        <v>0</v>
      </c>
      <c r="F162" s="570">
        <v>17.53</v>
      </c>
      <c r="G162" s="570" t="s">
        <v>1000</v>
      </c>
      <c r="H162" s="570">
        <v>2</v>
      </c>
      <c r="I162" s="570">
        <v>0</v>
      </c>
      <c r="J162" s="570">
        <v>0</v>
      </c>
      <c r="K162" s="570">
        <v>0</v>
      </c>
      <c r="L162" s="570">
        <v>0</v>
      </c>
      <c r="M162" s="570">
        <v>0</v>
      </c>
      <c r="N162" s="570" t="s">
        <v>1028</v>
      </c>
      <c r="O162" s="570">
        <v>1</v>
      </c>
      <c r="P162" s="571">
        <v>43755</v>
      </c>
      <c r="Q162" s="570">
        <v>35.090067349999998</v>
      </c>
      <c r="R162" s="570">
        <v>-97.418217499999997</v>
      </c>
      <c r="S162" s="570">
        <v>14.55</v>
      </c>
      <c r="T162" s="570" t="s">
        <v>1002</v>
      </c>
      <c r="U162" s="570" t="s">
        <v>1002</v>
      </c>
      <c r="V162" s="570">
        <v>5</v>
      </c>
      <c r="W162" s="570">
        <v>1</v>
      </c>
      <c r="X162" s="570" t="s">
        <v>1000</v>
      </c>
      <c r="Y162" s="570" t="s">
        <v>1034</v>
      </c>
      <c r="Z162" s="570">
        <v>1</v>
      </c>
      <c r="AA162" s="570">
        <v>0</v>
      </c>
      <c r="AB162" s="570">
        <v>0</v>
      </c>
      <c r="AC162" s="570">
        <v>0</v>
      </c>
      <c r="AD162" s="570">
        <v>0</v>
      </c>
      <c r="AE162" s="570" t="s">
        <v>1031</v>
      </c>
      <c r="AF162" s="570">
        <v>38</v>
      </c>
      <c r="AG162" s="570" t="s">
        <v>1005</v>
      </c>
      <c r="AH162" s="570">
        <v>0</v>
      </c>
      <c r="AI162" s="570" t="s">
        <v>1006</v>
      </c>
      <c r="AJ162" s="570">
        <v>4</v>
      </c>
      <c r="AK162" s="570">
        <v>98</v>
      </c>
      <c r="AL162" s="570">
        <v>1</v>
      </c>
      <c r="AM162" s="570">
        <v>0</v>
      </c>
      <c r="AN162" s="570">
        <v>0</v>
      </c>
      <c r="AO162" s="570">
        <v>9</v>
      </c>
      <c r="AP162" s="570" t="s">
        <v>1002</v>
      </c>
      <c r="AQ162" s="570"/>
      <c r="AR162" s="570"/>
      <c r="AS162" s="570"/>
    </row>
    <row r="163" spans="1:45" x14ac:dyDescent="0.35">
      <c r="A163" s="570">
        <v>300438406</v>
      </c>
      <c r="B163" s="570">
        <v>44</v>
      </c>
      <c r="C163" s="570">
        <v>15</v>
      </c>
      <c r="D163" s="570">
        <v>5</v>
      </c>
      <c r="E163" s="570">
        <v>0</v>
      </c>
      <c r="F163" s="570">
        <v>17.100000000000001</v>
      </c>
      <c r="G163" s="570" t="s">
        <v>1000</v>
      </c>
      <c r="H163" s="570">
        <v>2</v>
      </c>
      <c r="I163" s="570">
        <v>0</v>
      </c>
      <c r="J163" s="570">
        <v>0</v>
      </c>
      <c r="K163" s="570">
        <v>0</v>
      </c>
      <c r="L163" s="570">
        <v>0</v>
      </c>
      <c r="M163" s="570">
        <v>0</v>
      </c>
      <c r="N163" s="570" t="s">
        <v>1010</v>
      </c>
      <c r="O163" s="570">
        <v>2</v>
      </c>
      <c r="P163" s="571">
        <v>43755</v>
      </c>
      <c r="Q163" s="570">
        <v>35.085176130000001</v>
      </c>
      <c r="R163" s="570">
        <v>-97.413505830000005</v>
      </c>
      <c r="S163" s="570">
        <v>18.07</v>
      </c>
      <c r="T163" s="570" t="s">
        <v>1002</v>
      </c>
      <c r="U163" s="570" t="s">
        <v>1002</v>
      </c>
      <c r="V163" s="570">
        <v>5</v>
      </c>
      <c r="W163" s="570">
        <v>1</v>
      </c>
      <c r="X163" s="570" t="s">
        <v>1000</v>
      </c>
      <c r="Y163" s="570" t="s">
        <v>1027</v>
      </c>
      <c r="Z163" s="570">
        <v>3</v>
      </c>
      <c r="AA163" s="570">
        <v>0</v>
      </c>
      <c r="AB163" s="570">
        <v>0</v>
      </c>
      <c r="AC163" s="570">
        <v>1</v>
      </c>
      <c r="AD163" s="570">
        <v>0</v>
      </c>
      <c r="AE163" s="570" t="s">
        <v>1011</v>
      </c>
      <c r="AF163" s="570">
        <v>18</v>
      </c>
      <c r="AG163" s="570" t="s">
        <v>1012</v>
      </c>
      <c r="AH163" s="570">
        <v>0</v>
      </c>
      <c r="AI163" s="570" t="s">
        <v>1006</v>
      </c>
      <c r="AJ163" s="570">
        <v>2</v>
      </c>
      <c r="AK163" s="570">
        <v>18</v>
      </c>
      <c r="AL163" s="570">
        <v>1</v>
      </c>
      <c r="AM163" s="570">
        <v>0</v>
      </c>
      <c r="AN163" s="570">
        <v>27</v>
      </c>
      <c r="AO163" s="570" t="s">
        <v>1007</v>
      </c>
      <c r="AP163" s="570" t="s">
        <v>1008</v>
      </c>
      <c r="AQ163" s="570">
        <v>2</v>
      </c>
      <c r="AR163" s="570">
        <v>10</v>
      </c>
      <c r="AS163" s="570">
        <v>4</v>
      </c>
    </row>
    <row r="164" spans="1:45" x14ac:dyDescent="0.35">
      <c r="A164" s="570">
        <v>300438406</v>
      </c>
      <c r="B164" s="570">
        <v>44</v>
      </c>
      <c r="C164" s="570">
        <v>15</v>
      </c>
      <c r="D164" s="570">
        <v>5</v>
      </c>
      <c r="E164" s="570">
        <v>0</v>
      </c>
      <c r="F164" s="570">
        <v>17.100000000000001</v>
      </c>
      <c r="G164" s="570" t="s">
        <v>1000</v>
      </c>
      <c r="H164" s="570">
        <v>2</v>
      </c>
      <c r="I164" s="570">
        <v>0</v>
      </c>
      <c r="J164" s="570">
        <v>0</v>
      </c>
      <c r="K164" s="570">
        <v>0</v>
      </c>
      <c r="L164" s="570">
        <v>0</v>
      </c>
      <c r="M164" s="570">
        <v>0</v>
      </c>
      <c r="N164" s="570" t="s">
        <v>1010</v>
      </c>
      <c r="O164" s="570">
        <v>2</v>
      </c>
      <c r="P164" s="571">
        <v>43755</v>
      </c>
      <c r="Q164" s="570">
        <v>35.085176130000001</v>
      </c>
      <c r="R164" s="570">
        <v>-97.413505830000005</v>
      </c>
      <c r="S164" s="570">
        <v>18.07</v>
      </c>
      <c r="T164" s="570" t="s">
        <v>1002</v>
      </c>
      <c r="U164" s="570" t="s">
        <v>1002</v>
      </c>
      <c r="V164" s="570">
        <v>5</v>
      </c>
      <c r="W164" s="570">
        <v>1</v>
      </c>
      <c r="X164" s="570" t="s">
        <v>1000</v>
      </c>
      <c r="Y164" s="570" t="s">
        <v>1027</v>
      </c>
      <c r="Z164" s="570">
        <v>3</v>
      </c>
      <c r="AA164" s="570">
        <v>0</v>
      </c>
      <c r="AB164" s="570">
        <v>0</v>
      </c>
      <c r="AC164" s="570">
        <v>1</v>
      </c>
      <c r="AD164" s="570">
        <v>0</v>
      </c>
      <c r="AE164" s="570" t="s">
        <v>1011</v>
      </c>
      <c r="AF164" s="570">
        <v>18</v>
      </c>
      <c r="AG164" s="570" t="s">
        <v>1012</v>
      </c>
      <c r="AH164" s="570">
        <v>0</v>
      </c>
      <c r="AI164" s="570" t="s">
        <v>1006</v>
      </c>
      <c r="AJ164" s="570">
        <v>2</v>
      </c>
      <c r="AK164" s="570">
        <v>18</v>
      </c>
      <c r="AL164" s="570">
        <v>1</v>
      </c>
      <c r="AM164" s="570">
        <v>0</v>
      </c>
      <c r="AN164" s="570">
        <v>0</v>
      </c>
      <c r="AO164" s="570">
        <v>9</v>
      </c>
      <c r="AP164" s="570" t="s">
        <v>1002</v>
      </c>
      <c r="AQ164" s="570"/>
      <c r="AR164" s="570"/>
      <c r="AS164" s="570"/>
    </row>
    <row r="165" spans="1:45" x14ac:dyDescent="0.35">
      <c r="A165" s="570">
        <v>300445330</v>
      </c>
      <c r="B165" s="570">
        <v>44</v>
      </c>
      <c r="C165" s="570">
        <v>15</v>
      </c>
      <c r="D165" s="570">
        <v>5</v>
      </c>
      <c r="E165" s="570">
        <v>0</v>
      </c>
      <c r="F165" s="570">
        <v>17.309999999999999</v>
      </c>
      <c r="G165" s="570" t="s">
        <v>1000</v>
      </c>
      <c r="H165" s="570">
        <v>2</v>
      </c>
      <c r="I165" s="570">
        <v>72</v>
      </c>
      <c r="J165" s="570">
        <v>0</v>
      </c>
      <c r="K165" s="570">
        <v>0</v>
      </c>
      <c r="L165" s="570">
        <v>0</v>
      </c>
      <c r="M165" s="570">
        <v>0</v>
      </c>
      <c r="N165" s="570" t="s">
        <v>1001</v>
      </c>
      <c r="O165" s="570">
        <v>2</v>
      </c>
      <c r="P165" s="571">
        <v>43810</v>
      </c>
      <c r="Q165" s="570">
        <v>35.087572780000002</v>
      </c>
      <c r="R165" s="570">
        <v>-97.415794669999997</v>
      </c>
      <c r="S165" s="570">
        <v>9.49</v>
      </c>
      <c r="T165" s="570" t="s">
        <v>1002</v>
      </c>
      <c r="U165" s="570" t="s">
        <v>1002</v>
      </c>
      <c r="V165" s="570">
        <v>4</v>
      </c>
      <c r="W165" s="570">
        <v>1</v>
      </c>
      <c r="X165" s="570" t="s">
        <v>1024</v>
      </c>
      <c r="Y165" s="570" t="s">
        <v>1042</v>
      </c>
      <c r="Z165" s="570">
        <v>3</v>
      </c>
      <c r="AA165" s="570">
        <v>0</v>
      </c>
      <c r="AB165" s="570">
        <v>0</v>
      </c>
      <c r="AC165" s="570">
        <v>1</v>
      </c>
      <c r="AD165" s="570">
        <v>0</v>
      </c>
      <c r="AE165" s="570" t="s">
        <v>1004</v>
      </c>
      <c r="AF165" s="570">
        <v>71</v>
      </c>
      <c r="AG165" s="570" t="s">
        <v>1012</v>
      </c>
      <c r="AH165" s="570">
        <v>0</v>
      </c>
      <c r="AI165" s="570" t="s">
        <v>1006</v>
      </c>
      <c r="AJ165" s="570">
        <v>20</v>
      </c>
      <c r="AK165" s="570">
        <v>71</v>
      </c>
      <c r="AL165" s="570">
        <v>1</v>
      </c>
      <c r="AM165" s="570">
        <v>0</v>
      </c>
      <c r="AN165" s="570">
        <v>19</v>
      </c>
      <c r="AO165" s="570" t="s">
        <v>1007</v>
      </c>
      <c r="AP165" s="570" t="s">
        <v>1008</v>
      </c>
      <c r="AQ165" s="570">
        <v>2</v>
      </c>
      <c r="AR165" s="570">
        <v>1</v>
      </c>
      <c r="AS165" s="570">
        <v>4</v>
      </c>
    </row>
    <row r="166" spans="1:45" x14ac:dyDescent="0.35">
      <c r="A166" s="570">
        <v>300445330</v>
      </c>
      <c r="B166" s="570">
        <v>44</v>
      </c>
      <c r="C166" s="570">
        <v>15</v>
      </c>
      <c r="D166" s="570">
        <v>5</v>
      </c>
      <c r="E166" s="570">
        <v>0</v>
      </c>
      <c r="F166" s="570">
        <v>17.309999999999999</v>
      </c>
      <c r="G166" s="570" t="s">
        <v>1000</v>
      </c>
      <c r="H166" s="570">
        <v>2</v>
      </c>
      <c r="I166" s="570">
        <v>72</v>
      </c>
      <c r="J166" s="570">
        <v>0</v>
      </c>
      <c r="K166" s="570">
        <v>0</v>
      </c>
      <c r="L166" s="570">
        <v>0</v>
      </c>
      <c r="M166" s="570">
        <v>0</v>
      </c>
      <c r="N166" s="570" t="s">
        <v>1001</v>
      </c>
      <c r="O166" s="570">
        <v>2</v>
      </c>
      <c r="P166" s="571">
        <v>43810</v>
      </c>
      <c r="Q166" s="570">
        <v>35.087572780000002</v>
      </c>
      <c r="R166" s="570">
        <v>-97.415794669999997</v>
      </c>
      <c r="S166" s="570">
        <v>9.49</v>
      </c>
      <c r="T166" s="570" t="s">
        <v>1002</v>
      </c>
      <c r="U166" s="570" t="s">
        <v>1002</v>
      </c>
      <c r="V166" s="570">
        <v>4</v>
      </c>
      <c r="W166" s="570">
        <v>1</v>
      </c>
      <c r="X166" s="570" t="s">
        <v>1024</v>
      </c>
      <c r="Y166" s="570" t="s">
        <v>1042</v>
      </c>
      <c r="Z166" s="570">
        <v>3</v>
      </c>
      <c r="AA166" s="570">
        <v>0</v>
      </c>
      <c r="AB166" s="570">
        <v>0</v>
      </c>
      <c r="AC166" s="570">
        <v>1</v>
      </c>
      <c r="AD166" s="570">
        <v>0</v>
      </c>
      <c r="AE166" s="570" t="s">
        <v>1004</v>
      </c>
      <c r="AF166" s="570">
        <v>71</v>
      </c>
      <c r="AG166" s="570" t="s">
        <v>1012</v>
      </c>
      <c r="AH166" s="570">
        <v>0</v>
      </c>
      <c r="AI166" s="570" t="s">
        <v>1006</v>
      </c>
      <c r="AJ166" s="570">
        <v>20</v>
      </c>
      <c r="AK166" s="570">
        <v>71</v>
      </c>
      <c r="AL166" s="570">
        <v>1</v>
      </c>
      <c r="AM166" s="570">
        <v>0</v>
      </c>
      <c r="AN166" s="570">
        <v>0</v>
      </c>
      <c r="AO166" s="570">
        <v>9</v>
      </c>
      <c r="AP166" s="570" t="s">
        <v>1002</v>
      </c>
      <c r="AQ166" s="570"/>
      <c r="AR166" s="570"/>
      <c r="AS166" s="570"/>
    </row>
    <row r="167" spans="1:45" x14ac:dyDescent="0.35">
      <c r="A167" s="570">
        <v>300445330</v>
      </c>
      <c r="B167" s="570">
        <v>44</v>
      </c>
      <c r="C167" s="570">
        <v>15</v>
      </c>
      <c r="D167" s="570">
        <v>5</v>
      </c>
      <c r="E167" s="570">
        <v>0</v>
      </c>
      <c r="F167" s="570">
        <v>17.309999999999999</v>
      </c>
      <c r="G167" s="570" t="s">
        <v>1000</v>
      </c>
      <c r="H167" s="570">
        <v>2</v>
      </c>
      <c r="I167" s="570">
        <v>72</v>
      </c>
      <c r="J167" s="570">
        <v>0</v>
      </c>
      <c r="K167" s="570">
        <v>0</v>
      </c>
      <c r="L167" s="570">
        <v>0</v>
      </c>
      <c r="M167" s="570">
        <v>0</v>
      </c>
      <c r="N167" s="570" t="s">
        <v>1001</v>
      </c>
      <c r="O167" s="570">
        <v>2</v>
      </c>
      <c r="P167" s="571">
        <v>43810</v>
      </c>
      <c r="Q167" s="570">
        <v>35.087572780000002</v>
      </c>
      <c r="R167" s="570">
        <v>-97.415794669999997</v>
      </c>
      <c r="S167" s="570">
        <v>9.49</v>
      </c>
      <c r="T167" s="570" t="s">
        <v>1002</v>
      </c>
      <c r="U167" s="570" t="s">
        <v>1002</v>
      </c>
      <c r="V167" s="570">
        <v>4</v>
      </c>
      <c r="W167" s="570">
        <v>1</v>
      </c>
      <c r="X167" s="570" t="s">
        <v>1024</v>
      </c>
      <c r="Y167" s="570" t="s">
        <v>1042</v>
      </c>
      <c r="Z167" s="570">
        <v>3</v>
      </c>
      <c r="AA167" s="570">
        <v>0</v>
      </c>
      <c r="AB167" s="570">
        <v>0</v>
      </c>
      <c r="AC167" s="570">
        <v>1</v>
      </c>
      <c r="AD167" s="570">
        <v>0</v>
      </c>
      <c r="AE167" s="570" t="s">
        <v>1004</v>
      </c>
      <c r="AF167" s="570">
        <v>71</v>
      </c>
      <c r="AG167" s="570" t="s">
        <v>1012</v>
      </c>
      <c r="AH167" s="570">
        <v>0</v>
      </c>
      <c r="AI167" s="570" t="s">
        <v>1006</v>
      </c>
      <c r="AJ167" s="570">
        <v>10</v>
      </c>
      <c r="AK167" s="570">
        <v>98</v>
      </c>
      <c r="AL167" s="570">
        <v>1</v>
      </c>
      <c r="AM167" s="570">
        <v>0</v>
      </c>
      <c r="AN167" s="570">
        <v>33</v>
      </c>
      <c r="AO167" s="570" t="s">
        <v>1009</v>
      </c>
      <c r="AP167" s="570" t="s">
        <v>1008</v>
      </c>
      <c r="AQ167" s="570">
        <v>1</v>
      </c>
      <c r="AR167" s="570">
        <v>1</v>
      </c>
      <c r="AS167" s="570">
        <v>4</v>
      </c>
    </row>
    <row r="168" spans="1:45" x14ac:dyDescent="0.35">
      <c r="A168" s="570">
        <v>300445330</v>
      </c>
      <c r="B168" s="570">
        <v>44</v>
      </c>
      <c r="C168" s="570">
        <v>15</v>
      </c>
      <c r="D168" s="570">
        <v>5</v>
      </c>
      <c r="E168" s="570">
        <v>0</v>
      </c>
      <c r="F168" s="570">
        <v>17.309999999999999</v>
      </c>
      <c r="G168" s="570" t="s">
        <v>1000</v>
      </c>
      <c r="H168" s="570">
        <v>2</v>
      </c>
      <c r="I168" s="570">
        <v>72</v>
      </c>
      <c r="J168" s="570">
        <v>0</v>
      </c>
      <c r="K168" s="570">
        <v>0</v>
      </c>
      <c r="L168" s="570">
        <v>0</v>
      </c>
      <c r="M168" s="570">
        <v>0</v>
      </c>
      <c r="N168" s="570" t="s">
        <v>1001</v>
      </c>
      <c r="O168" s="570">
        <v>2</v>
      </c>
      <c r="P168" s="571">
        <v>43810</v>
      </c>
      <c r="Q168" s="570">
        <v>35.087572780000002</v>
      </c>
      <c r="R168" s="570">
        <v>-97.415794669999997</v>
      </c>
      <c r="S168" s="570">
        <v>9.49</v>
      </c>
      <c r="T168" s="570" t="s">
        <v>1002</v>
      </c>
      <c r="U168" s="570" t="s">
        <v>1002</v>
      </c>
      <c r="V168" s="570">
        <v>4</v>
      </c>
      <c r="W168" s="570">
        <v>1</v>
      </c>
      <c r="X168" s="570" t="s">
        <v>1024</v>
      </c>
      <c r="Y168" s="570" t="s">
        <v>1042</v>
      </c>
      <c r="Z168" s="570">
        <v>3</v>
      </c>
      <c r="AA168" s="570">
        <v>0</v>
      </c>
      <c r="AB168" s="570">
        <v>0</v>
      </c>
      <c r="AC168" s="570">
        <v>1</v>
      </c>
      <c r="AD168" s="570">
        <v>0</v>
      </c>
      <c r="AE168" s="570" t="s">
        <v>1004</v>
      </c>
      <c r="AF168" s="570">
        <v>71</v>
      </c>
      <c r="AG168" s="570" t="s">
        <v>1012</v>
      </c>
      <c r="AH168" s="570">
        <v>0</v>
      </c>
      <c r="AI168" s="570" t="s">
        <v>1006</v>
      </c>
      <c r="AJ168" s="570">
        <v>10</v>
      </c>
      <c r="AK168" s="570">
        <v>98</v>
      </c>
      <c r="AL168" s="570">
        <v>1</v>
      </c>
      <c r="AM168" s="570">
        <v>0</v>
      </c>
      <c r="AN168" s="570">
        <v>0</v>
      </c>
      <c r="AO168" s="570">
        <v>9</v>
      </c>
      <c r="AP168" s="570" t="s">
        <v>1002</v>
      </c>
      <c r="AQ168" s="570"/>
      <c r="AR168" s="570"/>
      <c r="AS168" s="570"/>
    </row>
    <row r="169" spans="1:45" x14ac:dyDescent="0.35">
      <c r="A169" s="570">
        <v>300446936</v>
      </c>
      <c r="B169" s="570">
        <v>44</v>
      </c>
      <c r="C169" s="570">
        <v>15</v>
      </c>
      <c r="D169" s="570">
        <v>5</v>
      </c>
      <c r="E169" s="570">
        <v>0</v>
      </c>
      <c r="F169" s="570">
        <v>17.809999999999999</v>
      </c>
      <c r="G169" s="570" t="s">
        <v>1000</v>
      </c>
      <c r="H169" s="570">
        <v>2</v>
      </c>
      <c r="I169" s="570">
        <v>72</v>
      </c>
      <c r="J169" s="570">
        <v>0</v>
      </c>
      <c r="K169" s="570">
        <v>0</v>
      </c>
      <c r="L169" s="570">
        <v>1</v>
      </c>
      <c r="M169" s="570">
        <v>0</v>
      </c>
      <c r="N169" s="570" t="s">
        <v>1001</v>
      </c>
      <c r="O169" s="570">
        <v>3</v>
      </c>
      <c r="P169" s="571">
        <v>43817</v>
      </c>
      <c r="Q169" s="570">
        <v>35.093288649999998</v>
      </c>
      <c r="R169" s="570">
        <v>-97.421228920000004</v>
      </c>
      <c r="S169" s="570">
        <v>9.4600000000000009</v>
      </c>
      <c r="T169" s="570" t="s">
        <v>1002</v>
      </c>
      <c r="U169" s="570" t="s">
        <v>1002</v>
      </c>
      <c r="V169" s="570">
        <v>4</v>
      </c>
      <c r="W169" s="570">
        <v>1</v>
      </c>
      <c r="X169" s="570" t="s">
        <v>1000</v>
      </c>
      <c r="Y169" s="570" t="s">
        <v>1003</v>
      </c>
      <c r="Z169" s="570">
        <v>1</v>
      </c>
      <c r="AA169" s="570">
        <v>0</v>
      </c>
      <c r="AB169" s="570">
        <v>1</v>
      </c>
      <c r="AC169" s="570">
        <v>0</v>
      </c>
      <c r="AD169" s="570">
        <v>0</v>
      </c>
      <c r="AE169" s="570" t="s">
        <v>1022</v>
      </c>
      <c r="AF169" s="570">
        <v>14</v>
      </c>
      <c r="AG169" s="570" t="s">
        <v>1005</v>
      </c>
      <c r="AH169" s="570">
        <v>0</v>
      </c>
      <c r="AI169" s="570" t="s">
        <v>1006</v>
      </c>
      <c r="AJ169" s="570">
        <v>2</v>
      </c>
      <c r="AK169" s="570">
        <v>14</v>
      </c>
      <c r="AL169" s="570">
        <v>1</v>
      </c>
      <c r="AM169" s="570">
        <v>13</v>
      </c>
      <c r="AN169" s="570">
        <v>52</v>
      </c>
      <c r="AO169" s="570" t="s">
        <v>1007</v>
      </c>
      <c r="AP169" s="570" t="s">
        <v>1008</v>
      </c>
      <c r="AQ169" s="570">
        <v>3</v>
      </c>
      <c r="AR169" s="570">
        <v>1</v>
      </c>
      <c r="AS169" s="570">
        <v>4</v>
      </c>
    </row>
    <row r="170" spans="1:45" x14ac:dyDescent="0.35">
      <c r="A170" s="570">
        <v>300446936</v>
      </c>
      <c r="B170" s="570">
        <v>44</v>
      </c>
      <c r="C170" s="570">
        <v>15</v>
      </c>
      <c r="D170" s="570">
        <v>5</v>
      </c>
      <c r="E170" s="570">
        <v>0</v>
      </c>
      <c r="F170" s="570">
        <v>17.809999999999999</v>
      </c>
      <c r="G170" s="570" t="s">
        <v>1000</v>
      </c>
      <c r="H170" s="570">
        <v>2</v>
      </c>
      <c r="I170" s="570">
        <v>72</v>
      </c>
      <c r="J170" s="570">
        <v>0</v>
      </c>
      <c r="K170" s="570">
        <v>0</v>
      </c>
      <c r="L170" s="570">
        <v>1</v>
      </c>
      <c r="M170" s="570">
        <v>0</v>
      </c>
      <c r="N170" s="570" t="s">
        <v>1001</v>
      </c>
      <c r="O170" s="570">
        <v>3</v>
      </c>
      <c r="P170" s="571">
        <v>43817</v>
      </c>
      <c r="Q170" s="570">
        <v>35.093288649999998</v>
      </c>
      <c r="R170" s="570">
        <v>-97.421228920000004</v>
      </c>
      <c r="S170" s="570">
        <v>9.4600000000000009</v>
      </c>
      <c r="T170" s="570" t="s">
        <v>1002</v>
      </c>
      <c r="U170" s="570" t="s">
        <v>1002</v>
      </c>
      <c r="V170" s="570">
        <v>4</v>
      </c>
      <c r="W170" s="570">
        <v>1</v>
      </c>
      <c r="X170" s="570" t="s">
        <v>1000</v>
      </c>
      <c r="Y170" s="570" t="s">
        <v>1003</v>
      </c>
      <c r="Z170" s="570">
        <v>1</v>
      </c>
      <c r="AA170" s="570">
        <v>0</v>
      </c>
      <c r="AB170" s="570">
        <v>1</v>
      </c>
      <c r="AC170" s="570">
        <v>0</v>
      </c>
      <c r="AD170" s="570">
        <v>0</v>
      </c>
      <c r="AE170" s="570" t="s">
        <v>1022</v>
      </c>
      <c r="AF170" s="570">
        <v>14</v>
      </c>
      <c r="AG170" s="570" t="s">
        <v>1005</v>
      </c>
      <c r="AH170" s="570">
        <v>0</v>
      </c>
      <c r="AI170" s="570" t="s">
        <v>1006</v>
      </c>
      <c r="AJ170" s="570">
        <v>4</v>
      </c>
      <c r="AK170" s="570">
        <v>98</v>
      </c>
      <c r="AL170" s="570">
        <v>1</v>
      </c>
      <c r="AM170" s="570">
        <v>13</v>
      </c>
      <c r="AN170" s="570">
        <v>27</v>
      </c>
      <c r="AO170" s="570" t="s">
        <v>1009</v>
      </c>
      <c r="AP170" s="570" t="s">
        <v>1008</v>
      </c>
      <c r="AQ170" s="570">
        <v>1</v>
      </c>
      <c r="AR170" s="570">
        <v>1</v>
      </c>
      <c r="AS170" s="570">
        <v>4</v>
      </c>
    </row>
    <row r="171" spans="1:45" x14ac:dyDescent="0.35">
      <c r="A171" s="570">
        <v>300446936</v>
      </c>
      <c r="B171" s="570">
        <v>44</v>
      </c>
      <c r="C171" s="570">
        <v>15</v>
      </c>
      <c r="D171" s="570">
        <v>5</v>
      </c>
      <c r="E171" s="570">
        <v>0</v>
      </c>
      <c r="F171" s="570">
        <v>17.809999999999999</v>
      </c>
      <c r="G171" s="570" t="s">
        <v>1000</v>
      </c>
      <c r="H171" s="570">
        <v>2</v>
      </c>
      <c r="I171" s="570">
        <v>72</v>
      </c>
      <c r="J171" s="570">
        <v>0</v>
      </c>
      <c r="K171" s="570">
        <v>0</v>
      </c>
      <c r="L171" s="570">
        <v>1</v>
      </c>
      <c r="M171" s="570">
        <v>0</v>
      </c>
      <c r="N171" s="570" t="s">
        <v>1001</v>
      </c>
      <c r="O171" s="570">
        <v>3</v>
      </c>
      <c r="P171" s="571">
        <v>43817</v>
      </c>
      <c r="Q171" s="570">
        <v>35.093288649999998</v>
      </c>
      <c r="R171" s="570">
        <v>-97.421228920000004</v>
      </c>
      <c r="S171" s="570">
        <v>9.4600000000000009</v>
      </c>
      <c r="T171" s="570" t="s">
        <v>1002</v>
      </c>
      <c r="U171" s="570" t="s">
        <v>1002</v>
      </c>
      <c r="V171" s="570">
        <v>4</v>
      </c>
      <c r="W171" s="570">
        <v>1</v>
      </c>
      <c r="X171" s="570" t="s">
        <v>1000</v>
      </c>
      <c r="Y171" s="570" t="s">
        <v>1003</v>
      </c>
      <c r="Z171" s="570">
        <v>1</v>
      </c>
      <c r="AA171" s="570">
        <v>0</v>
      </c>
      <c r="AB171" s="570">
        <v>1</v>
      </c>
      <c r="AC171" s="570">
        <v>0</v>
      </c>
      <c r="AD171" s="570">
        <v>0</v>
      </c>
      <c r="AE171" s="570" t="s">
        <v>1022</v>
      </c>
      <c r="AF171" s="570">
        <v>14</v>
      </c>
      <c r="AG171" s="570" t="s">
        <v>1005</v>
      </c>
      <c r="AH171" s="570">
        <v>0</v>
      </c>
      <c r="AI171" s="570" t="s">
        <v>1006</v>
      </c>
      <c r="AJ171" s="570">
        <v>4</v>
      </c>
      <c r="AK171" s="570">
        <v>98</v>
      </c>
      <c r="AL171" s="570">
        <v>1</v>
      </c>
      <c r="AM171" s="570">
        <v>13</v>
      </c>
      <c r="AN171" s="570">
        <v>0</v>
      </c>
      <c r="AO171" s="570">
        <v>9</v>
      </c>
      <c r="AP171" s="570" t="s">
        <v>1002</v>
      </c>
      <c r="AQ171" s="570"/>
      <c r="AR171" s="570"/>
      <c r="AS171" s="570"/>
    </row>
    <row r="172" spans="1:45" x14ac:dyDescent="0.35">
      <c r="A172" s="570">
        <v>300450569</v>
      </c>
      <c r="B172" s="570">
        <v>44</v>
      </c>
      <c r="C172" s="570">
        <v>15</v>
      </c>
      <c r="D172" s="570">
        <v>5</v>
      </c>
      <c r="E172" s="570">
        <v>0</v>
      </c>
      <c r="F172" s="570">
        <v>17.399999999999999</v>
      </c>
      <c r="G172" s="570" t="s">
        <v>1000</v>
      </c>
      <c r="H172" s="570">
        <v>2</v>
      </c>
      <c r="I172" s="570">
        <v>0</v>
      </c>
      <c r="J172" s="570">
        <v>0</v>
      </c>
      <c r="K172" s="570">
        <v>0</v>
      </c>
      <c r="L172" s="570">
        <v>0</v>
      </c>
      <c r="M172" s="570">
        <v>0</v>
      </c>
      <c r="N172" s="570" t="s">
        <v>1043</v>
      </c>
      <c r="O172" s="570">
        <v>1</v>
      </c>
      <c r="P172" s="571">
        <v>43846</v>
      </c>
      <c r="Q172" s="570">
        <v>35.088592329999997</v>
      </c>
      <c r="R172" s="570">
        <v>-97.416787299999996</v>
      </c>
      <c r="S172" s="570">
        <v>20.37</v>
      </c>
      <c r="T172" s="570" t="s">
        <v>1002</v>
      </c>
      <c r="U172" s="570" t="s">
        <v>1002</v>
      </c>
      <c r="V172" s="570">
        <v>5</v>
      </c>
      <c r="W172" s="570">
        <v>2</v>
      </c>
      <c r="X172" s="570" t="s">
        <v>1000</v>
      </c>
      <c r="Y172" s="570" t="s">
        <v>1003</v>
      </c>
      <c r="Z172" s="570">
        <v>4</v>
      </c>
      <c r="AA172" s="570">
        <v>0</v>
      </c>
      <c r="AB172" s="570">
        <v>0</v>
      </c>
      <c r="AC172" s="570">
        <v>0</v>
      </c>
      <c r="AD172" s="570">
        <v>0</v>
      </c>
      <c r="AE172" s="570" t="s">
        <v>1011</v>
      </c>
      <c r="AF172" s="570">
        <v>22</v>
      </c>
      <c r="AG172" s="570" t="s">
        <v>1020</v>
      </c>
      <c r="AH172" s="570">
        <v>0</v>
      </c>
      <c r="AI172" s="570" t="s">
        <v>1006</v>
      </c>
      <c r="AJ172" s="570">
        <v>2</v>
      </c>
      <c r="AK172" s="570">
        <v>22</v>
      </c>
      <c r="AL172" s="570">
        <v>2</v>
      </c>
      <c r="AM172" s="570">
        <v>0</v>
      </c>
      <c r="AN172" s="570">
        <v>25</v>
      </c>
      <c r="AO172" s="570" t="s">
        <v>1009</v>
      </c>
      <c r="AP172" s="570" t="s">
        <v>1008</v>
      </c>
      <c r="AQ172" s="570">
        <v>1</v>
      </c>
      <c r="AR172" s="570">
        <v>1</v>
      </c>
      <c r="AS172" s="570">
        <v>4</v>
      </c>
    </row>
    <row r="173" spans="1:45" x14ac:dyDescent="0.35">
      <c r="A173" s="570">
        <v>300454319</v>
      </c>
      <c r="B173" s="570">
        <v>44</v>
      </c>
      <c r="C173" s="570">
        <v>0</v>
      </c>
      <c r="D173" s="570">
        <v>5</v>
      </c>
      <c r="E173" s="570">
        <v>0</v>
      </c>
      <c r="F173" s="570">
        <v>18.600000000000001</v>
      </c>
      <c r="G173" s="570" t="s">
        <v>1000</v>
      </c>
      <c r="H173" s="570">
        <v>2</v>
      </c>
      <c r="I173" s="570">
        <v>0</v>
      </c>
      <c r="J173" s="570">
        <v>5</v>
      </c>
      <c r="K173" s="570">
        <v>0</v>
      </c>
      <c r="L173" s="570">
        <v>0</v>
      </c>
      <c r="M173" s="570">
        <v>0</v>
      </c>
      <c r="N173" s="570" t="s">
        <v>1001</v>
      </c>
      <c r="O173" s="570">
        <v>2</v>
      </c>
      <c r="P173" s="571">
        <v>43863</v>
      </c>
      <c r="Q173" s="570">
        <v>35.102424259999999</v>
      </c>
      <c r="R173" s="570">
        <v>-97.42965135</v>
      </c>
      <c r="S173" s="570">
        <v>15.11</v>
      </c>
      <c r="T173" s="570" t="s">
        <v>1002</v>
      </c>
      <c r="U173" s="570" t="s">
        <v>1002</v>
      </c>
      <c r="V173" s="570">
        <v>1</v>
      </c>
      <c r="W173" s="570">
        <v>1</v>
      </c>
      <c r="X173" s="570" t="s">
        <v>1000</v>
      </c>
      <c r="Y173" s="570" t="s">
        <v>1037</v>
      </c>
      <c r="Z173" s="570">
        <v>1</v>
      </c>
      <c r="AA173" s="570">
        <v>0</v>
      </c>
      <c r="AB173" s="570">
        <v>0</v>
      </c>
      <c r="AC173" s="570">
        <v>2</v>
      </c>
      <c r="AD173" s="570">
        <v>0</v>
      </c>
      <c r="AE173" s="570" t="s">
        <v>1022</v>
      </c>
      <c r="AF173" s="570">
        <v>13</v>
      </c>
      <c r="AG173" s="570" t="s">
        <v>1005</v>
      </c>
      <c r="AH173" s="570">
        <v>0</v>
      </c>
      <c r="AI173" s="570" t="s">
        <v>1006</v>
      </c>
      <c r="AJ173" s="570">
        <v>2</v>
      </c>
      <c r="AK173" s="570">
        <v>13</v>
      </c>
      <c r="AL173" s="570">
        <v>1</v>
      </c>
      <c r="AM173" s="570">
        <v>6</v>
      </c>
      <c r="AN173" s="570">
        <v>26</v>
      </c>
      <c r="AO173" s="570" t="s">
        <v>1007</v>
      </c>
      <c r="AP173" s="570" t="s">
        <v>1008</v>
      </c>
      <c r="AQ173" s="570">
        <v>2</v>
      </c>
      <c r="AR173" s="570">
        <v>1</v>
      </c>
      <c r="AS173" s="570">
        <v>4</v>
      </c>
    </row>
    <row r="174" spans="1:45" x14ac:dyDescent="0.35">
      <c r="A174" s="570">
        <v>300454319</v>
      </c>
      <c r="B174" s="570">
        <v>44</v>
      </c>
      <c r="C174" s="570">
        <v>0</v>
      </c>
      <c r="D174" s="570">
        <v>5</v>
      </c>
      <c r="E174" s="570">
        <v>0</v>
      </c>
      <c r="F174" s="570">
        <v>18.600000000000001</v>
      </c>
      <c r="G174" s="570" t="s">
        <v>1000</v>
      </c>
      <c r="H174" s="570">
        <v>2</v>
      </c>
      <c r="I174" s="570">
        <v>0</v>
      </c>
      <c r="J174" s="570">
        <v>5</v>
      </c>
      <c r="K174" s="570">
        <v>0</v>
      </c>
      <c r="L174" s="570">
        <v>0</v>
      </c>
      <c r="M174" s="570">
        <v>0</v>
      </c>
      <c r="N174" s="570" t="s">
        <v>1001</v>
      </c>
      <c r="O174" s="570">
        <v>2</v>
      </c>
      <c r="P174" s="571">
        <v>43863</v>
      </c>
      <c r="Q174" s="570">
        <v>35.102424259999999</v>
      </c>
      <c r="R174" s="570">
        <v>-97.42965135</v>
      </c>
      <c r="S174" s="570">
        <v>15.11</v>
      </c>
      <c r="T174" s="570" t="s">
        <v>1002</v>
      </c>
      <c r="U174" s="570" t="s">
        <v>1002</v>
      </c>
      <c r="V174" s="570">
        <v>1</v>
      </c>
      <c r="W174" s="570">
        <v>1</v>
      </c>
      <c r="X174" s="570" t="s">
        <v>1000</v>
      </c>
      <c r="Y174" s="570" t="s">
        <v>1037</v>
      </c>
      <c r="Z174" s="570">
        <v>1</v>
      </c>
      <c r="AA174" s="570">
        <v>0</v>
      </c>
      <c r="AB174" s="570">
        <v>0</v>
      </c>
      <c r="AC174" s="570">
        <v>2</v>
      </c>
      <c r="AD174" s="570">
        <v>0</v>
      </c>
      <c r="AE174" s="570" t="s">
        <v>1022</v>
      </c>
      <c r="AF174" s="570">
        <v>13</v>
      </c>
      <c r="AG174" s="570" t="s">
        <v>1005</v>
      </c>
      <c r="AH174" s="570">
        <v>0</v>
      </c>
      <c r="AI174" s="570" t="s">
        <v>1006</v>
      </c>
      <c r="AJ174" s="570">
        <v>2</v>
      </c>
      <c r="AK174" s="570">
        <v>13</v>
      </c>
      <c r="AL174" s="570">
        <v>1</v>
      </c>
      <c r="AM174" s="570">
        <v>6</v>
      </c>
      <c r="AN174" s="570">
        <v>0</v>
      </c>
      <c r="AO174" s="570">
        <v>9</v>
      </c>
      <c r="AP174" s="570" t="s">
        <v>1002</v>
      </c>
      <c r="AQ174" s="570"/>
      <c r="AR174" s="570"/>
      <c r="AS174" s="570"/>
    </row>
    <row r="175" spans="1:45" x14ac:dyDescent="0.35">
      <c r="A175" s="570">
        <v>300454319</v>
      </c>
      <c r="B175" s="570">
        <v>44</v>
      </c>
      <c r="C175" s="570">
        <v>0</v>
      </c>
      <c r="D175" s="570">
        <v>5</v>
      </c>
      <c r="E175" s="570">
        <v>0</v>
      </c>
      <c r="F175" s="570">
        <v>18.600000000000001</v>
      </c>
      <c r="G175" s="570" t="s">
        <v>1000</v>
      </c>
      <c r="H175" s="570">
        <v>2</v>
      </c>
      <c r="I175" s="570">
        <v>0</v>
      </c>
      <c r="J175" s="570">
        <v>5</v>
      </c>
      <c r="K175" s="570">
        <v>0</v>
      </c>
      <c r="L175" s="570">
        <v>0</v>
      </c>
      <c r="M175" s="570">
        <v>0</v>
      </c>
      <c r="N175" s="570" t="s">
        <v>1001</v>
      </c>
      <c r="O175" s="570">
        <v>2</v>
      </c>
      <c r="P175" s="571">
        <v>43863</v>
      </c>
      <c r="Q175" s="570">
        <v>35.102424259999999</v>
      </c>
      <c r="R175" s="570">
        <v>-97.42965135</v>
      </c>
      <c r="S175" s="570">
        <v>15.11</v>
      </c>
      <c r="T175" s="570" t="s">
        <v>1002</v>
      </c>
      <c r="U175" s="570" t="s">
        <v>1002</v>
      </c>
      <c r="V175" s="570">
        <v>1</v>
      </c>
      <c r="W175" s="570">
        <v>1</v>
      </c>
      <c r="X175" s="570" t="s">
        <v>1000</v>
      </c>
      <c r="Y175" s="570" t="s">
        <v>1037</v>
      </c>
      <c r="Z175" s="570">
        <v>1</v>
      </c>
      <c r="AA175" s="570">
        <v>0</v>
      </c>
      <c r="AB175" s="570">
        <v>0</v>
      </c>
      <c r="AC175" s="570">
        <v>2</v>
      </c>
      <c r="AD175" s="570">
        <v>0</v>
      </c>
      <c r="AE175" s="570" t="s">
        <v>1022</v>
      </c>
      <c r="AF175" s="570">
        <v>13</v>
      </c>
      <c r="AG175" s="570" t="s">
        <v>1005</v>
      </c>
      <c r="AH175" s="570">
        <v>0</v>
      </c>
      <c r="AI175" s="570" t="s">
        <v>1006</v>
      </c>
      <c r="AJ175" s="570">
        <v>2</v>
      </c>
      <c r="AK175" s="570">
        <v>98</v>
      </c>
      <c r="AL175" s="570">
        <v>1</v>
      </c>
      <c r="AM175" s="570">
        <v>6</v>
      </c>
      <c r="AN175" s="570">
        <v>41</v>
      </c>
      <c r="AO175" s="570" t="s">
        <v>1009</v>
      </c>
      <c r="AP175" s="570" t="s">
        <v>1008</v>
      </c>
      <c r="AQ175" s="570">
        <v>2</v>
      </c>
      <c r="AR175" s="570">
        <v>1</v>
      </c>
      <c r="AS175" s="570">
        <v>4</v>
      </c>
    </row>
    <row r="176" spans="1:45" x14ac:dyDescent="0.35">
      <c r="A176" s="570">
        <v>300454319</v>
      </c>
      <c r="B176" s="570">
        <v>44</v>
      </c>
      <c r="C176" s="570">
        <v>0</v>
      </c>
      <c r="D176" s="570">
        <v>5</v>
      </c>
      <c r="E176" s="570">
        <v>0</v>
      </c>
      <c r="F176" s="570">
        <v>18.600000000000001</v>
      </c>
      <c r="G176" s="570" t="s">
        <v>1000</v>
      </c>
      <c r="H176" s="570">
        <v>2</v>
      </c>
      <c r="I176" s="570">
        <v>0</v>
      </c>
      <c r="J176" s="570">
        <v>5</v>
      </c>
      <c r="K176" s="570">
        <v>0</v>
      </c>
      <c r="L176" s="570">
        <v>0</v>
      </c>
      <c r="M176" s="570">
        <v>0</v>
      </c>
      <c r="N176" s="570" t="s">
        <v>1001</v>
      </c>
      <c r="O176" s="570">
        <v>2</v>
      </c>
      <c r="P176" s="571">
        <v>43863</v>
      </c>
      <c r="Q176" s="570">
        <v>35.102424259999999</v>
      </c>
      <c r="R176" s="570">
        <v>-97.42965135</v>
      </c>
      <c r="S176" s="570">
        <v>15.11</v>
      </c>
      <c r="T176" s="570" t="s">
        <v>1002</v>
      </c>
      <c r="U176" s="570" t="s">
        <v>1002</v>
      </c>
      <c r="V176" s="570">
        <v>1</v>
      </c>
      <c r="W176" s="570">
        <v>1</v>
      </c>
      <c r="X176" s="570" t="s">
        <v>1000</v>
      </c>
      <c r="Y176" s="570" t="s">
        <v>1037</v>
      </c>
      <c r="Z176" s="570">
        <v>1</v>
      </c>
      <c r="AA176" s="570">
        <v>0</v>
      </c>
      <c r="AB176" s="570">
        <v>0</v>
      </c>
      <c r="AC176" s="570">
        <v>2</v>
      </c>
      <c r="AD176" s="570">
        <v>0</v>
      </c>
      <c r="AE176" s="570" t="s">
        <v>1022</v>
      </c>
      <c r="AF176" s="570">
        <v>13</v>
      </c>
      <c r="AG176" s="570" t="s">
        <v>1005</v>
      </c>
      <c r="AH176" s="570">
        <v>0</v>
      </c>
      <c r="AI176" s="570" t="s">
        <v>1006</v>
      </c>
      <c r="AJ176" s="570">
        <v>2</v>
      </c>
      <c r="AK176" s="570">
        <v>98</v>
      </c>
      <c r="AL176" s="570">
        <v>1</v>
      </c>
      <c r="AM176" s="570">
        <v>6</v>
      </c>
      <c r="AN176" s="570">
        <v>0</v>
      </c>
      <c r="AO176" s="570">
        <v>9</v>
      </c>
      <c r="AP176" s="570" t="s">
        <v>1002</v>
      </c>
      <c r="AQ176" s="570"/>
      <c r="AR176" s="570"/>
      <c r="AS176" s="570"/>
    </row>
    <row r="177" spans="1:45" x14ac:dyDescent="0.35">
      <c r="A177" s="570">
        <v>300454319</v>
      </c>
      <c r="B177" s="570">
        <v>44</v>
      </c>
      <c r="C177" s="570">
        <v>0</v>
      </c>
      <c r="D177" s="570">
        <v>5</v>
      </c>
      <c r="E177" s="570">
        <v>0</v>
      </c>
      <c r="F177" s="570">
        <v>18.600000000000001</v>
      </c>
      <c r="G177" s="570" t="s">
        <v>1000</v>
      </c>
      <c r="H177" s="570">
        <v>2</v>
      </c>
      <c r="I177" s="570">
        <v>0</v>
      </c>
      <c r="J177" s="570">
        <v>5</v>
      </c>
      <c r="K177" s="570">
        <v>0</v>
      </c>
      <c r="L177" s="570">
        <v>0</v>
      </c>
      <c r="M177" s="570">
        <v>0</v>
      </c>
      <c r="N177" s="570" t="s">
        <v>1001</v>
      </c>
      <c r="O177" s="570">
        <v>2</v>
      </c>
      <c r="P177" s="571">
        <v>43863</v>
      </c>
      <c r="Q177" s="570">
        <v>35.102424259999999</v>
      </c>
      <c r="R177" s="570">
        <v>-97.42965135</v>
      </c>
      <c r="S177" s="570">
        <v>15.11</v>
      </c>
      <c r="T177" s="570" t="s">
        <v>1002</v>
      </c>
      <c r="U177" s="570" t="s">
        <v>1002</v>
      </c>
      <c r="V177" s="570">
        <v>1</v>
      </c>
      <c r="W177" s="570">
        <v>1</v>
      </c>
      <c r="X177" s="570" t="s">
        <v>1000</v>
      </c>
      <c r="Y177" s="570" t="s">
        <v>1037</v>
      </c>
      <c r="Z177" s="570">
        <v>1</v>
      </c>
      <c r="AA177" s="570">
        <v>0</v>
      </c>
      <c r="AB177" s="570">
        <v>0</v>
      </c>
      <c r="AC177" s="570">
        <v>2</v>
      </c>
      <c r="AD177" s="570">
        <v>0</v>
      </c>
      <c r="AE177" s="570" t="s">
        <v>1022</v>
      </c>
      <c r="AF177" s="570">
        <v>13</v>
      </c>
      <c r="AG177" s="570" t="s">
        <v>1005</v>
      </c>
      <c r="AH177" s="570">
        <v>0</v>
      </c>
      <c r="AI177" s="570" t="s">
        <v>1006</v>
      </c>
      <c r="AJ177" s="570">
        <v>2</v>
      </c>
      <c r="AK177" s="570">
        <v>98</v>
      </c>
      <c r="AL177" s="570">
        <v>1</v>
      </c>
      <c r="AM177" s="570">
        <v>6</v>
      </c>
      <c r="AN177" s="570">
        <v>42</v>
      </c>
      <c r="AO177" s="570" t="s">
        <v>1007</v>
      </c>
      <c r="AP177" s="570" t="s">
        <v>1002</v>
      </c>
      <c r="AQ177" s="570">
        <v>1</v>
      </c>
      <c r="AR177" s="570"/>
      <c r="AS177" s="570">
        <v>4</v>
      </c>
    </row>
    <row r="178" spans="1:45" x14ac:dyDescent="0.35">
      <c r="A178" s="570">
        <v>300459058</v>
      </c>
      <c r="B178" s="570">
        <v>44</v>
      </c>
      <c r="C178" s="570">
        <v>15</v>
      </c>
      <c r="D178" s="570">
        <v>5</v>
      </c>
      <c r="E178" s="570">
        <v>0</v>
      </c>
      <c r="F178" s="570">
        <v>17.41</v>
      </c>
      <c r="G178" s="570" t="s">
        <v>1000</v>
      </c>
      <c r="H178" s="570">
        <v>2</v>
      </c>
      <c r="I178" s="570">
        <v>0</v>
      </c>
      <c r="J178" s="570">
        <v>0</v>
      </c>
      <c r="K178" s="570">
        <v>0</v>
      </c>
      <c r="L178" s="570">
        <v>0</v>
      </c>
      <c r="M178" s="570">
        <v>0</v>
      </c>
      <c r="N178" s="570" t="s">
        <v>1044</v>
      </c>
      <c r="O178" s="570">
        <v>1</v>
      </c>
      <c r="P178" s="571">
        <v>43909</v>
      </c>
      <c r="Q178" s="570">
        <v>35.088705609999998</v>
      </c>
      <c r="R178" s="570">
        <v>-97.416897590000005</v>
      </c>
      <c r="S178" s="570">
        <v>5.08</v>
      </c>
      <c r="T178" s="570" t="s">
        <v>1002</v>
      </c>
      <c r="U178" s="570" t="s">
        <v>1002</v>
      </c>
      <c r="V178" s="570">
        <v>5</v>
      </c>
      <c r="W178" s="570">
        <v>2</v>
      </c>
      <c r="X178" s="570" t="s">
        <v>1000</v>
      </c>
      <c r="Y178" s="570" t="s">
        <v>1003</v>
      </c>
      <c r="Z178" s="570">
        <v>4</v>
      </c>
      <c r="AA178" s="570">
        <v>0</v>
      </c>
      <c r="AB178" s="570">
        <v>0</v>
      </c>
      <c r="AC178" s="570">
        <v>0</v>
      </c>
      <c r="AD178" s="570">
        <v>0</v>
      </c>
      <c r="AE178" s="570" t="s">
        <v>1011</v>
      </c>
      <c r="AF178" s="570">
        <v>22</v>
      </c>
      <c r="AG178" s="570" t="s">
        <v>1020</v>
      </c>
      <c r="AH178" s="570">
        <v>0</v>
      </c>
      <c r="AI178" s="570" t="s">
        <v>1006</v>
      </c>
      <c r="AJ178" s="570">
        <v>1</v>
      </c>
      <c r="AK178" s="570">
        <v>22</v>
      </c>
      <c r="AL178" s="570">
        <v>2</v>
      </c>
      <c r="AM178" s="570">
        <v>0</v>
      </c>
      <c r="AN178" s="570">
        <v>47</v>
      </c>
      <c r="AO178" s="570" t="s">
        <v>1009</v>
      </c>
      <c r="AP178" s="570" t="s">
        <v>1008</v>
      </c>
      <c r="AQ178" s="570">
        <v>1</v>
      </c>
      <c r="AR178" s="570">
        <v>1</v>
      </c>
      <c r="AS178" s="570">
        <v>4</v>
      </c>
    </row>
    <row r="179" spans="1:45" x14ac:dyDescent="0.35">
      <c r="A179" s="570">
        <v>300459058</v>
      </c>
      <c r="B179" s="570">
        <v>44</v>
      </c>
      <c r="C179" s="570">
        <v>15</v>
      </c>
      <c r="D179" s="570">
        <v>5</v>
      </c>
      <c r="E179" s="570">
        <v>0</v>
      </c>
      <c r="F179" s="570">
        <v>17.41</v>
      </c>
      <c r="G179" s="570" t="s">
        <v>1000</v>
      </c>
      <c r="H179" s="570">
        <v>2</v>
      </c>
      <c r="I179" s="570">
        <v>0</v>
      </c>
      <c r="J179" s="570">
        <v>0</v>
      </c>
      <c r="K179" s="570">
        <v>0</v>
      </c>
      <c r="L179" s="570">
        <v>0</v>
      </c>
      <c r="M179" s="570">
        <v>0</v>
      </c>
      <c r="N179" s="570" t="s">
        <v>1044</v>
      </c>
      <c r="O179" s="570">
        <v>1</v>
      </c>
      <c r="P179" s="571">
        <v>43909</v>
      </c>
      <c r="Q179" s="570">
        <v>35.088705609999998</v>
      </c>
      <c r="R179" s="570">
        <v>-97.416897590000005</v>
      </c>
      <c r="S179" s="570">
        <v>5.08</v>
      </c>
      <c r="T179" s="570" t="s">
        <v>1002</v>
      </c>
      <c r="U179" s="570" t="s">
        <v>1002</v>
      </c>
      <c r="V179" s="570">
        <v>5</v>
      </c>
      <c r="W179" s="570">
        <v>2</v>
      </c>
      <c r="X179" s="570" t="s">
        <v>1000</v>
      </c>
      <c r="Y179" s="570" t="s">
        <v>1003</v>
      </c>
      <c r="Z179" s="570">
        <v>4</v>
      </c>
      <c r="AA179" s="570">
        <v>0</v>
      </c>
      <c r="AB179" s="570">
        <v>0</v>
      </c>
      <c r="AC179" s="570">
        <v>0</v>
      </c>
      <c r="AD179" s="570">
        <v>0</v>
      </c>
      <c r="AE179" s="570" t="s">
        <v>1011</v>
      </c>
      <c r="AF179" s="570">
        <v>22</v>
      </c>
      <c r="AG179" s="570" t="s">
        <v>1020</v>
      </c>
      <c r="AH179" s="570">
        <v>0</v>
      </c>
      <c r="AI179" s="570" t="s">
        <v>1006</v>
      </c>
      <c r="AJ179" s="570">
        <v>1</v>
      </c>
      <c r="AK179" s="570">
        <v>22</v>
      </c>
      <c r="AL179" s="570">
        <v>2</v>
      </c>
      <c r="AM179" s="570">
        <v>0</v>
      </c>
      <c r="AN179" s="570">
        <v>0</v>
      </c>
      <c r="AO179" s="570">
        <v>9</v>
      </c>
      <c r="AP179" s="570" t="s">
        <v>1002</v>
      </c>
      <c r="AQ179" s="570"/>
      <c r="AR179" s="570"/>
      <c r="AS179" s="570"/>
    </row>
    <row r="180" spans="1:45" x14ac:dyDescent="0.35">
      <c r="A180" s="570">
        <v>300461619</v>
      </c>
      <c r="B180" s="570">
        <v>44</v>
      </c>
      <c r="C180" s="570">
        <v>15</v>
      </c>
      <c r="D180" s="570">
        <v>5</v>
      </c>
      <c r="E180" s="570">
        <v>0</v>
      </c>
      <c r="F180" s="570">
        <v>17.420000000000002</v>
      </c>
      <c r="G180" s="570" t="s">
        <v>1000</v>
      </c>
      <c r="H180" s="570">
        <v>2</v>
      </c>
      <c r="I180" s="570">
        <v>0</v>
      </c>
      <c r="J180" s="570">
        <v>0</v>
      </c>
      <c r="K180" s="570">
        <v>0</v>
      </c>
      <c r="L180" s="570">
        <v>0</v>
      </c>
      <c r="M180" s="570">
        <v>0</v>
      </c>
      <c r="N180" s="570" t="s">
        <v>1045</v>
      </c>
      <c r="O180" s="570">
        <v>1</v>
      </c>
      <c r="P180" s="571">
        <v>43943</v>
      </c>
      <c r="Q180" s="570">
        <v>35.088818889999999</v>
      </c>
      <c r="R180" s="570">
        <v>-97.41700788</v>
      </c>
      <c r="S180" s="570">
        <v>10.01</v>
      </c>
      <c r="T180" s="570" t="s">
        <v>1002</v>
      </c>
      <c r="U180" s="570" t="s">
        <v>1002</v>
      </c>
      <c r="V180" s="570">
        <v>4</v>
      </c>
      <c r="W180" s="570">
        <v>1</v>
      </c>
      <c r="X180" s="570" t="s">
        <v>1024</v>
      </c>
      <c r="Y180" s="570" t="s">
        <v>1026</v>
      </c>
      <c r="Z180" s="570">
        <v>4</v>
      </c>
      <c r="AA180" s="570">
        <v>0</v>
      </c>
      <c r="AB180" s="570">
        <v>0</v>
      </c>
      <c r="AC180" s="570">
        <v>0</v>
      </c>
      <c r="AD180" s="570">
        <v>0</v>
      </c>
      <c r="AE180" s="570"/>
      <c r="AF180" s="570"/>
      <c r="AG180" s="570" t="s">
        <v>1020</v>
      </c>
      <c r="AH180" s="570">
        <v>0</v>
      </c>
      <c r="AI180" s="570" t="s">
        <v>1006</v>
      </c>
      <c r="AJ180" s="570">
        <v>20</v>
      </c>
      <c r="AK180" s="570">
        <v>92</v>
      </c>
      <c r="AL180" s="570">
        <v>2</v>
      </c>
      <c r="AM180" s="570">
        <v>0</v>
      </c>
      <c r="AN180" s="570">
        <v>57</v>
      </c>
      <c r="AO180" s="570" t="s">
        <v>1007</v>
      </c>
      <c r="AP180" s="570" t="s">
        <v>1008</v>
      </c>
      <c r="AQ180" s="570">
        <v>1</v>
      </c>
      <c r="AR180" s="570">
        <v>1</v>
      </c>
      <c r="AS180" s="570">
        <v>4</v>
      </c>
    </row>
    <row r="181" spans="1:45" x14ac:dyDescent="0.35">
      <c r="A181" s="570">
        <v>300461619</v>
      </c>
      <c r="B181" s="570">
        <v>44</v>
      </c>
      <c r="C181" s="570">
        <v>15</v>
      </c>
      <c r="D181" s="570">
        <v>5</v>
      </c>
      <c r="E181" s="570">
        <v>0</v>
      </c>
      <c r="F181" s="570">
        <v>17.420000000000002</v>
      </c>
      <c r="G181" s="570" t="s">
        <v>1000</v>
      </c>
      <c r="H181" s="570">
        <v>2</v>
      </c>
      <c r="I181" s="570">
        <v>0</v>
      </c>
      <c r="J181" s="570">
        <v>0</v>
      </c>
      <c r="K181" s="570">
        <v>0</v>
      </c>
      <c r="L181" s="570">
        <v>0</v>
      </c>
      <c r="M181" s="570">
        <v>0</v>
      </c>
      <c r="N181" s="570" t="s">
        <v>1045</v>
      </c>
      <c r="O181" s="570">
        <v>1</v>
      </c>
      <c r="P181" s="571">
        <v>43943</v>
      </c>
      <c r="Q181" s="570">
        <v>35.088818889999999</v>
      </c>
      <c r="R181" s="570">
        <v>-97.41700788</v>
      </c>
      <c r="S181" s="570">
        <v>10.01</v>
      </c>
      <c r="T181" s="570" t="s">
        <v>1002</v>
      </c>
      <c r="U181" s="570" t="s">
        <v>1002</v>
      </c>
      <c r="V181" s="570">
        <v>4</v>
      </c>
      <c r="W181" s="570">
        <v>1</v>
      </c>
      <c r="X181" s="570" t="s">
        <v>1024</v>
      </c>
      <c r="Y181" s="570" t="s">
        <v>1026</v>
      </c>
      <c r="Z181" s="570">
        <v>4</v>
      </c>
      <c r="AA181" s="570">
        <v>0</v>
      </c>
      <c r="AB181" s="570">
        <v>0</v>
      </c>
      <c r="AC181" s="570">
        <v>0</v>
      </c>
      <c r="AD181" s="570">
        <v>0</v>
      </c>
      <c r="AE181" s="570"/>
      <c r="AF181" s="570"/>
      <c r="AG181" s="570" t="s">
        <v>1020</v>
      </c>
      <c r="AH181" s="570">
        <v>0</v>
      </c>
      <c r="AI181" s="570" t="s">
        <v>1006</v>
      </c>
      <c r="AJ181" s="570">
        <v>10</v>
      </c>
      <c r="AK181" s="570">
        <v>22</v>
      </c>
      <c r="AL181" s="570">
        <v>2</v>
      </c>
      <c r="AM181" s="570">
        <v>0</v>
      </c>
      <c r="AN181" s="570">
        <v>0</v>
      </c>
      <c r="AO181" s="570">
        <v>9</v>
      </c>
      <c r="AP181" s="570" t="s">
        <v>1008</v>
      </c>
      <c r="AQ181" s="570">
        <v>0</v>
      </c>
      <c r="AR181" s="570">
        <v>99</v>
      </c>
      <c r="AS181" s="570">
        <v>99</v>
      </c>
    </row>
    <row r="182" spans="1:45" x14ac:dyDescent="0.35">
      <c r="A182" s="570">
        <v>300473588</v>
      </c>
      <c r="B182" s="570">
        <v>44</v>
      </c>
      <c r="C182" s="570">
        <v>15</v>
      </c>
      <c r="D182" s="570">
        <v>5</v>
      </c>
      <c r="E182" s="570">
        <v>0</v>
      </c>
      <c r="F182" s="570">
        <v>16.899999999999999</v>
      </c>
      <c r="G182" s="570" t="s">
        <v>1000</v>
      </c>
      <c r="H182" s="570">
        <v>2</v>
      </c>
      <c r="I182" s="570">
        <v>0</v>
      </c>
      <c r="J182" s="570">
        <v>0</v>
      </c>
      <c r="K182" s="570">
        <v>0</v>
      </c>
      <c r="L182" s="570">
        <v>0</v>
      </c>
      <c r="M182" s="570">
        <v>0</v>
      </c>
      <c r="N182" s="570" t="s">
        <v>1010</v>
      </c>
      <c r="O182" s="570">
        <v>1</v>
      </c>
      <c r="P182" s="571">
        <v>44048</v>
      </c>
      <c r="Q182" s="570">
        <v>35.082895550000003</v>
      </c>
      <c r="R182" s="570">
        <v>-97.411322960000007</v>
      </c>
      <c r="S182" s="570">
        <v>6.31</v>
      </c>
      <c r="T182" s="570" t="s">
        <v>1002</v>
      </c>
      <c r="U182" s="570" t="s">
        <v>1002</v>
      </c>
      <c r="V182" s="570">
        <v>4</v>
      </c>
      <c r="W182" s="570">
        <v>2</v>
      </c>
      <c r="X182" s="570" t="s">
        <v>1000</v>
      </c>
      <c r="Y182" s="570" t="s">
        <v>1027</v>
      </c>
      <c r="Z182" s="570">
        <v>4</v>
      </c>
      <c r="AA182" s="570">
        <v>0</v>
      </c>
      <c r="AB182" s="570">
        <v>0</v>
      </c>
      <c r="AC182" s="570">
        <v>0</v>
      </c>
      <c r="AD182" s="570">
        <v>0</v>
      </c>
      <c r="AE182" s="570" t="s">
        <v>1011</v>
      </c>
      <c r="AF182" s="570">
        <v>22</v>
      </c>
      <c r="AG182" s="570" t="s">
        <v>1012</v>
      </c>
      <c r="AH182" s="570">
        <v>0</v>
      </c>
      <c r="AI182" s="570" t="s">
        <v>1006</v>
      </c>
      <c r="AJ182" s="570">
        <v>2</v>
      </c>
      <c r="AK182" s="570">
        <v>22</v>
      </c>
      <c r="AL182" s="570">
        <v>2</v>
      </c>
      <c r="AM182" s="570">
        <v>0</v>
      </c>
      <c r="AN182" s="570">
        <v>42</v>
      </c>
      <c r="AO182" s="570" t="s">
        <v>1009</v>
      </c>
      <c r="AP182" s="570" t="s">
        <v>1008</v>
      </c>
      <c r="AQ182" s="570">
        <v>1</v>
      </c>
      <c r="AR182" s="570">
        <v>1</v>
      </c>
      <c r="AS182" s="570">
        <v>4</v>
      </c>
    </row>
    <row r="183" spans="1:45" x14ac:dyDescent="0.35">
      <c r="A183" s="570">
        <v>300480382</v>
      </c>
      <c r="B183" s="570">
        <v>44</v>
      </c>
      <c r="C183" s="570">
        <v>15</v>
      </c>
      <c r="D183" s="570">
        <v>5</v>
      </c>
      <c r="E183" s="570">
        <v>0</v>
      </c>
      <c r="F183" s="570">
        <v>17.53</v>
      </c>
      <c r="G183" s="570" t="s">
        <v>1000</v>
      </c>
      <c r="H183" s="570">
        <v>2</v>
      </c>
      <c r="I183" s="570">
        <v>0</v>
      </c>
      <c r="J183" s="570">
        <v>0</v>
      </c>
      <c r="K183" s="570">
        <v>0</v>
      </c>
      <c r="L183" s="570">
        <v>0</v>
      </c>
      <c r="M183" s="570">
        <v>0</v>
      </c>
      <c r="N183" s="570" t="s">
        <v>1010</v>
      </c>
      <c r="O183" s="570">
        <v>1</v>
      </c>
      <c r="P183" s="571">
        <v>44096</v>
      </c>
      <c r="Q183" s="570">
        <v>35.090067349999998</v>
      </c>
      <c r="R183" s="570">
        <v>-97.418217499999997</v>
      </c>
      <c r="S183" s="570">
        <v>9.35</v>
      </c>
      <c r="T183" s="570" t="s">
        <v>1002</v>
      </c>
      <c r="U183" s="570" t="s">
        <v>1002</v>
      </c>
      <c r="V183" s="570">
        <v>3</v>
      </c>
      <c r="W183" s="570">
        <v>1</v>
      </c>
      <c r="X183" s="570" t="s">
        <v>1000</v>
      </c>
      <c r="Y183" s="570" t="s">
        <v>1013</v>
      </c>
      <c r="Z183" s="570">
        <v>4</v>
      </c>
      <c r="AA183" s="570">
        <v>0</v>
      </c>
      <c r="AB183" s="570">
        <v>0</v>
      </c>
      <c r="AC183" s="570">
        <v>0</v>
      </c>
      <c r="AD183" s="570">
        <v>0</v>
      </c>
      <c r="AE183" s="570" t="s">
        <v>1011</v>
      </c>
      <c r="AF183" s="570">
        <v>22</v>
      </c>
      <c r="AG183" s="570" t="s">
        <v>1012</v>
      </c>
      <c r="AH183" s="570">
        <v>0</v>
      </c>
      <c r="AI183" s="570" t="s">
        <v>1006</v>
      </c>
      <c r="AJ183" s="570">
        <v>20</v>
      </c>
      <c r="AK183" s="570">
        <v>22</v>
      </c>
      <c r="AL183" s="570">
        <v>2</v>
      </c>
      <c r="AM183" s="570">
        <v>0</v>
      </c>
      <c r="AN183" s="570">
        <v>25</v>
      </c>
      <c r="AO183" s="570" t="s">
        <v>1007</v>
      </c>
      <c r="AP183" s="570" t="s">
        <v>1008</v>
      </c>
      <c r="AQ183" s="570">
        <v>1</v>
      </c>
      <c r="AR183" s="570">
        <v>1</v>
      </c>
      <c r="AS183" s="570">
        <v>4</v>
      </c>
    </row>
    <row r="184" spans="1:45" x14ac:dyDescent="0.35">
      <c r="A184" s="570">
        <v>300480382</v>
      </c>
      <c r="B184" s="570">
        <v>44</v>
      </c>
      <c r="C184" s="570">
        <v>15</v>
      </c>
      <c r="D184" s="570">
        <v>5</v>
      </c>
      <c r="E184" s="570">
        <v>0</v>
      </c>
      <c r="F184" s="570">
        <v>17.53</v>
      </c>
      <c r="G184" s="570" t="s">
        <v>1000</v>
      </c>
      <c r="H184" s="570">
        <v>2</v>
      </c>
      <c r="I184" s="570">
        <v>0</v>
      </c>
      <c r="J184" s="570">
        <v>0</v>
      </c>
      <c r="K184" s="570">
        <v>0</v>
      </c>
      <c r="L184" s="570">
        <v>0</v>
      </c>
      <c r="M184" s="570">
        <v>0</v>
      </c>
      <c r="N184" s="570" t="s">
        <v>1010</v>
      </c>
      <c r="O184" s="570">
        <v>1</v>
      </c>
      <c r="P184" s="571">
        <v>44096</v>
      </c>
      <c r="Q184" s="570">
        <v>35.090067349999998</v>
      </c>
      <c r="R184" s="570">
        <v>-97.418217499999997</v>
      </c>
      <c r="S184" s="570">
        <v>9.35</v>
      </c>
      <c r="T184" s="570" t="s">
        <v>1002</v>
      </c>
      <c r="U184" s="570" t="s">
        <v>1002</v>
      </c>
      <c r="V184" s="570">
        <v>3</v>
      </c>
      <c r="W184" s="570">
        <v>1</v>
      </c>
      <c r="X184" s="570" t="s">
        <v>1000</v>
      </c>
      <c r="Y184" s="570" t="s">
        <v>1013</v>
      </c>
      <c r="Z184" s="570">
        <v>4</v>
      </c>
      <c r="AA184" s="570">
        <v>0</v>
      </c>
      <c r="AB184" s="570">
        <v>0</v>
      </c>
      <c r="AC184" s="570">
        <v>0</v>
      </c>
      <c r="AD184" s="570">
        <v>0</v>
      </c>
      <c r="AE184" s="570" t="s">
        <v>1011</v>
      </c>
      <c r="AF184" s="570">
        <v>22</v>
      </c>
      <c r="AG184" s="570" t="s">
        <v>1012</v>
      </c>
      <c r="AH184" s="570">
        <v>0</v>
      </c>
      <c r="AI184" s="570" t="s">
        <v>1006</v>
      </c>
      <c r="AJ184" s="570">
        <v>20</v>
      </c>
      <c r="AK184" s="570">
        <v>22</v>
      </c>
      <c r="AL184" s="570">
        <v>2</v>
      </c>
      <c r="AM184" s="570">
        <v>0</v>
      </c>
      <c r="AN184" s="570">
        <v>0</v>
      </c>
      <c r="AO184" s="570">
        <v>9</v>
      </c>
      <c r="AP184" s="570" t="s">
        <v>1002</v>
      </c>
      <c r="AQ184" s="570"/>
      <c r="AR184" s="570"/>
      <c r="AS184" s="570"/>
    </row>
    <row r="185" spans="1:45" x14ac:dyDescent="0.35">
      <c r="A185" s="570">
        <v>300480382</v>
      </c>
      <c r="B185" s="570">
        <v>44</v>
      </c>
      <c r="C185" s="570">
        <v>15</v>
      </c>
      <c r="D185" s="570">
        <v>5</v>
      </c>
      <c r="E185" s="570">
        <v>0</v>
      </c>
      <c r="F185" s="570">
        <v>17.53</v>
      </c>
      <c r="G185" s="570" t="s">
        <v>1000</v>
      </c>
      <c r="H185" s="570">
        <v>2</v>
      </c>
      <c r="I185" s="570">
        <v>0</v>
      </c>
      <c r="J185" s="570">
        <v>0</v>
      </c>
      <c r="K185" s="570">
        <v>0</v>
      </c>
      <c r="L185" s="570">
        <v>0</v>
      </c>
      <c r="M185" s="570">
        <v>0</v>
      </c>
      <c r="N185" s="570" t="s">
        <v>1010</v>
      </c>
      <c r="O185" s="570">
        <v>1</v>
      </c>
      <c r="P185" s="571">
        <v>44096</v>
      </c>
      <c r="Q185" s="570">
        <v>35.090067349999998</v>
      </c>
      <c r="R185" s="570">
        <v>-97.418217499999997</v>
      </c>
      <c r="S185" s="570">
        <v>9.35</v>
      </c>
      <c r="T185" s="570" t="s">
        <v>1002</v>
      </c>
      <c r="U185" s="570" t="s">
        <v>1002</v>
      </c>
      <c r="V185" s="570">
        <v>3</v>
      </c>
      <c r="W185" s="570">
        <v>1</v>
      </c>
      <c r="X185" s="570" t="s">
        <v>1000</v>
      </c>
      <c r="Y185" s="570" t="s">
        <v>1013</v>
      </c>
      <c r="Z185" s="570">
        <v>4</v>
      </c>
      <c r="AA185" s="570">
        <v>0</v>
      </c>
      <c r="AB185" s="570">
        <v>0</v>
      </c>
      <c r="AC185" s="570">
        <v>0</v>
      </c>
      <c r="AD185" s="570">
        <v>0</v>
      </c>
      <c r="AE185" s="570" t="s">
        <v>1011</v>
      </c>
      <c r="AF185" s="570">
        <v>22</v>
      </c>
      <c r="AG185" s="570" t="s">
        <v>1012</v>
      </c>
      <c r="AH185" s="570">
        <v>0</v>
      </c>
      <c r="AI185" s="570" t="s">
        <v>1006</v>
      </c>
      <c r="AJ185" s="570">
        <v>20</v>
      </c>
      <c r="AK185" s="570">
        <v>22</v>
      </c>
      <c r="AL185" s="570">
        <v>2</v>
      </c>
      <c r="AM185" s="570">
        <v>0</v>
      </c>
      <c r="AN185" s="570">
        <v>24</v>
      </c>
      <c r="AO185" s="570" t="s">
        <v>1009</v>
      </c>
      <c r="AP185" s="570" t="s">
        <v>1002</v>
      </c>
      <c r="AQ185" s="570">
        <v>1</v>
      </c>
      <c r="AR185" s="570"/>
      <c r="AS185" s="570">
        <v>4</v>
      </c>
    </row>
    <row r="186" spans="1:45" x14ac:dyDescent="0.35">
      <c r="A186" s="570">
        <v>300484796</v>
      </c>
      <c r="B186" s="570">
        <v>44</v>
      </c>
      <c r="C186" s="570">
        <v>15</v>
      </c>
      <c r="D186" s="570">
        <v>5</v>
      </c>
      <c r="E186" s="570">
        <v>0</v>
      </c>
      <c r="F186" s="570">
        <v>17.399999999999999</v>
      </c>
      <c r="G186" s="570" t="s">
        <v>1000</v>
      </c>
      <c r="H186" s="570">
        <v>2</v>
      </c>
      <c r="I186" s="570">
        <v>0</v>
      </c>
      <c r="J186" s="570">
        <v>0</v>
      </c>
      <c r="K186" s="570">
        <v>0</v>
      </c>
      <c r="L186" s="570">
        <v>0</v>
      </c>
      <c r="M186" s="570">
        <v>0</v>
      </c>
      <c r="N186" s="570" t="s">
        <v>1010</v>
      </c>
      <c r="O186" s="570">
        <v>1</v>
      </c>
      <c r="P186" s="571">
        <v>44132</v>
      </c>
      <c r="Q186" s="570">
        <v>35.088592329999997</v>
      </c>
      <c r="R186" s="570">
        <v>-97.416787299999996</v>
      </c>
      <c r="S186" s="570">
        <v>9.23</v>
      </c>
      <c r="T186" s="570" t="s">
        <v>1002</v>
      </c>
      <c r="U186" s="570" t="s">
        <v>1002</v>
      </c>
      <c r="V186" s="570">
        <v>4</v>
      </c>
      <c r="W186" s="570">
        <v>1</v>
      </c>
      <c r="X186" s="570" t="s">
        <v>1000</v>
      </c>
      <c r="Y186" s="570" t="s">
        <v>1003</v>
      </c>
      <c r="Z186" s="570">
        <v>4</v>
      </c>
      <c r="AA186" s="570">
        <v>0</v>
      </c>
      <c r="AB186" s="570">
        <v>0</v>
      </c>
      <c r="AC186" s="570">
        <v>0</v>
      </c>
      <c r="AD186" s="570">
        <v>0</v>
      </c>
      <c r="AE186" s="570" t="s">
        <v>1011</v>
      </c>
      <c r="AF186" s="570">
        <v>22</v>
      </c>
      <c r="AG186" s="570" t="s">
        <v>1012</v>
      </c>
      <c r="AH186" s="570">
        <v>0</v>
      </c>
      <c r="AI186" s="570" t="s">
        <v>1006</v>
      </c>
      <c r="AJ186" s="570">
        <v>2</v>
      </c>
      <c r="AK186" s="570">
        <v>22</v>
      </c>
      <c r="AL186" s="570">
        <v>2</v>
      </c>
      <c r="AM186" s="570">
        <v>0</v>
      </c>
      <c r="AN186" s="570">
        <v>35</v>
      </c>
      <c r="AO186" s="570" t="s">
        <v>1009</v>
      </c>
      <c r="AP186" s="570" t="s">
        <v>1008</v>
      </c>
      <c r="AQ186" s="570">
        <v>1</v>
      </c>
      <c r="AR186" s="570">
        <v>1</v>
      </c>
      <c r="AS186" s="570">
        <v>4</v>
      </c>
    </row>
    <row r="187" spans="1:45" x14ac:dyDescent="0.35">
      <c r="A187" s="570">
        <v>300484796</v>
      </c>
      <c r="B187" s="570">
        <v>44</v>
      </c>
      <c r="C187" s="570">
        <v>15</v>
      </c>
      <c r="D187" s="570">
        <v>5</v>
      </c>
      <c r="E187" s="570">
        <v>0</v>
      </c>
      <c r="F187" s="570">
        <v>17.399999999999999</v>
      </c>
      <c r="G187" s="570" t="s">
        <v>1000</v>
      </c>
      <c r="H187" s="570">
        <v>2</v>
      </c>
      <c r="I187" s="570">
        <v>0</v>
      </c>
      <c r="J187" s="570">
        <v>0</v>
      </c>
      <c r="K187" s="570">
        <v>0</v>
      </c>
      <c r="L187" s="570">
        <v>0</v>
      </c>
      <c r="M187" s="570">
        <v>0</v>
      </c>
      <c r="N187" s="570" t="s">
        <v>1010</v>
      </c>
      <c r="O187" s="570">
        <v>1</v>
      </c>
      <c r="P187" s="571">
        <v>44132</v>
      </c>
      <c r="Q187" s="570">
        <v>35.088592329999997</v>
      </c>
      <c r="R187" s="570">
        <v>-97.416787299999996</v>
      </c>
      <c r="S187" s="570">
        <v>9.23</v>
      </c>
      <c r="T187" s="570" t="s">
        <v>1002</v>
      </c>
      <c r="U187" s="570" t="s">
        <v>1002</v>
      </c>
      <c r="V187" s="570">
        <v>4</v>
      </c>
      <c r="W187" s="570">
        <v>1</v>
      </c>
      <c r="X187" s="570" t="s">
        <v>1000</v>
      </c>
      <c r="Y187" s="570" t="s">
        <v>1003</v>
      </c>
      <c r="Z187" s="570">
        <v>4</v>
      </c>
      <c r="AA187" s="570">
        <v>0</v>
      </c>
      <c r="AB187" s="570">
        <v>0</v>
      </c>
      <c r="AC187" s="570">
        <v>0</v>
      </c>
      <c r="AD187" s="570">
        <v>0</v>
      </c>
      <c r="AE187" s="570" t="s">
        <v>1011</v>
      </c>
      <c r="AF187" s="570">
        <v>22</v>
      </c>
      <c r="AG187" s="570" t="s">
        <v>1012</v>
      </c>
      <c r="AH187" s="570">
        <v>0</v>
      </c>
      <c r="AI187" s="570" t="s">
        <v>1006</v>
      </c>
      <c r="AJ187" s="570">
        <v>2</v>
      </c>
      <c r="AK187" s="570">
        <v>22</v>
      </c>
      <c r="AL187" s="570">
        <v>2</v>
      </c>
      <c r="AM187" s="570">
        <v>0</v>
      </c>
      <c r="AN187" s="570">
        <v>34</v>
      </c>
      <c r="AO187" s="570" t="s">
        <v>1009</v>
      </c>
      <c r="AP187" s="570" t="s">
        <v>1002</v>
      </c>
      <c r="AQ187" s="570">
        <v>1</v>
      </c>
      <c r="AR187" s="570"/>
      <c r="AS187" s="570">
        <v>4</v>
      </c>
    </row>
    <row r="188" spans="1:45" x14ac:dyDescent="0.35">
      <c r="A188" s="570">
        <v>300484796</v>
      </c>
      <c r="B188" s="570">
        <v>44</v>
      </c>
      <c r="C188" s="570">
        <v>15</v>
      </c>
      <c r="D188" s="570">
        <v>5</v>
      </c>
      <c r="E188" s="570">
        <v>0</v>
      </c>
      <c r="F188" s="570">
        <v>17.399999999999999</v>
      </c>
      <c r="G188" s="570" t="s">
        <v>1000</v>
      </c>
      <c r="H188" s="570">
        <v>2</v>
      </c>
      <c r="I188" s="570">
        <v>0</v>
      </c>
      <c r="J188" s="570">
        <v>0</v>
      </c>
      <c r="K188" s="570">
        <v>0</v>
      </c>
      <c r="L188" s="570">
        <v>0</v>
      </c>
      <c r="M188" s="570">
        <v>0</v>
      </c>
      <c r="N188" s="570" t="s">
        <v>1010</v>
      </c>
      <c r="O188" s="570">
        <v>1</v>
      </c>
      <c r="P188" s="571">
        <v>44132</v>
      </c>
      <c r="Q188" s="570">
        <v>35.088592329999997</v>
      </c>
      <c r="R188" s="570">
        <v>-97.416787299999996</v>
      </c>
      <c r="S188" s="570">
        <v>9.23</v>
      </c>
      <c r="T188" s="570" t="s">
        <v>1002</v>
      </c>
      <c r="U188" s="570" t="s">
        <v>1002</v>
      </c>
      <c r="V188" s="570">
        <v>4</v>
      </c>
      <c r="W188" s="570">
        <v>1</v>
      </c>
      <c r="X188" s="570" t="s">
        <v>1000</v>
      </c>
      <c r="Y188" s="570" t="s">
        <v>1003</v>
      </c>
      <c r="Z188" s="570">
        <v>4</v>
      </c>
      <c r="AA188" s="570">
        <v>0</v>
      </c>
      <c r="AB188" s="570">
        <v>0</v>
      </c>
      <c r="AC188" s="570">
        <v>0</v>
      </c>
      <c r="AD188" s="570">
        <v>0</v>
      </c>
      <c r="AE188" s="570" t="s">
        <v>1011</v>
      </c>
      <c r="AF188" s="570">
        <v>22</v>
      </c>
      <c r="AG188" s="570" t="s">
        <v>1012</v>
      </c>
      <c r="AH188" s="570">
        <v>0</v>
      </c>
      <c r="AI188" s="570" t="s">
        <v>1006</v>
      </c>
      <c r="AJ188" s="570">
        <v>2</v>
      </c>
      <c r="AK188" s="570">
        <v>22</v>
      </c>
      <c r="AL188" s="570">
        <v>2</v>
      </c>
      <c r="AM188" s="570">
        <v>0</v>
      </c>
      <c r="AN188" s="570">
        <v>39</v>
      </c>
      <c r="AO188" s="570" t="s">
        <v>1009</v>
      </c>
      <c r="AP188" s="570" t="s">
        <v>1002</v>
      </c>
      <c r="AQ188" s="570">
        <v>1</v>
      </c>
      <c r="AR188" s="570"/>
      <c r="AS188" s="570">
        <v>4</v>
      </c>
    </row>
    <row r="189" spans="1:45" x14ac:dyDescent="0.35">
      <c r="A189" s="570">
        <v>300484978</v>
      </c>
      <c r="B189" s="570">
        <v>44</v>
      </c>
      <c r="C189" s="570">
        <v>0</v>
      </c>
      <c r="D189" s="570">
        <v>5</v>
      </c>
      <c r="E189" s="570">
        <v>0</v>
      </c>
      <c r="F189" s="570">
        <v>18.010000000000002</v>
      </c>
      <c r="G189" s="570" t="s">
        <v>1000</v>
      </c>
      <c r="H189" s="570">
        <v>2</v>
      </c>
      <c r="I189" s="570">
        <v>0</v>
      </c>
      <c r="J189" s="570">
        <v>0</v>
      </c>
      <c r="K189" s="570">
        <v>0</v>
      </c>
      <c r="L189" s="570">
        <v>0</v>
      </c>
      <c r="M189" s="570">
        <v>0</v>
      </c>
      <c r="N189" s="570" t="s">
        <v>1028</v>
      </c>
      <c r="O189" s="570">
        <v>1</v>
      </c>
      <c r="P189" s="571">
        <v>44130</v>
      </c>
      <c r="Q189" s="570">
        <v>35.095601600000002</v>
      </c>
      <c r="R189" s="570">
        <v>-97.423360930000001</v>
      </c>
      <c r="S189" s="570">
        <v>15.55</v>
      </c>
      <c r="T189" s="570" t="s">
        <v>1002</v>
      </c>
      <c r="U189" s="570" t="s">
        <v>1002</v>
      </c>
      <c r="V189" s="570">
        <v>2</v>
      </c>
      <c r="W189" s="570">
        <v>1</v>
      </c>
      <c r="X189" s="570" t="s">
        <v>1000</v>
      </c>
      <c r="Y189" s="570" t="s">
        <v>1046</v>
      </c>
      <c r="Z189" s="570">
        <v>6</v>
      </c>
      <c r="AA189" s="570">
        <v>0</v>
      </c>
      <c r="AB189" s="570">
        <v>0</v>
      </c>
      <c r="AC189" s="570">
        <v>0</v>
      </c>
      <c r="AD189" s="570">
        <v>0</v>
      </c>
      <c r="AE189" s="570" t="s">
        <v>1011</v>
      </c>
      <c r="AF189" s="570">
        <v>21</v>
      </c>
      <c r="AG189" s="570" t="s">
        <v>1020</v>
      </c>
      <c r="AH189" s="570">
        <v>0</v>
      </c>
      <c r="AI189" s="570" t="s">
        <v>1006</v>
      </c>
      <c r="AJ189" s="570">
        <v>20</v>
      </c>
      <c r="AK189" s="570">
        <v>21</v>
      </c>
      <c r="AL189" s="570">
        <v>6</v>
      </c>
      <c r="AM189" s="570">
        <v>0</v>
      </c>
      <c r="AN189" s="570">
        <v>63</v>
      </c>
      <c r="AO189" s="570" t="s">
        <v>1007</v>
      </c>
      <c r="AP189" s="570" t="s">
        <v>1008</v>
      </c>
      <c r="AQ189" s="570">
        <v>1</v>
      </c>
      <c r="AR189" s="570">
        <v>1</v>
      </c>
      <c r="AS189" s="570">
        <v>4</v>
      </c>
    </row>
    <row r="190" spans="1:45" x14ac:dyDescent="0.35">
      <c r="A190" s="570">
        <v>300484978</v>
      </c>
      <c r="B190" s="570">
        <v>44</v>
      </c>
      <c r="C190" s="570">
        <v>0</v>
      </c>
      <c r="D190" s="570">
        <v>5</v>
      </c>
      <c r="E190" s="570">
        <v>0</v>
      </c>
      <c r="F190" s="570">
        <v>18.010000000000002</v>
      </c>
      <c r="G190" s="570" t="s">
        <v>1000</v>
      </c>
      <c r="H190" s="570">
        <v>2</v>
      </c>
      <c r="I190" s="570">
        <v>0</v>
      </c>
      <c r="J190" s="570">
        <v>0</v>
      </c>
      <c r="K190" s="570">
        <v>0</v>
      </c>
      <c r="L190" s="570">
        <v>0</v>
      </c>
      <c r="M190" s="570">
        <v>0</v>
      </c>
      <c r="N190" s="570" t="s">
        <v>1028</v>
      </c>
      <c r="O190" s="570">
        <v>1</v>
      </c>
      <c r="P190" s="571">
        <v>44130</v>
      </c>
      <c r="Q190" s="570">
        <v>35.095601600000002</v>
      </c>
      <c r="R190" s="570">
        <v>-97.423360930000001</v>
      </c>
      <c r="S190" s="570">
        <v>15.55</v>
      </c>
      <c r="T190" s="570" t="s">
        <v>1002</v>
      </c>
      <c r="U190" s="570" t="s">
        <v>1002</v>
      </c>
      <c r="V190" s="570">
        <v>2</v>
      </c>
      <c r="W190" s="570">
        <v>1</v>
      </c>
      <c r="X190" s="570" t="s">
        <v>1000</v>
      </c>
      <c r="Y190" s="570" t="s">
        <v>1046</v>
      </c>
      <c r="Z190" s="570">
        <v>6</v>
      </c>
      <c r="AA190" s="570">
        <v>0</v>
      </c>
      <c r="AB190" s="570">
        <v>0</v>
      </c>
      <c r="AC190" s="570">
        <v>0</v>
      </c>
      <c r="AD190" s="570">
        <v>0</v>
      </c>
      <c r="AE190" s="570" t="s">
        <v>1011</v>
      </c>
      <c r="AF190" s="570">
        <v>21</v>
      </c>
      <c r="AG190" s="570" t="s">
        <v>1020</v>
      </c>
      <c r="AH190" s="570">
        <v>0</v>
      </c>
      <c r="AI190" s="570" t="s">
        <v>1006</v>
      </c>
      <c r="AJ190" s="570">
        <v>10</v>
      </c>
      <c r="AK190" s="570">
        <v>98</v>
      </c>
      <c r="AL190" s="570">
        <v>6</v>
      </c>
      <c r="AM190" s="570">
        <v>0</v>
      </c>
      <c r="AN190" s="570">
        <v>47</v>
      </c>
      <c r="AO190" s="570" t="s">
        <v>1009</v>
      </c>
      <c r="AP190" s="570" t="s">
        <v>1008</v>
      </c>
      <c r="AQ190" s="570">
        <v>1</v>
      </c>
      <c r="AR190" s="570">
        <v>1</v>
      </c>
      <c r="AS190" s="570">
        <v>4</v>
      </c>
    </row>
    <row r="191" spans="1:45" x14ac:dyDescent="0.35">
      <c r="A191" s="570">
        <v>300484978</v>
      </c>
      <c r="B191" s="570">
        <v>44</v>
      </c>
      <c r="C191" s="570">
        <v>0</v>
      </c>
      <c r="D191" s="570">
        <v>5</v>
      </c>
      <c r="E191" s="570">
        <v>0</v>
      </c>
      <c r="F191" s="570">
        <v>18.010000000000002</v>
      </c>
      <c r="G191" s="570" t="s">
        <v>1000</v>
      </c>
      <c r="H191" s="570">
        <v>2</v>
      </c>
      <c r="I191" s="570">
        <v>0</v>
      </c>
      <c r="J191" s="570">
        <v>0</v>
      </c>
      <c r="K191" s="570">
        <v>0</v>
      </c>
      <c r="L191" s="570">
        <v>0</v>
      </c>
      <c r="M191" s="570">
        <v>0</v>
      </c>
      <c r="N191" s="570" t="s">
        <v>1028</v>
      </c>
      <c r="O191" s="570">
        <v>1</v>
      </c>
      <c r="P191" s="571">
        <v>44130</v>
      </c>
      <c r="Q191" s="570">
        <v>35.095601600000002</v>
      </c>
      <c r="R191" s="570">
        <v>-97.423360930000001</v>
      </c>
      <c r="S191" s="570">
        <v>15.55</v>
      </c>
      <c r="T191" s="570" t="s">
        <v>1002</v>
      </c>
      <c r="U191" s="570" t="s">
        <v>1002</v>
      </c>
      <c r="V191" s="570">
        <v>2</v>
      </c>
      <c r="W191" s="570">
        <v>1</v>
      </c>
      <c r="X191" s="570" t="s">
        <v>1000</v>
      </c>
      <c r="Y191" s="570" t="s">
        <v>1046</v>
      </c>
      <c r="Z191" s="570">
        <v>6</v>
      </c>
      <c r="AA191" s="570">
        <v>0</v>
      </c>
      <c r="AB191" s="570">
        <v>0</v>
      </c>
      <c r="AC191" s="570">
        <v>0</v>
      </c>
      <c r="AD191" s="570">
        <v>0</v>
      </c>
      <c r="AE191" s="570" t="s">
        <v>1011</v>
      </c>
      <c r="AF191" s="570">
        <v>21</v>
      </c>
      <c r="AG191" s="570" t="s">
        <v>1020</v>
      </c>
      <c r="AH191" s="570">
        <v>0</v>
      </c>
      <c r="AI191" s="570" t="s">
        <v>1006</v>
      </c>
      <c r="AJ191" s="570">
        <v>10</v>
      </c>
      <c r="AK191" s="570">
        <v>98</v>
      </c>
      <c r="AL191" s="570">
        <v>6</v>
      </c>
      <c r="AM191" s="570">
        <v>0</v>
      </c>
      <c r="AN191" s="570">
        <v>0</v>
      </c>
      <c r="AO191" s="570">
        <v>9</v>
      </c>
      <c r="AP191" s="570" t="s">
        <v>1002</v>
      </c>
      <c r="AQ191" s="570"/>
      <c r="AR191" s="570"/>
      <c r="AS191" s="570"/>
    </row>
    <row r="192" spans="1:45" x14ac:dyDescent="0.35">
      <c r="A192" s="570">
        <v>300485318</v>
      </c>
      <c r="B192" s="570">
        <v>44</v>
      </c>
      <c r="C192" s="570">
        <v>0</v>
      </c>
      <c r="D192" s="570">
        <v>5</v>
      </c>
      <c r="E192" s="570">
        <v>0</v>
      </c>
      <c r="F192" s="570">
        <v>18.3</v>
      </c>
      <c r="G192" s="570" t="s">
        <v>1000</v>
      </c>
      <c r="H192" s="570">
        <v>2</v>
      </c>
      <c r="I192" s="570">
        <v>0</v>
      </c>
      <c r="J192" s="570">
        <v>0</v>
      </c>
      <c r="K192" s="570">
        <v>0</v>
      </c>
      <c r="L192" s="570">
        <v>0</v>
      </c>
      <c r="M192" s="570">
        <v>0</v>
      </c>
      <c r="N192" s="570" t="s">
        <v>1043</v>
      </c>
      <c r="O192" s="570">
        <v>1</v>
      </c>
      <c r="P192" s="571">
        <v>44103</v>
      </c>
      <c r="Q192" s="570">
        <v>35.098939029999997</v>
      </c>
      <c r="R192" s="570">
        <v>-97.426478459999998</v>
      </c>
      <c r="S192" s="570">
        <v>4.16</v>
      </c>
      <c r="T192" s="570" t="s">
        <v>1002</v>
      </c>
      <c r="U192" s="570" t="s">
        <v>1002</v>
      </c>
      <c r="V192" s="570">
        <v>3</v>
      </c>
      <c r="W192" s="570">
        <v>2</v>
      </c>
      <c r="X192" s="570" t="s">
        <v>1047</v>
      </c>
      <c r="Y192" s="570" t="s">
        <v>1048</v>
      </c>
      <c r="Z192" s="570">
        <v>1</v>
      </c>
      <c r="AA192" s="570">
        <v>0</v>
      </c>
      <c r="AB192" s="570">
        <v>0</v>
      </c>
      <c r="AC192" s="570">
        <v>0</v>
      </c>
      <c r="AD192" s="570">
        <v>0</v>
      </c>
      <c r="AE192" s="570" t="s">
        <v>1011</v>
      </c>
      <c r="AF192" s="570">
        <v>29</v>
      </c>
      <c r="AG192" s="570" t="s">
        <v>1012</v>
      </c>
      <c r="AH192" s="570">
        <v>0</v>
      </c>
      <c r="AI192" s="570" t="s">
        <v>1006</v>
      </c>
      <c r="AJ192" s="570">
        <v>8</v>
      </c>
      <c r="AK192" s="570">
        <v>29</v>
      </c>
      <c r="AL192" s="570">
        <v>1</v>
      </c>
      <c r="AM192" s="570">
        <v>0</v>
      </c>
      <c r="AN192" s="570">
        <v>75</v>
      </c>
      <c r="AO192" s="570" t="s">
        <v>1007</v>
      </c>
      <c r="AP192" s="570" t="s">
        <v>1008</v>
      </c>
      <c r="AQ192" s="570">
        <v>1</v>
      </c>
      <c r="AR192" s="570">
        <v>1</v>
      </c>
      <c r="AS192" s="570">
        <v>4</v>
      </c>
    </row>
    <row r="193" spans="1:45" x14ac:dyDescent="0.35">
      <c r="A193" s="570">
        <v>300485318</v>
      </c>
      <c r="B193" s="570">
        <v>44</v>
      </c>
      <c r="C193" s="570">
        <v>0</v>
      </c>
      <c r="D193" s="570">
        <v>5</v>
      </c>
      <c r="E193" s="570">
        <v>0</v>
      </c>
      <c r="F193" s="570">
        <v>18.3</v>
      </c>
      <c r="G193" s="570" t="s">
        <v>1000</v>
      </c>
      <c r="H193" s="570">
        <v>2</v>
      </c>
      <c r="I193" s="570">
        <v>0</v>
      </c>
      <c r="J193" s="570">
        <v>0</v>
      </c>
      <c r="K193" s="570">
        <v>0</v>
      </c>
      <c r="L193" s="570">
        <v>0</v>
      </c>
      <c r="M193" s="570">
        <v>0</v>
      </c>
      <c r="N193" s="570" t="s">
        <v>1043</v>
      </c>
      <c r="O193" s="570">
        <v>1</v>
      </c>
      <c r="P193" s="571">
        <v>44103</v>
      </c>
      <c r="Q193" s="570">
        <v>35.098939029999997</v>
      </c>
      <c r="R193" s="570">
        <v>-97.426478459999998</v>
      </c>
      <c r="S193" s="570">
        <v>4.16</v>
      </c>
      <c r="T193" s="570" t="s">
        <v>1002</v>
      </c>
      <c r="U193" s="570" t="s">
        <v>1002</v>
      </c>
      <c r="V193" s="570">
        <v>3</v>
      </c>
      <c r="W193" s="570">
        <v>2</v>
      </c>
      <c r="X193" s="570" t="s">
        <v>1047</v>
      </c>
      <c r="Y193" s="570" t="s">
        <v>1048</v>
      </c>
      <c r="Z193" s="570">
        <v>1</v>
      </c>
      <c r="AA193" s="570">
        <v>0</v>
      </c>
      <c r="AB193" s="570">
        <v>0</v>
      </c>
      <c r="AC193" s="570">
        <v>0</v>
      </c>
      <c r="AD193" s="570">
        <v>0</v>
      </c>
      <c r="AE193" s="570" t="s">
        <v>1011</v>
      </c>
      <c r="AF193" s="570">
        <v>29</v>
      </c>
      <c r="AG193" s="570" t="s">
        <v>1012</v>
      </c>
      <c r="AH193" s="570">
        <v>0</v>
      </c>
      <c r="AI193" s="570" t="s">
        <v>1006</v>
      </c>
      <c r="AJ193" s="570">
        <v>8</v>
      </c>
      <c r="AK193" s="570">
        <v>29</v>
      </c>
      <c r="AL193" s="570">
        <v>1</v>
      </c>
      <c r="AM193" s="570">
        <v>0</v>
      </c>
      <c r="AN193" s="570">
        <v>0</v>
      </c>
      <c r="AO193" s="570">
        <v>9</v>
      </c>
      <c r="AP193" s="570" t="s">
        <v>1002</v>
      </c>
      <c r="AQ193" s="570"/>
      <c r="AR193" s="570"/>
      <c r="AS193" s="570"/>
    </row>
    <row r="194" spans="1:45" x14ac:dyDescent="0.35">
      <c r="A194" s="570">
        <v>300498415</v>
      </c>
      <c r="B194" s="570">
        <v>44</v>
      </c>
      <c r="C194" s="570">
        <v>0</v>
      </c>
      <c r="D194" s="570">
        <v>5</v>
      </c>
      <c r="E194" s="570">
        <v>0</v>
      </c>
      <c r="F194" s="570">
        <v>18.82</v>
      </c>
      <c r="G194" s="570" t="s">
        <v>1000</v>
      </c>
      <c r="H194" s="570">
        <v>2</v>
      </c>
      <c r="I194" s="570">
        <v>0</v>
      </c>
      <c r="J194" s="570">
        <v>0</v>
      </c>
      <c r="K194" s="570">
        <v>0</v>
      </c>
      <c r="L194" s="570">
        <v>0</v>
      </c>
      <c r="M194" s="570">
        <v>0</v>
      </c>
      <c r="N194" s="570" t="s">
        <v>1001</v>
      </c>
      <c r="O194" s="570">
        <v>2</v>
      </c>
      <c r="P194" s="571">
        <v>44237</v>
      </c>
      <c r="Q194" s="570">
        <v>35.104956389999998</v>
      </c>
      <c r="R194" s="570">
        <v>-97.432016259999997</v>
      </c>
      <c r="S194" s="570">
        <v>9.5500000000000007</v>
      </c>
      <c r="T194" s="570" t="s">
        <v>1002</v>
      </c>
      <c r="U194" s="570" t="s">
        <v>1002</v>
      </c>
      <c r="V194" s="570">
        <v>4</v>
      </c>
      <c r="W194" s="570">
        <v>1</v>
      </c>
      <c r="X194" s="570" t="s">
        <v>1000</v>
      </c>
      <c r="Y194" s="570" t="s">
        <v>1049</v>
      </c>
      <c r="Z194" s="570">
        <v>6</v>
      </c>
      <c r="AA194" s="570">
        <v>0</v>
      </c>
      <c r="AB194" s="570">
        <v>0</v>
      </c>
      <c r="AC194" s="570">
        <v>1</v>
      </c>
      <c r="AD194" s="570">
        <v>0</v>
      </c>
      <c r="AE194" s="570" t="s">
        <v>1011</v>
      </c>
      <c r="AF194" s="570">
        <v>21</v>
      </c>
      <c r="AG194" s="570" t="s">
        <v>1012</v>
      </c>
      <c r="AH194" s="570">
        <v>0</v>
      </c>
      <c r="AI194" s="570" t="s">
        <v>1006</v>
      </c>
      <c r="AJ194" s="570">
        <v>4</v>
      </c>
      <c r="AK194" s="570">
        <v>21</v>
      </c>
      <c r="AL194" s="570">
        <v>3</v>
      </c>
      <c r="AM194" s="570">
        <v>0</v>
      </c>
      <c r="AN194" s="570">
        <v>29</v>
      </c>
      <c r="AO194" s="570" t="s">
        <v>1009</v>
      </c>
      <c r="AP194" s="570" t="s">
        <v>1008</v>
      </c>
      <c r="AQ194" s="570">
        <v>2</v>
      </c>
      <c r="AR194" s="570">
        <v>1</v>
      </c>
      <c r="AS194" s="570">
        <v>4</v>
      </c>
    </row>
    <row r="195" spans="1:45" x14ac:dyDescent="0.35">
      <c r="A195" s="570">
        <v>300498415</v>
      </c>
      <c r="B195" s="570">
        <v>44</v>
      </c>
      <c r="C195" s="570">
        <v>0</v>
      </c>
      <c r="D195" s="570">
        <v>5</v>
      </c>
      <c r="E195" s="570">
        <v>0</v>
      </c>
      <c r="F195" s="570">
        <v>18.82</v>
      </c>
      <c r="G195" s="570" t="s">
        <v>1000</v>
      </c>
      <c r="H195" s="570">
        <v>2</v>
      </c>
      <c r="I195" s="570">
        <v>0</v>
      </c>
      <c r="J195" s="570">
        <v>0</v>
      </c>
      <c r="K195" s="570">
        <v>0</v>
      </c>
      <c r="L195" s="570">
        <v>0</v>
      </c>
      <c r="M195" s="570">
        <v>0</v>
      </c>
      <c r="N195" s="570" t="s">
        <v>1001</v>
      </c>
      <c r="O195" s="570">
        <v>2</v>
      </c>
      <c r="P195" s="571">
        <v>44237</v>
      </c>
      <c r="Q195" s="570">
        <v>35.104956389999998</v>
      </c>
      <c r="R195" s="570">
        <v>-97.432016259999997</v>
      </c>
      <c r="S195" s="570">
        <v>9.5500000000000007</v>
      </c>
      <c r="T195" s="570" t="s">
        <v>1002</v>
      </c>
      <c r="U195" s="570" t="s">
        <v>1002</v>
      </c>
      <c r="V195" s="570">
        <v>4</v>
      </c>
      <c r="W195" s="570">
        <v>1</v>
      </c>
      <c r="X195" s="570" t="s">
        <v>1000</v>
      </c>
      <c r="Y195" s="570" t="s">
        <v>1049</v>
      </c>
      <c r="Z195" s="570">
        <v>6</v>
      </c>
      <c r="AA195" s="570">
        <v>0</v>
      </c>
      <c r="AB195" s="570">
        <v>0</v>
      </c>
      <c r="AC195" s="570">
        <v>1</v>
      </c>
      <c r="AD195" s="570">
        <v>0</v>
      </c>
      <c r="AE195" s="570" t="s">
        <v>1011</v>
      </c>
      <c r="AF195" s="570">
        <v>21</v>
      </c>
      <c r="AG195" s="570" t="s">
        <v>1012</v>
      </c>
      <c r="AH195" s="570">
        <v>0</v>
      </c>
      <c r="AI195" s="570" t="s">
        <v>1006</v>
      </c>
      <c r="AJ195" s="570">
        <v>10</v>
      </c>
      <c r="AK195" s="570">
        <v>98</v>
      </c>
      <c r="AL195" s="570">
        <v>3</v>
      </c>
      <c r="AM195" s="570">
        <v>0</v>
      </c>
      <c r="AN195" s="570">
        <v>55</v>
      </c>
      <c r="AO195" s="570" t="s">
        <v>1009</v>
      </c>
      <c r="AP195" s="570" t="s">
        <v>1008</v>
      </c>
      <c r="AQ195" s="570">
        <v>1</v>
      </c>
      <c r="AR195" s="570">
        <v>1</v>
      </c>
      <c r="AS195" s="570">
        <v>4</v>
      </c>
    </row>
    <row r="196" spans="1:45" x14ac:dyDescent="0.35">
      <c r="A196" s="570">
        <v>300498415</v>
      </c>
      <c r="B196" s="570">
        <v>44</v>
      </c>
      <c r="C196" s="570">
        <v>0</v>
      </c>
      <c r="D196" s="570">
        <v>5</v>
      </c>
      <c r="E196" s="570">
        <v>0</v>
      </c>
      <c r="F196" s="570">
        <v>18.82</v>
      </c>
      <c r="G196" s="570" t="s">
        <v>1000</v>
      </c>
      <c r="H196" s="570">
        <v>2</v>
      </c>
      <c r="I196" s="570">
        <v>0</v>
      </c>
      <c r="J196" s="570">
        <v>0</v>
      </c>
      <c r="K196" s="570">
        <v>0</v>
      </c>
      <c r="L196" s="570">
        <v>0</v>
      </c>
      <c r="M196" s="570">
        <v>0</v>
      </c>
      <c r="N196" s="570" t="s">
        <v>1001</v>
      </c>
      <c r="O196" s="570">
        <v>2</v>
      </c>
      <c r="P196" s="571">
        <v>44237</v>
      </c>
      <c r="Q196" s="570">
        <v>35.104956389999998</v>
      </c>
      <c r="R196" s="570">
        <v>-97.432016259999997</v>
      </c>
      <c r="S196" s="570">
        <v>9.5500000000000007</v>
      </c>
      <c r="T196" s="570" t="s">
        <v>1002</v>
      </c>
      <c r="U196" s="570" t="s">
        <v>1002</v>
      </c>
      <c r="V196" s="570">
        <v>4</v>
      </c>
      <c r="W196" s="570">
        <v>1</v>
      </c>
      <c r="X196" s="570" t="s">
        <v>1000</v>
      </c>
      <c r="Y196" s="570" t="s">
        <v>1049</v>
      </c>
      <c r="Z196" s="570">
        <v>6</v>
      </c>
      <c r="AA196" s="570">
        <v>0</v>
      </c>
      <c r="AB196" s="570">
        <v>0</v>
      </c>
      <c r="AC196" s="570">
        <v>1</v>
      </c>
      <c r="AD196" s="570">
        <v>0</v>
      </c>
      <c r="AE196" s="570" t="s">
        <v>1011</v>
      </c>
      <c r="AF196" s="570">
        <v>21</v>
      </c>
      <c r="AG196" s="570" t="s">
        <v>1012</v>
      </c>
      <c r="AH196" s="570">
        <v>0</v>
      </c>
      <c r="AI196" s="570" t="s">
        <v>1006</v>
      </c>
      <c r="AJ196" s="570">
        <v>10</v>
      </c>
      <c r="AK196" s="570">
        <v>98</v>
      </c>
      <c r="AL196" s="570">
        <v>3</v>
      </c>
      <c r="AM196" s="570">
        <v>0</v>
      </c>
      <c r="AN196" s="570">
        <v>0</v>
      </c>
      <c r="AO196" s="570">
        <v>9</v>
      </c>
      <c r="AP196" s="570" t="s">
        <v>1002</v>
      </c>
      <c r="AQ196" s="570"/>
      <c r="AR196" s="570"/>
      <c r="AS196" s="570"/>
    </row>
    <row r="197" spans="1:45" x14ac:dyDescent="0.35">
      <c r="A197" s="570">
        <v>300499292</v>
      </c>
      <c r="B197" s="570">
        <v>44</v>
      </c>
      <c r="C197" s="570">
        <v>15</v>
      </c>
      <c r="D197" s="570">
        <v>5</v>
      </c>
      <c r="E197" s="570">
        <v>0</v>
      </c>
      <c r="F197" s="570">
        <v>17.41</v>
      </c>
      <c r="G197" s="570" t="s">
        <v>1000</v>
      </c>
      <c r="H197" s="570">
        <v>2</v>
      </c>
      <c r="I197" s="570">
        <v>71</v>
      </c>
      <c r="J197" s="570">
        <v>0</v>
      </c>
      <c r="K197" s="570">
        <v>0</v>
      </c>
      <c r="L197" s="570">
        <v>0</v>
      </c>
      <c r="M197" s="570">
        <v>0</v>
      </c>
      <c r="N197" s="570" t="s">
        <v>1001</v>
      </c>
      <c r="O197" s="570">
        <v>1</v>
      </c>
      <c r="P197" s="571">
        <v>44164</v>
      </c>
      <c r="Q197" s="570">
        <v>35.088705609999998</v>
      </c>
      <c r="R197" s="570">
        <v>-97.416897590000005</v>
      </c>
      <c r="S197" s="570">
        <v>13.3</v>
      </c>
      <c r="T197" s="570" t="s">
        <v>1002</v>
      </c>
      <c r="U197" s="570" t="s">
        <v>1002</v>
      </c>
      <c r="V197" s="570">
        <v>1</v>
      </c>
      <c r="W197" s="570">
        <v>1</v>
      </c>
      <c r="X197" s="570" t="s">
        <v>1000</v>
      </c>
      <c r="Y197" s="570" t="s">
        <v>1003</v>
      </c>
      <c r="Z197" s="570">
        <v>3</v>
      </c>
      <c r="AA197" s="570">
        <v>0</v>
      </c>
      <c r="AB197" s="570">
        <v>0</v>
      </c>
      <c r="AC197" s="570">
        <v>0</v>
      </c>
      <c r="AD197" s="570">
        <v>0</v>
      </c>
      <c r="AE197" s="570" t="s">
        <v>1022</v>
      </c>
      <c r="AF197" s="570">
        <v>14</v>
      </c>
      <c r="AG197" s="570" t="s">
        <v>1005</v>
      </c>
      <c r="AH197" s="570">
        <v>0</v>
      </c>
      <c r="AI197" s="570" t="s">
        <v>1006</v>
      </c>
      <c r="AJ197" s="570">
        <v>2</v>
      </c>
      <c r="AK197" s="570">
        <v>14</v>
      </c>
      <c r="AL197" s="570">
        <v>1</v>
      </c>
      <c r="AM197" s="570">
        <v>0</v>
      </c>
      <c r="AN197" s="570">
        <v>21</v>
      </c>
      <c r="AO197" s="570" t="s">
        <v>1009</v>
      </c>
      <c r="AP197" s="570" t="s">
        <v>1008</v>
      </c>
      <c r="AQ197" s="570">
        <v>1</v>
      </c>
      <c r="AR197" s="570">
        <v>1</v>
      </c>
      <c r="AS197" s="570">
        <v>4</v>
      </c>
    </row>
    <row r="198" spans="1:45" x14ac:dyDescent="0.35">
      <c r="A198" s="570">
        <v>300499292</v>
      </c>
      <c r="B198" s="570">
        <v>44</v>
      </c>
      <c r="C198" s="570">
        <v>15</v>
      </c>
      <c r="D198" s="570">
        <v>5</v>
      </c>
      <c r="E198" s="570">
        <v>0</v>
      </c>
      <c r="F198" s="570">
        <v>17.41</v>
      </c>
      <c r="G198" s="570" t="s">
        <v>1000</v>
      </c>
      <c r="H198" s="570">
        <v>2</v>
      </c>
      <c r="I198" s="570">
        <v>71</v>
      </c>
      <c r="J198" s="570">
        <v>0</v>
      </c>
      <c r="K198" s="570">
        <v>0</v>
      </c>
      <c r="L198" s="570">
        <v>0</v>
      </c>
      <c r="M198" s="570">
        <v>0</v>
      </c>
      <c r="N198" s="570" t="s">
        <v>1001</v>
      </c>
      <c r="O198" s="570">
        <v>1</v>
      </c>
      <c r="P198" s="571">
        <v>44164</v>
      </c>
      <c r="Q198" s="570">
        <v>35.088705609999998</v>
      </c>
      <c r="R198" s="570">
        <v>-97.416897590000005</v>
      </c>
      <c r="S198" s="570">
        <v>13.3</v>
      </c>
      <c r="T198" s="570" t="s">
        <v>1002</v>
      </c>
      <c r="U198" s="570" t="s">
        <v>1002</v>
      </c>
      <c r="V198" s="570">
        <v>1</v>
      </c>
      <c r="W198" s="570">
        <v>1</v>
      </c>
      <c r="X198" s="570" t="s">
        <v>1000</v>
      </c>
      <c r="Y198" s="570" t="s">
        <v>1003</v>
      </c>
      <c r="Z198" s="570">
        <v>3</v>
      </c>
      <c r="AA198" s="570">
        <v>0</v>
      </c>
      <c r="AB198" s="570">
        <v>0</v>
      </c>
      <c r="AC198" s="570">
        <v>0</v>
      </c>
      <c r="AD198" s="570">
        <v>0</v>
      </c>
      <c r="AE198" s="570" t="s">
        <v>1022</v>
      </c>
      <c r="AF198" s="570">
        <v>14</v>
      </c>
      <c r="AG198" s="570" t="s">
        <v>1005</v>
      </c>
      <c r="AH198" s="570">
        <v>0</v>
      </c>
      <c r="AI198" s="570" t="s">
        <v>1006</v>
      </c>
      <c r="AJ198" s="570">
        <v>2</v>
      </c>
      <c r="AK198" s="570">
        <v>14</v>
      </c>
      <c r="AL198" s="570">
        <v>1</v>
      </c>
      <c r="AM198" s="570">
        <v>0</v>
      </c>
      <c r="AN198" s="570">
        <v>0</v>
      </c>
      <c r="AO198" s="570">
        <v>9</v>
      </c>
      <c r="AP198" s="570" t="s">
        <v>1002</v>
      </c>
      <c r="AQ198" s="570"/>
      <c r="AR198" s="570"/>
      <c r="AS198" s="570"/>
    </row>
    <row r="199" spans="1:45" x14ac:dyDescent="0.35">
      <c r="A199" s="570">
        <v>300499292</v>
      </c>
      <c r="B199" s="570">
        <v>44</v>
      </c>
      <c r="C199" s="570">
        <v>15</v>
      </c>
      <c r="D199" s="570">
        <v>5</v>
      </c>
      <c r="E199" s="570">
        <v>0</v>
      </c>
      <c r="F199" s="570">
        <v>17.41</v>
      </c>
      <c r="G199" s="570" t="s">
        <v>1000</v>
      </c>
      <c r="H199" s="570">
        <v>2</v>
      </c>
      <c r="I199" s="570">
        <v>71</v>
      </c>
      <c r="J199" s="570">
        <v>0</v>
      </c>
      <c r="K199" s="570">
        <v>0</v>
      </c>
      <c r="L199" s="570">
        <v>0</v>
      </c>
      <c r="M199" s="570">
        <v>0</v>
      </c>
      <c r="N199" s="570" t="s">
        <v>1001</v>
      </c>
      <c r="O199" s="570">
        <v>1</v>
      </c>
      <c r="P199" s="571">
        <v>44164</v>
      </c>
      <c r="Q199" s="570">
        <v>35.088705609999998</v>
      </c>
      <c r="R199" s="570">
        <v>-97.416897590000005</v>
      </c>
      <c r="S199" s="570">
        <v>13.3</v>
      </c>
      <c r="T199" s="570" t="s">
        <v>1002</v>
      </c>
      <c r="U199" s="570" t="s">
        <v>1002</v>
      </c>
      <c r="V199" s="570">
        <v>1</v>
      </c>
      <c r="W199" s="570">
        <v>1</v>
      </c>
      <c r="X199" s="570" t="s">
        <v>1000</v>
      </c>
      <c r="Y199" s="570" t="s">
        <v>1003</v>
      </c>
      <c r="Z199" s="570">
        <v>3</v>
      </c>
      <c r="AA199" s="570">
        <v>0</v>
      </c>
      <c r="AB199" s="570">
        <v>0</v>
      </c>
      <c r="AC199" s="570">
        <v>0</v>
      </c>
      <c r="AD199" s="570">
        <v>0</v>
      </c>
      <c r="AE199" s="570" t="s">
        <v>1022</v>
      </c>
      <c r="AF199" s="570">
        <v>14</v>
      </c>
      <c r="AG199" s="570" t="s">
        <v>1005</v>
      </c>
      <c r="AH199" s="570">
        <v>0</v>
      </c>
      <c r="AI199" s="570" t="s">
        <v>1006</v>
      </c>
      <c r="AJ199" s="570">
        <v>20</v>
      </c>
      <c r="AK199" s="570">
        <v>98</v>
      </c>
      <c r="AL199" s="570">
        <v>1</v>
      </c>
      <c r="AM199" s="570">
        <v>0</v>
      </c>
      <c r="AN199" s="570">
        <v>21</v>
      </c>
      <c r="AO199" s="570" t="s">
        <v>1007</v>
      </c>
      <c r="AP199" s="570" t="s">
        <v>1008</v>
      </c>
      <c r="AQ199" s="570">
        <v>1</v>
      </c>
      <c r="AR199" s="570">
        <v>1</v>
      </c>
      <c r="AS199" s="570">
        <v>4</v>
      </c>
    </row>
    <row r="200" spans="1:45" x14ac:dyDescent="0.35">
      <c r="A200" s="570">
        <v>300499292</v>
      </c>
      <c r="B200" s="570">
        <v>44</v>
      </c>
      <c r="C200" s="570">
        <v>15</v>
      </c>
      <c r="D200" s="570">
        <v>5</v>
      </c>
      <c r="E200" s="570">
        <v>0</v>
      </c>
      <c r="F200" s="570">
        <v>17.41</v>
      </c>
      <c r="G200" s="570" t="s">
        <v>1000</v>
      </c>
      <c r="H200" s="570">
        <v>2</v>
      </c>
      <c r="I200" s="570">
        <v>71</v>
      </c>
      <c r="J200" s="570">
        <v>0</v>
      </c>
      <c r="K200" s="570">
        <v>0</v>
      </c>
      <c r="L200" s="570">
        <v>0</v>
      </c>
      <c r="M200" s="570">
        <v>0</v>
      </c>
      <c r="N200" s="570" t="s">
        <v>1001</v>
      </c>
      <c r="O200" s="570">
        <v>1</v>
      </c>
      <c r="P200" s="571">
        <v>44164</v>
      </c>
      <c r="Q200" s="570">
        <v>35.088705609999998</v>
      </c>
      <c r="R200" s="570">
        <v>-97.416897590000005</v>
      </c>
      <c r="S200" s="570">
        <v>13.3</v>
      </c>
      <c r="T200" s="570" t="s">
        <v>1002</v>
      </c>
      <c r="U200" s="570" t="s">
        <v>1002</v>
      </c>
      <c r="V200" s="570">
        <v>1</v>
      </c>
      <c r="W200" s="570">
        <v>1</v>
      </c>
      <c r="X200" s="570" t="s">
        <v>1000</v>
      </c>
      <c r="Y200" s="570" t="s">
        <v>1003</v>
      </c>
      <c r="Z200" s="570">
        <v>3</v>
      </c>
      <c r="AA200" s="570">
        <v>0</v>
      </c>
      <c r="AB200" s="570">
        <v>0</v>
      </c>
      <c r="AC200" s="570">
        <v>0</v>
      </c>
      <c r="AD200" s="570">
        <v>0</v>
      </c>
      <c r="AE200" s="570" t="s">
        <v>1022</v>
      </c>
      <c r="AF200" s="570">
        <v>14</v>
      </c>
      <c r="AG200" s="570" t="s">
        <v>1005</v>
      </c>
      <c r="AH200" s="570">
        <v>0</v>
      </c>
      <c r="AI200" s="570" t="s">
        <v>1006</v>
      </c>
      <c r="AJ200" s="570">
        <v>20</v>
      </c>
      <c r="AK200" s="570">
        <v>98</v>
      </c>
      <c r="AL200" s="570">
        <v>1</v>
      </c>
      <c r="AM200" s="570">
        <v>0</v>
      </c>
      <c r="AN200" s="570">
        <v>0</v>
      </c>
      <c r="AO200" s="570">
        <v>9</v>
      </c>
      <c r="AP200" s="570" t="s">
        <v>1002</v>
      </c>
      <c r="AQ200" s="570"/>
      <c r="AR200" s="570"/>
      <c r="AS200" s="570"/>
    </row>
    <row r="201" spans="1:45" x14ac:dyDescent="0.35">
      <c r="A201" s="570">
        <v>300499292</v>
      </c>
      <c r="B201" s="570">
        <v>44</v>
      </c>
      <c r="C201" s="570">
        <v>15</v>
      </c>
      <c r="D201" s="570">
        <v>5</v>
      </c>
      <c r="E201" s="570">
        <v>0</v>
      </c>
      <c r="F201" s="570">
        <v>17.41</v>
      </c>
      <c r="G201" s="570" t="s">
        <v>1000</v>
      </c>
      <c r="H201" s="570">
        <v>2</v>
      </c>
      <c r="I201" s="570">
        <v>71</v>
      </c>
      <c r="J201" s="570">
        <v>0</v>
      </c>
      <c r="K201" s="570">
        <v>0</v>
      </c>
      <c r="L201" s="570">
        <v>0</v>
      </c>
      <c r="M201" s="570">
        <v>0</v>
      </c>
      <c r="N201" s="570" t="s">
        <v>1001</v>
      </c>
      <c r="O201" s="570">
        <v>1</v>
      </c>
      <c r="P201" s="571">
        <v>44164</v>
      </c>
      <c r="Q201" s="570">
        <v>35.088705609999998</v>
      </c>
      <c r="R201" s="570">
        <v>-97.416897590000005</v>
      </c>
      <c r="S201" s="570">
        <v>13.3</v>
      </c>
      <c r="T201" s="570" t="s">
        <v>1002</v>
      </c>
      <c r="U201" s="570" t="s">
        <v>1002</v>
      </c>
      <c r="V201" s="570">
        <v>1</v>
      </c>
      <c r="W201" s="570">
        <v>1</v>
      </c>
      <c r="X201" s="570" t="s">
        <v>1000</v>
      </c>
      <c r="Y201" s="570" t="s">
        <v>1003</v>
      </c>
      <c r="Z201" s="570">
        <v>3</v>
      </c>
      <c r="AA201" s="570">
        <v>0</v>
      </c>
      <c r="AB201" s="570">
        <v>0</v>
      </c>
      <c r="AC201" s="570">
        <v>0</v>
      </c>
      <c r="AD201" s="570">
        <v>0</v>
      </c>
      <c r="AE201" s="570" t="s">
        <v>1022</v>
      </c>
      <c r="AF201" s="570">
        <v>14</v>
      </c>
      <c r="AG201" s="570" t="s">
        <v>1005</v>
      </c>
      <c r="AH201" s="570">
        <v>0</v>
      </c>
      <c r="AI201" s="570" t="s">
        <v>1006</v>
      </c>
      <c r="AJ201" s="570">
        <v>20</v>
      </c>
      <c r="AK201" s="570">
        <v>98</v>
      </c>
      <c r="AL201" s="570">
        <v>1</v>
      </c>
      <c r="AM201" s="570">
        <v>0</v>
      </c>
      <c r="AN201" s="570">
        <v>21</v>
      </c>
      <c r="AO201" s="570" t="s">
        <v>1009</v>
      </c>
      <c r="AP201" s="570" t="s">
        <v>1002</v>
      </c>
      <c r="AQ201" s="570">
        <v>1</v>
      </c>
      <c r="AR201" s="570"/>
      <c r="AS201" s="570">
        <v>4</v>
      </c>
    </row>
    <row r="202" spans="1:45" x14ac:dyDescent="0.35">
      <c r="A202" s="570">
        <v>300500456</v>
      </c>
      <c r="B202" s="570">
        <v>44</v>
      </c>
      <c r="C202" s="570">
        <v>0</v>
      </c>
      <c r="D202" s="570">
        <v>5</v>
      </c>
      <c r="E202" s="570">
        <v>0</v>
      </c>
      <c r="F202" s="570">
        <v>18.3</v>
      </c>
      <c r="G202" s="570" t="s">
        <v>1000</v>
      </c>
      <c r="H202" s="570">
        <v>2</v>
      </c>
      <c r="I202" s="570">
        <v>0</v>
      </c>
      <c r="J202" s="570">
        <v>0</v>
      </c>
      <c r="K202" s="570">
        <v>0</v>
      </c>
      <c r="L202" s="570">
        <v>0</v>
      </c>
      <c r="M202" s="570">
        <v>0</v>
      </c>
      <c r="N202" s="570" t="s">
        <v>1010</v>
      </c>
      <c r="O202" s="570">
        <v>1</v>
      </c>
      <c r="P202" s="571">
        <v>44237</v>
      </c>
      <c r="Q202" s="570">
        <v>35.098939029999997</v>
      </c>
      <c r="R202" s="570">
        <v>-97.426478459999998</v>
      </c>
      <c r="S202" s="570">
        <v>7</v>
      </c>
      <c r="T202" s="570" t="s">
        <v>1002</v>
      </c>
      <c r="U202" s="570" t="s">
        <v>1002</v>
      </c>
      <c r="V202" s="570">
        <v>4</v>
      </c>
      <c r="W202" s="570">
        <v>1</v>
      </c>
      <c r="X202" s="570" t="s">
        <v>1000</v>
      </c>
      <c r="Y202" s="570" t="s">
        <v>1050</v>
      </c>
      <c r="Z202" s="570">
        <v>6</v>
      </c>
      <c r="AA202" s="570">
        <v>0</v>
      </c>
      <c r="AB202" s="570">
        <v>0</v>
      </c>
      <c r="AC202" s="570">
        <v>0</v>
      </c>
      <c r="AD202" s="570">
        <v>0</v>
      </c>
      <c r="AE202" s="570" t="s">
        <v>1011</v>
      </c>
      <c r="AF202" s="570">
        <v>21</v>
      </c>
      <c r="AG202" s="570" t="s">
        <v>1012</v>
      </c>
      <c r="AH202" s="570">
        <v>0</v>
      </c>
      <c r="AI202" s="570" t="s">
        <v>1006</v>
      </c>
      <c r="AJ202" s="570">
        <v>4</v>
      </c>
      <c r="AK202" s="570">
        <v>21</v>
      </c>
      <c r="AL202" s="570">
        <v>3</v>
      </c>
      <c r="AM202" s="570">
        <v>0</v>
      </c>
      <c r="AN202" s="570">
        <v>54</v>
      </c>
      <c r="AO202" s="570" t="s">
        <v>1009</v>
      </c>
      <c r="AP202" s="570" t="s">
        <v>1008</v>
      </c>
      <c r="AQ202" s="570">
        <v>1</v>
      </c>
      <c r="AR202" s="570">
        <v>1</v>
      </c>
      <c r="AS202" s="570">
        <v>4</v>
      </c>
    </row>
    <row r="203" spans="1:45" x14ac:dyDescent="0.35">
      <c r="A203" s="570">
        <v>300500625</v>
      </c>
      <c r="B203" s="570">
        <v>44</v>
      </c>
      <c r="C203" s="570">
        <v>15</v>
      </c>
      <c r="D203" s="570">
        <v>5</v>
      </c>
      <c r="E203" s="570">
        <v>0</v>
      </c>
      <c r="F203" s="570">
        <v>16.93</v>
      </c>
      <c r="G203" s="570" t="s">
        <v>1000</v>
      </c>
      <c r="H203" s="570">
        <v>2</v>
      </c>
      <c r="I203" s="570">
        <v>0</v>
      </c>
      <c r="J203" s="570">
        <v>0</v>
      </c>
      <c r="K203" s="570">
        <v>0</v>
      </c>
      <c r="L203" s="570">
        <v>0</v>
      </c>
      <c r="M203" s="570">
        <v>0</v>
      </c>
      <c r="N203" s="570" t="s">
        <v>1010</v>
      </c>
      <c r="O203" s="570">
        <v>1</v>
      </c>
      <c r="P203" s="571">
        <v>44252</v>
      </c>
      <c r="Q203" s="570">
        <v>35.08323764</v>
      </c>
      <c r="R203" s="570">
        <v>-97.411650390000005</v>
      </c>
      <c r="S203" s="570">
        <v>18.07</v>
      </c>
      <c r="T203" s="570" t="s">
        <v>1002</v>
      </c>
      <c r="U203" s="570" t="s">
        <v>1002</v>
      </c>
      <c r="V203" s="570">
        <v>5</v>
      </c>
      <c r="W203" s="570">
        <v>5</v>
      </c>
      <c r="X203" s="570" t="s">
        <v>1000</v>
      </c>
      <c r="Y203" s="570" t="s">
        <v>1013</v>
      </c>
      <c r="Z203" s="570">
        <v>1</v>
      </c>
      <c r="AA203" s="570">
        <v>0</v>
      </c>
      <c r="AB203" s="570">
        <v>0</v>
      </c>
      <c r="AC203" s="570">
        <v>0</v>
      </c>
      <c r="AD203" s="570">
        <v>0</v>
      </c>
      <c r="AE203" s="570" t="s">
        <v>1022</v>
      </c>
      <c r="AF203" s="570">
        <v>14</v>
      </c>
      <c r="AG203" s="570" t="s">
        <v>1012</v>
      </c>
      <c r="AH203" s="570">
        <v>0</v>
      </c>
      <c r="AI203" s="570" t="s">
        <v>1006</v>
      </c>
      <c r="AJ203" s="570">
        <v>2</v>
      </c>
      <c r="AK203" s="570">
        <v>14</v>
      </c>
      <c r="AL203" s="570">
        <v>1</v>
      </c>
      <c r="AM203" s="570">
        <v>0</v>
      </c>
      <c r="AN203" s="570">
        <v>49</v>
      </c>
      <c r="AO203" s="570" t="s">
        <v>1009</v>
      </c>
      <c r="AP203" s="570" t="s">
        <v>1008</v>
      </c>
      <c r="AQ203" s="570">
        <v>1</v>
      </c>
      <c r="AR203" s="570">
        <v>1</v>
      </c>
      <c r="AS203" s="570">
        <v>4</v>
      </c>
    </row>
    <row r="204" spans="1:45" x14ac:dyDescent="0.35">
      <c r="A204" s="570">
        <v>300500633</v>
      </c>
      <c r="B204" s="570">
        <v>44</v>
      </c>
      <c r="C204" s="570">
        <v>0</v>
      </c>
      <c r="D204" s="570">
        <v>5</v>
      </c>
      <c r="E204" s="570">
        <v>0</v>
      </c>
      <c r="F204" s="570">
        <v>18.62</v>
      </c>
      <c r="G204" s="570" t="s">
        <v>1000</v>
      </c>
      <c r="H204" s="570">
        <v>2</v>
      </c>
      <c r="I204" s="570">
        <v>0</v>
      </c>
      <c r="J204" s="570">
        <v>0</v>
      </c>
      <c r="K204" s="570">
        <v>0</v>
      </c>
      <c r="L204" s="570">
        <v>1</v>
      </c>
      <c r="M204" s="570">
        <v>0</v>
      </c>
      <c r="N204" s="570" t="s">
        <v>1001</v>
      </c>
      <c r="O204" s="570">
        <v>3</v>
      </c>
      <c r="P204" s="571">
        <v>44215</v>
      </c>
      <c r="Q204" s="570">
        <v>35.102655970000001</v>
      </c>
      <c r="R204" s="570">
        <v>-97.429863900000001</v>
      </c>
      <c r="S204" s="570">
        <v>4.5</v>
      </c>
      <c r="T204" s="570" t="s">
        <v>1002</v>
      </c>
      <c r="U204" s="570" t="s">
        <v>1002</v>
      </c>
      <c r="V204" s="570">
        <v>3</v>
      </c>
      <c r="W204" s="570">
        <v>2</v>
      </c>
      <c r="X204" s="570" t="s">
        <v>1024</v>
      </c>
      <c r="Y204" s="570" t="s">
        <v>1051</v>
      </c>
      <c r="Z204" s="570">
        <v>3</v>
      </c>
      <c r="AA204" s="570">
        <v>0</v>
      </c>
      <c r="AB204" s="570">
        <v>1</v>
      </c>
      <c r="AC204" s="570">
        <v>0</v>
      </c>
      <c r="AD204" s="570">
        <v>0</v>
      </c>
      <c r="AE204" s="570" t="s">
        <v>1029</v>
      </c>
      <c r="AF204" s="570">
        <v>86</v>
      </c>
      <c r="AG204" s="570" t="s">
        <v>1012</v>
      </c>
      <c r="AH204" s="570">
        <v>0</v>
      </c>
      <c r="AI204" s="570" t="s">
        <v>1006</v>
      </c>
      <c r="AJ204" s="570">
        <v>10</v>
      </c>
      <c r="AK204" s="570">
        <v>86</v>
      </c>
      <c r="AL204" s="570">
        <v>1</v>
      </c>
      <c r="AM204" s="570">
        <v>0</v>
      </c>
      <c r="AN204" s="570">
        <v>66</v>
      </c>
      <c r="AO204" s="570" t="s">
        <v>1009</v>
      </c>
      <c r="AP204" s="570" t="s">
        <v>1008</v>
      </c>
      <c r="AQ204" s="570">
        <v>3</v>
      </c>
      <c r="AR204" s="570">
        <v>1</v>
      </c>
      <c r="AS204" s="570">
        <v>4</v>
      </c>
    </row>
    <row r="205" spans="1:45" x14ac:dyDescent="0.35">
      <c r="A205" s="570">
        <v>300500633</v>
      </c>
      <c r="B205" s="570">
        <v>44</v>
      </c>
      <c r="C205" s="570">
        <v>0</v>
      </c>
      <c r="D205" s="570">
        <v>5</v>
      </c>
      <c r="E205" s="570">
        <v>0</v>
      </c>
      <c r="F205" s="570">
        <v>18.62</v>
      </c>
      <c r="G205" s="570" t="s">
        <v>1000</v>
      </c>
      <c r="H205" s="570">
        <v>2</v>
      </c>
      <c r="I205" s="570">
        <v>0</v>
      </c>
      <c r="J205" s="570">
        <v>0</v>
      </c>
      <c r="K205" s="570">
        <v>0</v>
      </c>
      <c r="L205" s="570">
        <v>1</v>
      </c>
      <c r="M205" s="570">
        <v>0</v>
      </c>
      <c r="N205" s="570" t="s">
        <v>1001</v>
      </c>
      <c r="O205" s="570">
        <v>3</v>
      </c>
      <c r="P205" s="571">
        <v>44215</v>
      </c>
      <c r="Q205" s="570">
        <v>35.102655970000001</v>
      </c>
      <c r="R205" s="570">
        <v>-97.429863900000001</v>
      </c>
      <c r="S205" s="570">
        <v>4.5</v>
      </c>
      <c r="T205" s="570" t="s">
        <v>1002</v>
      </c>
      <c r="U205" s="570" t="s">
        <v>1002</v>
      </c>
      <c r="V205" s="570">
        <v>3</v>
      </c>
      <c r="W205" s="570">
        <v>2</v>
      </c>
      <c r="X205" s="570" t="s">
        <v>1024</v>
      </c>
      <c r="Y205" s="570" t="s">
        <v>1051</v>
      </c>
      <c r="Z205" s="570">
        <v>3</v>
      </c>
      <c r="AA205" s="570">
        <v>0</v>
      </c>
      <c r="AB205" s="570">
        <v>1</v>
      </c>
      <c r="AC205" s="570">
        <v>0</v>
      </c>
      <c r="AD205" s="570">
        <v>0</v>
      </c>
      <c r="AE205" s="570" t="s">
        <v>1029</v>
      </c>
      <c r="AF205" s="570">
        <v>86</v>
      </c>
      <c r="AG205" s="570" t="s">
        <v>1012</v>
      </c>
      <c r="AH205" s="570">
        <v>0</v>
      </c>
      <c r="AI205" s="570" t="s">
        <v>1006</v>
      </c>
      <c r="AJ205" s="570">
        <v>10</v>
      </c>
      <c r="AK205" s="570">
        <v>86</v>
      </c>
      <c r="AL205" s="570">
        <v>1</v>
      </c>
      <c r="AM205" s="570">
        <v>0</v>
      </c>
      <c r="AN205" s="570">
        <v>0</v>
      </c>
      <c r="AO205" s="570">
        <v>9</v>
      </c>
      <c r="AP205" s="570" t="s">
        <v>1002</v>
      </c>
      <c r="AQ205" s="570"/>
      <c r="AR205" s="570"/>
      <c r="AS205" s="570"/>
    </row>
    <row r="206" spans="1:45" x14ac:dyDescent="0.35">
      <c r="A206" s="570">
        <v>300500633</v>
      </c>
      <c r="B206" s="570">
        <v>44</v>
      </c>
      <c r="C206" s="570">
        <v>0</v>
      </c>
      <c r="D206" s="570">
        <v>5</v>
      </c>
      <c r="E206" s="570">
        <v>0</v>
      </c>
      <c r="F206" s="570">
        <v>18.62</v>
      </c>
      <c r="G206" s="570" t="s">
        <v>1000</v>
      </c>
      <c r="H206" s="570">
        <v>2</v>
      </c>
      <c r="I206" s="570">
        <v>0</v>
      </c>
      <c r="J206" s="570">
        <v>0</v>
      </c>
      <c r="K206" s="570">
        <v>0</v>
      </c>
      <c r="L206" s="570">
        <v>1</v>
      </c>
      <c r="M206" s="570">
        <v>0</v>
      </c>
      <c r="N206" s="570" t="s">
        <v>1001</v>
      </c>
      <c r="O206" s="570">
        <v>3</v>
      </c>
      <c r="P206" s="571">
        <v>44215</v>
      </c>
      <c r="Q206" s="570">
        <v>35.102655970000001</v>
      </c>
      <c r="R206" s="570">
        <v>-97.429863900000001</v>
      </c>
      <c r="S206" s="570">
        <v>4.5</v>
      </c>
      <c r="T206" s="570" t="s">
        <v>1002</v>
      </c>
      <c r="U206" s="570" t="s">
        <v>1002</v>
      </c>
      <c r="V206" s="570">
        <v>3</v>
      </c>
      <c r="W206" s="570">
        <v>2</v>
      </c>
      <c r="X206" s="570" t="s">
        <v>1024</v>
      </c>
      <c r="Y206" s="570" t="s">
        <v>1051</v>
      </c>
      <c r="Z206" s="570">
        <v>3</v>
      </c>
      <c r="AA206" s="570">
        <v>0</v>
      </c>
      <c r="AB206" s="570">
        <v>1</v>
      </c>
      <c r="AC206" s="570">
        <v>0</v>
      </c>
      <c r="AD206" s="570">
        <v>0</v>
      </c>
      <c r="AE206" s="570" t="s">
        <v>1029</v>
      </c>
      <c r="AF206" s="570">
        <v>86</v>
      </c>
      <c r="AG206" s="570" t="s">
        <v>1012</v>
      </c>
      <c r="AH206" s="570">
        <v>0</v>
      </c>
      <c r="AI206" s="570" t="s">
        <v>1006</v>
      </c>
      <c r="AJ206" s="570">
        <v>10</v>
      </c>
      <c r="AK206" s="570">
        <v>98</v>
      </c>
      <c r="AL206" s="570">
        <v>1</v>
      </c>
      <c r="AM206" s="570">
        <v>0</v>
      </c>
      <c r="AN206" s="570">
        <v>43</v>
      </c>
      <c r="AO206" s="570" t="s">
        <v>1009</v>
      </c>
      <c r="AP206" s="570" t="s">
        <v>1008</v>
      </c>
      <c r="AQ206" s="570">
        <v>1</v>
      </c>
      <c r="AR206" s="570">
        <v>1</v>
      </c>
      <c r="AS206" s="570">
        <v>4</v>
      </c>
    </row>
    <row r="207" spans="1:45" x14ac:dyDescent="0.35">
      <c r="A207" s="570">
        <v>300500633</v>
      </c>
      <c r="B207" s="570">
        <v>44</v>
      </c>
      <c r="C207" s="570">
        <v>0</v>
      </c>
      <c r="D207" s="570">
        <v>5</v>
      </c>
      <c r="E207" s="570">
        <v>0</v>
      </c>
      <c r="F207" s="570">
        <v>18.62</v>
      </c>
      <c r="G207" s="570" t="s">
        <v>1000</v>
      </c>
      <c r="H207" s="570">
        <v>2</v>
      </c>
      <c r="I207" s="570">
        <v>0</v>
      </c>
      <c r="J207" s="570">
        <v>0</v>
      </c>
      <c r="K207" s="570">
        <v>0</v>
      </c>
      <c r="L207" s="570">
        <v>1</v>
      </c>
      <c r="M207" s="570">
        <v>0</v>
      </c>
      <c r="N207" s="570" t="s">
        <v>1001</v>
      </c>
      <c r="O207" s="570">
        <v>3</v>
      </c>
      <c r="P207" s="571">
        <v>44215</v>
      </c>
      <c r="Q207" s="570">
        <v>35.102655970000001</v>
      </c>
      <c r="R207" s="570">
        <v>-97.429863900000001</v>
      </c>
      <c r="S207" s="570">
        <v>4.5</v>
      </c>
      <c r="T207" s="570" t="s">
        <v>1002</v>
      </c>
      <c r="U207" s="570" t="s">
        <v>1002</v>
      </c>
      <c r="V207" s="570">
        <v>3</v>
      </c>
      <c r="W207" s="570">
        <v>2</v>
      </c>
      <c r="X207" s="570" t="s">
        <v>1024</v>
      </c>
      <c r="Y207" s="570" t="s">
        <v>1051</v>
      </c>
      <c r="Z207" s="570">
        <v>3</v>
      </c>
      <c r="AA207" s="570">
        <v>0</v>
      </c>
      <c r="AB207" s="570">
        <v>1</v>
      </c>
      <c r="AC207" s="570">
        <v>0</v>
      </c>
      <c r="AD207" s="570">
        <v>0</v>
      </c>
      <c r="AE207" s="570" t="s">
        <v>1029</v>
      </c>
      <c r="AF207" s="570">
        <v>86</v>
      </c>
      <c r="AG207" s="570" t="s">
        <v>1012</v>
      </c>
      <c r="AH207" s="570">
        <v>0</v>
      </c>
      <c r="AI207" s="570" t="s">
        <v>1006</v>
      </c>
      <c r="AJ207" s="570">
        <v>10</v>
      </c>
      <c r="AK207" s="570">
        <v>98</v>
      </c>
      <c r="AL207" s="570">
        <v>1</v>
      </c>
      <c r="AM207" s="570">
        <v>0</v>
      </c>
      <c r="AN207" s="570">
        <v>0</v>
      </c>
      <c r="AO207" s="570">
        <v>9</v>
      </c>
      <c r="AP207" s="570" t="s">
        <v>1002</v>
      </c>
      <c r="AQ207" s="570"/>
      <c r="AR207" s="570"/>
      <c r="AS207" s="570"/>
    </row>
    <row r="208" spans="1:45" x14ac:dyDescent="0.35">
      <c r="A208" s="570">
        <v>300503842</v>
      </c>
      <c r="B208" s="570">
        <v>44</v>
      </c>
      <c r="C208" s="570">
        <v>15</v>
      </c>
      <c r="D208" s="570">
        <v>5</v>
      </c>
      <c r="E208" s="570">
        <v>0</v>
      </c>
      <c r="F208" s="570">
        <v>17.309999999999999</v>
      </c>
      <c r="G208" s="570" t="s">
        <v>1000</v>
      </c>
      <c r="H208" s="570">
        <v>2</v>
      </c>
      <c r="I208" s="570">
        <v>0</v>
      </c>
      <c r="J208" s="570">
        <v>0</v>
      </c>
      <c r="K208" s="570">
        <v>0</v>
      </c>
      <c r="L208" s="570">
        <v>0</v>
      </c>
      <c r="M208" s="570">
        <v>0</v>
      </c>
      <c r="N208" s="570" t="s">
        <v>1010</v>
      </c>
      <c r="O208" s="570">
        <v>1</v>
      </c>
      <c r="P208" s="571">
        <v>44277</v>
      </c>
      <c r="Q208" s="570">
        <v>35.087572780000002</v>
      </c>
      <c r="R208" s="570">
        <v>-97.415794669999997</v>
      </c>
      <c r="S208" s="570">
        <v>18.54</v>
      </c>
      <c r="T208" s="570" t="s">
        <v>1002</v>
      </c>
      <c r="U208" s="570" t="s">
        <v>1002</v>
      </c>
      <c r="V208" s="570">
        <v>2</v>
      </c>
      <c r="W208" s="570">
        <v>1</v>
      </c>
      <c r="X208" s="570" t="s">
        <v>1000</v>
      </c>
      <c r="Y208" s="570" t="s">
        <v>1003</v>
      </c>
      <c r="Z208" s="570">
        <v>4</v>
      </c>
      <c r="AA208" s="570">
        <v>0</v>
      </c>
      <c r="AB208" s="570">
        <v>0</v>
      </c>
      <c r="AC208" s="570">
        <v>0</v>
      </c>
      <c r="AD208" s="570">
        <v>0</v>
      </c>
      <c r="AE208" s="570" t="s">
        <v>1011</v>
      </c>
      <c r="AF208" s="570">
        <v>22</v>
      </c>
      <c r="AG208" s="570" t="s">
        <v>1012</v>
      </c>
      <c r="AH208" s="570">
        <v>0</v>
      </c>
      <c r="AI208" s="570" t="s">
        <v>1006</v>
      </c>
      <c r="AJ208" s="570">
        <v>2</v>
      </c>
      <c r="AK208" s="570">
        <v>22</v>
      </c>
      <c r="AL208" s="570">
        <v>2</v>
      </c>
      <c r="AM208" s="570">
        <v>0</v>
      </c>
      <c r="AN208" s="570">
        <v>20</v>
      </c>
      <c r="AO208" s="570" t="s">
        <v>1009</v>
      </c>
      <c r="AP208" s="570" t="s">
        <v>1008</v>
      </c>
      <c r="AQ208" s="570">
        <v>1</v>
      </c>
      <c r="AR208" s="570">
        <v>1</v>
      </c>
      <c r="AS208" s="570">
        <v>4</v>
      </c>
    </row>
    <row r="209" spans="1:45" x14ac:dyDescent="0.35">
      <c r="A209" s="570">
        <v>300503842</v>
      </c>
      <c r="B209" s="570">
        <v>44</v>
      </c>
      <c r="C209" s="570">
        <v>15</v>
      </c>
      <c r="D209" s="570">
        <v>5</v>
      </c>
      <c r="E209" s="570">
        <v>0</v>
      </c>
      <c r="F209" s="570">
        <v>17.309999999999999</v>
      </c>
      <c r="G209" s="570" t="s">
        <v>1000</v>
      </c>
      <c r="H209" s="570">
        <v>2</v>
      </c>
      <c r="I209" s="570">
        <v>0</v>
      </c>
      <c r="J209" s="570">
        <v>0</v>
      </c>
      <c r="K209" s="570">
        <v>0</v>
      </c>
      <c r="L209" s="570">
        <v>0</v>
      </c>
      <c r="M209" s="570">
        <v>0</v>
      </c>
      <c r="N209" s="570" t="s">
        <v>1010</v>
      </c>
      <c r="O209" s="570">
        <v>1</v>
      </c>
      <c r="P209" s="571">
        <v>44277</v>
      </c>
      <c r="Q209" s="570">
        <v>35.087572780000002</v>
      </c>
      <c r="R209" s="570">
        <v>-97.415794669999997</v>
      </c>
      <c r="S209" s="570">
        <v>18.54</v>
      </c>
      <c r="T209" s="570" t="s">
        <v>1002</v>
      </c>
      <c r="U209" s="570" t="s">
        <v>1002</v>
      </c>
      <c r="V209" s="570">
        <v>2</v>
      </c>
      <c r="W209" s="570">
        <v>1</v>
      </c>
      <c r="X209" s="570" t="s">
        <v>1000</v>
      </c>
      <c r="Y209" s="570" t="s">
        <v>1003</v>
      </c>
      <c r="Z209" s="570">
        <v>4</v>
      </c>
      <c r="AA209" s="570">
        <v>0</v>
      </c>
      <c r="AB209" s="570">
        <v>0</v>
      </c>
      <c r="AC209" s="570">
        <v>0</v>
      </c>
      <c r="AD209" s="570">
        <v>0</v>
      </c>
      <c r="AE209" s="570" t="s">
        <v>1011</v>
      </c>
      <c r="AF209" s="570">
        <v>22</v>
      </c>
      <c r="AG209" s="570" t="s">
        <v>1012</v>
      </c>
      <c r="AH209" s="570">
        <v>0</v>
      </c>
      <c r="AI209" s="570" t="s">
        <v>1006</v>
      </c>
      <c r="AJ209" s="570">
        <v>2</v>
      </c>
      <c r="AK209" s="570">
        <v>22</v>
      </c>
      <c r="AL209" s="570">
        <v>2</v>
      </c>
      <c r="AM209" s="570">
        <v>0</v>
      </c>
      <c r="AN209" s="570">
        <v>0</v>
      </c>
      <c r="AO209" s="570">
        <v>9</v>
      </c>
      <c r="AP209" s="570" t="s">
        <v>1002</v>
      </c>
      <c r="AQ209" s="570"/>
      <c r="AR209" s="570"/>
      <c r="AS209" s="570"/>
    </row>
    <row r="210" spans="1:45" x14ac:dyDescent="0.35">
      <c r="A210" s="570">
        <v>300503842</v>
      </c>
      <c r="B210" s="570">
        <v>44</v>
      </c>
      <c r="C210" s="570">
        <v>15</v>
      </c>
      <c r="D210" s="570">
        <v>5</v>
      </c>
      <c r="E210" s="570">
        <v>0</v>
      </c>
      <c r="F210" s="570">
        <v>17.309999999999999</v>
      </c>
      <c r="G210" s="570" t="s">
        <v>1000</v>
      </c>
      <c r="H210" s="570">
        <v>2</v>
      </c>
      <c r="I210" s="570">
        <v>0</v>
      </c>
      <c r="J210" s="570">
        <v>0</v>
      </c>
      <c r="K210" s="570">
        <v>0</v>
      </c>
      <c r="L210" s="570">
        <v>0</v>
      </c>
      <c r="M210" s="570">
        <v>0</v>
      </c>
      <c r="N210" s="570" t="s">
        <v>1010</v>
      </c>
      <c r="O210" s="570">
        <v>1</v>
      </c>
      <c r="P210" s="571">
        <v>44277</v>
      </c>
      <c r="Q210" s="570">
        <v>35.087572780000002</v>
      </c>
      <c r="R210" s="570">
        <v>-97.415794669999997</v>
      </c>
      <c r="S210" s="570">
        <v>18.54</v>
      </c>
      <c r="T210" s="570" t="s">
        <v>1002</v>
      </c>
      <c r="U210" s="570" t="s">
        <v>1002</v>
      </c>
      <c r="V210" s="570">
        <v>2</v>
      </c>
      <c r="W210" s="570">
        <v>1</v>
      </c>
      <c r="X210" s="570" t="s">
        <v>1000</v>
      </c>
      <c r="Y210" s="570" t="s">
        <v>1003</v>
      </c>
      <c r="Z210" s="570">
        <v>4</v>
      </c>
      <c r="AA210" s="570">
        <v>0</v>
      </c>
      <c r="AB210" s="570">
        <v>0</v>
      </c>
      <c r="AC210" s="570">
        <v>0</v>
      </c>
      <c r="AD210" s="570">
        <v>0</v>
      </c>
      <c r="AE210" s="570" t="s">
        <v>1011</v>
      </c>
      <c r="AF210" s="570">
        <v>22</v>
      </c>
      <c r="AG210" s="570" t="s">
        <v>1012</v>
      </c>
      <c r="AH210" s="570">
        <v>0</v>
      </c>
      <c r="AI210" s="570" t="s">
        <v>1006</v>
      </c>
      <c r="AJ210" s="570">
        <v>2</v>
      </c>
      <c r="AK210" s="570">
        <v>22</v>
      </c>
      <c r="AL210" s="570">
        <v>2</v>
      </c>
      <c r="AM210" s="570">
        <v>0</v>
      </c>
      <c r="AN210" s="570">
        <v>20</v>
      </c>
      <c r="AO210" s="570" t="s">
        <v>1009</v>
      </c>
      <c r="AP210" s="570" t="s">
        <v>1002</v>
      </c>
      <c r="AQ210" s="570">
        <v>1</v>
      </c>
      <c r="AR210" s="570"/>
      <c r="AS210" s="570">
        <v>4</v>
      </c>
    </row>
    <row r="211" spans="1:45" x14ac:dyDescent="0.35">
      <c r="A211" s="570">
        <v>300503975</v>
      </c>
      <c r="B211" s="570">
        <v>44</v>
      </c>
      <c r="C211" s="570">
        <v>15</v>
      </c>
      <c r="D211" s="570">
        <v>5</v>
      </c>
      <c r="E211" s="570">
        <v>0</v>
      </c>
      <c r="F211" s="570">
        <v>17.510000000000002</v>
      </c>
      <c r="G211" s="570" t="s">
        <v>1000</v>
      </c>
      <c r="H211" s="570">
        <v>2</v>
      </c>
      <c r="I211" s="570">
        <v>0</v>
      </c>
      <c r="J211" s="570">
        <v>0</v>
      </c>
      <c r="K211" s="570">
        <v>0</v>
      </c>
      <c r="L211" s="570">
        <v>0</v>
      </c>
      <c r="M211" s="570">
        <v>0</v>
      </c>
      <c r="N211" s="570" t="s">
        <v>1010</v>
      </c>
      <c r="O211" s="570">
        <v>1</v>
      </c>
      <c r="P211" s="571">
        <v>44278</v>
      </c>
      <c r="Q211" s="570">
        <v>35.089838659999998</v>
      </c>
      <c r="R211" s="570">
        <v>-97.418000180000007</v>
      </c>
      <c r="S211" s="570">
        <v>0.38</v>
      </c>
      <c r="T211" s="570" t="s">
        <v>1002</v>
      </c>
      <c r="U211" s="570" t="s">
        <v>1002</v>
      </c>
      <c r="V211" s="570">
        <v>3</v>
      </c>
      <c r="W211" s="570">
        <v>2</v>
      </c>
      <c r="X211" s="570" t="s">
        <v>1000</v>
      </c>
      <c r="Y211" s="570" t="s">
        <v>1003</v>
      </c>
      <c r="Z211" s="570">
        <v>4</v>
      </c>
      <c r="AA211" s="570">
        <v>0</v>
      </c>
      <c r="AB211" s="570">
        <v>0</v>
      </c>
      <c r="AC211" s="570">
        <v>0</v>
      </c>
      <c r="AD211" s="570">
        <v>0</v>
      </c>
      <c r="AE211" s="570" t="s">
        <v>1011</v>
      </c>
      <c r="AF211" s="570">
        <v>22</v>
      </c>
      <c r="AG211" s="570" t="s">
        <v>1012</v>
      </c>
      <c r="AH211" s="570">
        <v>0</v>
      </c>
      <c r="AI211" s="570" t="s">
        <v>1006</v>
      </c>
      <c r="AJ211" s="570">
        <v>2</v>
      </c>
      <c r="AK211" s="570">
        <v>22</v>
      </c>
      <c r="AL211" s="570">
        <v>2</v>
      </c>
      <c r="AM211" s="570">
        <v>0</v>
      </c>
      <c r="AN211" s="570">
        <v>41</v>
      </c>
      <c r="AO211" s="570" t="s">
        <v>1009</v>
      </c>
      <c r="AP211" s="570" t="s">
        <v>1008</v>
      </c>
      <c r="AQ211" s="570">
        <v>1</v>
      </c>
      <c r="AR211" s="570">
        <v>1</v>
      </c>
      <c r="AS211" s="570">
        <v>4</v>
      </c>
    </row>
    <row r="212" spans="1:45" x14ac:dyDescent="0.35">
      <c r="A212" s="570">
        <v>300503981</v>
      </c>
      <c r="B212" s="570">
        <v>44</v>
      </c>
      <c r="C212" s="570">
        <v>0</v>
      </c>
      <c r="D212" s="570">
        <v>5</v>
      </c>
      <c r="E212" s="570">
        <v>0</v>
      </c>
      <c r="F212" s="570">
        <v>18.82</v>
      </c>
      <c r="G212" s="570" t="s">
        <v>1000</v>
      </c>
      <c r="H212" s="570">
        <v>2</v>
      </c>
      <c r="I212" s="570">
        <v>0</v>
      </c>
      <c r="J212" s="570">
        <v>0</v>
      </c>
      <c r="K212" s="570">
        <v>0</v>
      </c>
      <c r="L212" s="570">
        <v>0</v>
      </c>
      <c r="M212" s="570">
        <v>0</v>
      </c>
      <c r="N212" s="570" t="s">
        <v>1001</v>
      </c>
      <c r="O212" s="570">
        <v>1</v>
      </c>
      <c r="P212" s="571">
        <v>44277</v>
      </c>
      <c r="Q212" s="570">
        <v>35.104956389999998</v>
      </c>
      <c r="R212" s="570">
        <v>-97.432016259999997</v>
      </c>
      <c r="S212" s="570">
        <v>16.09</v>
      </c>
      <c r="T212" s="570" t="s">
        <v>1002</v>
      </c>
      <c r="U212" s="570" t="s">
        <v>1002</v>
      </c>
      <c r="V212" s="570">
        <v>2</v>
      </c>
      <c r="W212" s="570">
        <v>1</v>
      </c>
      <c r="X212" s="570" t="s">
        <v>1000</v>
      </c>
      <c r="Y212" s="570" t="s">
        <v>1049</v>
      </c>
      <c r="Z212" s="570">
        <v>4</v>
      </c>
      <c r="AA212" s="570">
        <v>0</v>
      </c>
      <c r="AB212" s="570">
        <v>0</v>
      </c>
      <c r="AC212" s="570">
        <v>0</v>
      </c>
      <c r="AD212" s="570">
        <v>0</v>
      </c>
      <c r="AE212" s="570" t="s">
        <v>1011</v>
      </c>
      <c r="AF212" s="570">
        <v>22</v>
      </c>
      <c r="AG212" s="570" t="s">
        <v>1005</v>
      </c>
      <c r="AH212" s="570">
        <v>0</v>
      </c>
      <c r="AI212" s="570" t="s">
        <v>1006</v>
      </c>
      <c r="AJ212" s="570">
        <v>1</v>
      </c>
      <c r="AK212" s="570">
        <v>22</v>
      </c>
      <c r="AL212" s="570">
        <v>2</v>
      </c>
      <c r="AM212" s="570">
        <v>0</v>
      </c>
      <c r="AN212" s="570">
        <v>0</v>
      </c>
      <c r="AO212" s="570">
        <v>9</v>
      </c>
      <c r="AP212" s="570" t="s">
        <v>1008</v>
      </c>
      <c r="AQ212" s="570">
        <v>1</v>
      </c>
      <c r="AR212" s="570">
        <v>99</v>
      </c>
      <c r="AS212" s="570">
        <v>99</v>
      </c>
    </row>
    <row r="213" spans="1:45" x14ac:dyDescent="0.35">
      <c r="A213" s="570">
        <v>300503981</v>
      </c>
      <c r="B213" s="570">
        <v>44</v>
      </c>
      <c r="C213" s="570">
        <v>0</v>
      </c>
      <c r="D213" s="570">
        <v>5</v>
      </c>
      <c r="E213" s="570">
        <v>0</v>
      </c>
      <c r="F213" s="570">
        <v>18.82</v>
      </c>
      <c r="G213" s="570" t="s">
        <v>1000</v>
      </c>
      <c r="H213" s="570">
        <v>2</v>
      </c>
      <c r="I213" s="570">
        <v>0</v>
      </c>
      <c r="J213" s="570">
        <v>0</v>
      </c>
      <c r="K213" s="570">
        <v>0</v>
      </c>
      <c r="L213" s="570">
        <v>0</v>
      </c>
      <c r="M213" s="570">
        <v>0</v>
      </c>
      <c r="N213" s="570" t="s">
        <v>1001</v>
      </c>
      <c r="O213" s="570">
        <v>1</v>
      </c>
      <c r="P213" s="571">
        <v>44277</v>
      </c>
      <c r="Q213" s="570">
        <v>35.104956389999998</v>
      </c>
      <c r="R213" s="570">
        <v>-97.432016259999997</v>
      </c>
      <c r="S213" s="570">
        <v>16.09</v>
      </c>
      <c r="T213" s="570" t="s">
        <v>1002</v>
      </c>
      <c r="U213" s="570" t="s">
        <v>1002</v>
      </c>
      <c r="V213" s="570">
        <v>2</v>
      </c>
      <c r="W213" s="570">
        <v>1</v>
      </c>
      <c r="X213" s="570" t="s">
        <v>1000</v>
      </c>
      <c r="Y213" s="570" t="s">
        <v>1049</v>
      </c>
      <c r="Z213" s="570">
        <v>4</v>
      </c>
      <c r="AA213" s="570">
        <v>0</v>
      </c>
      <c r="AB213" s="570">
        <v>0</v>
      </c>
      <c r="AC213" s="570">
        <v>0</v>
      </c>
      <c r="AD213" s="570">
        <v>0</v>
      </c>
      <c r="AE213" s="570" t="s">
        <v>1011</v>
      </c>
      <c r="AF213" s="570">
        <v>22</v>
      </c>
      <c r="AG213" s="570" t="s">
        <v>1005</v>
      </c>
      <c r="AH213" s="570">
        <v>0</v>
      </c>
      <c r="AI213" s="570" t="s">
        <v>1006</v>
      </c>
      <c r="AJ213" s="570">
        <v>1</v>
      </c>
      <c r="AK213" s="570">
        <v>22</v>
      </c>
      <c r="AL213" s="570">
        <v>2</v>
      </c>
      <c r="AM213" s="570">
        <v>0</v>
      </c>
      <c r="AN213" s="570">
        <v>0</v>
      </c>
      <c r="AO213" s="570">
        <v>9</v>
      </c>
      <c r="AP213" s="570" t="s">
        <v>1002</v>
      </c>
      <c r="AQ213" s="570"/>
      <c r="AR213" s="570"/>
      <c r="AS213" s="570"/>
    </row>
    <row r="214" spans="1:45" x14ac:dyDescent="0.35">
      <c r="A214" s="570">
        <v>300503981</v>
      </c>
      <c r="B214" s="570">
        <v>44</v>
      </c>
      <c r="C214" s="570">
        <v>0</v>
      </c>
      <c r="D214" s="570">
        <v>5</v>
      </c>
      <c r="E214" s="570">
        <v>0</v>
      </c>
      <c r="F214" s="570">
        <v>18.82</v>
      </c>
      <c r="G214" s="570" t="s">
        <v>1000</v>
      </c>
      <c r="H214" s="570">
        <v>2</v>
      </c>
      <c r="I214" s="570">
        <v>0</v>
      </c>
      <c r="J214" s="570">
        <v>0</v>
      </c>
      <c r="K214" s="570">
        <v>0</v>
      </c>
      <c r="L214" s="570">
        <v>0</v>
      </c>
      <c r="M214" s="570">
        <v>0</v>
      </c>
      <c r="N214" s="570" t="s">
        <v>1001</v>
      </c>
      <c r="O214" s="570">
        <v>1</v>
      </c>
      <c r="P214" s="571">
        <v>44277</v>
      </c>
      <c r="Q214" s="570">
        <v>35.104956389999998</v>
      </c>
      <c r="R214" s="570">
        <v>-97.432016259999997</v>
      </c>
      <c r="S214" s="570">
        <v>16.09</v>
      </c>
      <c r="T214" s="570" t="s">
        <v>1002</v>
      </c>
      <c r="U214" s="570" t="s">
        <v>1002</v>
      </c>
      <c r="V214" s="570">
        <v>2</v>
      </c>
      <c r="W214" s="570">
        <v>1</v>
      </c>
      <c r="X214" s="570" t="s">
        <v>1000</v>
      </c>
      <c r="Y214" s="570" t="s">
        <v>1049</v>
      </c>
      <c r="Z214" s="570">
        <v>4</v>
      </c>
      <c r="AA214" s="570">
        <v>0</v>
      </c>
      <c r="AB214" s="570">
        <v>0</v>
      </c>
      <c r="AC214" s="570">
        <v>0</v>
      </c>
      <c r="AD214" s="570">
        <v>0</v>
      </c>
      <c r="AE214" s="570" t="s">
        <v>1011</v>
      </c>
      <c r="AF214" s="570">
        <v>22</v>
      </c>
      <c r="AG214" s="570" t="s">
        <v>1005</v>
      </c>
      <c r="AH214" s="570">
        <v>0</v>
      </c>
      <c r="AI214" s="570" t="s">
        <v>1006</v>
      </c>
      <c r="AJ214" s="570">
        <v>2</v>
      </c>
      <c r="AK214" s="570">
        <v>22</v>
      </c>
      <c r="AL214" s="570">
        <v>2</v>
      </c>
      <c r="AM214" s="570">
        <v>0</v>
      </c>
      <c r="AN214" s="570">
        <v>18</v>
      </c>
      <c r="AO214" s="570" t="s">
        <v>1007</v>
      </c>
      <c r="AP214" s="570" t="s">
        <v>1008</v>
      </c>
      <c r="AQ214" s="570">
        <v>1</v>
      </c>
      <c r="AR214" s="570">
        <v>1</v>
      </c>
      <c r="AS214" s="570">
        <v>4</v>
      </c>
    </row>
    <row r="215" spans="1:45" x14ac:dyDescent="0.35">
      <c r="A215" s="570">
        <v>300503981</v>
      </c>
      <c r="B215" s="570">
        <v>44</v>
      </c>
      <c r="C215" s="570">
        <v>0</v>
      </c>
      <c r="D215" s="570">
        <v>5</v>
      </c>
      <c r="E215" s="570">
        <v>0</v>
      </c>
      <c r="F215" s="570">
        <v>18.82</v>
      </c>
      <c r="G215" s="570" t="s">
        <v>1000</v>
      </c>
      <c r="H215" s="570">
        <v>2</v>
      </c>
      <c r="I215" s="570">
        <v>0</v>
      </c>
      <c r="J215" s="570">
        <v>0</v>
      </c>
      <c r="K215" s="570">
        <v>0</v>
      </c>
      <c r="L215" s="570">
        <v>0</v>
      </c>
      <c r="M215" s="570">
        <v>0</v>
      </c>
      <c r="N215" s="570" t="s">
        <v>1001</v>
      </c>
      <c r="O215" s="570">
        <v>1</v>
      </c>
      <c r="P215" s="571">
        <v>44277</v>
      </c>
      <c r="Q215" s="570">
        <v>35.104956389999998</v>
      </c>
      <c r="R215" s="570">
        <v>-97.432016259999997</v>
      </c>
      <c r="S215" s="570">
        <v>16.09</v>
      </c>
      <c r="T215" s="570" t="s">
        <v>1002</v>
      </c>
      <c r="U215" s="570" t="s">
        <v>1002</v>
      </c>
      <c r="V215" s="570">
        <v>2</v>
      </c>
      <c r="W215" s="570">
        <v>1</v>
      </c>
      <c r="X215" s="570" t="s">
        <v>1000</v>
      </c>
      <c r="Y215" s="570" t="s">
        <v>1049</v>
      </c>
      <c r="Z215" s="570">
        <v>4</v>
      </c>
      <c r="AA215" s="570">
        <v>0</v>
      </c>
      <c r="AB215" s="570">
        <v>0</v>
      </c>
      <c r="AC215" s="570">
        <v>0</v>
      </c>
      <c r="AD215" s="570">
        <v>0</v>
      </c>
      <c r="AE215" s="570" t="s">
        <v>1011</v>
      </c>
      <c r="AF215" s="570">
        <v>22</v>
      </c>
      <c r="AG215" s="570" t="s">
        <v>1005</v>
      </c>
      <c r="AH215" s="570">
        <v>0</v>
      </c>
      <c r="AI215" s="570" t="s">
        <v>1006</v>
      </c>
      <c r="AJ215" s="570">
        <v>2</v>
      </c>
      <c r="AK215" s="570">
        <v>22</v>
      </c>
      <c r="AL215" s="570">
        <v>2</v>
      </c>
      <c r="AM215" s="570">
        <v>0</v>
      </c>
      <c r="AN215" s="570">
        <v>0</v>
      </c>
      <c r="AO215" s="570">
        <v>9</v>
      </c>
      <c r="AP215" s="570" t="s">
        <v>1002</v>
      </c>
      <c r="AQ215" s="570"/>
      <c r="AR215" s="570"/>
      <c r="AS215" s="570"/>
    </row>
    <row r="216" spans="1:45" x14ac:dyDescent="0.35">
      <c r="A216" s="570">
        <v>300503981</v>
      </c>
      <c r="B216" s="570">
        <v>44</v>
      </c>
      <c r="C216" s="570">
        <v>0</v>
      </c>
      <c r="D216" s="570">
        <v>5</v>
      </c>
      <c r="E216" s="570">
        <v>0</v>
      </c>
      <c r="F216" s="570">
        <v>18.82</v>
      </c>
      <c r="G216" s="570" t="s">
        <v>1000</v>
      </c>
      <c r="H216" s="570">
        <v>2</v>
      </c>
      <c r="I216" s="570">
        <v>0</v>
      </c>
      <c r="J216" s="570">
        <v>0</v>
      </c>
      <c r="K216" s="570">
        <v>0</v>
      </c>
      <c r="L216" s="570">
        <v>0</v>
      </c>
      <c r="M216" s="570">
        <v>0</v>
      </c>
      <c r="N216" s="570" t="s">
        <v>1001</v>
      </c>
      <c r="O216" s="570">
        <v>1</v>
      </c>
      <c r="P216" s="571">
        <v>44277</v>
      </c>
      <c r="Q216" s="570">
        <v>35.104956389999998</v>
      </c>
      <c r="R216" s="570">
        <v>-97.432016259999997</v>
      </c>
      <c r="S216" s="570">
        <v>16.09</v>
      </c>
      <c r="T216" s="570" t="s">
        <v>1002</v>
      </c>
      <c r="U216" s="570" t="s">
        <v>1002</v>
      </c>
      <c r="V216" s="570">
        <v>2</v>
      </c>
      <c r="W216" s="570">
        <v>1</v>
      </c>
      <c r="X216" s="570" t="s">
        <v>1000</v>
      </c>
      <c r="Y216" s="570" t="s">
        <v>1049</v>
      </c>
      <c r="Z216" s="570">
        <v>4</v>
      </c>
      <c r="AA216" s="570">
        <v>0</v>
      </c>
      <c r="AB216" s="570">
        <v>0</v>
      </c>
      <c r="AC216" s="570">
        <v>0</v>
      </c>
      <c r="AD216" s="570">
        <v>0</v>
      </c>
      <c r="AE216" s="570" t="s">
        <v>1011</v>
      </c>
      <c r="AF216" s="570">
        <v>22</v>
      </c>
      <c r="AG216" s="570" t="s">
        <v>1005</v>
      </c>
      <c r="AH216" s="570">
        <v>0</v>
      </c>
      <c r="AI216" s="570" t="s">
        <v>1006</v>
      </c>
      <c r="AJ216" s="570">
        <v>4</v>
      </c>
      <c r="AK216" s="570">
        <v>22</v>
      </c>
      <c r="AL216" s="570">
        <v>2</v>
      </c>
      <c r="AM216" s="570">
        <v>0</v>
      </c>
      <c r="AN216" s="570">
        <v>22</v>
      </c>
      <c r="AO216" s="570" t="s">
        <v>1009</v>
      </c>
      <c r="AP216" s="570" t="s">
        <v>1008</v>
      </c>
      <c r="AQ216" s="570">
        <v>1</v>
      </c>
      <c r="AR216" s="570">
        <v>1</v>
      </c>
      <c r="AS216" s="570">
        <v>4</v>
      </c>
    </row>
    <row r="217" spans="1:45" x14ac:dyDescent="0.35">
      <c r="A217" s="570">
        <v>300503981</v>
      </c>
      <c r="B217" s="570">
        <v>44</v>
      </c>
      <c r="C217" s="570">
        <v>0</v>
      </c>
      <c r="D217" s="570">
        <v>5</v>
      </c>
      <c r="E217" s="570">
        <v>0</v>
      </c>
      <c r="F217" s="570">
        <v>18.82</v>
      </c>
      <c r="G217" s="570" t="s">
        <v>1000</v>
      </c>
      <c r="H217" s="570">
        <v>2</v>
      </c>
      <c r="I217" s="570">
        <v>0</v>
      </c>
      <c r="J217" s="570">
        <v>0</v>
      </c>
      <c r="K217" s="570">
        <v>0</v>
      </c>
      <c r="L217" s="570">
        <v>0</v>
      </c>
      <c r="M217" s="570">
        <v>0</v>
      </c>
      <c r="N217" s="570" t="s">
        <v>1001</v>
      </c>
      <c r="O217" s="570">
        <v>1</v>
      </c>
      <c r="P217" s="571">
        <v>44277</v>
      </c>
      <c r="Q217" s="570">
        <v>35.104956389999998</v>
      </c>
      <c r="R217" s="570">
        <v>-97.432016259999997</v>
      </c>
      <c r="S217" s="570">
        <v>16.09</v>
      </c>
      <c r="T217" s="570" t="s">
        <v>1002</v>
      </c>
      <c r="U217" s="570" t="s">
        <v>1002</v>
      </c>
      <c r="V217" s="570">
        <v>2</v>
      </c>
      <c r="W217" s="570">
        <v>1</v>
      </c>
      <c r="X217" s="570" t="s">
        <v>1000</v>
      </c>
      <c r="Y217" s="570" t="s">
        <v>1049</v>
      </c>
      <c r="Z217" s="570">
        <v>4</v>
      </c>
      <c r="AA217" s="570">
        <v>0</v>
      </c>
      <c r="AB217" s="570">
        <v>0</v>
      </c>
      <c r="AC217" s="570">
        <v>0</v>
      </c>
      <c r="AD217" s="570">
        <v>0</v>
      </c>
      <c r="AE217" s="570" t="s">
        <v>1011</v>
      </c>
      <c r="AF217" s="570">
        <v>22</v>
      </c>
      <c r="AG217" s="570" t="s">
        <v>1005</v>
      </c>
      <c r="AH217" s="570">
        <v>0</v>
      </c>
      <c r="AI217" s="570" t="s">
        <v>1006</v>
      </c>
      <c r="AJ217" s="570">
        <v>2</v>
      </c>
      <c r="AK217" s="570">
        <v>98</v>
      </c>
      <c r="AL217" s="570">
        <v>2</v>
      </c>
      <c r="AM217" s="570">
        <v>0</v>
      </c>
      <c r="AN217" s="570">
        <v>17</v>
      </c>
      <c r="AO217" s="570" t="s">
        <v>1007</v>
      </c>
      <c r="AP217" s="570" t="s">
        <v>1008</v>
      </c>
      <c r="AQ217" s="570">
        <v>1</v>
      </c>
      <c r="AR217" s="570">
        <v>1</v>
      </c>
      <c r="AS217" s="570">
        <v>4</v>
      </c>
    </row>
    <row r="218" spans="1:45" x14ac:dyDescent="0.35">
      <c r="A218" s="570">
        <v>300503981</v>
      </c>
      <c r="B218" s="570">
        <v>44</v>
      </c>
      <c r="C218" s="570">
        <v>0</v>
      </c>
      <c r="D218" s="570">
        <v>5</v>
      </c>
      <c r="E218" s="570">
        <v>0</v>
      </c>
      <c r="F218" s="570">
        <v>18.82</v>
      </c>
      <c r="G218" s="570" t="s">
        <v>1000</v>
      </c>
      <c r="H218" s="570">
        <v>2</v>
      </c>
      <c r="I218" s="570">
        <v>0</v>
      </c>
      <c r="J218" s="570">
        <v>0</v>
      </c>
      <c r="K218" s="570">
        <v>0</v>
      </c>
      <c r="L218" s="570">
        <v>0</v>
      </c>
      <c r="M218" s="570">
        <v>0</v>
      </c>
      <c r="N218" s="570" t="s">
        <v>1001</v>
      </c>
      <c r="O218" s="570">
        <v>1</v>
      </c>
      <c r="P218" s="571">
        <v>44277</v>
      </c>
      <c r="Q218" s="570">
        <v>35.104956389999998</v>
      </c>
      <c r="R218" s="570">
        <v>-97.432016259999997</v>
      </c>
      <c r="S218" s="570">
        <v>16.09</v>
      </c>
      <c r="T218" s="570" t="s">
        <v>1002</v>
      </c>
      <c r="U218" s="570" t="s">
        <v>1002</v>
      </c>
      <c r="V218" s="570">
        <v>2</v>
      </c>
      <c r="W218" s="570">
        <v>1</v>
      </c>
      <c r="X218" s="570" t="s">
        <v>1000</v>
      </c>
      <c r="Y218" s="570" t="s">
        <v>1049</v>
      </c>
      <c r="Z218" s="570">
        <v>4</v>
      </c>
      <c r="AA218" s="570">
        <v>0</v>
      </c>
      <c r="AB218" s="570">
        <v>0</v>
      </c>
      <c r="AC218" s="570">
        <v>0</v>
      </c>
      <c r="AD218" s="570">
        <v>0</v>
      </c>
      <c r="AE218" s="570" t="s">
        <v>1011</v>
      </c>
      <c r="AF218" s="570">
        <v>22</v>
      </c>
      <c r="AG218" s="570" t="s">
        <v>1005</v>
      </c>
      <c r="AH218" s="570">
        <v>0</v>
      </c>
      <c r="AI218" s="570" t="s">
        <v>1006</v>
      </c>
      <c r="AJ218" s="570">
        <v>2</v>
      </c>
      <c r="AK218" s="570">
        <v>98</v>
      </c>
      <c r="AL218" s="570">
        <v>2</v>
      </c>
      <c r="AM218" s="570">
        <v>0</v>
      </c>
      <c r="AN218" s="570">
        <v>0</v>
      </c>
      <c r="AO218" s="570">
        <v>9</v>
      </c>
      <c r="AP218" s="570" t="s">
        <v>1002</v>
      </c>
      <c r="AQ218" s="570"/>
      <c r="AR218" s="570"/>
      <c r="AS218" s="570"/>
    </row>
    <row r="219" spans="1:45" x14ac:dyDescent="0.35">
      <c r="A219" s="570">
        <v>300506659</v>
      </c>
      <c r="B219" s="570">
        <v>44</v>
      </c>
      <c r="C219" s="570">
        <v>15</v>
      </c>
      <c r="D219" s="570">
        <v>5</v>
      </c>
      <c r="E219" s="570">
        <v>0</v>
      </c>
      <c r="F219" s="570">
        <v>17.13</v>
      </c>
      <c r="G219" s="570" t="s">
        <v>1000</v>
      </c>
      <c r="H219" s="570">
        <v>2</v>
      </c>
      <c r="I219" s="570">
        <v>0</v>
      </c>
      <c r="J219" s="570">
        <v>0</v>
      </c>
      <c r="K219" s="570">
        <v>0</v>
      </c>
      <c r="L219" s="570">
        <v>0</v>
      </c>
      <c r="M219" s="570">
        <v>0</v>
      </c>
      <c r="N219" s="570" t="s">
        <v>1010</v>
      </c>
      <c r="O219" s="570">
        <v>2</v>
      </c>
      <c r="P219" s="571">
        <v>44300</v>
      </c>
      <c r="Q219" s="570">
        <v>35.085518219999997</v>
      </c>
      <c r="R219" s="570">
        <v>-97.413833260000004</v>
      </c>
      <c r="S219" s="570">
        <v>22.34</v>
      </c>
      <c r="T219" s="570" t="s">
        <v>1002</v>
      </c>
      <c r="U219" s="570" t="s">
        <v>1002</v>
      </c>
      <c r="V219" s="570">
        <v>4</v>
      </c>
      <c r="W219" s="570">
        <v>2</v>
      </c>
      <c r="X219" s="570" t="s">
        <v>1000</v>
      </c>
      <c r="Y219" s="570" t="s">
        <v>1013</v>
      </c>
      <c r="Z219" s="570">
        <v>4</v>
      </c>
      <c r="AA219" s="570">
        <v>0</v>
      </c>
      <c r="AB219" s="570">
        <v>0</v>
      </c>
      <c r="AC219" s="570">
        <v>1</v>
      </c>
      <c r="AD219" s="570">
        <v>0</v>
      </c>
      <c r="AE219" s="570" t="s">
        <v>1011</v>
      </c>
      <c r="AF219" s="570">
        <v>22</v>
      </c>
      <c r="AG219" s="570" t="s">
        <v>1012</v>
      </c>
      <c r="AH219" s="570">
        <v>0</v>
      </c>
      <c r="AI219" s="570" t="s">
        <v>1006</v>
      </c>
      <c r="AJ219" s="570">
        <v>2</v>
      </c>
      <c r="AK219" s="570">
        <v>22</v>
      </c>
      <c r="AL219" s="570">
        <v>2</v>
      </c>
      <c r="AM219" s="570">
        <v>0</v>
      </c>
      <c r="AN219" s="570">
        <v>29</v>
      </c>
      <c r="AO219" s="570" t="s">
        <v>1007</v>
      </c>
      <c r="AP219" s="570" t="s">
        <v>1008</v>
      </c>
      <c r="AQ219" s="570">
        <v>2</v>
      </c>
      <c r="AR219" s="570">
        <v>1</v>
      </c>
      <c r="AS219" s="570">
        <v>4</v>
      </c>
    </row>
    <row r="220" spans="1:45" x14ac:dyDescent="0.35">
      <c r="A220" s="570">
        <v>300510010</v>
      </c>
      <c r="B220" s="570">
        <v>44</v>
      </c>
      <c r="C220" s="570">
        <v>15</v>
      </c>
      <c r="D220" s="570">
        <v>5</v>
      </c>
      <c r="E220" s="570">
        <v>0</v>
      </c>
      <c r="F220" s="570">
        <v>16.829999999999998</v>
      </c>
      <c r="G220" s="570" t="s">
        <v>1000</v>
      </c>
      <c r="H220" s="570">
        <v>2</v>
      </c>
      <c r="I220" s="570">
        <v>0</v>
      </c>
      <c r="J220" s="570">
        <v>0</v>
      </c>
      <c r="K220" s="570">
        <v>0</v>
      </c>
      <c r="L220" s="570">
        <v>0</v>
      </c>
      <c r="M220" s="570">
        <v>0</v>
      </c>
      <c r="N220" s="570" t="s">
        <v>1010</v>
      </c>
      <c r="O220" s="570">
        <v>1</v>
      </c>
      <c r="P220" s="571">
        <v>44309</v>
      </c>
      <c r="Q220" s="570">
        <v>35.082097349999998</v>
      </c>
      <c r="R220" s="570">
        <v>-97.410558960000003</v>
      </c>
      <c r="S220" s="570">
        <v>16.25</v>
      </c>
      <c r="T220" s="570" t="s">
        <v>1002</v>
      </c>
      <c r="U220" s="570" t="s">
        <v>1002</v>
      </c>
      <c r="V220" s="570">
        <v>6</v>
      </c>
      <c r="W220" s="570">
        <v>1</v>
      </c>
      <c r="X220" s="570" t="s">
        <v>1000</v>
      </c>
      <c r="Y220" s="570" t="s">
        <v>1013</v>
      </c>
      <c r="Z220" s="570">
        <v>4</v>
      </c>
      <c r="AA220" s="570">
        <v>0</v>
      </c>
      <c r="AB220" s="570">
        <v>0</v>
      </c>
      <c r="AC220" s="570">
        <v>0</v>
      </c>
      <c r="AD220" s="570">
        <v>0</v>
      </c>
      <c r="AE220" s="570" t="s">
        <v>1011</v>
      </c>
      <c r="AF220" s="570">
        <v>22</v>
      </c>
      <c r="AG220" s="570" t="s">
        <v>1012</v>
      </c>
      <c r="AH220" s="570">
        <v>0</v>
      </c>
      <c r="AI220" s="570" t="s">
        <v>1006</v>
      </c>
      <c r="AJ220" s="570">
        <v>2</v>
      </c>
      <c r="AK220" s="570">
        <v>22</v>
      </c>
      <c r="AL220" s="570">
        <v>2</v>
      </c>
      <c r="AM220" s="570">
        <v>0</v>
      </c>
      <c r="AN220" s="570">
        <v>56</v>
      </c>
      <c r="AO220" s="570" t="s">
        <v>1009</v>
      </c>
      <c r="AP220" s="570" t="s">
        <v>1008</v>
      </c>
      <c r="AQ220" s="570">
        <v>1</v>
      </c>
      <c r="AR220" s="570">
        <v>1</v>
      </c>
      <c r="AS220" s="570">
        <v>4</v>
      </c>
    </row>
    <row r="221" spans="1:45" x14ac:dyDescent="0.35">
      <c r="A221" s="570">
        <v>300510010</v>
      </c>
      <c r="B221" s="570">
        <v>44</v>
      </c>
      <c r="C221" s="570">
        <v>15</v>
      </c>
      <c r="D221" s="570">
        <v>5</v>
      </c>
      <c r="E221" s="570">
        <v>0</v>
      </c>
      <c r="F221" s="570">
        <v>16.829999999999998</v>
      </c>
      <c r="G221" s="570" t="s">
        <v>1000</v>
      </c>
      <c r="H221" s="570">
        <v>2</v>
      </c>
      <c r="I221" s="570">
        <v>0</v>
      </c>
      <c r="J221" s="570">
        <v>0</v>
      </c>
      <c r="K221" s="570">
        <v>0</v>
      </c>
      <c r="L221" s="570">
        <v>0</v>
      </c>
      <c r="M221" s="570">
        <v>0</v>
      </c>
      <c r="N221" s="570" t="s">
        <v>1010</v>
      </c>
      <c r="O221" s="570">
        <v>1</v>
      </c>
      <c r="P221" s="571">
        <v>44309</v>
      </c>
      <c r="Q221" s="570">
        <v>35.082097349999998</v>
      </c>
      <c r="R221" s="570">
        <v>-97.410558960000003</v>
      </c>
      <c r="S221" s="570">
        <v>16.25</v>
      </c>
      <c r="T221" s="570" t="s">
        <v>1002</v>
      </c>
      <c r="U221" s="570" t="s">
        <v>1002</v>
      </c>
      <c r="V221" s="570">
        <v>6</v>
      </c>
      <c r="W221" s="570">
        <v>1</v>
      </c>
      <c r="X221" s="570" t="s">
        <v>1000</v>
      </c>
      <c r="Y221" s="570" t="s">
        <v>1013</v>
      </c>
      <c r="Z221" s="570">
        <v>4</v>
      </c>
      <c r="AA221" s="570">
        <v>0</v>
      </c>
      <c r="AB221" s="570">
        <v>0</v>
      </c>
      <c r="AC221" s="570">
        <v>0</v>
      </c>
      <c r="AD221" s="570">
        <v>0</v>
      </c>
      <c r="AE221" s="570" t="s">
        <v>1011</v>
      </c>
      <c r="AF221" s="570">
        <v>22</v>
      </c>
      <c r="AG221" s="570" t="s">
        <v>1012</v>
      </c>
      <c r="AH221" s="570">
        <v>0</v>
      </c>
      <c r="AI221" s="570" t="s">
        <v>1006</v>
      </c>
      <c r="AJ221" s="570">
        <v>2</v>
      </c>
      <c r="AK221" s="570">
        <v>22</v>
      </c>
      <c r="AL221" s="570">
        <v>2</v>
      </c>
      <c r="AM221" s="570">
        <v>0</v>
      </c>
      <c r="AN221" s="570">
        <v>0</v>
      </c>
      <c r="AO221" s="570">
        <v>9</v>
      </c>
      <c r="AP221" s="570" t="s">
        <v>1002</v>
      </c>
      <c r="AQ221" s="570"/>
      <c r="AR221" s="570"/>
      <c r="AS221" s="570"/>
    </row>
    <row r="222" spans="1:45" x14ac:dyDescent="0.35">
      <c r="A222" s="570">
        <v>300514315</v>
      </c>
      <c r="B222" s="570">
        <v>44</v>
      </c>
      <c r="C222" s="570">
        <v>15</v>
      </c>
      <c r="D222" s="570">
        <v>5</v>
      </c>
      <c r="E222" s="570">
        <v>0</v>
      </c>
      <c r="F222" s="570">
        <v>17.510000000000002</v>
      </c>
      <c r="G222" s="570" t="s">
        <v>1000</v>
      </c>
      <c r="H222" s="570">
        <v>2</v>
      </c>
      <c r="I222" s="570">
        <v>0</v>
      </c>
      <c r="J222" s="570">
        <v>0</v>
      </c>
      <c r="K222" s="570">
        <v>0</v>
      </c>
      <c r="L222" s="570">
        <v>0</v>
      </c>
      <c r="M222" s="570">
        <v>0</v>
      </c>
      <c r="N222" s="570" t="s">
        <v>1028</v>
      </c>
      <c r="O222" s="570">
        <v>1</v>
      </c>
      <c r="P222" s="571">
        <v>44352</v>
      </c>
      <c r="Q222" s="570">
        <v>35.089838659999998</v>
      </c>
      <c r="R222" s="570">
        <v>-97.418000180000007</v>
      </c>
      <c r="S222" s="570">
        <v>15.06</v>
      </c>
      <c r="T222" s="570" t="s">
        <v>1002</v>
      </c>
      <c r="U222" s="570" t="s">
        <v>1002</v>
      </c>
      <c r="V222" s="570">
        <v>7</v>
      </c>
      <c r="W222" s="570">
        <v>1</v>
      </c>
      <c r="X222" s="570" t="s">
        <v>1024</v>
      </c>
      <c r="Y222" s="570" t="s">
        <v>1026</v>
      </c>
      <c r="Z222" s="570">
        <v>1</v>
      </c>
      <c r="AA222" s="570">
        <v>0</v>
      </c>
      <c r="AB222" s="570">
        <v>0</v>
      </c>
      <c r="AC222" s="570">
        <v>0</v>
      </c>
      <c r="AD222" s="570">
        <v>0</v>
      </c>
      <c r="AE222" s="570" t="s">
        <v>1031</v>
      </c>
      <c r="AF222" s="570">
        <v>38</v>
      </c>
      <c r="AG222" s="570" t="s">
        <v>1005</v>
      </c>
      <c r="AH222" s="570">
        <v>0</v>
      </c>
      <c r="AI222" s="570" t="s">
        <v>1006</v>
      </c>
      <c r="AJ222" s="570">
        <v>20</v>
      </c>
      <c r="AK222" s="570">
        <v>38</v>
      </c>
      <c r="AL222" s="570">
        <v>1</v>
      </c>
      <c r="AM222" s="570">
        <v>0</v>
      </c>
      <c r="AN222" s="570">
        <v>32</v>
      </c>
      <c r="AO222" s="570" t="s">
        <v>1009</v>
      </c>
      <c r="AP222" s="570" t="s">
        <v>1008</v>
      </c>
      <c r="AQ222" s="570">
        <v>1</v>
      </c>
      <c r="AR222" s="570">
        <v>1</v>
      </c>
      <c r="AS222" s="570">
        <v>4</v>
      </c>
    </row>
    <row r="223" spans="1:45" x14ac:dyDescent="0.35">
      <c r="A223" s="570">
        <v>300514315</v>
      </c>
      <c r="B223" s="570">
        <v>44</v>
      </c>
      <c r="C223" s="570">
        <v>15</v>
      </c>
      <c r="D223" s="570">
        <v>5</v>
      </c>
      <c r="E223" s="570">
        <v>0</v>
      </c>
      <c r="F223" s="570">
        <v>17.510000000000002</v>
      </c>
      <c r="G223" s="570" t="s">
        <v>1000</v>
      </c>
      <c r="H223" s="570">
        <v>2</v>
      </c>
      <c r="I223" s="570">
        <v>0</v>
      </c>
      <c r="J223" s="570">
        <v>0</v>
      </c>
      <c r="K223" s="570">
        <v>0</v>
      </c>
      <c r="L223" s="570">
        <v>0</v>
      </c>
      <c r="M223" s="570">
        <v>0</v>
      </c>
      <c r="N223" s="570" t="s">
        <v>1028</v>
      </c>
      <c r="O223" s="570">
        <v>1</v>
      </c>
      <c r="P223" s="571">
        <v>44352</v>
      </c>
      <c r="Q223" s="570">
        <v>35.089838659999998</v>
      </c>
      <c r="R223" s="570">
        <v>-97.418000180000007</v>
      </c>
      <c r="S223" s="570">
        <v>15.06</v>
      </c>
      <c r="T223" s="570" t="s">
        <v>1002</v>
      </c>
      <c r="U223" s="570" t="s">
        <v>1002</v>
      </c>
      <c r="V223" s="570">
        <v>7</v>
      </c>
      <c r="W223" s="570">
        <v>1</v>
      </c>
      <c r="X223" s="570" t="s">
        <v>1024</v>
      </c>
      <c r="Y223" s="570" t="s">
        <v>1026</v>
      </c>
      <c r="Z223" s="570">
        <v>1</v>
      </c>
      <c r="AA223" s="570">
        <v>0</v>
      </c>
      <c r="AB223" s="570">
        <v>0</v>
      </c>
      <c r="AC223" s="570">
        <v>0</v>
      </c>
      <c r="AD223" s="570">
        <v>0</v>
      </c>
      <c r="AE223" s="570" t="s">
        <v>1031</v>
      </c>
      <c r="AF223" s="570">
        <v>38</v>
      </c>
      <c r="AG223" s="570" t="s">
        <v>1005</v>
      </c>
      <c r="AH223" s="570">
        <v>0</v>
      </c>
      <c r="AI223" s="570" t="s">
        <v>1006</v>
      </c>
      <c r="AJ223" s="570">
        <v>20</v>
      </c>
      <c r="AK223" s="570">
        <v>38</v>
      </c>
      <c r="AL223" s="570">
        <v>1</v>
      </c>
      <c r="AM223" s="570">
        <v>0</v>
      </c>
      <c r="AN223" s="570">
        <v>0</v>
      </c>
      <c r="AO223" s="570">
        <v>9</v>
      </c>
      <c r="AP223" s="570" t="s">
        <v>1002</v>
      </c>
      <c r="AQ223" s="570"/>
      <c r="AR223" s="570"/>
      <c r="AS223" s="570"/>
    </row>
    <row r="224" spans="1:45" x14ac:dyDescent="0.35">
      <c r="A224" s="570">
        <v>300514315</v>
      </c>
      <c r="B224" s="570">
        <v>44</v>
      </c>
      <c r="C224" s="570">
        <v>15</v>
      </c>
      <c r="D224" s="570">
        <v>5</v>
      </c>
      <c r="E224" s="570">
        <v>0</v>
      </c>
      <c r="F224" s="570">
        <v>17.510000000000002</v>
      </c>
      <c r="G224" s="570" t="s">
        <v>1000</v>
      </c>
      <c r="H224" s="570">
        <v>2</v>
      </c>
      <c r="I224" s="570">
        <v>0</v>
      </c>
      <c r="J224" s="570">
        <v>0</v>
      </c>
      <c r="K224" s="570">
        <v>0</v>
      </c>
      <c r="L224" s="570">
        <v>0</v>
      </c>
      <c r="M224" s="570">
        <v>0</v>
      </c>
      <c r="N224" s="570" t="s">
        <v>1028</v>
      </c>
      <c r="O224" s="570">
        <v>1</v>
      </c>
      <c r="P224" s="571">
        <v>44352</v>
      </c>
      <c r="Q224" s="570">
        <v>35.089838659999998</v>
      </c>
      <c r="R224" s="570">
        <v>-97.418000180000007</v>
      </c>
      <c r="S224" s="570">
        <v>15.06</v>
      </c>
      <c r="T224" s="570" t="s">
        <v>1002</v>
      </c>
      <c r="U224" s="570" t="s">
        <v>1002</v>
      </c>
      <c r="V224" s="570">
        <v>7</v>
      </c>
      <c r="W224" s="570">
        <v>1</v>
      </c>
      <c r="X224" s="570" t="s">
        <v>1024</v>
      </c>
      <c r="Y224" s="570" t="s">
        <v>1026</v>
      </c>
      <c r="Z224" s="570">
        <v>1</v>
      </c>
      <c r="AA224" s="570">
        <v>0</v>
      </c>
      <c r="AB224" s="570">
        <v>0</v>
      </c>
      <c r="AC224" s="570">
        <v>0</v>
      </c>
      <c r="AD224" s="570">
        <v>0</v>
      </c>
      <c r="AE224" s="570" t="s">
        <v>1031</v>
      </c>
      <c r="AF224" s="570">
        <v>38</v>
      </c>
      <c r="AG224" s="570" t="s">
        <v>1005</v>
      </c>
      <c r="AH224" s="570">
        <v>0</v>
      </c>
      <c r="AI224" s="570" t="s">
        <v>1006</v>
      </c>
      <c r="AJ224" s="570">
        <v>20</v>
      </c>
      <c r="AK224" s="570">
        <v>98</v>
      </c>
      <c r="AL224" s="570">
        <v>1</v>
      </c>
      <c r="AM224" s="570">
        <v>0</v>
      </c>
      <c r="AN224" s="570">
        <v>46</v>
      </c>
      <c r="AO224" s="570" t="s">
        <v>1007</v>
      </c>
      <c r="AP224" s="570" t="s">
        <v>1008</v>
      </c>
      <c r="AQ224" s="570">
        <v>1</v>
      </c>
      <c r="AR224" s="570">
        <v>1</v>
      </c>
      <c r="AS224" s="570">
        <v>4</v>
      </c>
    </row>
    <row r="225" spans="1:45" x14ac:dyDescent="0.35">
      <c r="A225" s="570">
        <v>300514315</v>
      </c>
      <c r="B225" s="570">
        <v>44</v>
      </c>
      <c r="C225" s="570">
        <v>15</v>
      </c>
      <c r="D225" s="570">
        <v>5</v>
      </c>
      <c r="E225" s="570">
        <v>0</v>
      </c>
      <c r="F225" s="570">
        <v>17.510000000000002</v>
      </c>
      <c r="G225" s="570" t="s">
        <v>1000</v>
      </c>
      <c r="H225" s="570">
        <v>2</v>
      </c>
      <c r="I225" s="570">
        <v>0</v>
      </c>
      <c r="J225" s="570">
        <v>0</v>
      </c>
      <c r="K225" s="570">
        <v>0</v>
      </c>
      <c r="L225" s="570">
        <v>0</v>
      </c>
      <c r="M225" s="570">
        <v>0</v>
      </c>
      <c r="N225" s="570" t="s">
        <v>1028</v>
      </c>
      <c r="O225" s="570">
        <v>1</v>
      </c>
      <c r="P225" s="571">
        <v>44352</v>
      </c>
      <c r="Q225" s="570">
        <v>35.089838659999998</v>
      </c>
      <c r="R225" s="570">
        <v>-97.418000180000007</v>
      </c>
      <c r="S225" s="570">
        <v>15.06</v>
      </c>
      <c r="T225" s="570" t="s">
        <v>1002</v>
      </c>
      <c r="U225" s="570" t="s">
        <v>1002</v>
      </c>
      <c r="V225" s="570">
        <v>7</v>
      </c>
      <c r="W225" s="570">
        <v>1</v>
      </c>
      <c r="X225" s="570" t="s">
        <v>1024</v>
      </c>
      <c r="Y225" s="570" t="s">
        <v>1026</v>
      </c>
      <c r="Z225" s="570">
        <v>1</v>
      </c>
      <c r="AA225" s="570">
        <v>0</v>
      </c>
      <c r="AB225" s="570">
        <v>0</v>
      </c>
      <c r="AC225" s="570">
        <v>0</v>
      </c>
      <c r="AD225" s="570">
        <v>0</v>
      </c>
      <c r="AE225" s="570" t="s">
        <v>1031</v>
      </c>
      <c r="AF225" s="570">
        <v>38</v>
      </c>
      <c r="AG225" s="570" t="s">
        <v>1005</v>
      </c>
      <c r="AH225" s="570">
        <v>0</v>
      </c>
      <c r="AI225" s="570" t="s">
        <v>1006</v>
      </c>
      <c r="AJ225" s="570">
        <v>20</v>
      </c>
      <c r="AK225" s="570">
        <v>98</v>
      </c>
      <c r="AL225" s="570">
        <v>1</v>
      </c>
      <c r="AM225" s="570">
        <v>0</v>
      </c>
      <c r="AN225" s="570">
        <v>0</v>
      </c>
      <c r="AO225" s="570">
        <v>9</v>
      </c>
      <c r="AP225" s="570" t="s">
        <v>1002</v>
      </c>
      <c r="AQ225" s="570"/>
      <c r="AR225" s="570"/>
      <c r="AS225" s="570"/>
    </row>
    <row r="226" spans="1:45" x14ac:dyDescent="0.35">
      <c r="A226" s="570">
        <v>300514315</v>
      </c>
      <c r="B226" s="570">
        <v>44</v>
      </c>
      <c r="C226" s="570">
        <v>15</v>
      </c>
      <c r="D226" s="570">
        <v>5</v>
      </c>
      <c r="E226" s="570">
        <v>0</v>
      </c>
      <c r="F226" s="570">
        <v>17.510000000000002</v>
      </c>
      <c r="G226" s="570" t="s">
        <v>1000</v>
      </c>
      <c r="H226" s="570">
        <v>2</v>
      </c>
      <c r="I226" s="570">
        <v>0</v>
      </c>
      <c r="J226" s="570">
        <v>0</v>
      </c>
      <c r="K226" s="570">
        <v>0</v>
      </c>
      <c r="L226" s="570">
        <v>0</v>
      </c>
      <c r="M226" s="570">
        <v>0</v>
      </c>
      <c r="N226" s="570" t="s">
        <v>1028</v>
      </c>
      <c r="O226" s="570">
        <v>1</v>
      </c>
      <c r="P226" s="571">
        <v>44352</v>
      </c>
      <c r="Q226" s="570">
        <v>35.089838659999998</v>
      </c>
      <c r="R226" s="570">
        <v>-97.418000180000007</v>
      </c>
      <c r="S226" s="570">
        <v>15.06</v>
      </c>
      <c r="T226" s="570" t="s">
        <v>1002</v>
      </c>
      <c r="U226" s="570" t="s">
        <v>1002</v>
      </c>
      <c r="V226" s="570">
        <v>7</v>
      </c>
      <c r="W226" s="570">
        <v>1</v>
      </c>
      <c r="X226" s="570" t="s">
        <v>1024</v>
      </c>
      <c r="Y226" s="570" t="s">
        <v>1026</v>
      </c>
      <c r="Z226" s="570">
        <v>1</v>
      </c>
      <c r="AA226" s="570">
        <v>0</v>
      </c>
      <c r="AB226" s="570">
        <v>0</v>
      </c>
      <c r="AC226" s="570">
        <v>0</v>
      </c>
      <c r="AD226" s="570">
        <v>0</v>
      </c>
      <c r="AE226" s="570" t="s">
        <v>1031</v>
      </c>
      <c r="AF226" s="570">
        <v>38</v>
      </c>
      <c r="AG226" s="570" t="s">
        <v>1005</v>
      </c>
      <c r="AH226" s="570">
        <v>0</v>
      </c>
      <c r="AI226" s="570" t="s">
        <v>1006</v>
      </c>
      <c r="AJ226" s="570">
        <v>20</v>
      </c>
      <c r="AK226" s="570">
        <v>98</v>
      </c>
      <c r="AL226" s="570">
        <v>1</v>
      </c>
      <c r="AM226" s="570">
        <v>0</v>
      </c>
      <c r="AN226" s="570">
        <v>27</v>
      </c>
      <c r="AO226" s="570" t="s">
        <v>1007</v>
      </c>
      <c r="AP226" s="570" t="s">
        <v>1002</v>
      </c>
      <c r="AQ226" s="570">
        <v>1</v>
      </c>
      <c r="AR226" s="570"/>
      <c r="AS226" s="570">
        <v>4</v>
      </c>
    </row>
    <row r="227" spans="1:45" x14ac:dyDescent="0.35">
      <c r="A227" s="570">
        <v>300514315</v>
      </c>
      <c r="B227" s="570">
        <v>44</v>
      </c>
      <c r="C227" s="570">
        <v>15</v>
      </c>
      <c r="D227" s="570">
        <v>5</v>
      </c>
      <c r="E227" s="570">
        <v>0</v>
      </c>
      <c r="F227" s="570">
        <v>17.510000000000002</v>
      </c>
      <c r="G227" s="570" t="s">
        <v>1000</v>
      </c>
      <c r="H227" s="570">
        <v>2</v>
      </c>
      <c r="I227" s="570">
        <v>0</v>
      </c>
      <c r="J227" s="570">
        <v>0</v>
      </c>
      <c r="K227" s="570">
        <v>0</v>
      </c>
      <c r="L227" s="570">
        <v>0</v>
      </c>
      <c r="M227" s="570">
        <v>0</v>
      </c>
      <c r="N227" s="570" t="s">
        <v>1028</v>
      </c>
      <c r="O227" s="570">
        <v>1</v>
      </c>
      <c r="P227" s="571">
        <v>44352</v>
      </c>
      <c r="Q227" s="570">
        <v>35.089838659999998</v>
      </c>
      <c r="R227" s="570">
        <v>-97.418000180000007</v>
      </c>
      <c r="S227" s="570">
        <v>15.06</v>
      </c>
      <c r="T227" s="570" t="s">
        <v>1002</v>
      </c>
      <c r="U227" s="570" t="s">
        <v>1002</v>
      </c>
      <c r="V227" s="570">
        <v>7</v>
      </c>
      <c r="W227" s="570">
        <v>1</v>
      </c>
      <c r="X227" s="570" t="s">
        <v>1024</v>
      </c>
      <c r="Y227" s="570" t="s">
        <v>1026</v>
      </c>
      <c r="Z227" s="570">
        <v>1</v>
      </c>
      <c r="AA227" s="570">
        <v>0</v>
      </c>
      <c r="AB227" s="570">
        <v>0</v>
      </c>
      <c r="AC227" s="570">
        <v>0</v>
      </c>
      <c r="AD227" s="570">
        <v>0</v>
      </c>
      <c r="AE227" s="570" t="s">
        <v>1031</v>
      </c>
      <c r="AF227" s="570">
        <v>38</v>
      </c>
      <c r="AG227" s="570" t="s">
        <v>1005</v>
      </c>
      <c r="AH227" s="570">
        <v>0</v>
      </c>
      <c r="AI227" s="570" t="s">
        <v>1006</v>
      </c>
      <c r="AJ227" s="570">
        <v>20</v>
      </c>
      <c r="AK227" s="570">
        <v>98</v>
      </c>
      <c r="AL227" s="570">
        <v>1</v>
      </c>
      <c r="AM227" s="570">
        <v>0</v>
      </c>
      <c r="AN227" s="570">
        <v>16</v>
      </c>
      <c r="AO227" s="570" t="s">
        <v>1007</v>
      </c>
      <c r="AP227" s="570" t="s">
        <v>1002</v>
      </c>
      <c r="AQ227" s="570">
        <v>1</v>
      </c>
      <c r="AR227" s="570"/>
      <c r="AS227" s="570">
        <v>4</v>
      </c>
    </row>
    <row r="228" spans="1:45" x14ac:dyDescent="0.35">
      <c r="A228" s="570">
        <v>300514315</v>
      </c>
      <c r="B228" s="570">
        <v>44</v>
      </c>
      <c r="C228" s="570">
        <v>15</v>
      </c>
      <c r="D228" s="570">
        <v>5</v>
      </c>
      <c r="E228" s="570">
        <v>0</v>
      </c>
      <c r="F228" s="570">
        <v>17.510000000000002</v>
      </c>
      <c r="G228" s="570" t="s">
        <v>1000</v>
      </c>
      <c r="H228" s="570">
        <v>2</v>
      </c>
      <c r="I228" s="570">
        <v>0</v>
      </c>
      <c r="J228" s="570">
        <v>0</v>
      </c>
      <c r="K228" s="570">
        <v>0</v>
      </c>
      <c r="L228" s="570">
        <v>0</v>
      </c>
      <c r="M228" s="570">
        <v>0</v>
      </c>
      <c r="N228" s="570" t="s">
        <v>1028</v>
      </c>
      <c r="O228" s="570">
        <v>1</v>
      </c>
      <c r="P228" s="571">
        <v>44352</v>
      </c>
      <c r="Q228" s="570">
        <v>35.089838659999998</v>
      </c>
      <c r="R228" s="570">
        <v>-97.418000180000007</v>
      </c>
      <c r="S228" s="570">
        <v>15.06</v>
      </c>
      <c r="T228" s="570" t="s">
        <v>1002</v>
      </c>
      <c r="U228" s="570" t="s">
        <v>1002</v>
      </c>
      <c r="V228" s="570">
        <v>7</v>
      </c>
      <c r="W228" s="570">
        <v>1</v>
      </c>
      <c r="X228" s="570" t="s">
        <v>1024</v>
      </c>
      <c r="Y228" s="570" t="s">
        <v>1026</v>
      </c>
      <c r="Z228" s="570">
        <v>1</v>
      </c>
      <c r="AA228" s="570">
        <v>0</v>
      </c>
      <c r="AB228" s="570">
        <v>0</v>
      </c>
      <c r="AC228" s="570">
        <v>0</v>
      </c>
      <c r="AD228" s="570">
        <v>0</v>
      </c>
      <c r="AE228" s="570" t="s">
        <v>1031</v>
      </c>
      <c r="AF228" s="570">
        <v>38</v>
      </c>
      <c r="AG228" s="570" t="s">
        <v>1005</v>
      </c>
      <c r="AH228" s="570">
        <v>0</v>
      </c>
      <c r="AI228" s="570" t="s">
        <v>1006</v>
      </c>
      <c r="AJ228" s="570">
        <v>20</v>
      </c>
      <c r="AK228" s="570">
        <v>98</v>
      </c>
      <c r="AL228" s="570">
        <v>1</v>
      </c>
      <c r="AM228" s="570">
        <v>0</v>
      </c>
      <c r="AN228" s="570">
        <v>3</v>
      </c>
      <c r="AO228" s="570" t="s">
        <v>1009</v>
      </c>
      <c r="AP228" s="570" t="s">
        <v>1002</v>
      </c>
      <c r="AQ228" s="570">
        <v>1</v>
      </c>
      <c r="AR228" s="570"/>
      <c r="AS228" s="570">
        <v>4</v>
      </c>
    </row>
    <row r="229" spans="1:45" x14ac:dyDescent="0.35">
      <c r="A229" s="570">
        <v>300522855</v>
      </c>
      <c r="B229" s="570">
        <v>44</v>
      </c>
      <c r="C229" s="570">
        <v>15</v>
      </c>
      <c r="D229" s="570">
        <v>5</v>
      </c>
      <c r="E229" s="570">
        <v>0</v>
      </c>
      <c r="F229" s="570">
        <v>18</v>
      </c>
      <c r="G229" s="570" t="s">
        <v>1000</v>
      </c>
      <c r="H229" s="570">
        <v>2</v>
      </c>
      <c r="I229" s="570">
        <v>0</v>
      </c>
      <c r="J229" s="570">
        <v>0</v>
      </c>
      <c r="K229" s="570">
        <v>0</v>
      </c>
      <c r="L229" s="570">
        <v>0</v>
      </c>
      <c r="M229" s="570">
        <v>0</v>
      </c>
      <c r="N229" s="570" t="s">
        <v>1010</v>
      </c>
      <c r="O229" s="570">
        <v>1</v>
      </c>
      <c r="P229" s="571">
        <v>44415</v>
      </c>
      <c r="Q229" s="570">
        <v>35.095486970000003</v>
      </c>
      <c r="R229" s="570">
        <v>-97.423252700000006</v>
      </c>
      <c r="S229" s="570">
        <v>16.5</v>
      </c>
      <c r="T229" s="570" t="s">
        <v>1002</v>
      </c>
      <c r="U229" s="570" t="s">
        <v>1002</v>
      </c>
      <c r="V229" s="570">
        <v>7</v>
      </c>
      <c r="W229" s="570">
        <v>1</v>
      </c>
      <c r="X229" s="570" t="s">
        <v>1000</v>
      </c>
      <c r="Y229" s="570" t="s">
        <v>1003</v>
      </c>
      <c r="Z229" s="570">
        <v>1</v>
      </c>
      <c r="AA229" s="570">
        <v>0</v>
      </c>
      <c r="AB229" s="570">
        <v>0</v>
      </c>
      <c r="AC229" s="570">
        <v>0</v>
      </c>
      <c r="AD229" s="570">
        <v>0</v>
      </c>
      <c r="AE229" s="570" t="s">
        <v>1014</v>
      </c>
      <c r="AF229" s="570">
        <v>88</v>
      </c>
      <c r="AG229" s="570" t="s">
        <v>1020</v>
      </c>
      <c r="AH229" s="570">
        <v>0</v>
      </c>
      <c r="AI229" s="570" t="s">
        <v>1006</v>
      </c>
      <c r="AJ229" s="570">
        <v>20</v>
      </c>
      <c r="AK229" s="570">
        <v>88</v>
      </c>
      <c r="AL229" s="570">
        <v>1</v>
      </c>
      <c r="AM229" s="570">
        <v>0</v>
      </c>
      <c r="AN229" s="570">
        <v>45</v>
      </c>
      <c r="AO229" s="570" t="s">
        <v>1007</v>
      </c>
      <c r="AP229" s="570" t="s">
        <v>1008</v>
      </c>
      <c r="AQ229" s="570">
        <v>1</v>
      </c>
      <c r="AR229" s="570">
        <v>1</v>
      </c>
      <c r="AS229" s="570">
        <v>4</v>
      </c>
    </row>
    <row r="230" spans="1:45" x14ac:dyDescent="0.35">
      <c r="A230" s="570">
        <v>300522855</v>
      </c>
      <c r="B230" s="570">
        <v>44</v>
      </c>
      <c r="C230" s="570">
        <v>15</v>
      </c>
      <c r="D230" s="570">
        <v>5</v>
      </c>
      <c r="E230" s="570">
        <v>0</v>
      </c>
      <c r="F230" s="570">
        <v>18</v>
      </c>
      <c r="G230" s="570" t="s">
        <v>1000</v>
      </c>
      <c r="H230" s="570">
        <v>2</v>
      </c>
      <c r="I230" s="570">
        <v>0</v>
      </c>
      <c r="J230" s="570">
        <v>0</v>
      </c>
      <c r="K230" s="570">
        <v>0</v>
      </c>
      <c r="L230" s="570">
        <v>0</v>
      </c>
      <c r="M230" s="570">
        <v>0</v>
      </c>
      <c r="N230" s="570" t="s">
        <v>1010</v>
      </c>
      <c r="O230" s="570">
        <v>1</v>
      </c>
      <c r="P230" s="571">
        <v>44415</v>
      </c>
      <c r="Q230" s="570">
        <v>35.095486970000003</v>
      </c>
      <c r="R230" s="570">
        <v>-97.423252700000006</v>
      </c>
      <c r="S230" s="570">
        <v>16.5</v>
      </c>
      <c r="T230" s="570" t="s">
        <v>1002</v>
      </c>
      <c r="U230" s="570" t="s">
        <v>1002</v>
      </c>
      <c r="V230" s="570">
        <v>7</v>
      </c>
      <c r="W230" s="570">
        <v>1</v>
      </c>
      <c r="X230" s="570" t="s">
        <v>1000</v>
      </c>
      <c r="Y230" s="570" t="s">
        <v>1003</v>
      </c>
      <c r="Z230" s="570">
        <v>1</v>
      </c>
      <c r="AA230" s="570">
        <v>0</v>
      </c>
      <c r="AB230" s="570">
        <v>0</v>
      </c>
      <c r="AC230" s="570">
        <v>0</v>
      </c>
      <c r="AD230" s="570">
        <v>0</v>
      </c>
      <c r="AE230" s="570" t="s">
        <v>1014</v>
      </c>
      <c r="AF230" s="570">
        <v>88</v>
      </c>
      <c r="AG230" s="570" t="s">
        <v>1020</v>
      </c>
      <c r="AH230" s="570">
        <v>0</v>
      </c>
      <c r="AI230" s="570" t="s">
        <v>1006</v>
      </c>
      <c r="AJ230" s="570">
        <v>20</v>
      </c>
      <c r="AK230" s="570">
        <v>88</v>
      </c>
      <c r="AL230" s="570">
        <v>1</v>
      </c>
      <c r="AM230" s="570">
        <v>0</v>
      </c>
      <c r="AN230" s="570">
        <v>70</v>
      </c>
      <c r="AO230" s="570" t="s">
        <v>1007</v>
      </c>
      <c r="AP230" s="570" t="s">
        <v>1002</v>
      </c>
      <c r="AQ230" s="570">
        <v>1</v>
      </c>
      <c r="AR230" s="570"/>
      <c r="AS230" s="570">
        <v>4</v>
      </c>
    </row>
    <row r="231" spans="1:45" x14ac:dyDescent="0.35">
      <c r="A231" s="570">
        <v>300522855</v>
      </c>
      <c r="B231" s="570">
        <v>44</v>
      </c>
      <c r="C231" s="570">
        <v>15</v>
      </c>
      <c r="D231" s="570">
        <v>5</v>
      </c>
      <c r="E231" s="570">
        <v>0</v>
      </c>
      <c r="F231" s="570">
        <v>18</v>
      </c>
      <c r="G231" s="570" t="s">
        <v>1000</v>
      </c>
      <c r="H231" s="570">
        <v>2</v>
      </c>
      <c r="I231" s="570">
        <v>0</v>
      </c>
      <c r="J231" s="570">
        <v>0</v>
      </c>
      <c r="K231" s="570">
        <v>0</v>
      </c>
      <c r="L231" s="570">
        <v>0</v>
      </c>
      <c r="M231" s="570">
        <v>0</v>
      </c>
      <c r="N231" s="570" t="s">
        <v>1010</v>
      </c>
      <c r="O231" s="570">
        <v>1</v>
      </c>
      <c r="P231" s="571">
        <v>44415</v>
      </c>
      <c r="Q231" s="570">
        <v>35.095486970000003</v>
      </c>
      <c r="R231" s="570">
        <v>-97.423252700000006</v>
      </c>
      <c r="S231" s="570">
        <v>16.5</v>
      </c>
      <c r="T231" s="570" t="s">
        <v>1002</v>
      </c>
      <c r="U231" s="570" t="s">
        <v>1002</v>
      </c>
      <c r="V231" s="570">
        <v>7</v>
      </c>
      <c r="W231" s="570">
        <v>1</v>
      </c>
      <c r="X231" s="570" t="s">
        <v>1000</v>
      </c>
      <c r="Y231" s="570" t="s">
        <v>1003</v>
      </c>
      <c r="Z231" s="570">
        <v>1</v>
      </c>
      <c r="AA231" s="570">
        <v>0</v>
      </c>
      <c r="AB231" s="570">
        <v>0</v>
      </c>
      <c r="AC231" s="570">
        <v>0</v>
      </c>
      <c r="AD231" s="570">
        <v>0</v>
      </c>
      <c r="AE231" s="570" t="s">
        <v>1014</v>
      </c>
      <c r="AF231" s="570">
        <v>88</v>
      </c>
      <c r="AG231" s="570" t="s">
        <v>1020</v>
      </c>
      <c r="AH231" s="570">
        <v>0</v>
      </c>
      <c r="AI231" s="570" t="s">
        <v>1006</v>
      </c>
      <c r="AJ231" s="570">
        <v>20</v>
      </c>
      <c r="AK231" s="570">
        <v>88</v>
      </c>
      <c r="AL231" s="570">
        <v>1</v>
      </c>
      <c r="AM231" s="570">
        <v>0</v>
      </c>
      <c r="AN231" s="570">
        <v>11</v>
      </c>
      <c r="AO231" s="570" t="s">
        <v>1007</v>
      </c>
      <c r="AP231" s="570" t="s">
        <v>1002</v>
      </c>
      <c r="AQ231" s="570">
        <v>1</v>
      </c>
      <c r="AR231" s="570"/>
      <c r="AS231" s="570">
        <v>4</v>
      </c>
    </row>
    <row r="232" spans="1:45" x14ac:dyDescent="0.35">
      <c r="A232" s="570">
        <v>300526488</v>
      </c>
      <c r="B232" s="570">
        <v>44</v>
      </c>
      <c r="C232" s="570">
        <v>15</v>
      </c>
      <c r="D232" s="570">
        <v>5</v>
      </c>
      <c r="E232" s="570">
        <v>0</v>
      </c>
      <c r="F232" s="570">
        <v>17.53</v>
      </c>
      <c r="G232" s="570" t="s">
        <v>1000</v>
      </c>
      <c r="H232" s="570">
        <v>2</v>
      </c>
      <c r="I232" s="570">
        <v>0</v>
      </c>
      <c r="J232" s="570">
        <v>0</v>
      </c>
      <c r="K232" s="570">
        <v>0</v>
      </c>
      <c r="L232" s="570">
        <v>0</v>
      </c>
      <c r="M232" s="570">
        <v>0</v>
      </c>
      <c r="N232" s="570" t="s">
        <v>1001</v>
      </c>
      <c r="O232" s="570">
        <v>1</v>
      </c>
      <c r="P232" s="571">
        <v>44442</v>
      </c>
      <c r="Q232" s="570">
        <v>35.090067349999998</v>
      </c>
      <c r="R232" s="570">
        <v>-97.418217499999997</v>
      </c>
      <c r="S232" s="570">
        <v>14.33</v>
      </c>
      <c r="T232" s="570" t="s">
        <v>1002</v>
      </c>
      <c r="U232" s="570" t="s">
        <v>1002</v>
      </c>
      <c r="V232" s="570">
        <v>6</v>
      </c>
      <c r="W232" s="570">
        <v>1</v>
      </c>
      <c r="X232" s="570" t="s">
        <v>1000</v>
      </c>
      <c r="Y232" s="570" t="s">
        <v>1013</v>
      </c>
      <c r="Z232" s="570">
        <v>1</v>
      </c>
      <c r="AA232" s="570">
        <v>0</v>
      </c>
      <c r="AB232" s="570">
        <v>0</v>
      </c>
      <c r="AC232" s="570">
        <v>0</v>
      </c>
      <c r="AD232" s="570">
        <v>0</v>
      </c>
      <c r="AE232" s="570" t="s">
        <v>1022</v>
      </c>
      <c r="AF232" s="570">
        <v>14</v>
      </c>
      <c r="AG232" s="570" t="s">
        <v>1005</v>
      </c>
      <c r="AH232" s="570">
        <v>0</v>
      </c>
      <c r="AI232" s="570" t="s">
        <v>1006</v>
      </c>
      <c r="AJ232" s="570">
        <v>1</v>
      </c>
      <c r="AK232" s="570">
        <v>14</v>
      </c>
      <c r="AL232" s="570">
        <v>1</v>
      </c>
      <c r="AM232" s="570">
        <v>0</v>
      </c>
      <c r="AN232" s="570">
        <v>18</v>
      </c>
      <c r="AO232" s="570" t="s">
        <v>1007</v>
      </c>
      <c r="AP232" s="570" t="s">
        <v>1008</v>
      </c>
      <c r="AQ232" s="570">
        <v>1</v>
      </c>
      <c r="AR232" s="570">
        <v>1</v>
      </c>
      <c r="AS232" s="570">
        <v>4</v>
      </c>
    </row>
    <row r="233" spans="1:45" x14ac:dyDescent="0.35">
      <c r="A233" s="570">
        <v>300526488</v>
      </c>
      <c r="B233" s="570">
        <v>44</v>
      </c>
      <c r="C233" s="570">
        <v>15</v>
      </c>
      <c r="D233" s="570">
        <v>5</v>
      </c>
      <c r="E233" s="570">
        <v>0</v>
      </c>
      <c r="F233" s="570">
        <v>17.53</v>
      </c>
      <c r="G233" s="570" t="s">
        <v>1000</v>
      </c>
      <c r="H233" s="570">
        <v>2</v>
      </c>
      <c r="I233" s="570">
        <v>0</v>
      </c>
      <c r="J233" s="570">
        <v>0</v>
      </c>
      <c r="K233" s="570">
        <v>0</v>
      </c>
      <c r="L233" s="570">
        <v>0</v>
      </c>
      <c r="M233" s="570">
        <v>0</v>
      </c>
      <c r="N233" s="570" t="s">
        <v>1001</v>
      </c>
      <c r="O233" s="570">
        <v>1</v>
      </c>
      <c r="P233" s="571">
        <v>44442</v>
      </c>
      <c r="Q233" s="570">
        <v>35.090067349999998</v>
      </c>
      <c r="R233" s="570">
        <v>-97.418217499999997</v>
      </c>
      <c r="S233" s="570">
        <v>14.33</v>
      </c>
      <c r="T233" s="570" t="s">
        <v>1002</v>
      </c>
      <c r="U233" s="570" t="s">
        <v>1002</v>
      </c>
      <c r="V233" s="570">
        <v>6</v>
      </c>
      <c r="W233" s="570">
        <v>1</v>
      </c>
      <c r="X233" s="570" t="s">
        <v>1000</v>
      </c>
      <c r="Y233" s="570" t="s">
        <v>1013</v>
      </c>
      <c r="Z233" s="570">
        <v>1</v>
      </c>
      <c r="AA233" s="570">
        <v>0</v>
      </c>
      <c r="AB233" s="570">
        <v>0</v>
      </c>
      <c r="AC233" s="570">
        <v>0</v>
      </c>
      <c r="AD233" s="570">
        <v>0</v>
      </c>
      <c r="AE233" s="570" t="s">
        <v>1022</v>
      </c>
      <c r="AF233" s="570">
        <v>14</v>
      </c>
      <c r="AG233" s="570" t="s">
        <v>1005</v>
      </c>
      <c r="AH233" s="570">
        <v>0</v>
      </c>
      <c r="AI233" s="570" t="s">
        <v>1006</v>
      </c>
      <c r="AJ233" s="570">
        <v>1</v>
      </c>
      <c r="AK233" s="570">
        <v>14</v>
      </c>
      <c r="AL233" s="570">
        <v>1</v>
      </c>
      <c r="AM233" s="570">
        <v>0</v>
      </c>
      <c r="AN233" s="570">
        <v>0</v>
      </c>
      <c r="AO233" s="570">
        <v>9</v>
      </c>
      <c r="AP233" s="570" t="s">
        <v>1002</v>
      </c>
      <c r="AQ233" s="570"/>
      <c r="AR233" s="570"/>
      <c r="AS233" s="570"/>
    </row>
    <row r="234" spans="1:45" x14ac:dyDescent="0.35">
      <c r="A234" s="570">
        <v>300526488</v>
      </c>
      <c r="B234" s="570">
        <v>44</v>
      </c>
      <c r="C234" s="570">
        <v>15</v>
      </c>
      <c r="D234" s="570">
        <v>5</v>
      </c>
      <c r="E234" s="570">
        <v>0</v>
      </c>
      <c r="F234" s="570">
        <v>17.53</v>
      </c>
      <c r="G234" s="570" t="s">
        <v>1000</v>
      </c>
      <c r="H234" s="570">
        <v>2</v>
      </c>
      <c r="I234" s="570">
        <v>0</v>
      </c>
      <c r="J234" s="570">
        <v>0</v>
      </c>
      <c r="K234" s="570">
        <v>0</v>
      </c>
      <c r="L234" s="570">
        <v>0</v>
      </c>
      <c r="M234" s="570">
        <v>0</v>
      </c>
      <c r="N234" s="570" t="s">
        <v>1001</v>
      </c>
      <c r="O234" s="570">
        <v>1</v>
      </c>
      <c r="P234" s="571">
        <v>44442</v>
      </c>
      <c r="Q234" s="570">
        <v>35.090067349999998</v>
      </c>
      <c r="R234" s="570">
        <v>-97.418217499999997</v>
      </c>
      <c r="S234" s="570">
        <v>14.33</v>
      </c>
      <c r="T234" s="570" t="s">
        <v>1002</v>
      </c>
      <c r="U234" s="570" t="s">
        <v>1002</v>
      </c>
      <c r="V234" s="570">
        <v>6</v>
      </c>
      <c r="W234" s="570">
        <v>1</v>
      </c>
      <c r="X234" s="570" t="s">
        <v>1000</v>
      </c>
      <c r="Y234" s="570" t="s">
        <v>1013</v>
      </c>
      <c r="Z234" s="570">
        <v>1</v>
      </c>
      <c r="AA234" s="570">
        <v>0</v>
      </c>
      <c r="AB234" s="570">
        <v>0</v>
      </c>
      <c r="AC234" s="570">
        <v>0</v>
      </c>
      <c r="AD234" s="570">
        <v>0</v>
      </c>
      <c r="AE234" s="570" t="s">
        <v>1022</v>
      </c>
      <c r="AF234" s="570">
        <v>14</v>
      </c>
      <c r="AG234" s="570" t="s">
        <v>1005</v>
      </c>
      <c r="AH234" s="570">
        <v>0</v>
      </c>
      <c r="AI234" s="570" t="s">
        <v>1006</v>
      </c>
      <c r="AJ234" s="570">
        <v>2</v>
      </c>
      <c r="AK234" s="570">
        <v>98</v>
      </c>
      <c r="AL234" s="570">
        <v>1</v>
      </c>
      <c r="AM234" s="570">
        <v>0</v>
      </c>
      <c r="AN234" s="570">
        <v>20</v>
      </c>
      <c r="AO234" s="570" t="s">
        <v>1009</v>
      </c>
      <c r="AP234" s="570" t="s">
        <v>1008</v>
      </c>
      <c r="AQ234" s="570">
        <v>1</v>
      </c>
      <c r="AR234" s="570">
        <v>1</v>
      </c>
      <c r="AS234" s="570">
        <v>4</v>
      </c>
    </row>
    <row r="235" spans="1:45" x14ac:dyDescent="0.35">
      <c r="A235" s="570">
        <v>300526488</v>
      </c>
      <c r="B235" s="570">
        <v>44</v>
      </c>
      <c r="C235" s="570">
        <v>15</v>
      </c>
      <c r="D235" s="570">
        <v>5</v>
      </c>
      <c r="E235" s="570">
        <v>0</v>
      </c>
      <c r="F235" s="570">
        <v>17.53</v>
      </c>
      <c r="G235" s="570" t="s">
        <v>1000</v>
      </c>
      <c r="H235" s="570">
        <v>2</v>
      </c>
      <c r="I235" s="570">
        <v>0</v>
      </c>
      <c r="J235" s="570">
        <v>0</v>
      </c>
      <c r="K235" s="570">
        <v>0</v>
      </c>
      <c r="L235" s="570">
        <v>0</v>
      </c>
      <c r="M235" s="570">
        <v>0</v>
      </c>
      <c r="N235" s="570" t="s">
        <v>1001</v>
      </c>
      <c r="O235" s="570">
        <v>1</v>
      </c>
      <c r="P235" s="571">
        <v>44442</v>
      </c>
      <c r="Q235" s="570">
        <v>35.090067349999998</v>
      </c>
      <c r="R235" s="570">
        <v>-97.418217499999997</v>
      </c>
      <c r="S235" s="570">
        <v>14.33</v>
      </c>
      <c r="T235" s="570" t="s">
        <v>1002</v>
      </c>
      <c r="U235" s="570" t="s">
        <v>1002</v>
      </c>
      <c r="V235" s="570">
        <v>6</v>
      </c>
      <c r="W235" s="570">
        <v>1</v>
      </c>
      <c r="X235" s="570" t="s">
        <v>1000</v>
      </c>
      <c r="Y235" s="570" t="s">
        <v>1013</v>
      </c>
      <c r="Z235" s="570">
        <v>1</v>
      </c>
      <c r="AA235" s="570">
        <v>0</v>
      </c>
      <c r="AB235" s="570">
        <v>0</v>
      </c>
      <c r="AC235" s="570">
        <v>0</v>
      </c>
      <c r="AD235" s="570">
        <v>0</v>
      </c>
      <c r="AE235" s="570" t="s">
        <v>1022</v>
      </c>
      <c r="AF235" s="570">
        <v>14</v>
      </c>
      <c r="AG235" s="570" t="s">
        <v>1005</v>
      </c>
      <c r="AH235" s="570">
        <v>0</v>
      </c>
      <c r="AI235" s="570" t="s">
        <v>1006</v>
      </c>
      <c r="AJ235" s="570">
        <v>2</v>
      </c>
      <c r="AK235" s="570">
        <v>98</v>
      </c>
      <c r="AL235" s="570">
        <v>1</v>
      </c>
      <c r="AM235" s="570">
        <v>0</v>
      </c>
      <c r="AN235" s="570">
        <v>0</v>
      </c>
      <c r="AO235" s="570">
        <v>9</v>
      </c>
      <c r="AP235" s="570" t="s">
        <v>1002</v>
      </c>
      <c r="AQ235" s="570"/>
      <c r="AR235" s="570"/>
      <c r="AS235" s="570"/>
    </row>
    <row r="236" spans="1:45" x14ac:dyDescent="0.35">
      <c r="A236" s="570">
        <v>300526488</v>
      </c>
      <c r="B236" s="570">
        <v>44</v>
      </c>
      <c r="C236" s="570">
        <v>15</v>
      </c>
      <c r="D236" s="570">
        <v>5</v>
      </c>
      <c r="E236" s="570">
        <v>0</v>
      </c>
      <c r="F236" s="570">
        <v>17.53</v>
      </c>
      <c r="G236" s="570" t="s">
        <v>1000</v>
      </c>
      <c r="H236" s="570">
        <v>2</v>
      </c>
      <c r="I236" s="570">
        <v>0</v>
      </c>
      <c r="J236" s="570">
        <v>0</v>
      </c>
      <c r="K236" s="570">
        <v>0</v>
      </c>
      <c r="L236" s="570">
        <v>0</v>
      </c>
      <c r="M236" s="570">
        <v>0</v>
      </c>
      <c r="N236" s="570" t="s">
        <v>1001</v>
      </c>
      <c r="O236" s="570">
        <v>1</v>
      </c>
      <c r="P236" s="571">
        <v>44442</v>
      </c>
      <c r="Q236" s="570">
        <v>35.090067349999998</v>
      </c>
      <c r="R236" s="570">
        <v>-97.418217499999997</v>
      </c>
      <c r="S236" s="570">
        <v>14.33</v>
      </c>
      <c r="T236" s="570" t="s">
        <v>1002</v>
      </c>
      <c r="U236" s="570" t="s">
        <v>1002</v>
      </c>
      <c r="V236" s="570">
        <v>6</v>
      </c>
      <c r="W236" s="570">
        <v>1</v>
      </c>
      <c r="X236" s="570" t="s">
        <v>1000</v>
      </c>
      <c r="Y236" s="570" t="s">
        <v>1013</v>
      </c>
      <c r="Z236" s="570">
        <v>1</v>
      </c>
      <c r="AA236" s="570">
        <v>0</v>
      </c>
      <c r="AB236" s="570">
        <v>0</v>
      </c>
      <c r="AC236" s="570">
        <v>0</v>
      </c>
      <c r="AD236" s="570">
        <v>0</v>
      </c>
      <c r="AE236" s="570" t="s">
        <v>1022</v>
      </c>
      <c r="AF236" s="570">
        <v>14</v>
      </c>
      <c r="AG236" s="570" t="s">
        <v>1005</v>
      </c>
      <c r="AH236" s="570">
        <v>0</v>
      </c>
      <c r="AI236" s="570" t="s">
        <v>1006</v>
      </c>
      <c r="AJ236" s="570">
        <v>2</v>
      </c>
      <c r="AK236" s="570">
        <v>98</v>
      </c>
      <c r="AL236" s="570">
        <v>1</v>
      </c>
      <c r="AM236" s="570">
        <v>0</v>
      </c>
      <c r="AN236" s="570">
        <v>20</v>
      </c>
      <c r="AO236" s="570" t="s">
        <v>1007</v>
      </c>
      <c r="AP236" s="570" t="s">
        <v>1008</v>
      </c>
      <c r="AQ236" s="570">
        <v>1</v>
      </c>
      <c r="AR236" s="570">
        <v>1</v>
      </c>
      <c r="AS236" s="570">
        <v>4</v>
      </c>
    </row>
    <row r="237" spans="1:45" x14ac:dyDescent="0.35">
      <c r="A237" s="570">
        <v>300526488</v>
      </c>
      <c r="B237" s="570">
        <v>44</v>
      </c>
      <c r="C237" s="570">
        <v>15</v>
      </c>
      <c r="D237" s="570">
        <v>5</v>
      </c>
      <c r="E237" s="570">
        <v>0</v>
      </c>
      <c r="F237" s="570">
        <v>17.53</v>
      </c>
      <c r="G237" s="570" t="s">
        <v>1000</v>
      </c>
      <c r="H237" s="570">
        <v>2</v>
      </c>
      <c r="I237" s="570">
        <v>0</v>
      </c>
      <c r="J237" s="570">
        <v>0</v>
      </c>
      <c r="K237" s="570">
        <v>0</v>
      </c>
      <c r="L237" s="570">
        <v>0</v>
      </c>
      <c r="M237" s="570">
        <v>0</v>
      </c>
      <c r="N237" s="570" t="s">
        <v>1001</v>
      </c>
      <c r="O237" s="570">
        <v>1</v>
      </c>
      <c r="P237" s="571">
        <v>44442</v>
      </c>
      <c r="Q237" s="570">
        <v>35.090067349999998</v>
      </c>
      <c r="R237" s="570">
        <v>-97.418217499999997</v>
      </c>
      <c r="S237" s="570">
        <v>14.33</v>
      </c>
      <c r="T237" s="570" t="s">
        <v>1002</v>
      </c>
      <c r="U237" s="570" t="s">
        <v>1002</v>
      </c>
      <c r="V237" s="570">
        <v>6</v>
      </c>
      <c r="W237" s="570">
        <v>1</v>
      </c>
      <c r="X237" s="570" t="s">
        <v>1000</v>
      </c>
      <c r="Y237" s="570" t="s">
        <v>1013</v>
      </c>
      <c r="Z237" s="570">
        <v>1</v>
      </c>
      <c r="AA237" s="570">
        <v>0</v>
      </c>
      <c r="AB237" s="570">
        <v>0</v>
      </c>
      <c r="AC237" s="570">
        <v>0</v>
      </c>
      <c r="AD237" s="570">
        <v>0</v>
      </c>
      <c r="AE237" s="570" t="s">
        <v>1022</v>
      </c>
      <c r="AF237" s="570">
        <v>14</v>
      </c>
      <c r="AG237" s="570" t="s">
        <v>1005</v>
      </c>
      <c r="AH237" s="570">
        <v>0</v>
      </c>
      <c r="AI237" s="570" t="s">
        <v>1006</v>
      </c>
      <c r="AJ237" s="570">
        <v>2</v>
      </c>
      <c r="AK237" s="570">
        <v>98</v>
      </c>
      <c r="AL237" s="570">
        <v>1</v>
      </c>
      <c r="AM237" s="570">
        <v>0</v>
      </c>
      <c r="AN237" s="570">
        <v>0</v>
      </c>
      <c r="AO237" s="570">
        <v>9</v>
      </c>
      <c r="AP237" s="570" t="s">
        <v>1002</v>
      </c>
      <c r="AQ237" s="570"/>
      <c r="AR237" s="570"/>
      <c r="AS237" s="570"/>
    </row>
    <row r="238" spans="1:45" x14ac:dyDescent="0.35">
      <c r="A238" s="570">
        <v>300527456</v>
      </c>
      <c r="B238" s="570">
        <v>44</v>
      </c>
      <c r="C238" s="570">
        <v>15</v>
      </c>
      <c r="D238" s="570">
        <v>5</v>
      </c>
      <c r="E238" s="570">
        <v>0</v>
      </c>
      <c r="F238" s="570">
        <v>17.920000000000002</v>
      </c>
      <c r="G238" s="570" t="s">
        <v>1000</v>
      </c>
      <c r="H238" s="570">
        <v>2</v>
      </c>
      <c r="I238" s="570">
        <v>0</v>
      </c>
      <c r="J238" s="570">
        <v>0</v>
      </c>
      <c r="K238" s="570">
        <v>0</v>
      </c>
      <c r="L238" s="570">
        <v>1</v>
      </c>
      <c r="M238" s="570">
        <v>1</v>
      </c>
      <c r="N238" s="570" t="s">
        <v>1028</v>
      </c>
      <c r="O238" s="570">
        <v>5</v>
      </c>
      <c r="P238" s="571">
        <v>44316</v>
      </c>
      <c r="Q238" s="570">
        <v>35.094563989999997</v>
      </c>
      <c r="R238" s="570">
        <v>-97.422396390000003</v>
      </c>
      <c r="S238" s="570">
        <v>23.44</v>
      </c>
      <c r="T238" s="570" t="s">
        <v>1008</v>
      </c>
      <c r="U238" s="570" t="s">
        <v>1002</v>
      </c>
      <c r="V238" s="570">
        <v>6</v>
      </c>
      <c r="W238" s="570">
        <v>2</v>
      </c>
      <c r="X238" s="570" t="s">
        <v>1000</v>
      </c>
      <c r="Y238" s="570" t="s">
        <v>1003</v>
      </c>
      <c r="Z238" s="570">
        <v>3</v>
      </c>
      <c r="AA238" s="570">
        <v>0</v>
      </c>
      <c r="AB238" s="570">
        <v>1</v>
      </c>
      <c r="AC238" s="570">
        <v>0</v>
      </c>
      <c r="AD238" s="570">
        <v>1</v>
      </c>
      <c r="AE238" s="570" t="s">
        <v>1041</v>
      </c>
      <c r="AF238" s="570">
        <v>80</v>
      </c>
      <c r="AG238" s="570" t="s">
        <v>1020</v>
      </c>
      <c r="AH238" s="570">
        <v>0</v>
      </c>
      <c r="AI238" s="570" t="s">
        <v>1006</v>
      </c>
      <c r="AJ238" s="570">
        <v>1</v>
      </c>
      <c r="AK238" s="570">
        <v>80</v>
      </c>
      <c r="AL238" s="570">
        <v>1</v>
      </c>
      <c r="AM238" s="570">
        <v>0</v>
      </c>
      <c r="AN238" s="570">
        <v>26</v>
      </c>
      <c r="AO238" s="570" t="s">
        <v>1007</v>
      </c>
      <c r="AP238" s="570" t="s">
        <v>1008</v>
      </c>
      <c r="AQ238" s="570">
        <v>3</v>
      </c>
      <c r="AR238" s="570">
        <v>11</v>
      </c>
      <c r="AS238" s="570">
        <v>4</v>
      </c>
    </row>
    <row r="239" spans="1:45" x14ac:dyDescent="0.35">
      <c r="A239" s="570">
        <v>300527456</v>
      </c>
      <c r="B239" s="570">
        <v>44</v>
      </c>
      <c r="C239" s="570">
        <v>15</v>
      </c>
      <c r="D239" s="570">
        <v>5</v>
      </c>
      <c r="E239" s="570">
        <v>0</v>
      </c>
      <c r="F239" s="570">
        <v>17.920000000000002</v>
      </c>
      <c r="G239" s="570" t="s">
        <v>1000</v>
      </c>
      <c r="H239" s="570">
        <v>2</v>
      </c>
      <c r="I239" s="570">
        <v>0</v>
      </c>
      <c r="J239" s="570">
        <v>0</v>
      </c>
      <c r="K239" s="570">
        <v>0</v>
      </c>
      <c r="L239" s="570">
        <v>1</v>
      </c>
      <c r="M239" s="570">
        <v>1</v>
      </c>
      <c r="N239" s="570" t="s">
        <v>1028</v>
      </c>
      <c r="O239" s="570">
        <v>5</v>
      </c>
      <c r="P239" s="571">
        <v>44316</v>
      </c>
      <c r="Q239" s="570">
        <v>35.094563989999997</v>
      </c>
      <c r="R239" s="570">
        <v>-97.422396390000003</v>
      </c>
      <c r="S239" s="570">
        <v>23.44</v>
      </c>
      <c r="T239" s="570" t="s">
        <v>1008</v>
      </c>
      <c r="U239" s="570" t="s">
        <v>1002</v>
      </c>
      <c r="V239" s="570">
        <v>6</v>
      </c>
      <c r="W239" s="570">
        <v>2</v>
      </c>
      <c r="X239" s="570" t="s">
        <v>1000</v>
      </c>
      <c r="Y239" s="570" t="s">
        <v>1003</v>
      </c>
      <c r="Z239" s="570">
        <v>3</v>
      </c>
      <c r="AA239" s="570">
        <v>0</v>
      </c>
      <c r="AB239" s="570">
        <v>1</v>
      </c>
      <c r="AC239" s="570">
        <v>0</v>
      </c>
      <c r="AD239" s="570">
        <v>1</v>
      </c>
      <c r="AE239" s="570" t="s">
        <v>1041</v>
      </c>
      <c r="AF239" s="570">
        <v>80</v>
      </c>
      <c r="AG239" s="570" t="s">
        <v>1020</v>
      </c>
      <c r="AH239" s="570">
        <v>0</v>
      </c>
      <c r="AI239" s="570" t="s">
        <v>1006</v>
      </c>
      <c r="AJ239" s="570">
        <v>1</v>
      </c>
      <c r="AK239" s="570">
        <v>80</v>
      </c>
      <c r="AL239" s="570">
        <v>1</v>
      </c>
      <c r="AM239" s="570">
        <v>0</v>
      </c>
      <c r="AN239" s="570">
        <v>22</v>
      </c>
      <c r="AO239" s="570" t="s">
        <v>1009</v>
      </c>
      <c r="AP239" s="570" t="s">
        <v>1002</v>
      </c>
      <c r="AQ239" s="570">
        <v>1</v>
      </c>
      <c r="AR239" s="570"/>
      <c r="AS239" s="570">
        <v>99</v>
      </c>
    </row>
    <row r="240" spans="1:45" x14ac:dyDescent="0.35">
      <c r="A240" s="570">
        <v>300527456</v>
      </c>
      <c r="B240" s="570">
        <v>44</v>
      </c>
      <c r="C240" s="570">
        <v>15</v>
      </c>
      <c r="D240" s="570">
        <v>5</v>
      </c>
      <c r="E240" s="570">
        <v>0</v>
      </c>
      <c r="F240" s="570">
        <v>17.920000000000002</v>
      </c>
      <c r="G240" s="570" t="s">
        <v>1000</v>
      </c>
      <c r="H240" s="570">
        <v>2</v>
      </c>
      <c r="I240" s="570">
        <v>0</v>
      </c>
      <c r="J240" s="570">
        <v>0</v>
      </c>
      <c r="K240" s="570">
        <v>0</v>
      </c>
      <c r="L240" s="570">
        <v>1</v>
      </c>
      <c r="M240" s="570">
        <v>1</v>
      </c>
      <c r="N240" s="570" t="s">
        <v>1028</v>
      </c>
      <c r="O240" s="570">
        <v>5</v>
      </c>
      <c r="P240" s="571">
        <v>44316</v>
      </c>
      <c r="Q240" s="570">
        <v>35.094563989999997</v>
      </c>
      <c r="R240" s="570">
        <v>-97.422396390000003</v>
      </c>
      <c r="S240" s="570">
        <v>23.44</v>
      </c>
      <c r="T240" s="570" t="s">
        <v>1008</v>
      </c>
      <c r="U240" s="570" t="s">
        <v>1002</v>
      </c>
      <c r="V240" s="570">
        <v>6</v>
      </c>
      <c r="W240" s="570">
        <v>2</v>
      </c>
      <c r="X240" s="570" t="s">
        <v>1000</v>
      </c>
      <c r="Y240" s="570" t="s">
        <v>1003</v>
      </c>
      <c r="Z240" s="570">
        <v>3</v>
      </c>
      <c r="AA240" s="570">
        <v>0</v>
      </c>
      <c r="AB240" s="570">
        <v>1</v>
      </c>
      <c r="AC240" s="570">
        <v>0</v>
      </c>
      <c r="AD240" s="570">
        <v>1</v>
      </c>
      <c r="AE240" s="570" t="s">
        <v>1041</v>
      </c>
      <c r="AF240" s="570">
        <v>80</v>
      </c>
      <c r="AG240" s="570" t="s">
        <v>1020</v>
      </c>
      <c r="AH240" s="570">
        <v>0</v>
      </c>
      <c r="AI240" s="570" t="s">
        <v>1006</v>
      </c>
      <c r="AJ240" s="570">
        <v>99</v>
      </c>
      <c r="AK240" s="570">
        <v>98</v>
      </c>
      <c r="AL240" s="570">
        <v>1</v>
      </c>
      <c r="AM240" s="570">
        <v>0</v>
      </c>
      <c r="AN240" s="570">
        <v>0</v>
      </c>
      <c r="AO240" s="570">
        <v>9</v>
      </c>
      <c r="AP240" s="570" t="s">
        <v>1008</v>
      </c>
      <c r="AQ240" s="570">
        <v>1</v>
      </c>
      <c r="AR240" s="570">
        <v>99</v>
      </c>
      <c r="AS240" s="570">
        <v>99</v>
      </c>
    </row>
    <row r="241" spans="1:45" x14ac:dyDescent="0.35">
      <c r="A241" s="570">
        <v>300527456</v>
      </c>
      <c r="B241" s="570">
        <v>44</v>
      </c>
      <c r="C241" s="570">
        <v>15</v>
      </c>
      <c r="D241" s="570">
        <v>5</v>
      </c>
      <c r="E241" s="570">
        <v>0</v>
      </c>
      <c r="F241" s="570">
        <v>17.920000000000002</v>
      </c>
      <c r="G241" s="570" t="s">
        <v>1000</v>
      </c>
      <c r="H241" s="570">
        <v>2</v>
      </c>
      <c r="I241" s="570">
        <v>0</v>
      </c>
      <c r="J241" s="570">
        <v>0</v>
      </c>
      <c r="K241" s="570">
        <v>0</v>
      </c>
      <c r="L241" s="570">
        <v>1</v>
      </c>
      <c r="M241" s="570">
        <v>1</v>
      </c>
      <c r="N241" s="570" t="s">
        <v>1028</v>
      </c>
      <c r="O241" s="570">
        <v>5</v>
      </c>
      <c r="P241" s="571">
        <v>44316</v>
      </c>
      <c r="Q241" s="570">
        <v>35.094563989999997</v>
      </c>
      <c r="R241" s="570">
        <v>-97.422396390000003</v>
      </c>
      <c r="S241" s="570">
        <v>23.44</v>
      </c>
      <c r="T241" s="570" t="s">
        <v>1008</v>
      </c>
      <c r="U241" s="570" t="s">
        <v>1002</v>
      </c>
      <c r="V241" s="570">
        <v>6</v>
      </c>
      <c r="W241" s="570">
        <v>2</v>
      </c>
      <c r="X241" s="570" t="s">
        <v>1000</v>
      </c>
      <c r="Y241" s="570" t="s">
        <v>1003</v>
      </c>
      <c r="Z241" s="570">
        <v>3</v>
      </c>
      <c r="AA241" s="570">
        <v>0</v>
      </c>
      <c r="AB241" s="570">
        <v>1</v>
      </c>
      <c r="AC241" s="570">
        <v>0</v>
      </c>
      <c r="AD241" s="570">
        <v>1</v>
      </c>
      <c r="AE241" s="570" t="s">
        <v>1041</v>
      </c>
      <c r="AF241" s="570">
        <v>80</v>
      </c>
      <c r="AG241" s="570" t="s">
        <v>1020</v>
      </c>
      <c r="AH241" s="570">
        <v>0</v>
      </c>
      <c r="AI241" s="570" t="s">
        <v>1006</v>
      </c>
      <c r="AJ241" s="570">
        <v>99</v>
      </c>
      <c r="AK241" s="570">
        <v>98</v>
      </c>
      <c r="AL241" s="570">
        <v>1</v>
      </c>
      <c r="AM241" s="570">
        <v>0</v>
      </c>
      <c r="AN241" s="570">
        <v>0</v>
      </c>
      <c r="AO241" s="570">
        <v>9</v>
      </c>
      <c r="AP241" s="570" t="s">
        <v>1002</v>
      </c>
      <c r="AQ241" s="570"/>
      <c r="AR241" s="570"/>
      <c r="AS241" s="570"/>
    </row>
    <row r="242" spans="1:45" x14ac:dyDescent="0.35">
      <c r="A242" s="570">
        <v>300527456</v>
      </c>
      <c r="B242" s="570">
        <v>44</v>
      </c>
      <c r="C242" s="570">
        <v>15</v>
      </c>
      <c r="D242" s="570">
        <v>5</v>
      </c>
      <c r="E242" s="570">
        <v>0</v>
      </c>
      <c r="F242" s="570">
        <v>17.920000000000002</v>
      </c>
      <c r="G242" s="570" t="s">
        <v>1000</v>
      </c>
      <c r="H242" s="570">
        <v>2</v>
      </c>
      <c r="I242" s="570">
        <v>0</v>
      </c>
      <c r="J242" s="570">
        <v>0</v>
      </c>
      <c r="K242" s="570">
        <v>0</v>
      </c>
      <c r="L242" s="570">
        <v>1</v>
      </c>
      <c r="M242" s="570">
        <v>1</v>
      </c>
      <c r="N242" s="570" t="s">
        <v>1028</v>
      </c>
      <c r="O242" s="570">
        <v>5</v>
      </c>
      <c r="P242" s="571">
        <v>44316</v>
      </c>
      <c r="Q242" s="570">
        <v>35.094563989999997</v>
      </c>
      <c r="R242" s="570">
        <v>-97.422396390000003</v>
      </c>
      <c r="S242" s="570">
        <v>23.44</v>
      </c>
      <c r="T242" s="570" t="s">
        <v>1008</v>
      </c>
      <c r="U242" s="570" t="s">
        <v>1002</v>
      </c>
      <c r="V242" s="570">
        <v>6</v>
      </c>
      <c r="W242" s="570">
        <v>2</v>
      </c>
      <c r="X242" s="570" t="s">
        <v>1000</v>
      </c>
      <c r="Y242" s="570" t="s">
        <v>1003</v>
      </c>
      <c r="Z242" s="570">
        <v>3</v>
      </c>
      <c r="AA242" s="570">
        <v>0</v>
      </c>
      <c r="AB242" s="570">
        <v>1</v>
      </c>
      <c r="AC242" s="570">
        <v>0</v>
      </c>
      <c r="AD242" s="570">
        <v>1</v>
      </c>
      <c r="AE242" s="570" t="s">
        <v>1041</v>
      </c>
      <c r="AF242" s="570">
        <v>80</v>
      </c>
      <c r="AG242" s="570" t="s">
        <v>1020</v>
      </c>
      <c r="AH242" s="570">
        <v>0</v>
      </c>
      <c r="AI242" s="570" t="s">
        <v>1006</v>
      </c>
      <c r="AJ242" s="570">
        <v>5</v>
      </c>
      <c r="AK242" s="570">
        <v>98</v>
      </c>
      <c r="AL242" s="570">
        <v>1</v>
      </c>
      <c r="AM242" s="570">
        <v>0</v>
      </c>
      <c r="AN242" s="570">
        <v>38</v>
      </c>
      <c r="AO242" s="570" t="s">
        <v>1009</v>
      </c>
      <c r="AP242" s="570" t="s">
        <v>1008</v>
      </c>
      <c r="AQ242" s="570">
        <v>1</v>
      </c>
      <c r="AR242" s="570">
        <v>1</v>
      </c>
      <c r="AS242" s="570">
        <v>4</v>
      </c>
    </row>
    <row r="243" spans="1:45" x14ac:dyDescent="0.35">
      <c r="A243" s="570">
        <v>300527456</v>
      </c>
      <c r="B243" s="570">
        <v>44</v>
      </c>
      <c r="C243" s="570">
        <v>15</v>
      </c>
      <c r="D243" s="570">
        <v>5</v>
      </c>
      <c r="E243" s="570">
        <v>0</v>
      </c>
      <c r="F243" s="570">
        <v>17.920000000000002</v>
      </c>
      <c r="G243" s="570" t="s">
        <v>1000</v>
      </c>
      <c r="H243" s="570">
        <v>2</v>
      </c>
      <c r="I243" s="570">
        <v>0</v>
      </c>
      <c r="J243" s="570">
        <v>0</v>
      </c>
      <c r="K243" s="570">
        <v>0</v>
      </c>
      <c r="L243" s="570">
        <v>1</v>
      </c>
      <c r="M243" s="570">
        <v>1</v>
      </c>
      <c r="N243" s="570" t="s">
        <v>1028</v>
      </c>
      <c r="O243" s="570">
        <v>5</v>
      </c>
      <c r="P243" s="571">
        <v>44316</v>
      </c>
      <c r="Q243" s="570">
        <v>35.094563989999997</v>
      </c>
      <c r="R243" s="570">
        <v>-97.422396390000003</v>
      </c>
      <c r="S243" s="570">
        <v>23.44</v>
      </c>
      <c r="T243" s="570" t="s">
        <v>1008</v>
      </c>
      <c r="U243" s="570" t="s">
        <v>1002</v>
      </c>
      <c r="V243" s="570">
        <v>6</v>
      </c>
      <c r="W243" s="570">
        <v>2</v>
      </c>
      <c r="X243" s="570" t="s">
        <v>1000</v>
      </c>
      <c r="Y243" s="570" t="s">
        <v>1003</v>
      </c>
      <c r="Z243" s="570">
        <v>3</v>
      </c>
      <c r="AA243" s="570">
        <v>0</v>
      </c>
      <c r="AB243" s="570">
        <v>1</v>
      </c>
      <c r="AC243" s="570">
        <v>0</v>
      </c>
      <c r="AD243" s="570">
        <v>1</v>
      </c>
      <c r="AE243" s="570" t="s">
        <v>1041</v>
      </c>
      <c r="AF243" s="570">
        <v>80</v>
      </c>
      <c r="AG243" s="570" t="s">
        <v>1020</v>
      </c>
      <c r="AH243" s="570">
        <v>0</v>
      </c>
      <c r="AI243" s="570" t="s">
        <v>1052</v>
      </c>
      <c r="AJ243" s="570">
        <v>0</v>
      </c>
      <c r="AK243" s="570">
        <v>99</v>
      </c>
      <c r="AL243" s="570">
        <v>1</v>
      </c>
      <c r="AM243" s="570">
        <v>0</v>
      </c>
      <c r="AN243" s="570">
        <v>22</v>
      </c>
      <c r="AO243" s="570" t="s">
        <v>1009</v>
      </c>
      <c r="AP243" s="570" t="s">
        <v>1002</v>
      </c>
      <c r="AQ243" s="570">
        <v>5</v>
      </c>
      <c r="AR243" s="570">
        <v>11</v>
      </c>
      <c r="AS243" s="570">
        <v>0</v>
      </c>
    </row>
    <row r="244" spans="1:45" x14ac:dyDescent="0.35">
      <c r="A244" s="570">
        <v>300527619</v>
      </c>
      <c r="B244" s="570">
        <v>44</v>
      </c>
      <c r="C244" s="570">
        <v>0</v>
      </c>
      <c r="D244" s="570">
        <v>5</v>
      </c>
      <c r="E244" s="570">
        <v>0</v>
      </c>
      <c r="F244" s="570">
        <v>18.73</v>
      </c>
      <c r="G244" s="570" t="s">
        <v>1000</v>
      </c>
      <c r="H244" s="570">
        <v>2</v>
      </c>
      <c r="I244" s="570">
        <v>0</v>
      </c>
      <c r="J244" s="570">
        <v>0</v>
      </c>
      <c r="K244" s="570">
        <v>0</v>
      </c>
      <c r="L244" s="570">
        <v>0</v>
      </c>
      <c r="M244" s="570">
        <v>0</v>
      </c>
      <c r="N244" s="570" t="s">
        <v>1001</v>
      </c>
      <c r="O244" s="570">
        <v>2</v>
      </c>
      <c r="P244" s="571">
        <v>44415</v>
      </c>
      <c r="Q244" s="570">
        <v>35.103921200000002</v>
      </c>
      <c r="R244" s="570">
        <v>-97.431047699999993</v>
      </c>
      <c r="S244" s="570">
        <v>17.47</v>
      </c>
      <c r="T244" s="570" t="s">
        <v>1002</v>
      </c>
      <c r="U244" s="570" t="s">
        <v>1002</v>
      </c>
      <c r="V244" s="570">
        <v>7</v>
      </c>
      <c r="W244" s="570">
        <v>1</v>
      </c>
      <c r="X244" s="570" t="s">
        <v>1000</v>
      </c>
      <c r="Y244" s="570" t="s">
        <v>1053</v>
      </c>
      <c r="Z244" s="570">
        <v>1</v>
      </c>
      <c r="AA244" s="570">
        <v>0</v>
      </c>
      <c r="AB244" s="570">
        <v>0</v>
      </c>
      <c r="AC244" s="570">
        <v>1</v>
      </c>
      <c r="AD244" s="570">
        <v>0</v>
      </c>
      <c r="AE244" s="570" t="s">
        <v>1011</v>
      </c>
      <c r="AF244" s="570">
        <v>19</v>
      </c>
      <c r="AG244" s="570" t="s">
        <v>1005</v>
      </c>
      <c r="AH244" s="570">
        <v>0</v>
      </c>
      <c r="AI244" s="570" t="s">
        <v>1006</v>
      </c>
      <c r="AJ244" s="570">
        <v>2</v>
      </c>
      <c r="AK244" s="570">
        <v>98</v>
      </c>
      <c r="AL244" s="570">
        <v>1</v>
      </c>
      <c r="AM244" s="570">
        <v>0</v>
      </c>
      <c r="AN244" s="570">
        <v>35</v>
      </c>
      <c r="AO244" s="570" t="s">
        <v>1007</v>
      </c>
      <c r="AP244" s="570" t="s">
        <v>1008</v>
      </c>
      <c r="AQ244" s="570">
        <v>1</v>
      </c>
      <c r="AR244" s="570">
        <v>1</v>
      </c>
      <c r="AS244" s="570">
        <v>4</v>
      </c>
    </row>
    <row r="245" spans="1:45" x14ac:dyDescent="0.35">
      <c r="A245" s="570">
        <v>300527619</v>
      </c>
      <c r="B245" s="570">
        <v>44</v>
      </c>
      <c r="C245" s="570">
        <v>0</v>
      </c>
      <c r="D245" s="570">
        <v>5</v>
      </c>
      <c r="E245" s="570">
        <v>0</v>
      </c>
      <c r="F245" s="570">
        <v>18.73</v>
      </c>
      <c r="G245" s="570" t="s">
        <v>1000</v>
      </c>
      <c r="H245" s="570">
        <v>2</v>
      </c>
      <c r="I245" s="570">
        <v>0</v>
      </c>
      <c r="J245" s="570">
        <v>0</v>
      </c>
      <c r="K245" s="570">
        <v>0</v>
      </c>
      <c r="L245" s="570">
        <v>0</v>
      </c>
      <c r="M245" s="570">
        <v>0</v>
      </c>
      <c r="N245" s="570" t="s">
        <v>1001</v>
      </c>
      <c r="O245" s="570">
        <v>2</v>
      </c>
      <c r="P245" s="571">
        <v>44415</v>
      </c>
      <c r="Q245" s="570">
        <v>35.103921200000002</v>
      </c>
      <c r="R245" s="570">
        <v>-97.431047699999993</v>
      </c>
      <c r="S245" s="570">
        <v>17.47</v>
      </c>
      <c r="T245" s="570" t="s">
        <v>1002</v>
      </c>
      <c r="U245" s="570" t="s">
        <v>1002</v>
      </c>
      <c r="V245" s="570">
        <v>7</v>
      </c>
      <c r="W245" s="570">
        <v>1</v>
      </c>
      <c r="X245" s="570" t="s">
        <v>1000</v>
      </c>
      <c r="Y245" s="570" t="s">
        <v>1053</v>
      </c>
      <c r="Z245" s="570">
        <v>1</v>
      </c>
      <c r="AA245" s="570">
        <v>0</v>
      </c>
      <c r="AB245" s="570">
        <v>0</v>
      </c>
      <c r="AC245" s="570">
        <v>1</v>
      </c>
      <c r="AD245" s="570">
        <v>0</v>
      </c>
      <c r="AE245" s="570" t="s">
        <v>1011</v>
      </c>
      <c r="AF245" s="570">
        <v>19</v>
      </c>
      <c r="AG245" s="570" t="s">
        <v>1005</v>
      </c>
      <c r="AH245" s="570">
        <v>0</v>
      </c>
      <c r="AI245" s="570" t="s">
        <v>1006</v>
      </c>
      <c r="AJ245" s="570">
        <v>2</v>
      </c>
      <c r="AK245" s="570">
        <v>98</v>
      </c>
      <c r="AL245" s="570">
        <v>1</v>
      </c>
      <c r="AM245" s="570">
        <v>0</v>
      </c>
      <c r="AN245" s="570">
        <v>13</v>
      </c>
      <c r="AO245" s="570" t="s">
        <v>1009</v>
      </c>
      <c r="AP245" s="570" t="s">
        <v>1002</v>
      </c>
      <c r="AQ245" s="570">
        <v>1</v>
      </c>
      <c r="AR245" s="570"/>
      <c r="AS245" s="570">
        <v>4</v>
      </c>
    </row>
    <row r="246" spans="1:45" x14ac:dyDescent="0.35">
      <c r="A246" s="570">
        <v>300527619</v>
      </c>
      <c r="B246" s="570">
        <v>44</v>
      </c>
      <c r="C246" s="570">
        <v>0</v>
      </c>
      <c r="D246" s="570">
        <v>5</v>
      </c>
      <c r="E246" s="570">
        <v>0</v>
      </c>
      <c r="F246" s="570">
        <v>18.73</v>
      </c>
      <c r="G246" s="570" t="s">
        <v>1000</v>
      </c>
      <c r="H246" s="570">
        <v>2</v>
      </c>
      <c r="I246" s="570">
        <v>0</v>
      </c>
      <c r="J246" s="570">
        <v>0</v>
      </c>
      <c r="K246" s="570">
        <v>0</v>
      </c>
      <c r="L246" s="570">
        <v>0</v>
      </c>
      <c r="M246" s="570">
        <v>0</v>
      </c>
      <c r="N246" s="570" t="s">
        <v>1001</v>
      </c>
      <c r="O246" s="570">
        <v>2</v>
      </c>
      <c r="P246" s="571">
        <v>44415</v>
      </c>
      <c r="Q246" s="570">
        <v>35.103921200000002</v>
      </c>
      <c r="R246" s="570">
        <v>-97.431047699999993</v>
      </c>
      <c r="S246" s="570">
        <v>17.47</v>
      </c>
      <c r="T246" s="570" t="s">
        <v>1002</v>
      </c>
      <c r="U246" s="570" t="s">
        <v>1002</v>
      </c>
      <c r="V246" s="570">
        <v>7</v>
      </c>
      <c r="W246" s="570">
        <v>1</v>
      </c>
      <c r="X246" s="570" t="s">
        <v>1000</v>
      </c>
      <c r="Y246" s="570" t="s">
        <v>1053</v>
      </c>
      <c r="Z246" s="570">
        <v>1</v>
      </c>
      <c r="AA246" s="570">
        <v>0</v>
      </c>
      <c r="AB246" s="570">
        <v>0</v>
      </c>
      <c r="AC246" s="570">
        <v>1</v>
      </c>
      <c r="AD246" s="570">
        <v>0</v>
      </c>
      <c r="AE246" s="570" t="s">
        <v>1011</v>
      </c>
      <c r="AF246" s="570">
        <v>19</v>
      </c>
      <c r="AG246" s="570" t="s">
        <v>1005</v>
      </c>
      <c r="AH246" s="570">
        <v>0</v>
      </c>
      <c r="AI246" s="570" t="s">
        <v>1006</v>
      </c>
      <c r="AJ246" s="570">
        <v>2</v>
      </c>
      <c r="AK246" s="570">
        <v>98</v>
      </c>
      <c r="AL246" s="570">
        <v>1</v>
      </c>
      <c r="AM246" s="570">
        <v>0</v>
      </c>
      <c r="AN246" s="570">
        <v>43</v>
      </c>
      <c r="AO246" s="570" t="s">
        <v>1007</v>
      </c>
      <c r="AP246" s="570" t="s">
        <v>1008</v>
      </c>
      <c r="AQ246" s="570">
        <v>1</v>
      </c>
      <c r="AR246" s="570">
        <v>1</v>
      </c>
      <c r="AS246" s="570">
        <v>4</v>
      </c>
    </row>
    <row r="247" spans="1:45" x14ac:dyDescent="0.35">
      <c r="A247" s="570">
        <v>300527619</v>
      </c>
      <c r="B247" s="570">
        <v>44</v>
      </c>
      <c r="C247" s="570">
        <v>0</v>
      </c>
      <c r="D247" s="570">
        <v>5</v>
      </c>
      <c r="E247" s="570">
        <v>0</v>
      </c>
      <c r="F247" s="570">
        <v>18.73</v>
      </c>
      <c r="G247" s="570" t="s">
        <v>1000</v>
      </c>
      <c r="H247" s="570">
        <v>2</v>
      </c>
      <c r="I247" s="570">
        <v>0</v>
      </c>
      <c r="J247" s="570">
        <v>0</v>
      </c>
      <c r="K247" s="570">
        <v>0</v>
      </c>
      <c r="L247" s="570">
        <v>0</v>
      </c>
      <c r="M247" s="570">
        <v>0</v>
      </c>
      <c r="N247" s="570" t="s">
        <v>1001</v>
      </c>
      <c r="O247" s="570">
        <v>2</v>
      </c>
      <c r="P247" s="571">
        <v>44415</v>
      </c>
      <c r="Q247" s="570">
        <v>35.103921200000002</v>
      </c>
      <c r="R247" s="570">
        <v>-97.431047699999993</v>
      </c>
      <c r="S247" s="570">
        <v>17.47</v>
      </c>
      <c r="T247" s="570" t="s">
        <v>1002</v>
      </c>
      <c r="U247" s="570" t="s">
        <v>1002</v>
      </c>
      <c r="V247" s="570">
        <v>7</v>
      </c>
      <c r="W247" s="570">
        <v>1</v>
      </c>
      <c r="X247" s="570" t="s">
        <v>1000</v>
      </c>
      <c r="Y247" s="570" t="s">
        <v>1053</v>
      </c>
      <c r="Z247" s="570">
        <v>1</v>
      </c>
      <c r="AA247" s="570">
        <v>0</v>
      </c>
      <c r="AB247" s="570">
        <v>0</v>
      </c>
      <c r="AC247" s="570">
        <v>1</v>
      </c>
      <c r="AD247" s="570">
        <v>0</v>
      </c>
      <c r="AE247" s="570" t="s">
        <v>1011</v>
      </c>
      <c r="AF247" s="570">
        <v>19</v>
      </c>
      <c r="AG247" s="570" t="s">
        <v>1005</v>
      </c>
      <c r="AH247" s="570">
        <v>0</v>
      </c>
      <c r="AI247" s="570" t="s">
        <v>1006</v>
      </c>
      <c r="AJ247" s="570">
        <v>2</v>
      </c>
      <c r="AK247" s="570">
        <v>98</v>
      </c>
      <c r="AL247" s="570">
        <v>1</v>
      </c>
      <c r="AM247" s="570">
        <v>0</v>
      </c>
      <c r="AN247" s="570">
        <v>0</v>
      </c>
      <c r="AO247" s="570">
        <v>9</v>
      </c>
      <c r="AP247" s="570" t="s">
        <v>1002</v>
      </c>
      <c r="AQ247" s="570"/>
      <c r="AR247" s="570"/>
      <c r="AS247" s="570"/>
    </row>
    <row r="248" spans="1:45" x14ac:dyDescent="0.35">
      <c r="A248" s="570">
        <v>300527619</v>
      </c>
      <c r="B248" s="570">
        <v>44</v>
      </c>
      <c r="C248" s="570">
        <v>0</v>
      </c>
      <c r="D248" s="570">
        <v>5</v>
      </c>
      <c r="E248" s="570">
        <v>0</v>
      </c>
      <c r="F248" s="570">
        <v>18.73</v>
      </c>
      <c r="G248" s="570" t="s">
        <v>1000</v>
      </c>
      <c r="H248" s="570">
        <v>2</v>
      </c>
      <c r="I248" s="570">
        <v>0</v>
      </c>
      <c r="J248" s="570">
        <v>0</v>
      </c>
      <c r="K248" s="570">
        <v>0</v>
      </c>
      <c r="L248" s="570">
        <v>0</v>
      </c>
      <c r="M248" s="570">
        <v>0</v>
      </c>
      <c r="N248" s="570" t="s">
        <v>1001</v>
      </c>
      <c r="O248" s="570">
        <v>2</v>
      </c>
      <c r="P248" s="571">
        <v>44415</v>
      </c>
      <c r="Q248" s="570">
        <v>35.103921200000002</v>
      </c>
      <c r="R248" s="570">
        <v>-97.431047699999993</v>
      </c>
      <c r="S248" s="570">
        <v>17.47</v>
      </c>
      <c r="T248" s="570" t="s">
        <v>1002</v>
      </c>
      <c r="U248" s="570" t="s">
        <v>1002</v>
      </c>
      <c r="V248" s="570">
        <v>7</v>
      </c>
      <c r="W248" s="570">
        <v>1</v>
      </c>
      <c r="X248" s="570" t="s">
        <v>1000</v>
      </c>
      <c r="Y248" s="570" t="s">
        <v>1053</v>
      </c>
      <c r="Z248" s="570">
        <v>1</v>
      </c>
      <c r="AA248" s="570">
        <v>0</v>
      </c>
      <c r="AB248" s="570">
        <v>0</v>
      </c>
      <c r="AC248" s="570">
        <v>1</v>
      </c>
      <c r="AD248" s="570">
        <v>0</v>
      </c>
      <c r="AE248" s="570" t="s">
        <v>1011</v>
      </c>
      <c r="AF248" s="570">
        <v>19</v>
      </c>
      <c r="AG248" s="570" t="s">
        <v>1005</v>
      </c>
      <c r="AH248" s="570">
        <v>0</v>
      </c>
      <c r="AI248" s="570" t="s">
        <v>1006</v>
      </c>
      <c r="AJ248" s="570">
        <v>2</v>
      </c>
      <c r="AK248" s="570">
        <v>98</v>
      </c>
      <c r="AL248" s="570">
        <v>1</v>
      </c>
      <c r="AM248" s="570">
        <v>0</v>
      </c>
      <c r="AN248" s="570">
        <v>16</v>
      </c>
      <c r="AO248" s="570" t="s">
        <v>1009</v>
      </c>
      <c r="AP248" s="570" t="s">
        <v>1002</v>
      </c>
      <c r="AQ248" s="570">
        <v>1</v>
      </c>
      <c r="AR248" s="570"/>
      <c r="AS248" s="570">
        <v>4</v>
      </c>
    </row>
    <row r="249" spans="1:45" x14ac:dyDescent="0.35">
      <c r="A249" s="570">
        <v>300527619</v>
      </c>
      <c r="B249" s="570">
        <v>44</v>
      </c>
      <c r="C249" s="570">
        <v>0</v>
      </c>
      <c r="D249" s="570">
        <v>5</v>
      </c>
      <c r="E249" s="570">
        <v>0</v>
      </c>
      <c r="F249" s="570">
        <v>18.73</v>
      </c>
      <c r="G249" s="570" t="s">
        <v>1000</v>
      </c>
      <c r="H249" s="570">
        <v>2</v>
      </c>
      <c r="I249" s="570">
        <v>0</v>
      </c>
      <c r="J249" s="570">
        <v>0</v>
      </c>
      <c r="K249" s="570">
        <v>0</v>
      </c>
      <c r="L249" s="570">
        <v>0</v>
      </c>
      <c r="M249" s="570">
        <v>0</v>
      </c>
      <c r="N249" s="570" t="s">
        <v>1001</v>
      </c>
      <c r="O249" s="570">
        <v>2</v>
      </c>
      <c r="P249" s="571">
        <v>44415</v>
      </c>
      <c r="Q249" s="570">
        <v>35.103921200000002</v>
      </c>
      <c r="R249" s="570">
        <v>-97.431047699999993</v>
      </c>
      <c r="S249" s="570">
        <v>17.47</v>
      </c>
      <c r="T249" s="570" t="s">
        <v>1002</v>
      </c>
      <c r="U249" s="570" t="s">
        <v>1002</v>
      </c>
      <c r="V249" s="570">
        <v>7</v>
      </c>
      <c r="W249" s="570">
        <v>1</v>
      </c>
      <c r="X249" s="570" t="s">
        <v>1000</v>
      </c>
      <c r="Y249" s="570" t="s">
        <v>1053</v>
      </c>
      <c r="Z249" s="570">
        <v>1</v>
      </c>
      <c r="AA249" s="570">
        <v>0</v>
      </c>
      <c r="AB249" s="570">
        <v>0</v>
      </c>
      <c r="AC249" s="570">
        <v>1</v>
      </c>
      <c r="AD249" s="570">
        <v>0</v>
      </c>
      <c r="AE249" s="570" t="s">
        <v>1011</v>
      </c>
      <c r="AF249" s="570">
        <v>19</v>
      </c>
      <c r="AG249" s="570" t="s">
        <v>1005</v>
      </c>
      <c r="AH249" s="570">
        <v>0</v>
      </c>
      <c r="AI249" s="570" t="s">
        <v>1006</v>
      </c>
      <c r="AJ249" s="570">
        <v>20</v>
      </c>
      <c r="AK249" s="570">
        <v>98</v>
      </c>
      <c r="AL249" s="570">
        <v>1</v>
      </c>
      <c r="AM249" s="570">
        <v>0</v>
      </c>
      <c r="AN249" s="570">
        <v>24</v>
      </c>
      <c r="AO249" s="570" t="s">
        <v>1007</v>
      </c>
      <c r="AP249" s="570" t="s">
        <v>1008</v>
      </c>
      <c r="AQ249" s="570">
        <v>2</v>
      </c>
      <c r="AR249" s="570">
        <v>1</v>
      </c>
      <c r="AS249" s="570">
        <v>4</v>
      </c>
    </row>
    <row r="250" spans="1:45" x14ac:dyDescent="0.35">
      <c r="A250" s="570">
        <v>300527619</v>
      </c>
      <c r="B250" s="570">
        <v>44</v>
      </c>
      <c r="C250" s="570">
        <v>0</v>
      </c>
      <c r="D250" s="570">
        <v>5</v>
      </c>
      <c r="E250" s="570">
        <v>0</v>
      </c>
      <c r="F250" s="570">
        <v>18.73</v>
      </c>
      <c r="G250" s="570" t="s">
        <v>1000</v>
      </c>
      <c r="H250" s="570">
        <v>2</v>
      </c>
      <c r="I250" s="570">
        <v>0</v>
      </c>
      <c r="J250" s="570">
        <v>0</v>
      </c>
      <c r="K250" s="570">
        <v>0</v>
      </c>
      <c r="L250" s="570">
        <v>0</v>
      </c>
      <c r="M250" s="570">
        <v>0</v>
      </c>
      <c r="N250" s="570" t="s">
        <v>1001</v>
      </c>
      <c r="O250" s="570">
        <v>2</v>
      </c>
      <c r="P250" s="571">
        <v>44415</v>
      </c>
      <c r="Q250" s="570">
        <v>35.103921200000002</v>
      </c>
      <c r="R250" s="570">
        <v>-97.431047699999993</v>
      </c>
      <c r="S250" s="570">
        <v>17.47</v>
      </c>
      <c r="T250" s="570" t="s">
        <v>1002</v>
      </c>
      <c r="U250" s="570" t="s">
        <v>1002</v>
      </c>
      <c r="V250" s="570">
        <v>7</v>
      </c>
      <c r="W250" s="570">
        <v>1</v>
      </c>
      <c r="X250" s="570" t="s">
        <v>1000</v>
      </c>
      <c r="Y250" s="570" t="s">
        <v>1053</v>
      </c>
      <c r="Z250" s="570">
        <v>1</v>
      </c>
      <c r="AA250" s="570">
        <v>0</v>
      </c>
      <c r="AB250" s="570">
        <v>0</v>
      </c>
      <c r="AC250" s="570">
        <v>1</v>
      </c>
      <c r="AD250" s="570">
        <v>0</v>
      </c>
      <c r="AE250" s="570" t="s">
        <v>1011</v>
      </c>
      <c r="AF250" s="570">
        <v>19</v>
      </c>
      <c r="AG250" s="570" t="s">
        <v>1005</v>
      </c>
      <c r="AH250" s="570">
        <v>0</v>
      </c>
      <c r="AI250" s="570" t="s">
        <v>1006</v>
      </c>
      <c r="AJ250" s="570">
        <v>4</v>
      </c>
      <c r="AK250" s="570">
        <v>19</v>
      </c>
      <c r="AL250" s="570">
        <v>1</v>
      </c>
      <c r="AM250" s="570">
        <v>0</v>
      </c>
      <c r="AN250" s="570">
        <v>35</v>
      </c>
      <c r="AO250" s="570" t="s">
        <v>1009</v>
      </c>
      <c r="AP250" s="570" t="s">
        <v>1008</v>
      </c>
      <c r="AQ250" s="570">
        <v>1</v>
      </c>
      <c r="AR250" s="570">
        <v>1</v>
      </c>
      <c r="AS250" s="570">
        <v>4</v>
      </c>
    </row>
    <row r="251" spans="1:45" x14ac:dyDescent="0.35">
      <c r="A251" s="570">
        <v>300527619</v>
      </c>
      <c r="B251" s="570">
        <v>44</v>
      </c>
      <c r="C251" s="570">
        <v>0</v>
      </c>
      <c r="D251" s="570">
        <v>5</v>
      </c>
      <c r="E251" s="570">
        <v>0</v>
      </c>
      <c r="F251" s="570">
        <v>18.73</v>
      </c>
      <c r="G251" s="570" t="s">
        <v>1000</v>
      </c>
      <c r="H251" s="570">
        <v>2</v>
      </c>
      <c r="I251" s="570">
        <v>0</v>
      </c>
      <c r="J251" s="570">
        <v>0</v>
      </c>
      <c r="K251" s="570">
        <v>0</v>
      </c>
      <c r="L251" s="570">
        <v>0</v>
      </c>
      <c r="M251" s="570">
        <v>0</v>
      </c>
      <c r="N251" s="570" t="s">
        <v>1001</v>
      </c>
      <c r="O251" s="570">
        <v>2</v>
      </c>
      <c r="P251" s="571">
        <v>44415</v>
      </c>
      <c r="Q251" s="570">
        <v>35.103921200000002</v>
      </c>
      <c r="R251" s="570">
        <v>-97.431047699999993</v>
      </c>
      <c r="S251" s="570">
        <v>17.47</v>
      </c>
      <c r="T251" s="570" t="s">
        <v>1002</v>
      </c>
      <c r="U251" s="570" t="s">
        <v>1002</v>
      </c>
      <c r="V251" s="570">
        <v>7</v>
      </c>
      <c r="W251" s="570">
        <v>1</v>
      </c>
      <c r="X251" s="570" t="s">
        <v>1000</v>
      </c>
      <c r="Y251" s="570" t="s">
        <v>1053</v>
      </c>
      <c r="Z251" s="570">
        <v>1</v>
      </c>
      <c r="AA251" s="570">
        <v>0</v>
      </c>
      <c r="AB251" s="570">
        <v>0</v>
      </c>
      <c r="AC251" s="570">
        <v>1</v>
      </c>
      <c r="AD251" s="570">
        <v>0</v>
      </c>
      <c r="AE251" s="570" t="s">
        <v>1011</v>
      </c>
      <c r="AF251" s="570">
        <v>19</v>
      </c>
      <c r="AG251" s="570" t="s">
        <v>1005</v>
      </c>
      <c r="AH251" s="570">
        <v>0</v>
      </c>
      <c r="AI251" s="570" t="s">
        <v>1006</v>
      </c>
      <c r="AJ251" s="570">
        <v>4</v>
      </c>
      <c r="AK251" s="570">
        <v>19</v>
      </c>
      <c r="AL251" s="570">
        <v>1</v>
      </c>
      <c r="AM251" s="570">
        <v>0</v>
      </c>
      <c r="AN251" s="570">
        <v>29</v>
      </c>
      <c r="AO251" s="570" t="s">
        <v>1007</v>
      </c>
      <c r="AP251" s="570" t="s">
        <v>1002</v>
      </c>
      <c r="AQ251" s="570">
        <v>1</v>
      </c>
      <c r="AR251" s="570"/>
      <c r="AS251" s="570">
        <v>4</v>
      </c>
    </row>
    <row r="252" spans="1:45" x14ac:dyDescent="0.35">
      <c r="A252" s="570">
        <v>300527619</v>
      </c>
      <c r="B252" s="570">
        <v>44</v>
      </c>
      <c r="C252" s="570">
        <v>0</v>
      </c>
      <c r="D252" s="570">
        <v>5</v>
      </c>
      <c r="E252" s="570">
        <v>0</v>
      </c>
      <c r="F252" s="570">
        <v>18.73</v>
      </c>
      <c r="G252" s="570" t="s">
        <v>1000</v>
      </c>
      <c r="H252" s="570">
        <v>2</v>
      </c>
      <c r="I252" s="570">
        <v>0</v>
      </c>
      <c r="J252" s="570">
        <v>0</v>
      </c>
      <c r="K252" s="570">
        <v>0</v>
      </c>
      <c r="L252" s="570">
        <v>0</v>
      </c>
      <c r="M252" s="570">
        <v>0</v>
      </c>
      <c r="N252" s="570" t="s">
        <v>1001</v>
      </c>
      <c r="O252" s="570">
        <v>2</v>
      </c>
      <c r="P252" s="571">
        <v>44415</v>
      </c>
      <c r="Q252" s="570">
        <v>35.103921200000002</v>
      </c>
      <c r="R252" s="570">
        <v>-97.431047699999993</v>
      </c>
      <c r="S252" s="570">
        <v>17.47</v>
      </c>
      <c r="T252" s="570" t="s">
        <v>1002</v>
      </c>
      <c r="U252" s="570" t="s">
        <v>1002</v>
      </c>
      <c r="V252" s="570">
        <v>7</v>
      </c>
      <c r="W252" s="570">
        <v>1</v>
      </c>
      <c r="X252" s="570" t="s">
        <v>1000</v>
      </c>
      <c r="Y252" s="570" t="s">
        <v>1053</v>
      </c>
      <c r="Z252" s="570">
        <v>1</v>
      </c>
      <c r="AA252" s="570">
        <v>0</v>
      </c>
      <c r="AB252" s="570">
        <v>0</v>
      </c>
      <c r="AC252" s="570">
        <v>1</v>
      </c>
      <c r="AD252" s="570">
        <v>0</v>
      </c>
      <c r="AE252" s="570" t="s">
        <v>1011</v>
      </c>
      <c r="AF252" s="570">
        <v>19</v>
      </c>
      <c r="AG252" s="570" t="s">
        <v>1005</v>
      </c>
      <c r="AH252" s="570">
        <v>0</v>
      </c>
      <c r="AI252" s="570" t="s">
        <v>1006</v>
      </c>
      <c r="AJ252" s="570">
        <v>4</v>
      </c>
      <c r="AK252" s="570">
        <v>19</v>
      </c>
      <c r="AL252" s="570">
        <v>1</v>
      </c>
      <c r="AM252" s="570">
        <v>0</v>
      </c>
      <c r="AN252" s="570">
        <v>16</v>
      </c>
      <c r="AO252" s="570" t="s">
        <v>1009</v>
      </c>
      <c r="AP252" s="570" t="s">
        <v>1002</v>
      </c>
      <c r="AQ252" s="570">
        <v>1</v>
      </c>
      <c r="AR252" s="570"/>
      <c r="AS252" s="570">
        <v>4</v>
      </c>
    </row>
    <row r="253" spans="1:45" x14ac:dyDescent="0.35">
      <c r="A253" s="570">
        <v>300527619</v>
      </c>
      <c r="B253" s="570">
        <v>44</v>
      </c>
      <c r="C253" s="570">
        <v>0</v>
      </c>
      <c r="D253" s="570">
        <v>5</v>
      </c>
      <c r="E253" s="570">
        <v>0</v>
      </c>
      <c r="F253" s="570">
        <v>18.73</v>
      </c>
      <c r="G253" s="570" t="s">
        <v>1000</v>
      </c>
      <c r="H253" s="570">
        <v>2</v>
      </c>
      <c r="I253" s="570">
        <v>0</v>
      </c>
      <c r="J253" s="570">
        <v>0</v>
      </c>
      <c r="K253" s="570">
        <v>0</v>
      </c>
      <c r="L253" s="570">
        <v>0</v>
      </c>
      <c r="M253" s="570">
        <v>0</v>
      </c>
      <c r="N253" s="570" t="s">
        <v>1001</v>
      </c>
      <c r="O253" s="570">
        <v>2</v>
      </c>
      <c r="P253" s="571">
        <v>44415</v>
      </c>
      <c r="Q253" s="570">
        <v>35.103921200000002</v>
      </c>
      <c r="R253" s="570">
        <v>-97.431047699999993</v>
      </c>
      <c r="S253" s="570">
        <v>17.47</v>
      </c>
      <c r="T253" s="570" t="s">
        <v>1002</v>
      </c>
      <c r="U253" s="570" t="s">
        <v>1002</v>
      </c>
      <c r="V253" s="570">
        <v>7</v>
      </c>
      <c r="W253" s="570">
        <v>1</v>
      </c>
      <c r="X253" s="570" t="s">
        <v>1000</v>
      </c>
      <c r="Y253" s="570" t="s">
        <v>1053</v>
      </c>
      <c r="Z253" s="570">
        <v>1</v>
      </c>
      <c r="AA253" s="570">
        <v>0</v>
      </c>
      <c r="AB253" s="570">
        <v>0</v>
      </c>
      <c r="AC253" s="570">
        <v>1</v>
      </c>
      <c r="AD253" s="570">
        <v>0</v>
      </c>
      <c r="AE253" s="570" t="s">
        <v>1011</v>
      </c>
      <c r="AF253" s="570">
        <v>19</v>
      </c>
      <c r="AG253" s="570" t="s">
        <v>1005</v>
      </c>
      <c r="AH253" s="570">
        <v>0</v>
      </c>
      <c r="AI253" s="570" t="s">
        <v>1006</v>
      </c>
      <c r="AJ253" s="570">
        <v>4</v>
      </c>
      <c r="AK253" s="570">
        <v>19</v>
      </c>
      <c r="AL253" s="570">
        <v>1</v>
      </c>
      <c r="AM253" s="570">
        <v>0</v>
      </c>
      <c r="AN253" s="570">
        <v>15</v>
      </c>
      <c r="AO253" s="570" t="s">
        <v>1009</v>
      </c>
      <c r="AP253" s="570" t="s">
        <v>1002</v>
      </c>
      <c r="AQ253" s="570">
        <v>1</v>
      </c>
      <c r="AR253" s="570"/>
      <c r="AS253" s="570">
        <v>4</v>
      </c>
    </row>
    <row r="254" spans="1:45" x14ac:dyDescent="0.35">
      <c r="A254" s="570">
        <v>300527619</v>
      </c>
      <c r="B254" s="570">
        <v>44</v>
      </c>
      <c r="C254" s="570">
        <v>0</v>
      </c>
      <c r="D254" s="570">
        <v>5</v>
      </c>
      <c r="E254" s="570">
        <v>0</v>
      </c>
      <c r="F254" s="570">
        <v>18.73</v>
      </c>
      <c r="G254" s="570" t="s">
        <v>1000</v>
      </c>
      <c r="H254" s="570">
        <v>2</v>
      </c>
      <c r="I254" s="570">
        <v>0</v>
      </c>
      <c r="J254" s="570">
        <v>0</v>
      </c>
      <c r="K254" s="570">
        <v>0</v>
      </c>
      <c r="L254" s="570">
        <v>0</v>
      </c>
      <c r="M254" s="570">
        <v>0</v>
      </c>
      <c r="N254" s="570" t="s">
        <v>1001</v>
      </c>
      <c r="O254" s="570">
        <v>2</v>
      </c>
      <c r="P254" s="571">
        <v>44415</v>
      </c>
      <c r="Q254" s="570">
        <v>35.103921200000002</v>
      </c>
      <c r="R254" s="570">
        <v>-97.431047699999993</v>
      </c>
      <c r="S254" s="570">
        <v>17.47</v>
      </c>
      <c r="T254" s="570" t="s">
        <v>1002</v>
      </c>
      <c r="U254" s="570" t="s">
        <v>1002</v>
      </c>
      <c r="V254" s="570">
        <v>7</v>
      </c>
      <c r="W254" s="570">
        <v>1</v>
      </c>
      <c r="X254" s="570" t="s">
        <v>1000</v>
      </c>
      <c r="Y254" s="570" t="s">
        <v>1053</v>
      </c>
      <c r="Z254" s="570">
        <v>1</v>
      </c>
      <c r="AA254" s="570">
        <v>0</v>
      </c>
      <c r="AB254" s="570">
        <v>0</v>
      </c>
      <c r="AC254" s="570">
        <v>1</v>
      </c>
      <c r="AD254" s="570">
        <v>0</v>
      </c>
      <c r="AE254" s="570" t="s">
        <v>1011</v>
      </c>
      <c r="AF254" s="570">
        <v>19</v>
      </c>
      <c r="AG254" s="570" t="s">
        <v>1005</v>
      </c>
      <c r="AH254" s="570">
        <v>0</v>
      </c>
      <c r="AI254" s="570" t="s">
        <v>1006</v>
      </c>
      <c r="AJ254" s="570">
        <v>4</v>
      </c>
      <c r="AK254" s="570">
        <v>19</v>
      </c>
      <c r="AL254" s="570">
        <v>1</v>
      </c>
      <c r="AM254" s="570">
        <v>0</v>
      </c>
      <c r="AN254" s="570">
        <v>12</v>
      </c>
      <c r="AO254" s="570" t="s">
        <v>1009</v>
      </c>
      <c r="AP254" s="570" t="s">
        <v>1002</v>
      </c>
      <c r="AQ254" s="570">
        <v>1</v>
      </c>
      <c r="AR254" s="570"/>
      <c r="AS254" s="570">
        <v>2</v>
      </c>
    </row>
    <row r="255" spans="1:45" x14ac:dyDescent="0.35">
      <c r="A255" s="570">
        <v>300527619</v>
      </c>
      <c r="B255" s="570">
        <v>44</v>
      </c>
      <c r="C255" s="570">
        <v>0</v>
      </c>
      <c r="D255" s="570">
        <v>5</v>
      </c>
      <c r="E255" s="570">
        <v>0</v>
      </c>
      <c r="F255" s="570">
        <v>18.73</v>
      </c>
      <c r="G255" s="570" t="s">
        <v>1000</v>
      </c>
      <c r="H255" s="570">
        <v>2</v>
      </c>
      <c r="I255" s="570">
        <v>0</v>
      </c>
      <c r="J255" s="570">
        <v>0</v>
      </c>
      <c r="K255" s="570">
        <v>0</v>
      </c>
      <c r="L255" s="570">
        <v>0</v>
      </c>
      <c r="M255" s="570">
        <v>0</v>
      </c>
      <c r="N255" s="570" t="s">
        <v>1001</v>
      </c>
      <c r="O255" s="570">
        <v>2</v>
      </c>
      <c r="P255" s="571">
        <v>44415</v>
      </c>
      <c r="Q255" s="570">
        <v>35.103921200000002</v>
      </c>
      <c r="R255" s="570">
        <v>-97.431047699999993</v>
      </c>
      <c r="S255" s="570">
        <v>17.47</v>
      </c>
      <c r="T255" s="570" t="s">
        <v>1002</v>
      </c>
      <c r="U255" s="570" t="s">
        <v>1002</v>
      </c>
      <c r="V255" s="570">
        <v>7</v>
      </c>
      <c r="W255" s="570">
        <v>1</v>
      </c>
      <c r="X255" s="570" t="s">
        <v>1000</v>
      </c>
      <c r="Y255" s="570" t="s">
        <v>1053</v>
      </c>
      <c r="Z255" s="570">
        <v>1</v>
      </c>
      <c r="AA255" s="570">
        <v>0</v>
      </c>
      <c r="AB255" s="570">
        <v>0</v>
      </c>
      <c r="AC255" s="570">
        <v>1</v>
      </c>
      <c r="AD255" s="570">
        <v>0</v>
      </c>
      <c r="AE255" s="570" t="s">
        <v>1011</v>
      </c>
      <c r="AF255" s="570">
        <v>19</v>
      </c>
      <c r="AG255" s="570" t="s">
        <v>1005</v>
      </c>
      <c r="AH255" s="570">
        <v>0</v>
      </c>
      <c r="AI255" s="570" t="s">
        <v>1006</v>
      </c>
      <c r="AJ255" s="570">
        <v>4</v>
      </c>
      <c r="AK255" s="570">
        <v>19</v>
      </c>
      <c r="AL255" s="570">
        <v>1</v>
      </c>
      <c r="AM255" s="570">
        <v>0</v>
      </c>
      <c r="AN255" s="570">
        <v>13</v>
      </c>
      <c r="AO255" s="570" t="s">
        <v>1007</v>
      </c>
      <c r="AP255" s="570" t="s">
        <v>1002</v>
      </c>
      <c r="AQ255" s="570">
        <v>1</v>
      </c>
      <c r="AR255" s="570"/>
      <c r="AS255" s="570">
        <v>1</v>
      </c>
    </row>
    <row r="256" spans="1:45" x14ac:dyDescent="0.35">
      <c r="A256" s="570">
        <v>300527619</v>
      </c>
      <c r="B256" s="570">
        <v>44</v>
      </c>
      <c r="C256" s="570">
        <v>0</v>
      </c>
      <c r="D256" s="570">
        <v>5</v>
      </c>
      <c r="E256" s="570">
        <v>0</v>
      </c>
      <c r="F256" s="570">
        <v>18.73</v>
      </c>
      <c r="G256" s="570" t="s">
        <v>1000</v>
      </c>
      <c r="H256" s="570">
        <v>2</v>
      </c>
      <c r="I256" s="570">
        <v>0</v>
      </c>
      <c r="J256" s="570">
        <v>0</v>
      </c>
      <c r="K256" s="570">
        <v>0</v>
      </c>
      <c r="L256" s="570">
        <v>0</v>
      </c>
      <c r="M256" s="570">
        <v>0</v>
      </c>
      <c r="N256" s="570" t="s">
        <v>1001</v>
      </c>
      <c r="O256" s="570">
        <v>2</v>
      </c>
      <c r="P256" s="571">
        <v>44415</v>
      </c>
      <c r="Q256" s="570">
        <v>35.103921200000002</v>
      </c>
      <c r="R256" s="570">
        <v>-97.431047699999993</v>
      </c>
      <c r="S256" s="570">
        <v>17.47</v>
      </c>
      <c r="T256" s="570" t="s">
        <v>1002</v>
      </c>
      <c r="U256" s="570" t="s">
        <v>1002</v>
      </c>
      <c r="V256" s="570">
        <v>7</v>
      </c>
      <c r="W256" s="570">
        <v>1</v>
      </c>
      <c r="X256" s="570" t="s">
        <v>1000</v>
      </c>
      <c r="Y256" s="570" t="s">
        <v>1053</v>
      </c>
      <c r="Z256" s="570">
        <v>1</v>
      </c>
      <c r="AA256" s="570">
        <v>0</v>
      </c>
      <c r="AB256" s="570">
        <v>0</v>
      </c>
      <c r="AC256" s="570">
        <v>1</v>
      </c>
      <c r="AD256" s="570">
        <v>0</v>
      </c>
      <c r="AE256" s="570" t="s">
        <v>1011</v>
      </c>
      <c r="AF256" s="570">
        <v>19</v>
      </c>
      <c r="AG256" s="570" t="s">
        <v>1005</v>
      </c>
      <c r="AH256" s="570">
        <v>0</v>
      </c>
      <c r="AI256" s="570" t="s">
        <v>1006</v>
      </c>
      <c r="AJ256" s="570">
        <v>4</v>
      </c>
      <c r="AK256" s="570">
        <v>19</v>
      </c>
      <c r="AL256" s="570">
        <v>1</v>
      </c>
      <c r="AM256" s="570">
        <v>0</v>
      </c>
      <c r="AN256" s="570">
        <v>14</v>
      </c>
      <c r="AO256" s="570" t="s">
        <v>1007</v>
      </c>
      <c r="AP256" s="570" t="s">
        <v>1002</v>
      </c>
      <c r="AQ256" s="570">
        <v>1</v>
      </c>
      <c r="AR256" s="570"/>
      <c r="AS256" s="570">
        <v>1</v>
      </c>
    </row>
    <row r="257" spans="1:45" x14ac:dyDescent="0.35">
      <c r="A257" s="570">
        <v>300527619</v>
      </c>
      <c r="B257" s="570">
        <v>44</v>
      </c>
      <c r="C257" s="570">
        <v>0</v>
      </c>
      <c r="D257" s="570">
        <v>5</v>
      </c>
      <c r="E257" s="570">
        <v>0</v>
      </c>
      <c r="F257" s="570">
        <v>18.73</v>
      </c>
      <c r="G257" s="570" t="s">
        <v>1000</v>
      </c>
      <c r="H257" s="570">
        <v>2</v>
      </c>
      <c r="I257" s="570">
        <v>0</v>
      </c>
      <c r="J257" s="570">
        <v>0</v>
      </c>
      <c r="K257" s="570">
        <v>0</v>
      </c>
      <c r="L257" s="570">
        <v>0</v>
      </c>
      <c r="M257" s="570">
        <v>0</v>
      </c>
      <c r="N257" s="570" t="s">
        <v>1001</v>
      </c>
      <c r="O257" s="570">
        <v>2</v>
      </c>
      <c r="P257" s="571">
        <v>44415</v>
      </c>
      <c r="Q257" s="570">
        <v>35.103921200000002</v>
      </c>
      <c r="R257" s="570">
        <v>-97.431047699999993</v>
      </c>
      <c r="S257" s="570">
        <v>17.47</v>
      </c>
      <c r="T257" s="570" t="s">
        <v>1002</v>
      </c>
      <c r="U257" s="570" t="s">
        <v>1002</v>
      </c>
      <c r="V257" s="570">
        <v>7</v>
      </c>
      <c r="W257" s="570">
        <v>1</v>
      </c>
      <c r="X257" s="570" t="s">
        <v>1000</v>
      </c>
      <c r="Y257" s="570" t="s">
        <v>1053</v>
      </c>
      <c r="Z257" s="570">
        <v>1</v>
      </c>
      <c r="AA257" s="570">
        <v>0</v>
      </c>
      <c r="AB257" s="570">
        <v>0</v>
      </c>
      <c r="AC257" s="570">
        <v>1</v>
      </c>
      <c r="AD257" s="570">
        <v>0</v>
      </c>
      <c r="AE257" s="570" t="s">
        <v>1011</v>
      </c>
      <c r="AF257" s="570">
        <v>19</v>
      </c>
      <c r="AG257" s="570" t="s">
        <v>1005</v>
      </c>
      <c r="AH257" s="570">
        <v>0</v>
      </c>
      <c r="AI257" s="570" t="s">
        <v>1006</v>
      </c>
      <c r="AJ257" s="570">
        <v>4</v>
      </c>
      <c r="AK257" s="570">
        <v>19</v>
      </c>
      <c r="AL257" s="570">
        <v>1</v>
      </c>
      <c r="AM257" s="570">
        <v>0</v>
      </c>
      <c r="AN257" s="570">
        <v>18</v>
      </c>
      <c r="AO257" s="570" t="s">
        <v>1009</v>
      </c>
      <c r="AP257" s="570" t="s">
        <v>1002</v>
      </c>
      <c r="AQ257" s="570">
        <v>1</v>
      </c>
      <c r="AR257" s="570"/>
      <c r="AS257" s="570">
        <v>4</v>
      </c>
    </row>
    <row r="258" spans="1:45" x14ac:dyDescent="0.35">
      <c r="A258" s="570">
        <v>300527619</v>
      </c>
      <c r="B258" s="570">
        <v>44</v>
      </c>
      <c r="C258" s="570">
        <v>0</v>
      </c>
      <c r="D258" s="570">
        <v>5</v>
      </c>
      <c r="E258" s="570">
        <v>0</v>
      </c>
      <c r="F258" s="570">
        <v>18.73</v>
      </c>
      <c r="G258" s="570" t="s">
        <v>1000</v>
      </c>
      <c r="H258" s="570">
        <v>2</v>
      </c>
      <c r="I258" s="570">
        <v>0</v>
      </c>
      <c r="J258" s="570">
        <v>0</v>
      </c>
      <c r="K258" s="570">
        <v>0</v>
      </c>
      <c r="L258" s="570">
        <v>0</v>
      </c>
      <c r="M258" s="570">
        <v>0</v>
      </c>
      <c r="N258" s="570" t="s">
        <v>1001</v>
      </c>
      <c r="O258" s="570">
        <v>2</v>
      </c>
      <c r="P258" s="571">
        <v>44415</v>
      </c>
      <c r="Q258" s="570">
        <v>35.103921200000002</v>
      </c>
      <c r="R258" s="570">
        <v>-97.431047699999993</v>
      </c>
      <c r="S258" s="570">
        <v>17.47</v>
      </c>
      <c r="T258" s="570" t="s">
        <v>1002</v>
      </c>
      <c r="U258" s="570" t="s">
        <v>1002</v>
      </c>
      <c r="V258" s="570">
        <v>7</v>
      </c>
      <c r="W258" s="570">
        <v>1</v>
      </c>
      <c r="X258" s="570" t="s">
        <v>1000</v>
      </c>
      <c r="Y258" s="570" t="s">
        <v>1053</v>
      </c>
      <c r="Z258" s="570">
        <v>1</v>
      </c>
      <c r="AA258" s="570">
        <v>0</v>
      </c>
      <c r="AB258" s="570">
        <v>0</v>
      </c>
      <c r="AC258" s="570">
        <v>1</v>
      </c>
      <c r="AD258" s="570">
        <v>0</v>
      </c>
      <c r="AE258" s="570" t="s">
        <v>1011</v>
      </c>
      <c r="AF258" s="570">
        <v>19</v>
      </c>
      <c r="AG258" s="570" t="s">
        <v>1005</v>
      </c>
      <c r="AH258" s="570">
        <v>0</v>
      </c>
      <c r="AI258" s="570" t="s">
        <v>1006</v>
      </c>
      <c r="AJ258" s="570">
        <v>4</v>
      </c>
      <c r="AK258" s="570">
        <v>19</v>
      </c>
      <c r="AL258" s="570">
        <v>1</v>
      </c>
      <c r="AM258" s="570">
        <v>0</v>
      </c>
      <c r="AN258" s="570">
        <v>1</v>
      </c>
      <c r="AO258" s="570" t="s">
        <v>1007</v>
      </c>
      <c r="AP258" s="570" t="s">
        <v>1002</v>
      </c>
      <c r="AQ258" s="570">
        <v>1</v>
      </c>
      <c r="AR258" s="570"/>
      <c r="AS258" s="570">
        <v>1</v>
      </c>
    </row>
    <row r="259" spans="1:45" x14ac:dyDescent="0.35">
      <c r="A259" s="570">
        <v>300527619</v>
      </c>
      <c r="B259" s="570">
        <v>44</v>
      </c>
      <c r="C259" s="570">
        <v>0</v>
      </c>
      <c r="D259" s="570">
        <v>5</v>
      </c>
      <c r="E259" s="570">
        <v>0</v>
      </c>
      <c r="F259" s="570">
        <v>18.73</v>
      </c>
      <c r="G259" s="570" t="s">
        <v>1000</v>
      </c>
      <c r="H259" s="570">
        <v>2</v>
      </c>
      <c r="I259" s="570">
        <v>0</v>
      </c>
      <c r="J259" s="570">
        <v>0</v>
      </c>
      <c r="K259" s="570">
        <v>0</v>
      </c>
      <c r="L259" s="570">
        <v>0</v>
      </c>
      <c r="M259" s="570">
        <v>0</v>
      </c>
      <c r="N259" s="570" t="s">
        <v>1001</v>
      </c>
      <c r="O259" s="570">
        <v>2</v>
      </c>
      <c r="P259" s="571">
        <v>44415</v>
      </c>
      <c r="Q259" s="570">
        <v>35.103921200000002</v>
      </c>
      <c r="R259" s="570">
        <v>-97.431047699999993</v>
      </c>
      <c r="S259" s="570">
        <v>17.47</v>
      </c>
      <c r="T259" s="570" t="s">
        <v>1002</v>
      </c>
      <c r="U259" s="570" t="s">
        <v>1002</v>
      </c>
      <c r="V259" s="570">
        <v>7</v>
      </c>
      <c r="W259" s="570">
        <v>1</v>
      </c>
      <c r="X259" s="570" t="s">
        <v>1000</v>
      </c>
      <c r="Y259" s="570" t="s">
        <v>1053</v>
      </c>
      <c r="Z259" s="570">
        <v>1</v>
      </c>
      <c r="AA259" s="570">
        <v>0</v>
      </c>
      <c r="AB259" s="570">
        <v>0</v>
      </c>
      <c r="AC259" s="570">
        <v>1</v>
      </c>
      <c r="AD259" s="570">
        <v>0</v>
      </c>
      <c r="AE259" s="570" t="s">
        <v>1011</v>
      </c>
      <c r="AF259" s="570">
        <v>19</v>
      </c>
      <c r="AG259" s="570" t="s">
        <v>1005</v>
      </c>
      <c r="AH259" s="570">
        <v>0</v>
      </c>
      <c r="AI259" s="570" t="s">
        <v>1006</v>
      </c>
      <c r="AJ259" s="570">
        <v>2</v>
      </c>
      <c r="AK259" s="570">
        <v>19</v>
      </c>
      <c r="AL259" s="570">
        <v>1</v>
      </c>
      <c r="AM259" s="570">
        <v>0</v>
      </c>
      <c r="AN259" s="570">
        <v>26</v>
      </c>
      <c r="AO259" s="570" t="s">
        <v>1009</v>
      </c>
      <c r="AP259" s="570" t="s">
        <v>1008</v>
      </c>
      <c r="AQ259" s="570">
        <v>1</v>
      </c>
      <c r="AR259" s="570">
        <v>1</v>
      </c>
      <c r="AS259" s="570">
        <v>4</v>
      </c>
    </row>
    <row r="260" spans="1:45" x14ac:dyDescent="0.35">
      <c r="A260" s="570">
        <v>300527619</v>
      </c>
      <c r="B260" s="570">
        <v>44</v>
      </c>
      <c r="C260" s="570">
        <v>0</v>
      </c>
      <c r="D260" s="570">
        <v>5</v>
      </c>
      <c r="E260" s="570">
        <v>0</v>
      </c>
      <c r="F260" s="570">
        <v>18.73</v>
      </c>
      <c r="G260" s="570" t="s">
        <v>1000</v>
      </c>
      <c r="H260" s="570">
        <v>2</v>
      </c>
      <c r="I260" s="570">
        <v>0</v>
      </c>
      <c r="J260" s="570">
        <v>0</v>
      </c>
      <c r="K260" s="570">
        <v>0</v>
      </c>
      <c r="L260" s="570">
        <v>0</v>
      </c>
      <c r="M260" s="570">
        <v>0</v>
      </c>
      <c r="N260" s="570" t="s">
        <v>1001</v>
      </c>
      <c r="O260" s="570">
        <v>2</v>
      </c>
      <c r="P260" s="571">
        <v>44415</v>
      </c>
      <c r="Q260" s="570">
        <v>35.103921200000002</v>
      </c>
      <c r="R260" s="570">
        <v>-97.431047699999993</v>
      </c>
      <c r="S260" s="570">
        <v>17.47</v>
      </c>
      <c r="T260" s="570" t="s">
        <v>1002</v>
      </c>
      <c r="U260" s="570" t="s">
        <v>1002</v>
      </c>
      <c r="V260" s="570">
        <v>7</v>
      </c>
      <c r="W260" s="570">
        <v>1</v>
      </c>
      <c r="X260" s="570" t="s">
        <v>1000</v>
      </c>
      <c r="Y260" s="570" t="s">
        <v>1053</v>
      </c>
      <c r="Z260" s="570">
        <v>1</v>
      </c>
      <c r="AA260" s="570">
        <v>0</v>
      </c>
      <c r="AB260" s="570">
        <v>0</v>
      </c>
      <c r="AC260" s="570">
        <v>1</v>
      </c>
      <c r="AD260" s="570">
        <v>0</v>
      </c>
      <c r="AE260" s="570" t="s">
        <v>1011</v>
      </c>
      <c r="AF260" s="570">
        <v>19</v>
      </c>
      <c r="AG260" s="570" t="s">
        <v>1005</v>
      </c>
      <c r="AH260" s="570">
        <v>0</v>
      </c>
      <c r="AI260" s="570" t="s">
        <v>1006</v>
      </c>
      <c r="AJ260" s="570">
        <v>2</v>
      </c>
      <c r="AK260" s="570">
        <v>19</v>
      </c>
      <c r="AL260" s="570">
        <v>1</v>
      </c>
      <c r="AM260" s="570">
        <v>0</v>
      </c>
      <c r="AN260" s="570">
        <v>0</v>
      </c>
      <c r="AO260" s="570">
        <v>9</v>
      </c>
      <c r="AP260" s="570" t="s">
        <v>1002</v>
      </c>
      <c r="AQ260" s="570"/>
      <c r="AR260" s="570"/>
      <c r="AS260" s="570"/>
    </row>
    <row r="261" spans="1:45" x14ac:dyDescent="0.35">
      <c r="A261" s="570">
        <v>300528481</v>
      </c>
      <c r="B261" s="570">
        <v>44</v>
      </c>
      <c r="C261" s="570">
        <v>15</v>
      </c>
      <c r="D261" s="570">
        <v>5</v>
      </c>
      <c r="E261" s="570">
        <v>0</v>
      </c>
      <c r="F261" s="570">
        <v>17.309999999999999</v>
      </c>
      <c r="G261" s="570" t="s">
        <v>1000</v>
      </c>
      <c r="H261" s="570">
        <v>2</v>
      </c>
      <c r="I261" s="570">
        <v>0</v>
      </c>
      <c r="J261" s="570">
        <v>0</v>
      </c>
      <c r="K261" s="570">
        <v>0</v>
      </c>
      <c r="L261" s="570">
        <v>0</v>
      </c>
      <c r="M261" s="570">
        <v>0</v>
      </c>
      <c r="N261" s="570" t="s">
        <v>1010</v>
      </c>
      <c r="O261" s="570">
        <v>1</v>
      </c>
      <c r="P261" s="571">
        <v>44446</v>
      </c>
      <c r="Q261" s="570">
        <v>35.087572780000002</v>
      </c>
      <c r="R261" s="570">
        <v>-97.415794669999997</v>
      </c>
      <c r="S261" s="570">
        <v>20.22</v>
      </c>
      <c r="T261" s="570" t="s">
        <v>1002</v>
      </c>
      <c r="U261" s="570" t="s">
        <v>1002</v>
      </c>
      <c r="V261" s="570">
        <v>3</v>
      </c>
      <c r="W261" s="570">
        <v>2</v>
      </c>
      <c r="X261" s="570" t="s">
        <v>1000</v>
      </c>
      <c r="Y261" s="570" t="s">
        <v>1003</v>
      </c>
      <c r="Z261" s="570">
        <v>1</v>
      </c>
      <c r="AA261" s="570">
        <v>0</v>
      </c>
      <c r="AB261" s="570">
        <v>0</v>
      </c>
      <c r="AC261" s="570">
        <v>0</v>
      </c>
      <c r="AD261" s="570">
        <v>0</v>
      </c>
      <c r="AE261" s="570" t="s">
        <v>1017</v>
      </c>
      <c r="AF261" s="570">
        <v>87</v>
      </c>
      <c r="AG261" s="570" t="s">
        <v>1012</v>
      </c>
      <c r="AH261" s="570">
        <v>0</v>
      </c>
      <c r="AI261" s="570" t="s">
        <v>1006</v>
      </c>
      <c r="AJ261" s="570">
        <v>20</v>
      </c>
      <c r="AK261" s="570">
        <v>87</v>
      </c>
      <c r="AL261" s="570">
        <v>1</v>
      </c>
      <c r="AM261" s="570">
        <v>0</v>
      </c>
      <c r="AN261" s="570">
        <v>66</v>
      </c>
      <c r="AO261" s="570" t="s">
        <v>1009</v>
      </c>
      <c r="AP261" s="570" t="s">
        <v>1008</v>
      </c>
      <c r="AQ261" s="570">
        <v>1</v>
      </c>
      <c r="AR261" s="570">
        <v>1</v>
      </c>
      <c r="AS261" s="570">
        <v>4</v>
      </c>
    </row>
    <row r="262" spans="1:45" x14ac:dyDescent="0.35">
      <c r="A262" s="570">
        <v>300528481</v>
      </c>
      <c r="B262" s="570">
        <v>44</v>
      </c>
      <c r="C262" s="570">
        <v>15</v>
      </c>
      <c r="D262" s="570">
        <v>5</v>
      </c>
      <c r="E262" s="570">
        <v>0</v>
      </c>
      <c r="F262" s="570">
        <v>17.309999999999999</v>
      </c>
      <c r="G262" s="570" t="s">
        <v>1000</v>
      </c>
      <c r="H262" s="570">
        <v>2</v>
      </c>
      <c r="I262" s="570">
        <v>0</v>
      </c>
      <c r="J262" s="570">
        <v>0</v>
      </c>
      <c r="K262" s="570">
        <v>0</v>
      </c>
      <c r="L262" s="570">
        <v>0</v>
      </c>
      <c r="M262" s="570">
        <v>0</v>
      </c>
      <c r="N262" s="570" t="s">
        <v>1010</v>
      </c>
      <c r="O262" s="570">
        <v>1</v>
      </c>
      <c r="P262" s="571">
        <v>44446</v>
      </c>
      <c r="Q262" s="570">
        <v>35.087572780000002</v>
      </c>
      <c r="R262" s="570">
        <v>-97.415794669999997</v>
      </c>
      <c r="S262" s="570">
        <v>20.22</v>
      </c>
      <c r="T262" s="570" t="s">
        <v>1002</v>
      </c>
      <c r="U262" s="570" t="s">
        <v>1002</v>
      </c>
      <c r="V262" s="570">
        <v>3</v>
      </c>
      <c r="W262" s="570">
        <v>2</v>
      </c>
      <c r="X262" s="570" t="s">
        <v>1000</v>
      </c>
      <c r="Y262" s="570" t="s">
        <v>1003</v>
      </c>
      <c r="Z262" s="570">
        <v>1</v>
      </c>
      <c r="AA262" s="570">
        <v>0</v>
      </c>
      <c r="AB262" s="570">
        <v>0</v>
      </c>
      <c r="AC262" s="570">
        <v>0</v>
      </c>
      <c r="AD262" s="570">
        <v>0</v>
      </c>
      <c r="AE262" s="570" t="s">
        <v>1017</v>
      </c>
      <c r="AF262" s="570">
        <v>87</v>
      </c>
      <c r="AG262" s="570" t="s">
        <v>1012</v>
      </c>
      <c r="AH262" s="570">
        <v>0</v>
      </c>
      <c r="AI262" s="570" t="s">
        <v>1006</v>
      </c>
      <c r="AJ262" s="570">
        <v>20</v>
      </c>
      <c r="AK262" s="570">
        <v>87</v>
      </c>
      <c r="AL262" s="570">
        <v>1</v>
      </c>
      <c r="AM262" s="570">
        <v>0</v>
      </c>
      <c r="AN262" s="570">
        <v>0</v>
      </c>
      <c r="AO262" s="570">
        <v>9</v>
      </c>
      <c r="AP262" s="570" t="s">
        <v>1002</v>
      </c>
      <c r="AQ262" s="570"/>
      <c r="AR262" s="570"/>
      <c r="AS262" s="570"/>
    </row>
    <row r="263" spans="1:45" x14ac:dyDescent="0.35">
      <c r="A263" s="570">
        <v>300531630</v>
      </c>
      <c r="B263" s="570">
        <v>44</v>
      </c>
      <c r="C263" s="570">
        <v>15</v>
      </c>
      <c r="D263" s="570">
        <v>5</v>
      </c>
      <c r="E263" s="570">
        <v>0</v>
      </c>
      <c r="F263" s="570">
        <v>17.510000000000002</v>
      </c>
      <c r="G263" s="570" t="s">
        <v>1000</v>
      </c>
      <c r="H263" s="570">
        <v>2</v>
      </c>
      <c r="I263" s="570">
        <v>0</v>
      </c>
      <c r="J263" s="570">
        <v>0</v>
      </c>
      <c r="K263" s="570">
        <v>0</v>
      </c>
      <c r="L263" s="570">
        <v>0</v>
      </c>
      <c r="M263" s="570">
        <v>0</v>
      </c>
      <c r="N263" s="570" t="s">
        <v>1028</v>
      </c>
      <c r="O263" s="570">
        <v>1</v>
      </c>
      <c r="P263" s="571">
        <v>44458</v>
      </c>
      <c r="Q263" s="570">
        <v>35.089838659999998</v>
      </c>
      <c r="R263" s="570">
        <v>-97.418000180000007</v>
      </c>
      <c r="S263" s="570">
        <v>10.52</v>
      </c>
      <c r="T263" s="570" t="s">
        <v>1002</v>
      </c>
      <c r="U263" s="570" t="s">
        <v>1002</v>
      </c>
      <c r="V263" s="570">
        <v>1</v>
      </c>
      <c r="W263" s="570">
        <v>1</v>
      </c>
      <c r="X263" s="570" t="s">
        <v>1000</v>
      </c>
      <c r="Y263" s="570" t="s">
        <v>1003</v>
      </c>
      <c r="Z263" s="570">
        <v>1</v>
      </c>
      <c r="AA263" s="570">
        <v>0</v>
      </c>
      <c r="AB263" s="570">
        <v>0</v>
      </c>
      <c r="AC263" s="570">
        <v>0</v>
      </c>
      <c r="AD263" s="570">
        <v>0</v>
      </c>
      <c r="AE263" s="570" t="s">
        <v>1031</v>
      </c>
      <c r="AF263" s="570">
        <v>38</v>
      </c>
      <c r="AG263" s="570" t="s">
        <v>1005</v>
      </c>
      <c r="AH263" s="570">
        <v>0</v>
      </c>
      <c r="AI263" s="570" t="s">
        <v>1006</v>
      </c>
      <c r="AJ263" s="570">
        <v>20</v>
      </c>
      <c r="AK263" s="570">
        <v>38</v>
      </c>
      <c r="AL263" s="570">
        <v>1</v>
      </c>
      <c r="AM263" s="570">
        <v>0</v>
      </c>
      <c r="AN263" s="570">
        <v>60</v>
      </c>
      <c r="AO263" s="570" t="s">
        <v>1007</v>
      </c>
      <c r="AP263" s="570" t="s">
        <v>1008</v>
      </c>
      <c r="AQ263" s="570">
        <v>1</v>
      </c>
      <c r="AR263" s="570">
        <v>1</v>
      </c>
      <c r="AS263" s="570">
        <v>4</v>
      </c>
    </row>
    <row r="264" spans="1:45" x14ac:dyDescent="0.35">
      <c r="A264" s="570">
        <v>300531630</v>
      </c>
      <c r="B264" s="570">
        <v>44</v>
      </c>
      <c r="C264" s="570">
        <v>15</v>
      </c>
      <c r="D264" s="570">
        <v>5</v>
      </c>
      <c r="E264" s="570">
        <v>0</v>
      </c>
      <c r="F264" s="570">
        <v>17.510000000000002</v>
      </c>
      <c r="G264" s="570" t="s">
        <v>1000</v>
      </c>
      <c r="H264" s="570">
        <v>2</v>
      </c>
      <c r="I264" s="570">
        <v>0</v>
      </c>
      <c r="J264" s="570">
        <v>0</v>
      </c>
      <c r="K264" s="570">
        <v>0</v>
      </c>
      <c r="L264" s="570">
        <v>0</v>
      </c>
      <c r="M264" s="570">
        <v>0</v>
      </c>
      <c r="N264" s="570" t="s">
        <v>1028</v>
      </c>
      <c r="O264" s="570">
        <v>1</v>
      </c>
      <c r="P264" s="571">
        <v>44458</v>
      </c>
      <c r="Q264" s="570">
        <v>35.089838659999998</v>
      </c>
      <c r="R264" s="570">
        <v>-97.418000180000007</v>
      </c>
      <c r="S264" s="570">
        <v>10.52</v>
      </c>
      <c r="T264" s="570" t="s">
        <v>1002</v>
      </c>
      <c r="U264" s="570" t="s">
        <v>1002</v>
      </c>
      <c r="V264" s="570">
        <v>1</v>
      </c>
      <c r="W264" s="570">
        <v>1</v>
      </c>
      <c r="X264" s="570" t="s">
        <v>1000</v>
      </c>
      <c r="Y264" s="570" t="s">
        <v>1003</v>
      </c>
      <c r="Z264" s="570">
        <v>1</v>
      </c>
      <c r="AA264" s="570">
        <v>0</v>
      </c>
      <c r="AB264" s="570">
        <v>0</v>
      </c>
      <c r="AC264" s="570">
        <v>0</v>
      </c>
      <c r="AD264" s="570">
        <v>0</v>
      </c>
      <c r="AE264" s="570" t="s">
        <v>1031</v>
      </c>
      <c r="AF264" s="570">
        <v>38</v>
      </c>
      <c r="AG264" s="570" t="s">
        <v>1005</v>
      </c>
      <c r="AH264" s="570">
        <v>0</v>
      </c>
      <c r="AI264" s="570" t="s">
        <v>1006</v>
      </c>
      <c r="AJ264" s="570">
        <v>20</v>
      </c>
      <c r="AK264" s="570">
        <v>98</v>
      </c>
      <c r="AL264" s="570">
        <v>1</v>
      </c>
      <c r="AM264" s="570">
        <v>0</v>
      </c>
      <c r="AN264" s="570">
        <v>51</v>
      </c>
      <c r="AO264" s="570" t="s">
        <v>1009</v>
      </c>
      <c r="AP264" s="570" t="s">
        <v>1008</v>
      </c>
      <c r="AQ264" s="570">
        <v>1</v>
      </c>
      <c r="AR264" s="570">
        <v>1</v>
      </c>
      <c r="AS264" s="570">
        <v>4</v>
      </c>
    </row>
    <row r="265" spans="1:45" x14ac:dyDescent="0.35">
      <c r="A265" s="570">
        <v>300531630</v>
      </c>
      <c r="B265" s="570">
        <v>44</v>
      </c>
      <c r="C265" s="570">
        <v>15</v>
      </c>
      <c r="D265" s="570">
        <v>5</v>
      </c>
      <c r="E265" s="570">
        <v>0</v>
      </c>
      <c r="F265" s="570">
        <v>17.510000000000002</v>
      </c>
      <c r="G265" s="570" t="s">
        <v>1000</v>
      </c>
      <c r="H265" s="570">
        <v>2</v>
      </c>
      <c r="I265" s="570">
        <v>0</v>
      </c>
      <c r="J265" s="570">
        <v>0</v>
      </c>
      <c r="K265" s="570">
        <v>0</v>
      </c>
      <c r="L265" s="570">
        <v>0</v>
      </c>
      <c r="M265" s="570">
        <v>0</v>
      </c>
      <c r="N265" s="570" t="s">
        <v>1028</v>
      </c>
      <c r="O265" s="570">
        <v>1</v>
      </c>
      <c r="P265" s="571">
        <v>44458</v>
      </c>
      <c r="Q265" s="570">
        <v>35.089838659999998</v>
      </c>
      <c r="R265" s="570">
        <v>-97.418000180000007</v>
      </c>
      <c r="S265" s="570">
        <v>10.52</v>
      </c>
      <c r="T265" s="570" t="s">
        <v>1002</v>
      </c>
      <c r="U265" s="570" t="s">
        <v>1002</v>
      </c>
      <c r="V265" s="570">
        <v>1</v>
      </c>
      <c r="W265" s="570">
        <v>1</v>
      </c>
      <c r="X265" s="570" t="s">
        <v>1000</v>
      </c>
      <c r="Y265" s="570" t="s">
        <v>1003</v>
      </c>
      <c r="Z265" s="570">
        <v>1</v>
      </c>
      <c r="AA265" s="570">
        <v>0</v>
      </c>
      <c r="AB265" s="570">
        <v>0</v>
      </c>
      <c r="AC265" s="570">
        <v>0</v>
      </c>
      <c r="AD265" s="570">
        <v>0</v>
      </c>
      <c r="AE265" s="570" t="s">
        <v>1031</v>
      </c>
      <c r="AF265" s="570">
        <v>38</v>
      </c>
      <c r="AG265" s="570" t="s">
        <v>1005</v>
      </c>
      <c r="AH265" s="570">
        <v>0</v>
      </c>
      <c r="AI265" s="570" t="s">
        <v>1006</v>
      </c>
      <c r="AJ265" s="570">
        <v>20</v>
      </c>
      <c r="AK265" s="570">
        <v>98</v>
      </c>
      <c r="AL265" s="570">
        <v>1</v>
      </c>
      <c r="AM265" s="570">
        <v>0</v>
      </c>
      <c r="AN265" s="570">
        <v>0</v>
      </c>
      <c r="AO265" s="570">
        <v>9</v>
      </c>
      <c r="AP265" s="570" t="s">
        <v>1002</v>
      </c>
      <c r="AQ265" s="570"/>
      <c r="AR265" s="570"/>
      <c r="AS265" s="570"/>
    </row>
    <row r="266" spans="1:45" x14ac:dyDescent="0.35">
      <c r="A266" s="570">
        <v>300531630</v>
      </c>
      <c r="B266" s="570">
        <v>44</v>
      </c>
      <c r="C266" s="570">
        <v>15</v>
      </c>
      <c r="D266" s="570">
        <v>5</v>
      </c>
      <c r="E266" s="570">
        <v>0</v>
      </c>
      <c r="F266" s="570">
        <v>17.510000000000002</v>
      </c>
      <c r="G266" s="570" t="s">
        <v>1000</v>
      </c>
      <c r="H266" s="570">
        <v>2</v>
      </c>
      <c r="I266" s="570">
        <v>0</v>
      </c>
      <c r="J266" s="570">
        <v>0</v>
      </c>
      <c r="K266" s="570">
        <v>0</v>
      </c>
      <c r="L266" s="570">
        <v>0</v>
      </c>
      <c r="M266" s="570">
        <v>0</v>
      </c>
      <c r="N266" s="570" t="s">
        <v>1028</v>
      </c>
      <c r="O266" s="570">
        <v>1</v>
      </c>
      <c r="P266" s="571">
        <v>44458</v>
      </c>
      <c r="Q266" s="570">
        <v>35.089838659999998</v>
      </c>
      <c r="R266" s="570">
        <v>-97.418000180000007</v>
      </c>
      <c r="S266" s="570">
        <v>10.52</v>
      </c>
      <c r="T266" s="570" t="s">
        <v>1002</v>
      </c>
      <c r="U266" s="570" t="s">
        <v>1002</v>
      </c>
      <c r="V266" s="570">
        <v>1</v>
      </c>
      <c r="W266" s="570">
        <v>1</v>
      </c>
      <c r="X266" s="570" t="s">
        <v>1000</v>
      </c>
      <c r="Y266" s="570" t="s">
        <v>1003</v>
      </c>
      <c r="Z266" s="570">
        <v>1</v>
      </c>
      <c r="AA266" s="570">
        <v>0</v>
      </c>
      <c r="AB266" s="570">
        <v>0</v>
      </c>
      <c r="AC266" s="570">
        <v>0</v>
      </c>
      <c r="AD266" s="570">
        <v>0</v>
      </c>
      <c r="AE266" s="570" t="s">
        <v>1031</v>
      </c>
      <c r="AF266" s="570">
        <v>38</v>
      </c>
      <c r="AG266" s="570" t="s">
        <v>1005</v>
      </c>
      <c r="AH266" s="570">
        <v>0</v>
      </c>
      <c r="AI266" s="570" t="s">
        <v>1006</v>
      </c>
      <c r="AJ266" s="570">
        <v>20</v>
      </c>
      <c r="AK266" s="570">
        <v>98</v>
      </c>
      <c r="AL266" s="570">
        <v>1</v>
      </c>
      <c r="AM266" s="570">
        <v>0</v>
      </c>
      <c r="AN266" s="570">
        <v>14</v>
      </c>
      <c r="AO266" s="570" t="s">
        <v>1009</v>
      </c>
      <c r="AP266" s="570" t="s">
        <v>1002</v>
      </c>
      <c r="AQ266" s="570">
        <v>1</v>
      </c>
      <c r="AR266" s="570"/>
      <c r="AS266" s="570">
        <v>4</v>
      </c>
    </row>
    <row r="267" spans="1:45" x14ac:dyDescent="0.35">
      <c r="A267" s="570">
        <v>300533063</v>
      </c>
      <c r="B267" s="570">
        <v>44</v>
      </c>
      <c r="C267" s="570">
        <v>15</v>
      </c>
      <c r="D267" s="570">
        <v>5</v>
      </c>
      <c r="E267" s="570">
        <v>0</v>
      </c>
      <c r="F267" s="570">
        <v>17.03</v>
      </c>
      <c r="G267" s="570" t="s">
        <v>1000</v>
      </c>
      <c r="H267" s="570">
        <v>2</v>
      </c>
      <c r="I267" s="570">
        <v>0</v>
      </c>
      <c r="J267" s="570">
        <v>0</v>
      </c>
      <c r="K267" s="570">
        <v>0</v>
      </c>
      <c r="L267" s="570">
        <v>0</v>
      </c>
      <c r="M267" s="570">
        <v>0</v>
      </c>
      <c r="N267" s="570" t="s">
        <v>1014</v>
      </c>
      <c r="O267" s="570">
        <v>1</v>
      </c>
      <c r="P267" s="571">
        <v>44488</v>
      </c>
      <c r="Q267" s="570">
        <v>35.084377930000002</v>
      </c>
      <c r="R267" s="570">
        <v>-97.412741819999994</v>
      </c>
      <c r="S267" s="570">
        <v>23.38</v>
      </c>
      <c r="T267" s="570" t="s">
        <v>1002</v>
      </c>
      <c r="U267" s="570" t="s">
        <v>1002</v>
      </c>
      <c r="V267" s="570">
        <v>3</v>
      </c>
      <c r="W267" s="570">
        <v>2</v>
      </c>
      <c r="X267" s="570" t="s">
        <v>1000</v>
      </c>
      <c r="Y267" s="570" t="s">
        <v>1013</v>
      </c>
      <c r="Z267" s="570">
        <v>10</v>
      </c>
      <c r="AA267" s="570">
        <v>0</v>
      </c>
      <c r="AB267" s="570">
        <v>0</v>
      </c>
      <c r="AC267" s="570">
        <v>0</v>
      </c>
      <c r="AD267" s="570">
        <v>0</v>
      </c>
      <c r="AE267" s="570" t="s">
        <v>1030</v>
      </c>
      <c r="AF267" s="570">
        <v>49</v>
      </c>
      <c r="AG267" s="570" t="s">
        <v>1005</v>
      </c>
      <c r="AH267" s="570">
        <v>0</v>
      </c>
      <c r="AI267" s="570" t="s">
        <v>1006</v>
      </c>
      <c r="AJ267" s="570">
        <v>10</v>
      </c>
      <c r="AK267" s="570">
        <v>98</v>
      </c>
      <c r="AL267" s="570">
        <v>1</v>
      </c>
      <c r="AM267" s="570">
        <v>0</v>
      </c>
      <c r="AN267" s="570">
        <v>26</v>
      </c>
      <c r="AO267" s="570" t="s">
        <v>1009</v>
      </c>
      <c r="AP267" s="570" t="s">
        <v>1008</v>
      </c>
      <c r="AQ267" s="570">
        <v>1</v>
      </c>
      <c r="AR267" s="570">
        <v>1</v>
      </c>
      <c r="AS267" s="570">
        <v>4</v>
      </c>
    </row>
    <row r="268" spans="1:45" x14ac:dyDescent="0.35">
      <c r="A268" s="570">
        <v>300533063</v>
      </c>
      <c r="B268" s="570">
        <v>44</v>
      </c>
      <c r="C268" s="570">
        <v>15</v>
      </c>
      <c r="D268" s="570">
        <v>5</v>
      </c>
      <c r="E268" s="570">
        <v>0</v>
      </c>
      <c r="F268" s="570">
        <v>17.03</v>
      </c>
      <c r="G268" s="570" t="s">
        <v>1000</v>
      </c>
      <c r="H268" s="570">
        <v>2</v>
      </c>
      <c r="I268" s="570">
        <v>0</v>
      </c>
      <c r="J268" s="570">
        <v>0</v>
      </c>
      <c r="K268" s="570">
        <v>0</v>
      </c>
      <c r="L268" s="570">
        <v>0</v>
      </c>
      <c r="M268" s="570">
        <v>0</v>
      </c>
      <c r="N268" s="570" t="s">
        <v>1014</v>
      </c>
      <c r="O268" s="570">
        <v>1</v>
      </c>
      <c r="P268" s="571">
        <v>44488</v>
      </c>
      <c r="Q268" s="570">
        <v>35.084377930000002</v>
      </c>
      <c r="R268" s="570">
        <v>-97.412741819999994</v>
      </c>
      <c r="S268" s="570">
        <v>23.38</v>
      </c>
      <c r="T268" s="570" t="s">
        <v>1002</v>
      </c>
      <c r="U268" s="570" t="s">
        <v>1002</v>
      </c>
      <c r="V268" s="570">
        <v>3</v>
      </c>
      <c r="W268" s="570">
        <v>2</v>
      </c>
      <c r="X268" s="570" t="s">
        <v>1000</v>
      </c>
      <c r="Y268" s="570" t="s">
        <v>1013</v>
      </c>
      <c r="Z268" s="570">
        <v>10</v>
      </c>
      <c r="AA268" s="570">
        <v>0</v>
      </c>
      <c r="AB268" s="570">
        <v>0</v>
      </c>
      <c r="AC268" s="570">
        <v>0</v>
      </c>
      <c r="AD268" s="570">
        <v>0</v>
      </c>
      <c r="AE268" s="570" t="s">
        <v>1030</v>
      </c>
      <c r="AF268" s="570">
        <v>49</v>
      </c>
      <c r="AG268" s="570" t="s">
        <v>1005</v>
      </c>
      <c r="AH268" s="570">
        <v>0</v>
      </c>
      <c r="AI268" s="570" t="s">
        <v>1006</v>
      </c>
      <c r="AJ268" s="570">
        <v>10</v>
      </c>
      <c r="AK268" s="570">
        <v>98</v>
      </c>
      <c r="AL268" s="570">
        <v>1</v>
      </c>
      <c r="AM268" s="570">
        <v>0</v>
      </c>
      <c r="AN268" s="570">
        <v>0</v>
      </c>
      <c r="AO268" s="570">
        <v>9</v>
      </c>
      <c r="AP268" s="570" t="s">
        <v>1002</v>
      </c>
      <c r="AQ268" s="570"/>
      <c r="AR268" s="570"/>
      <c r="AS268" s="570"/>
    </row>
    <row r="269" spans="1:45" x14ac:dyDescent="0.35">
      <c r="A269" s="570">
        <v>300533063</v>
      </c>
      <c r="B269" s="570">
        <v>44</v>
      </c>
      <c r="C269" s="570">
        <v>15</v>
      </c>
      <c r="D269" s="570">
        <v>5</v>
      </c>
      <c r="E269" s="570">
        <v>0</v>
      </c>
      <c r="F269" s="570">
        <v>17.03</v>
      </c>
      <c r="G269" s="570" t="s">
        <v>1000</v>
      </c>
      <c r="H269" s="570">
        <v>2</v>
      </c>
      <c r="I269" s="570">
        <v>0</v>
      </c>
      <c r="J269" s="570">
        <v>0</v>
      </c>
      <c r="K269" s="570">
        <v>0</v>
      </c>
      <c r="L269" s="570">
        <v>0</v>
      </c>
      <c r="M269" s="570">
        <v>0</v>
      </c>
      <c r="N269" s="570" t="s">
        <v>1014</v>
      </c>
      <c r="O269" s="570">
        <v>1</v>
      </c>
      <c r="P269" s="571">
        <v>44488</v>
      </c>
      <c r="Q269" s="570">
        <v>35.084377930000002</v>
      </c>
      <c r="R269" s="570">
        <v>-97.412741819999994</v>
      </c>
      <c r="S269" s="570">
        <v>23.38</v>
      </c>
      <c r="T269" s="570" t="s">
        <v>1002</v>
      </c>
      <c r="U269" s="570" t="s">
        <v>1002</v>
      </c>
      <c r="V269" s="570">
        <v>3</v>
      </c>
      <c r="W269" s="570">
        <v>2</v>
      </c>
      <c r="X269" s="570" t="s">
        <v>1000</v>
      </c>
      <c r="Y269" s="570" t="s">
        <v>1013</v>
      </c>
      <c r="Z269" s="570">
        <v>10</v>
      </c>
      <c r="AA269" s="570">
        <v>0</v>
      </c>
      <c r="AB269" s="570">
        <v>0</v>
      </c>
      <c r="AC269" s="570">
        <v>0</v>
      </c>
      <c r="AD269" s="570">
        <v>0</v>
      </c>
      <c r="AE269" s="570" t="s">
        <v>1030</v>
      </c>
      <c r="AF269" s="570">
        <v>49</v>
      </c>
      <c r="AG269" s="570" t="s">
        <v>1005</v>
      </c>
      <c r="AH269" s="570">
        <v>0</v>
      </c>
      <c r="AI269" s="570" t="s">
        <v>1006</v>
      </c>
      <c r="AJ269" s="570">
        <v>10</v>
      </c>
      <c r="AK269" s="570">
        <v>98</v>
      </c>
      <c r="AL269" s="570">
        <v>1</v>
      </c>
      <c r="AM269" s="570">
        <v>0</v>
      </c>
      <c r="AN269" s="570">
        <v>29</v>
      </c>
      <c r="AO269" s="570" t="s">
        <v>1009</v>
      </c>
      <c r="AP269" s="570" t="s">
        <v>1002</v>
      </c>
      <c r="AQ269" s="570">
        <v>1</v>
      </c>
      <c r="AR269" s="570"/>
      <c r="AS269" s="570">
        <v>1</v>
      </c>
    </row>
    <row r="270" spans="1:45" x14ac:dyDescent="0.35">
      <c r="A270" s="570">
        <v>300533063</v>
      </c>
      <c r="B270" s="570">
        <v>44</v>
      </c>
      <c r="C270" s="570">
        <v>15</v>
      </c>
      <c r="D270" s="570">
        <v>5</v>
      </c>
      <c r="E270" s="570">
        <v>0</v>
      </c>
      <c r="F270" s="570">
        <v>17.03</v>
      </c>
      <c r="G270" s="570" t="s">
        <v>1000</v>
      </c>
      <c r="H270" s="570">
        <v>2</v>
      </c>
      <c r="I270" s="570">
        <v>0</v>
      </c>
      <c r="J270" s="570">
        <v>0</v>
      </c>
      <c r="K270" s="570">
        <v>0</v>
      </c>
      <c r="L270" s="570">
        <v>0</v>
      </c>
      <c r="M270" s="570">
        <v>0</v>
      </c>
      <c r="N270" s="570" t="s">
        <v>1014</v>
      </c>
      <c r="O270" s="570">
        <v>1</v>
      </c>
      <c r="P270" s="571">
        <v>44488</v>
      </c>
      <c r="Q270" s="570">
        <v>35.084377930000002</v>
      </c>
      <c r="R270" s="570">
        <v>-97.412741819999994</v>
      </c>
      <c r="S270" s="570">
        <v>23.38</v>
      </c>
      <c r="T270" s="570" t="s">
        <v>1002</v>
      </c>
      <c r="U270" s="570" t="s">
        <v>1002</v>
      </c>
      <c r="V270" s="570">
        <v>3</v>
      </c>
      <c r="W270" s="570">
        <v>2</v>
      </c>
      <c r="X270" s="570" t="s">
        <v>1000</v>
      </c>
      <c r="Y270" s="570" t="s">
        <v>1013</v>
      </c>
      <c r="Z270" s="570">
        <v>10</v>
      </c>
      <c r="AA270" s="570">
        <v>0</v>
      </c>
      <c r="AB270" s="570">
        <v>0</v>
      </c>
      <c r="AC270" s="570">
        <v>0</v>
      </c>
      <c r="AD270" s="570">
        <v>0</v>
      </c>
      <c r="AE270" s="570" t="s">
        <v>1030</v>
      </c>
      <c r="AF270" s="570">
        <v>49</v>
      </c>
      <c r="AG270" s="570" t="s">
        <v>1005</v>
      </c>
      <c r="AH270" s="570">
        <v>0</v>
      </c>
      <c r="AI270" s="570" t="s">
        <v>1006</v>
      </c>
      <c r="AJ270" s="570">
        <v>99</v>
      </c>
      <c r="AK270" s="570">
        <v>49</v>
      </c>
      <c r="AL270" s="570">
        <v>1</v>
      </c>
      <c r="AM270" s="570">
        <v>0</v>
      </c>
      <c r="AN270" s="570">
        <v>0</v>
      </c>
      <c r="AO270" s="570">
        <v>9</v>
      </c>
      <c r="AP270" s="570" t="s">
        <v>1008</v>
      </c>
      <c r="AQ270" s="570">
        <v>1</v>
      </c>
      <c r="AR270" s="570">
        <v>99</v>
      </c>
      <c r="AS270" s="570">
        <v>99</v>
      </c>
    </row>
    <row r="271" spans="1:45" x14ac:dyDescent="0.35">
      <c r="A271" s="570">
        <v>300534524</v>
      </c>
      <c r="B271" s="570">
        <v>44</v>
      </c>
      <c r="C271" s="570">
        <v>15</v>
      </c>
      <c r="D271" s="570">
        <v>5</v>
      </c>
      <c r="E271" s="570">
        <v>0</v>
      </c>
      <c r="F271" s="570">
        <v>17.309999999999999</v>
      </c>
      <c r="G271" s="570" t="s">
        <v>1000</v>
      </c>
      <c r="H271" s="570">
        <v>2</v>
      </c>
      <c r="I271" s="570">
        <v>0</v>
      </c>
      <c r="J271" s="570">
        <v>0</v>
      </c>
      <c r="K271" s="570">
        <v>0</v>
      </c>
      <c r="L271" s="570">
        <v>0</v>
      </c>
      <c r="M271" s="570">
        <v>0</v>
      </c>
      <c r="N271" s="570" t="s">
        <v>1010</v>
      </c>
      <c r="O271" s="570">
        <v>1</v>
      </c>
      <c r="P271" s="571">
        <v>44457</v>
      </c>
      <c r="Q271" s="570">
        <v>35.087572780000002</v>
      </c>
      <c r="R271" s="570">
        <v>-97.415794669999997</v>
      </c>
      <c r="S271" s="570">
        <v>19.37</v>
      </c>
      <c r="T271" s="570" t="s">
        <v>1002</v>
      </c>
      <c r="U271" s="570" t="s">
        <v>1002</v>
      </c>
      <c r="V271" s="570">
        <v>7</v>
      </c>
      <c r="W271" s="570">
        <v>2</v>
      </c>
      <c r="X271" s="570" t="s">
        <v>1000</v>
      </c>
      <c r="Y271" s="570" t="s">
        <v>1003</v>
      </c>
      <c r="Z271" s="570">
        <v>1</v>
      </c>
      <c r="AA271" s="570">
        <v>0</v>
      </c>
      <c r="AB271" s="570">
        <v>0</v>
      </c>
      <c r="AC271" s="570">
        <v>0</v>
      </c>
      <c r="AD271" s="570">
        <v>0</v>
      </c>
      <c r="AE271" s="570" t="s">
        <v>1030</v>
      </c>
      <c r="AF271" s="570">
        <v>49</v>
      </c>
      <c r="AG271" s="570" t="s">
        <v>1012</v>
      </c>
      <c r="AH271" s="570">
        <v>0</v>
      </c>
      <c r="AI271" s="570" t="s">
        <v>1006</v>
      </c>
      <c r="AJ271" s="570">
        <v>2</v>
      </c>
      <c r="AK271" s="570">
        <v>49</v>
      </c>
      <c r="AL271" s="570">
        <v>1</v>
      </c>
      <c r="AM271" s="570">
        <v>0</v>
      </c>
      <c r="AN271" s="570">
        <v>21</v>
      </c>
      <c r="AO271" s="570" t="s">
        <v>1009</v>
      </c>
      <c r="AP271" s="570" t="s">
        <v>1008</v>
      </c>
      <c r="AQ271" s="570">
        <v>1</v>
      </c>
      <c r="AR271" s="570">
        <v>1</v>
      </c>
      <c r="AS271" s="570">
        <v>4</v>
      </c>
    </row>
    <row r="272" spans="1:45" x14ac:dyDescent="0.35">
      <c r="A272" s="570">
        <v>300534524</v>
      </c>
      <c r="B272" s="570">
        <v>44</v>
      </c>
      <c r="C272" s="570">
        <v>15</v>
      </c>
      <c r="D272" s="570">
        <v>5</v>
      </c>
      <c r="E272" s="570">
        <v>0</v>
      </c>
      <c r="F272" s="570">
        <v>17.309999999999999</v>
      </c>
      <c r="G272" s="570" t="s">
        <v>1000</v>
      </c>
      <c r="H272" s="570">
        <v>2</v>
      </c>
      <c r="I272" s="570">
        <v>0</v>
      </c>
      <c r="J272" s="570">
        <v>0</v>
      </c>
      <c r="K272" s="570">
        <v>0</v>
      </c>
      <c r="L272" s="570">
        <v>0</v>
      </c>
      <c r="M272" s="570">
        <v>0</v>
      </c>
      <c r="N272" s="570" t="s">
        <v>1010</v>
      </c>
      <c r="O272" s="570">
        <v>1</v>
      </c>
      <c r="P272" s="571">
        <v>44457</v>
      </c>
      <c r="Q272" s="570">
        <v>35.087572780000002</v>
      </c>
      <c r="R272" s="570">
        <v>-97.415794669999997</v>
      </c>
      <c r="S272" s="570">
        <v>19.37</v>
      </c>
      <c r="T272" s="570" t="s">
        <v>1002</v>
      </c>
      <c r="U272" s="570" t="s">
        <v>1002</v>
      </c>
      <c r="V272" s="570">
        <v>7</v>
      </c>
      <c r="W272" s="570">
        <v>2</v>
      </c>
      <c r="X272" s="570" t="s">
        <v>1000</v>
      </c>
      <c r="Y272" s="570" t="s">
        <v>1003</v>
      </c>
      <c r="Z272" s="570">
        <v>1</v>
      </c>
      <c r="AA272" s="570">
        <v>0</v>
      </c>
      <c r="AB272" s="570">
        <v>0</v>
      </c>
      <c r="AC272" s="570">
        <v>0</v>
      </c>
      <c r="AD272" s="570">
        <v>0</v>
      </c>
      <c r="AE272" s="570" t="s">
        <v>1030</v>
      </c>
      <c r="AF272" s="570">
        <v>49</v>
      </c>
      <c r="AG272" s="570" t="s">
        <v>1012</v>
      </c>
      <c r="AH272" s="570">
        <v>0</v>
      </c>
      <c r="AI272" s="570" t="s">
        <v>1006</v>
      </c>
      <c r="AJ272" s="570">
        <v>2</v>
      </c>
      <c r="AK272" s="570">
        <v>49</v>
      </c>
      <c r="AL272" s="570">
        <v>1</v>
      </c>
      <c r="AM272" s="570">
        <v>0</v>
      </c>
      <c r="AN272" s="570">
        <v>0</v>
      </c>
      <c r="AO272" s="570">
        <v>9</v>
      </c>
      <c r="AP272" s="570" t="s">
        <v>1002</v>
      </c>
      <c r="AQ272" s="570"/>
      <c r="AR272" s="570"/>
      <c r="AS272" s="570"/>
    </row>
    <row r="273" spans="1:45" x14ac:dyDescent="0.35">
      <c r="A273" s="570">
        <v>300536877</v>
      </c>
      <c r="B273" s="570">
        <v>44</v>
      </c>
      <c r="C273" s="570">
        <v>0</v>
      </c>
      <c r="D273" s="570">
        <v>5</v>
      </c>
      <c r="E273" s="570">
        <v>0</v>
      </c>
      <c r="F273" s="570">
        <v>18.22</v>
      </c>
      <c r="G273" s="570" t="s">
        <v>1000</v>
      </c>
      <c r="H273" s="570">
        <v>2</v>
      </c>
      <c r="I273" s="570">
        <v>0</v>
      </c>
      <c r="J273" s="570">
        <v>0</v>
      </c>
      <c r="K273" s="570">
        <v>0</v>
      </c>
      <c r="L273" s="570">
        <v>3</v>
      </c>
      <c r="M273" s="570">
        <v>0</v>
      </c>
      <c r="N273" s="570" t="s">
        <v>1001</v>
      </c>
      <c r="O273" s="570">
        <v>4</v>
      </c>
      <c r="P273" s="571">
        <v>44505</v>
      </c>
      <c r="Q273" s="570">
        <v>35.098009640000001</v>
      </c>
      <c r="R273" s="570">
        <v>-97.425632350000001</v>
      </c>
      <c r="S273" s="570">
        <v>5.44</v>
      </c>
      <c r="T273" s="570" t="s">
        <v>1002</v>
      </c>
      <c r="U273" s="570" t="s">
        <v>1002</v>
      </c>
      <c r="V273" s="570">
        <v>6</v>
      </c>
      <c r="W273" s="570">
        <v>2</v>
      </c>
      <c r="X273" s="570" t="s">
        <v>1000</v>
      </c>
      <c r="Y273" s="570" t="s">
        <v>1049</v>
      </c>
      <c r="Z273" s="570">
        <v>3</v>
      </c>
      <c r="AA273" s="570">
        <v>1</v>
      </c>
      <c r="AB273" s="570">
        <v>2</v>
      </c>
      <c r="AC273" s="570">
        <v>0</v>
      </c>
      <c r="AD273" s="570">
        <v>0</v>
      </c>
      <c r="AE273" s="570" t="s">
        <v>1004</v>
      </c>
      <c r="AF273" s="570">
        <v>72</v>
      </c>
      <c r="AG273" s="570" t="s">
        <v>1005</v>
      </c>
      <c r="AH273" s="570">
        <v>0</v>
      </c>
      <c r="AI273" s="570" t="s">
        <v>1006</v>
      </c>
      <c r="AJ273" s="570">
        <v>23</v>
      </c>
      <c r="AK273" s="570">
        <v>72</v>
      </c>
      <c r="AL273" s="570">
        <v>1</v>
      </c>
      <c r="AM273" s="570">
        <v>0</v>
      </c>
      <c r="AN273" s="570">
        <v>46</v>
      </c>
      <c r="AO273" s="570" t="s">
        <v>1009</v>
      </c>
      <c r="AP273" s="570" t="s">
        <v>1008</v>
      </c>
      <c r="AQ273" s="570">
        <v>4</v>
      </c>
      <c r="AR273" s="570">
        <v>1</v>
      </c>
      <c r="AS273" s="570">
        <v>4</v>
      </c>
    </row>
    <row r="274" spans="1:45" x14ac:dyDescent="0.35">
      <c r="A274" s="570">
        <v>300536877</v>
      </c>
      <c r="B274" s="570">
        <v>44</v>
      </c>
      <c r="C274" s="570">
        <v>0</v>
      </c>
      <c r="D274" s="570">
        <v>5</v>
      </c>
      <c r="E274" s="570">
        <v>0</v>
      </c>
      <c r="F274" s="570">
        <v>18.22</v>
      </c>
      <c r="G274" s="570" t="s">
        <v>1000</v>
      </c>
      <c r="H274" s="570">
        <v>2</v>
      </c>
      <c r="I274" s="570">
        <v>0</v>
      </c>
      <c r="J274" s="570">
        <v>0</v>
      </c>
      <c r="K274" s="570">
        <v>0</v>
      </c>
      <c r="L274" s="570">
        <v>3</v>
      </c>
      <c r="M274" s="570">
        <v>0</v>
      </c>
      <c r="N274" s="570" t="s">
        <v>1001</v>
      </c>
      <c r="O274" s="570">
        <v>4</v>
      </c>
      <c r="P274" s="571">
        <v>44505</v>
      </c>
      <c r="Q274" s="570">
        <v>35.098009640000001</v>
      </c>
      <c r="R274" s="570">
        <v>-97.425632350000001</v>
      </c>
      <c r="S274" s="570">
        <v>5.44</v>
      </c>
      <c r="T274" s="570" t="s">
        <v>1002</v>
      </c>
      <c r="U274" s="570" t="s">
        <v>1002</v>
      </c>
      <c r="V274" s="570">
        <v>6</v>
      </c>
      <c r="W274" s="570">
        <v>2</v>
      </c>
      <c r="X274" s="570" t="s">
        <v>1000</v>
      </c>
      <c r="Y274" s="570" t="s">
        <v>1049</v>
      </c>
      <c r="Z274" s="570">
        <v>3</v>
      </c>
      <c r="AA274" s="570">
        <v>1</v>
      </c>
      <c r="AB274" s="570">
        <v>2</v>
      </c>
      <c r="AC274" s="570">
        <v>0</v>
      </c>
      <c r="AD274" s="570">
        <v>0</v>
      </c>
      <c r="AE274" s="570" t="s">
        <v>1004</v>
      </c>
      <c r="AF274" s="570">
        <v>72</v>
      </c>
      <c r="AG274" s="570" t="s">
        <v>1005</v>
      </c>
      <c r="AH274" s="570">
        <v>0</v>
      </c>
      <c r="AI274" s="570" t="s">
        <v>1006</v>
      </c>
      <c r="AJ274" s="570">
        <v>23</v>
      </c>
      <c r="AK274" s="570">
        <v>72</v>
      </c>
      <c r="AL274" s="570">
        <v>1</v>
      </c>
      <c r="AM274" s="570">
        <v>0</v>
      </c>
      <c r="AN274" s="570">
        <v>0</v>
      </c>
      <c r="AO274" s="570">
        <v>9</v>
      </c>
      <c r="AP274" s="570" t="s">
        <v>1002</v>
      </c>
      <c r="AQ274" s="570"/>
      <c r="AR274" s="570"/>
      <c r="AS274" s="570"/>
    </row>
    <row r="275" spans="1:45" x14ac:dyDescent="0.35">
      <c r="A275" s="570">
        <v>300536877</v>
      </c>
      <c r="B275" s="570">
        <v>44</v>
      </c>
      <c r="C275" s="570">
        <v>0</v>
      </c>
      <c r="D275" s="570">
        <v>5</v>
      </c>
      <c r="E275" s="570">
        <v>0</v>
      </c>
      <c r="F275" s="570">
        <v>18.22</v>
      </c>
      <c r="G275" s="570" t="s">
        <v>1000</v>
      </c>
      <c r="H275" s="570">
        <v>2</v>
      </c>
      <c r="I275" s="570">
        <v>0</v>
      </c>
      <c r="J275" s="570">
        <v>0</v>
      </c>
      <c r="K275" s="570">
        <v>0</v>
      </c>
      <c r="L275" s="570">
        <v>3</v>
      </c>
      <c r="M275" s="570">
        <v>0</v>
      </c>
      <c r="N275" s="570" t="s">
        <v>1001</v>
      </c>
      <c r="O275" s="570">
        <v>4</v>
      </c>
      <c r="P275" s="571">
        <v>44505</v>
      </c>
      <c r="Q275" s="570">
        <v>35.098009640000001</v>
      </c>
      <c r="R275" s="570">
        <v>-97.425632350000001</v>
      </c>
      <c r="S275" s="570">
        <v>5.44</v>
      </c>
      <c r="T275" s="570" t="s">
        <v>1002</v>
      </c>
      <c r="U275" s="570" t="s">
        <v>1002</v>
      </c>
      <c r="V275" s="570">
        <v>6</v>
      </c>
      <c r="W275" s="570">
        <v>2</v>
      </c>
      <c r="X275" s="570" t="s">
        <v>1000</v>
      </c>
      <c r="Y275" s="570" t="s">
        <v>1049</v>
      </c>
      <c r="Z275" s="570">
        <v>3</v>
      </c>
      <c r="AA275" s="570">
        <v>1</v>
      </c>
      <c r="AB275" s="570">
        <v>2</v>
      </c>
      <c r="AC275" s="570">
        <v>0</v>
      </c>
      <c r="AD275" s="570">
        <v>0</v>
      </c>
      <c r="AE275" s="570" t="s">
        <v>1004</v>
      </c>
      <c r="AF275" s="570">
        <v>72</v>
      </c>
      <c r="AG275" s="570" t="s">
        <v>1005</v>
      </c>
      <c r="AH275" s="570">
        <v>0</v>
      </c>
      <c r="AI275" s="570" t="s">
        <v>1006</v>
      </c>
      <c r="AJ275" s="570">
        <v>23</v>
      </c>
      <c r="AK275" s="570">
        <v>72</v>
      </c>
      <c r="AL275" s="570">
        <v>1</v>
      </c>
      <c r="AM275" s="570">
        <v>0</v>
      </c>
      <c r="AN275" s="570">
        <v>23</v>
      </c>
      <c r="AO275" s="570" t="s">
        <v>1009</v>
      </c>
      <c r="AP275" s="570" t="s">
        <v>1002</v>
      </c>
      <c r="AQ275" s="570">
        <v>1</v>
      </c>
      <c r="AR275" s="570"/>
      <c r="AS275" s="570">
        <v>4</v>
      </c>
    </row>
    <row r="276" spans="1:45" x14ac:dyDescent="0.35">
      <c r="A276" s="570">
        <v>300536877</v>
      </c>
      <c r="B276" s="570">
        <v>44</v>
      </c>
      <c r="C276" s="570">
        <v>0</v>
      </c>
      <c r="D276" s="570">
        <v>5</v>
      </c>
      <c r="E276" s="570">
        <v>0</v>
      </c>
      <c r="F276" s="570">
        <v>18.22</v>
      </c>
      <c r="G276" s="570" t="s">
        <v>1000</v>
      </c>
      <c r="H276" s="570">
        <v>2</v>
      </c>
      <c r="I276" s="570">
        <v>0</v>
      </c>
      <c r="J276" s="570">
        <v>0</v>
      </c>
      <c r="K276" s="570">
        <v>0</v>
      </c>
      <c r="L276" s="570">
        <v>3</v>
      </c>
      <c r="M276" s="570">
        <v>0</v>
      </c>
      <c r="N276" s="570" t="s">
        <v>1001</v>
      </c>
      <c r="O276" s="570">
        <v>4</v>
      </c>
      <c r="P276" s="571">
        <v>44505</v>
      </c>
      <c r="Q276" s="570">
        <v>35.098009640000001</v>
      </c>
      <c r="R276" s="570">
        <v>-97.425632350000001</v>
      </c>
      <c r="S276" s="570">
        <v>5.44</v>
      </c>
      <c r="T276" s="570" t="s">
        <v>1002</v>
      </c>
      <c r="U276" s="570" t="s">
        <v>1002</v>
      </c>
      <c r="V276" s="570">
        <v>6</v>
      </c>
      <c r="W276" s="570">
        <v>2</v>
      </c>
      <c r="X276" s="570" t="s">
        <v>1000</v>
      </c>
      <c r="Y276" s="570" t="s">
        <v>1049</v>
      </c>
      <c r="Z276" s="570">
        <v>3</v>
      </c>
      <c r="AA276" s="570">
        <v>1</v>
      </c>
      <c r="AB276" s="570">
        <v>2</v>
      </c>
      <c r="AC276" s="570">
        <v>0</v>
      </c>
      <c r="AD276" s="570">
        <v>0</v>
      </c>
      <c r="AE276" s="570" t="s">
        <v>1004</v>
      </c>
      <c r="AF276" s="570">
        <v>72</v>
      </c>
      <c r="AG276" s="570" t="s">
        <v>1005</v>
      </c>
      <c r="AH276" s="570">
        <v>0</v>
      </c>
      <c r="AI276" s="570" t="s">
        <v>1006</v>
      </c>
      <c r="AJ276" s="570">
        <v>23</v>
      </c>
      <c r="AK276" s="570">
        <v>72</v>
      </c>
      <c r="AL276" s="570">
        <v>1</v>
      </c>
      <c r="AM276" s="570">
        <v>0</v>
      </c>
      <c r="AN276" s="570">
        <v>36</v>
      </c>
      <c r="AO276" s="570" t="s">
        <v>1009</v>
      </c>
      <c r="AP276" s="570" t="s">
        <v>1002</v>
      </c>
      <c r="AQ276" s="570">
        <v>3</v>
      </c>
      <c r="AR276" s="570"/>
      <c r="AS276" s="570">
        <v>1</v>
      </c>
    </row>
    <row r="277" spans="1:45" x14ac:dyDescent="0.35">
      <c r="A277" s="570">
        <v>300536877</v>
      </c>
      <c r="B277" s="570">
        <v>44</v>
      </c>
      <c r="C277" s="570">
        <v>0</v>
      </c>
      <c r="D277" s="570">
        <v>5</v>
      </c>
      <c r="E277" s="570">
        <v>0</v>
      </c>
      <c r="F277" s="570">
        <v>18.22</v>
      </c>
      <c r="G277" s="570" t="s">
        <v>1000</v>
      </c>
      <c r="H277" s="570">
        <v>2</v>
      </c>
      <c r="I277" s="570">
        <v>0</v>
      </c>
      <c r="J277" s="570">
        <v>0</v>
      </c>
      <c r="K277" s="570">
        <v>0</v>
      </c>
      <c r="L277" s="570">
        <v>3</v>
      </c>
      <c r="M277" s="570">
        <v>0</v>
      </c>
      <c r="N277" s="570" t="s">
        <v>1001</v>
      </c>
      <c r="O277" s="570">
        <v>4</v>
      </c>
      <c r="P277" s="571">
        <v>44505</v>
      </c>
      <c r="Q277" s="570">
        <v>35.098009640000001</v>
      </c>
      <c r="R277" s="570">
        <v>-97.425632350000001</v>
      </c>
      <c r="S277" s="570">
        <v>5.44</v>
      </c>
      <c r="T277" s="570" t="s">
        <v>1002</v>
      </c>
      <c r="U277" s="570" t="s">
        <v>1002</v>
      </c>
      <c r="V277" s="570">
        <v>6</v>
      </c>
      <c r="W277" s="570">
        <v>2</v>
      </c>
      <c r="X277" s="570" t="s">
        <v>1000</v>
      </c>
      <c r="Y277" s="570" t="s">
        <v>1049</v>
      </c>
      <c r="Z277" s="570">
        <v>3</v>
      </c>
      <c r="AA277" s="570">
        <v>1</v>
      </c>
      <c r="AB277" s="570">
        <v>2</v>
      </c>
      <c r="AC277" s="570">
        <v>0</v>
      </c>
      <c r="AD277" s="570">
        <v>0</v>
      </c>
      <c r="AE277" s="570" t="s">
        <v>1004</v>
      </c>
      <c r="AF277" s="570">
        <v>72</v>
      </c>
      <c r="AG277" s="570" t="s">
        <v>1005</v>
      </c>
      <c r="AH277" s="570">
        <v>0</v>
      </c>
      <c r="AI277" s="570" t="s">
        <v>1006</v>
      </c>
      <c r="AJ277" s="570">
        <v>2</v>
      </c>
      <c r="AK277" s="570">
        <v>98</v>
      </c>
      <c r="AL277" s="570">
        <v>1</v>
      </c>
      <c r="AM277" s="570">
        <v>0</v>
      </c>
      <c r="AN277" s="570">
        <v>66</v>
      </c>
      <c r="AO277" s="570" t="s">
        <v>1009</v>
      </c>
      <c r="AP277" s="570" t="s">
        <v>1008</v>
      </c>
      <c r="AQ277" s="570">
        <v>3</v>
      </c>
      <c r="AR277" s="570">
        <v>1</v>
      </c>
      <c r="AS277" s="570">
        <v>4</v>
      </c>
    </row>
    <row r="278" spans="1:45" x14ac:dyDescent="0.35">
      <c r="A278" s="570">
        <v>300536877</v>
      </c>
      <c r="B278" s="570">
        <v>44</v>
      </c>
      <c r="C278" s="570">
        <v>0</v>
      </c>
      <c r="D278" s="570">
        <v>5</v>
      </c>
      <c r="E278" s="570">
        <v>0</v>
      </c>
      <c r="F278" s="570">
        <v>18.22</v>
      </c>
      <c r="G278" s="570" t="s">
        <v>1000</v>
      </c>
      <c r="H278" s="570">
        <v>2</v>
      </c>
      <c r="I278" s="570">
        <v>0</v>
      </c>
      <c r="J278" s="570">
        <v>0</v>
      </c>
      <c r="K278" s="570">
        <v>0</v>
      </c>
      <c r="L278" s="570">
        <v>3</v>
      </c>
      <c r="M278" s="570">
        <v>0</v>
      </c>
      <c r="N278" s="570" t="s">
        <v>1001</v>
      </c>
      <c r="O278" s="570">
        <v>4</v>
      </c>
      <c r="P278" s="571">
        <v>44505</v>
      </c>
      <c r="Q278" s="570">
        <v>35.098009640000001</v>
      </c>
      <c r="R278" s="570">
        <v>-97.425632350000001</v>
      </c>
      <c r="S278" s="570">
        <v>5.44</v>
      </c>
      <c r="T278" s="570" t="s">
        <v>1002</v>
      </c>
      <c r="U278" s="570" t="s">
        <v>1002</v>
      </c>
      <c r="V278" s="570">
        <v>6</v>
      </c>
      <c r="W278" s="570">
        <v>2</v>
      </c>
      <c r="X278" s="570" t="s">
        <v>1000</v>
      </c>
      <c r="Y278" s="570" t="s">
        <v>1049</v>
      </c>
      <c r="Z278" s="570">
        <v>3</v>
      </c>
      <c r="AA278" s="570">
        <v>1</v>
      </c>
      <c r="AB278" s="570">
        <v>2</v>
      </c>
      <c r="AC278" s="570">
        <v>0</v>
      </c>
      <c r="AD278" s="570">
        <v>0</v>
      </c>
      <c r="AE278" s="570" t="s">
        <v>1004</v>
      </c>
      <c r="AF278" s="570">
        <v>72</v>
      </c>
      <c r="AG278" s="570" t="s">
        <v>1005</v>
      </c>
      <c r="AH278" s="570">
        <v>0</v>
      </c>
      <c r="AI278" s="570" t="s">
        <v>1006</v>
      </c>
      <c r="AJ278" s="570">
        <v>2</v>
      </c>
      <c r="AK278" s="570">
        <v>98</v>
      </c>
      <c r="AL278" s="570">
        <v>1</v>
      </c>
      <c r="AM278" s="570">
        <v>0</v>
      </c>
      <c r="AN278" s="570">
        <v>0</v>
      </c>
      <c r="AO278" s="570">
        <v>9</v>
      </c>
      <c r="AP278" s="570" t="s">
        <v>1002</v>
      </c>
      <c r="AQ278" s="570"/>
      <c r="AR278" s="570"/>
      <c r="AS278" s="570"/>
    </row>
    <row r="279" spans="1:45" x14ac:dyDescent="0.35">
      <c r="A279" s="570">
        <v>300536877</v>
      </c>
      <c r="B279" s="570">
        <v>44</v>
      </c>
      <c r="C279" s="570">
        <v>0</v>
      </c>
      <c r="D279" s="570">
        <v>5</v>
      </c>
      <c r="E279" s="570">
        <v>0</v>
      </c>
      <c r="F279" s="570">
        <v>18.22</v>
      </c>
      <c r="G279" s="570" t="s">
        <v>1000</v>
      </c>
      <c r="H279" s="570">
        <v>2</v>
      </c>
      <c r="I279" s="570">
        <v>0</v>
      </c>
      <c r="J279" s="570">
        <v>0</v>
      </c>
      <c r="K279" s="570">
        <v>0</v>
      </c>
      <c r="L279" s="570">
        <v>3</v>
      </c>
      <c r="M279" s="570">
        <v>0</v>
      </c>
      <c r="N279" s="570" t="s">
        <v>1001</v>
      </c>
      <c r="O279" s="570">
        <v>4</v>
      </c>
      <c r="P279" s="571">
        <v>44505</v>
      </c>
      <c r="Q279" s="570">
        <v>35.098009640000001</v>
      </c>
      <c r="R279" s="570">
        <v>-97.425632350000001</v>
      </c>
      <c r="S279" s="570">
        <v>5.44</v>
      </c>
      <c r="T279" s="570" t="s">
        <v>1002</v>
      </c>
      <c r="U279" s="570" t="s">
        <v>1002</v>
      </c>
      <c r="V279" s="570">
        <v>6</v>
      </c>
      <c r="W279" s="570">
        <v>2</v>
      </c>
      <c r="X279" s="570" t="s">
        <v>1000</v>
      </c>
      <c r="Y279" s="570" t="s">
        <v>1049</v>
      </c>
      <c r="Z279" s="570">
        <v>3</v>
      </c>
      <c r="AA279" s="570">
        <v>1</v>
      </c>
      <c r="AB279" s="570">
        <v>2</v>
      </c>
      <c r="AC279" s="570">
        <v>0</v>
      </c>
      <c r="AD279" s="570">
        <v>0</v>
      </c>
      <c r="AE279" s="570" t="s">
        <v>1004</v>
      </c>
      <c r="AF279" s="570">
        <v>72</v>
      </c>
      <c r="AG279" s="570" t="s">
        <v>1005</v>
      </c>
      <c r="AH279" s="570">
        <v>0</v>
      </c>
      <c r="AI279" s="570" t="s">
        <v>1006</v>
      </c>
      <c r="AJ279" s="570">
        <v>10</v>
      </c>
      <c r="AK279" s="570">
        <v>98</v>
      </c>
      <c r="AL279" s="570">
        <v>1</v>
      </c>
      <c r="AM279" s="570">
        <v>0</v>
      </c>
      <c r="AN279" s="570">
        <v>0</v>
      </c>
      <c r="AO279" s="570">
        <v>9</v>
      </c>
      <c r="AP279" s="570" t="s">
        <v>1008</v>
      </c>
      <c r="AQ279" s="570">
        <v>1</v>
      </c>
      <c r="AR279" s="570">
        <v>99</v>
      </c>
      <c r="AS279" s="570">
        <v>99</v>
      </c>
    </row>
    <row r="280" spans="1:45" x14ac:dyDescent="0.35">
      <c r="A280" s="570">
        <v>300536886</v>
      </c>
      <c r="B280" s="570">
        <v>44</v>
      </c>
      <c r="C280" s="570">
        <v>0</v>
      </c>
      <c r="D280" s="570">
        <v>5</v>
      </c>
      <c r="E280" s="570">
        <v>0</v>
      </c>
      <c r="F280" s="570">
        <v>18.82</v>
      </c>
      <c r="G280" s="570" t="s">
        <v>1000</v>
      </c>
      <c r="H280" s="570">
        <v>2</v>
      </c>
      <c r="I280" s="570">
        <v>0</v>
      </c>
      <c r="J280" s="570">
        <v>0</v>
      </c>
      <c r="K280" s="570">
        <v>0</v>
      </c>
      <c r="L280" s="570">
        <v>1</v>
      </c>
      <c r="M280" s="570">
        <v>0</v>
      </c>
      <c r="N280" s="570" t="s">
        <v>1001</v>
      </c>
      <c r="O280" s="570">
        <v>4</v>
      </c>
      <c r="P280" s="571">
        <v>44505</v>
      </c>
      <c r="Q280" s="570">
        <v>35.104956389999998</v>
      </c>
      <c r="R280" s="570">
        <v>-97.432016259999997</v>
      </c>
      <c r="S280" s="570">
        <v>4.1399999999999997</v>
      </c>
      <c r="T280" s="570" t="s">
        <v>1002</v>
      </c>
      <c r="U280" s="570" t="s">
        <v>1002</v>
      </c>
      <c r="V280" s="570">
        <v>6</v>
      </c>
      <c r="W280" s="570">
        <v>2</v>
      </c>
      <c r="X280" s="570" t="s">
        <v>1000</v>
      </c>
      <c r="Y280" s="570" t="s">
        <v>1049</v>
      </c>
      <c r="Z280" s="570">
        <v>3</v>
      </c>
      <c r="AA280" s="570">
        <v>1</v>
      </c>
      <c r="AB280" s="570">
        <v>0</v>
      </c>
      <c r="AC280" s="570">
        <v>0</v>
      </c>
      <c r="AD280" s="570">
        <v>0</v>
      </c>
      <c r="AE280" s="570" t="s">
        <v>1011</v>
      </c>
      <c r="AF280" s="570">
        <v>18</v>
      </c>
      <c r="AG280" s="570" t="s">
        <v>1020</v>
      </c>
      <c r="AH280" s="570">
        <v>0</v>
      </c>
      <c r="AI280" s="570" t="s">
        <v>1006</v>
      </c>
      <c r="AJ280" s="570">
        <v>2</v>
      </c>
      <c r="AK280" s="570">
        <v>18</v>
      </c>
      <c r="AL280" s="570">
        <v>1</v>
      </c>
      <c r="AM280" s="570">
        <v>0</v>
      </c>
      <c r="AN280" s="570">
        <v>29</v>
      </c>
      <c r="AO280" s="570" t="s">
        <v>1009</v>
      </c>
      <c r="AP280" s="570" t="s">
        <v>1008</v>
      </c>
      <c r="AQ280" s="570">
        <v>4</v>
      </c>
      <c r="AR280" s="570">
        <v>99</v>
      </c>
      <c r="AS280" s="570">
        <v>4</v>
      </c>
    </row>
    <row r="281" spans="1:45" x14ac:dyDescent="0.35">
      <c r="A281" s="570">
        <v>300536886</v>
      </c>
      <c r="B281" s="570">
        <v>44</v>
      </c>
      <c r="C281" s="570">
        <v>0</v>
      </c>
      <c r="D281" s="570">
        <v>5</v>
      </c>
      <c r="E281" s="570">
        <v>0</v>
      </c>
      <c r="F281" s="570">
        <v>18.82</v>
      </c>
      <c r="G281" s="570" t="s">
        <v>1000</v>
      </c>
      <c r="H281" s="570">
        <v>2</v>
      </c>
      <c r="I281" s="570">
        <v>0</v>
      </c>
      <c r="J281" s="570">
        <v>0</v>
      </c>
      <c r="K281" s="570">
        <v>0</v>
      </c>
      <c r="L281" s="570">
        <v>1</v>
      </c>
      <c r="M281" s="570">
        <v>0</v>
      </c>
      <c r="N281" s="570" t="s">
        <v>1001</v>
      </c>
      <c r="O281" s="570">
        <v>4</v>
      </c>
      <c r="P281" s="571">
        <v>44505</v>
      </c>
      <c r="Q281" s="570">
        <v>35.104956389999998</v>
      </c>
      <c r="R281" s="570">
        <v>-97.432016259999997</v>
      </c>
      <c r="S281" s="570">
        <v>4.1399999999999997</v>
      </c>
      <c r="T281" s="570" t="s">
        <v>1002</v>
      </c>
      <c r="U281" s="570" t="s">
        <v>1002</v>
      </c>
      <c r="V281" s="570">
        <v>6</v>
      </c>
      <c r="W281" s="570">
        <v>2</v>
      </c>
      <c r="X281" s="570" t="s">
        <v>1000</v>
      </c>
      <c r="Y281" s="570" t="s">
        <v>1049</v>
      </c>
      <c r="Z281" s="570">
        <v>3</v>
      </c>
      <c r="AA281" s="570">
        <v>1</v>
      </c>
      <c r="AB281" s="570">
        <v>0</v>
      </c>
      <c r="AC281" s="570">
        <v>0</v>
      </c>
      <c r="AD281" s="570">
        <v>0</v>
      </c>
      <c r="AE281" s="570" t="s">
        <v>1011</v>
      </c>
      <c r="AF281" s="570">
        <v>18</v>
      </c>
      <c r="AG281" s="570" t="s">
        <v>1020</v>
      </c>
      <c r="AH281" s="570">
        <v>0</v>
      </c>
      <c r="AI281" s="570" t="s">
        <v>1006</v>
      </c>
      <c r="AJ281" s="570">
        <v>2</v>
      </c>
      <c r="AK281" s="570">
        <v>18</v>
      </c>
      <c r="AL281" s="570">
        <v>1</v>
      </c>
      <c r="AM281" s="570">
        <v>0</v>
      </c>
      <c r="AN281" s="570">
        <v>0</v>
      </c>
      <c r="AO281" s="570">
        <v>9</v>
      </c>
      <c r="AP281" s="570" t="s">
        <v>1002</v>
      </c>
      <c r="AQ281" s="570"/>
      <c r="AR281" s="570"/>
      <c r="AS281" s="570"/>
    </row>
    <row r="282" spans="1:45" x14ac:dyDescent="0.35">
      <c r="A282" s="570">
        <v>300536886</v>
      </c>
      <c r="B282" s="570">
        <v>44</v>
      </c>
      <c r="C282" s="570">
        <v>0</v>
      </c>
      <c r="D282" s="570">
        <v>5</v>
      </c>
      <c r="E282" s="570">
        <v>0</v>
      </c>
      <c r="F282" s="570">
        <v>18.82</v>
      </c>
      <c r="G282" s="570" t="s">
        <v>1000</v>
      </c>
      <c r="H282" s="570">
        <v>2</v>
      </c>
      <c r="I282" s="570">
        <v>0</v>
      </c>
      <c r="J282" s="570">
        <v>0</v>
      </c>
      <c r="K282" s="570">
        <v>0</v>
      </c>
      <c r="L282" s="570">
        <v>1</v>
      </c>
      <c r="M282" s="570">
        <v>0</v>
      </c>
      <c r="N282" s="570" t="s">
        <v>1001</v>
      </c>
      <c r="O282" s="570">
        <v>4</v>
      </c>
      <c r="P282" s="571">
        <v>44505</v>
      </c>
      <c r="Q282" s="570">
        <v>35.104956389999998</v>
      </c>
      <c r="R282" s="570">
        <v>-97.432016259999997</v>
      </c>
      <c r="S282" s="570">
        <v>4.1399999999999997</v>
      </c>
      <c r="T282" s="570" t="s">
        <v>1002</v>
      </c>
      <c r="U282" s="570" t="s">
        <v>1002</v>
      </c>
      <c r="V282" s="570">
        <v>6</v>
      </c>
      <c r="W282" s="570">
        <v>2</v>
      </c>
      <c r="X282" s="570" t="s">
        <v>1000</v>
      </c>
      <c r="Y282" s="570" t="s">
        <v>1049</v>
      </c>
      <c r="Z282" s="570">
        <v>3</v>
      </c>
      <c r="AA282" s="570">
        <v>1</v>
      </c>
      <c r="AB282" s="570">
        <v>0</v>
      </c>
      <c r="AC282" s="570">
        <v>0</v>
      </c>
      <c r="AD282" s="570">
        <v>0</v>
      </c>
      <c r="AE282" s="570" t="s">
        <v>1011</v>
      </c>
      <c r="AF282" s="570">
        <v>18</v>
      </c>
      <c r="AG282" s="570" t="s">
        <v>1020</v>
      </c>
      <c r="AH282" s="570">
        <v>0</v>
      </c>
      <c r="AI282" s="570" t="s">
        <v>1006</v>
      </c>
      <c r="AJ282" s="570">
        <v>11</v>
      </c>
      <c r="AK282" s="570">
        <v>98</v>
      </c>
      <c r="AL282" s="570">
        <v>1</v>
      </c>
      <c r="AM282" s="570">
        <v>0</v>
      </c>
      <c r="AN282" s="570">
        <v>50</v>
      </c>
      <c r="AO282" s="570" t="s">
        <v>1009</v>
      </c>
      <c r="AP282" s="570" t="s">
        <v>1008</v>
      </c>
      <c r="AQ282" s="570">
        <v>1</v>
      </c>
      <c r="AR282" s="570">
        <v>1</v>
      </c>
      <c r="AS282" s="570">
        <v>4</v>
      </c>
    </row>
    <row r="283" spans="1:45" x14ac:dyDescent="0.35">
      <c r="A283" s="570">
        <v>300536886</v>
      </c>
      <c r="B283" s="570">
        <v>44</v>
      </c>
      <c r="C283" s="570">
        <v>0</v>
      </c>
      <c r="D283" s="570">
        <v>5</v>
      </c>
      <c r="E283" s="570">
        <v>0</v>
      </c>
      <c r="F283" s="570">
        <v>18.82</v>
      </c>
      <c r="G283" s="570" t="s">
        <v>1000</v>
      </c>
      <c r="H283" s="570">
        <v>2</v>
      </c>
      <c r="I283" s="570">
        <v>0</v>
      </c>
      <c r="J283" s="570">
        <v>0</v>
      </c>
      <c r="K283" s="570">
        <v>0</v>
      </c>
      <c r="L283" s="570">
        <v>1</v>
      </c>
      <c r="M283" s="570">
        <v>0</v>
      </c>
      <c r="N283" s="570" t="s">
        <v>1001</v>
      </c>
      <c r="O283" s="570">
        <v>4</v>
      </c>
      <c r="P283" s="571">
        <v>44505</v>
      </c>
      <c r="Q283" s="570">
        <v>35.104956389999998</v>
      </c>
      <c r="R283" s="570">
        <v>-97.432016259999997</v>
      </c>
      <c r="S283" s="570">
        <v>4.1399999999999997</v>
      </c>
      <c r="T283" s="570" t="s">
        <v>1002</v>
      </c>
      <c r="U283" s="570" t="s">
        <v>1002</v>
      </c>
      <c r="V283" s="570">
        <v>6</v>
      </c>
      <c r="W283" s="570">
        <v>2</v>
      </c>
      <c r="X283" s="570" t="s">
        <v>1000</v>
      </c>
      <c r="Y283" s="570" t="s">
        <v>1049</v>
      </c>
      <c r="Z283" s="570">
        <v>3</v>
      </c>
      <c r="AA283" s="570">
        <v>1</v>
      </c>
      <c r="AB283" s="570">
        <v>0</v>
      </c>
      <c r="AC283" s="570">
        <v>0</v>
      </c>
      <c r="AD283" s="570">
        <v>0</v>
      </c>
      <c r="AE283" s="570" t="s">
        <v>1011</v>
      </c>
      <c r="AF283" s="570">
        <v>18</v>
      </c>
      <c r="AG283" s="570" t="s">
        <v>1020</v>
      </c>
      <c r="AH283" s="570">
        <v>0</v>
      </c>
      <c r="AI283" s="570" t="s">
        <v>1006</v>
      </c>
      <c r="AJ283" s="570">
        <v>11</v>
      </c>
      <c r="AK283" s="570">
        <v>98</v>
      </c>
      <c r="AL283" s="570">
        <v>1</v>
      </c>
      <c r="AM283" s="570">
        <v>0</v>
      </c>
      <c r="AN283" s="570">
        <v>0</v>
      </c>
      <c r="AO283" s="570">
        <v>9</v>
      </c>
      <c r="AP283" s="570" t="s">
        <v>1002</v>
      </c>
      <c r="AQ283" s="570"/>
      <c r="AR283" s="570"/>
      <c r="AS283" s="570"/>
    </row>
    <row r="284" spans="1:45" x14ac:dyDescent="0.35">
      <c r="A284" s="570">
        <v>300543271</v>
      </c>
      <c r="B284" s="570">
        <v>44</v>
      </c>
      <c r="C284" s="570">
        <v>0</v>
      </c>
      <c r="D284" s="570">
        <v>5</v>
      </c>
      <c r="E284" s="570">
        <v>0</v>
      </c>
      <c r="F284" s="570">
        <v>18.03</v>
      </c>
      <c r="G284" s="570" t="s">
        <v>1000</v>
      </c>
      <c r="H284" s="570">
        <v>2</v>
      </c>
      <c r="I284" s="570">
        <v>0</v>
      </c>
      <c r="J284" s="570">
        <v>0</v>
      </c>
      <c r="K284" s="570">
        <v>0</v>
      </c>
      <c r="L284" s="570">
        <v>0</v>
      </c>
      <c r="M284" s="570">
        <v>0</v>
      </c>
      <c r="N284" s="570" t="s">
        <v>1014</v>
      </c>
      <c r="O284" s="570">
        <v>1</v>
      </c>
      <c r="P284" s="571">
        <v>44554</v>
      </c>
      <c r="Q284" s="570">
        <v>35.09583086</v>
      </c>
      <c r="R284" s="570">
        <v>-97.423577379999998</v>
      </c>
      <c r="S284" s="570">
        <v>15.19</v>
      </c>
      <c r="T284" s="570" t="s">
        <v>1008</v>
      </c>
      <c r="U284" s="570" t="s">
        <v>1002</v>
      </c>
      <c r="V284" s="570">
        <v>6</v>
      </c>
      <c r="W284" s="570">
        <v>1</v>
      </c>
      <c r="X284" s="570" t="s">
        <v>1000</v>
      </c>
      <c r="Y284" s="570" t="s">
        <v>1013</v>
      </c>
      <c r="Z284" s="570">
        <v>1</v>
      </c>
      <c r="AA284" s="570">
        <v>0</v>
      </c>
      <c r="AB284" s="570">
        <v>0</v>
      </c>
      <c r="AC284" s="570">
        <v>0</v>
      </c>
      <c r="AD284" s="570">
        <v>0</v>
      </c>
      <c r="AE284" s="570" t="s">
        <v>1041</v>
      </c>
      <c r="AF284" s="570">
        <v>80</v>
      </c>
      <c r="AG284" s="570" t="s">
        <v>1020</v>
      </c>
      <c r="AH284" s="570">
        <v>0</v>
      </c>
      <c r="AI284" s="570" t="s">
        <v>1006</v>
      </c>
      <c r="AJ284" s="570">
        <v>4</v>
      </c>
      <c r="AK284" s="570">
        <v>80</v>
      </c>
      <c r="AL284" s="570">
        <v>1</v>
      </c>
      <c r="AM284" s="570">
        <v>0</v>
      </c>
      <c r="AN284" s="570">
        <v>44</v>
      </c>
      <c r="AO284" s="570" t="s">
        <v>1009</v>
      </c>
      <c r="AP284" s="570" t="s">
        <v>1008</v>
      </c>
      <c r="AQ284" s="570">
        <v>1</v>
      </c>
      <c r="AR284" s="570">
        <v>2</v>
      </c>
      <c r="AS284" s="570">
        <v>4</v>
      </c>
    </row>
    <row r="285" spans="1:45" x14ac:dyDescent="0.35">
      <c r="A285" s="570">
        <v>300543271</v>
      </c>
      <c r="B285" s="570">
        <v>44</v>
      </c>
      <c r="C285" s="570">
        <v>0</v>
      </c>
      <c r="D285" s="570">
        <v>5</v>
      </c>
      <c r="E285" s="570">
        <v>0</v>
      </c>
      <c r="F285" s="570">
        <v>18.03</v>
      </c>
      <c r="G285" s="570" t="s">
        <v>1000</v>
      </c>
      <c r="H285" s="570">
        <v>2</v>
      </c>
      <c r="I285" s="570">
        <v>0</v>
      </c>
      <c r="J285" s="570">
        <v>0</v>
      </c>
      <c r="K285" s="570">
        <v>0</v>
      </c>
      <c r="L285" s="570">
        <v>0</v>
      </c>
      <c r="M285" s="570">
        <v>0</v>
      </c>
      <c r="N285" s="570" t="s">
        <v>1014</v>
      </c>
      <c r="O285" s="570">
        <v>1</v>
      </c>
      <c r="P285" s="571">
        <v>44554</v>
      </c>
      <c r="Q285" s="570">
        <v>35.09583086</v>
      </c>
      <c r="R285" s="570">
        <v>-97.423577379999998</v>
      </c>
      <c r="S285" s="570">
        <v>15.19</v>
      </c>
      <c r="T285" s="570" t="s">
        <v>1008</v>
      </c>
      <c r="U285" s="570" t="s">
        <v>1002</v>
      </c>
      <c r="V285" s="570">
        <v>6</v>
      </c>
      <c r="W285" s="570">
        <v>1</v>
      </c>
      <c r="X285" s="570" t="s">
        <v>1000</v>
      </c>
      <c r="Y285" s="570" t="s">
        <v>1013</v>
      </c>
      <c r="Z285" s="570">
        <v>1</v>
      </c>
      <c r="AA285" s="570">
        <v>0</v>
      </c>
      <c r="AB285" s="570">
        <v>0</v>
      </c>
      <c r="AC285" s="570">
        <v>0</v>
      </c>
      <c r="AD285" s="570">
        <v>0</v>
      </c>
      <c r="AE285" s="570" t="s">
        <v>1041</v>
      </c>
      <c r="AF285" s="570">
        <v>80</v>
      </c>
      <c r="AG285" s="570" t="s">
        <v>1020</v>
      </c>
      <c r="AH285" s="570">
        <v>0</v>
      </c>
      <c r="AI285" s="570" t="s">
        <v>1006</v>
      </c>
      <c r="AJ285" s="570">
        <v>4</v>
      </c>
      <c r="AK285" s="570">
        <v>80</v>
      </c>
      <c r="AL285" s="570">
        <v>1</v>
      </c>
      <c r="AM285" s="570">
        <v>0</v>
      </c>
      <c r="AN285" s="570">
        <v>0</v>
      </c>
      <c r="AO285" s="570">
        <v>9</v>
      </c>
      <c r="AP285" s="570" t="s">
        <v>1002</v>
      </c>
      <c r="AQ285" s="570"/>
      <c r="AR285" s="570"/>
      <c r="AS285" s="570"/>
    </row>
    <row r="286" spans="1:45" x14ac:dyDescent="0.35">
      <c r="A286" s="570">
        <v>300543271</v>
      </c>
      <c r="B286" s="570">
        <v>44</v>
      </c>
      <c r="C286" s="570">
        <v>0</v>
      </c>
      <c r="D286" s="570">
        <v>5</v>
      </c>
      <c r="E286" s="570">
        <v>0</v>
      </c>
      <c r="F286" s="570">
        <v>18.03</v>
      </c>
      <c r="G286" s="570" t="s">
        <v>1000</v>
      </c>
      <c r="H286" s="570">
        <v>2</v>
      </c>
      <c r="I286" s="570">
        <v>0</v>
      </c>
      <c r="J286" s="570">
        <v>0</v>
      </c>
      <c r="K286" s="570">
        <v>0</v>
      </c>
      <c r="L286" s="570">
        <v>0</v>
      </c>
      <c r="M286" s="570">
        <v>0</v>
      </c>
      <c r="N286" s="570" t="s">
        <v>1014</v>
      </c>
      <c r="O286" s="570">
        <v>1</v>
      </c>
      <c r="P286" s="571">
        <v>44554</v>
      </c>
      <c r="Q286" s="570">
        <v>35.09583086</v>
      </c>
      <c r="R286" s="570">
        <v>-97.423577379999998</v>
      </c>
      <c r="S286" s="570">
        <v>15.19</v>
      </c>
      <c r="T286" s="570" t="s">
        <v>1008</v>
      </c>
      <c r="U286" s="570" t="s">
        <v>1002</v>
      </c>
      <c r="V286" s="570">
        <v>6</v>
      </c>
      <c r="W286" s="570">
        <v>1</v>
      </c>
      <c r="X286" s="570" t="s">
        <v>1000</v>
      </c>
      <c r="Y286" s="570" t="s">
        <v>1013</v>
      </c>
      <c r="Z286" s="570">
        <v>1</v>
      </c>
      <c r="AA286" s="570">
        <v>0</v>
      </c>
      <c r="AB286" s="570">
        <v>0</v>
      </c>
      <c r="AC286" s="570">
        <v>0</v>
      </c>
      <c r="AD286" s="570">
        <v>0</v>
      </c>
      <c r="AE286" s="570" t="s">
        <v>1041</v>
      </c>
      <c r="AF286" s="570">
        <v>80</v>
      </c>
      <c r="AG286" s="570" t="s">
        <v>1020</v>
      </c>
      <c r="AH286" s="570">
        <v>0</v>
      </c>
      <c r="AI286" s="570" t="s">
        <v>1036</v>
      </c>
      <c r="AJ286" s="570">
        <v>2</v>
      </c>
      <c r="AK286" s="570">
        <v>98</v>
      </c>
      <c r="AL286" s="570">
        <v>1</v>
      </c>
      <c r="AM286" s="570">
        <v>0</v>
      </c>
      <c r="AN286" s="570">
        <v>0</v>
      </c>
      <c r="AO286" s="570"/>
      <c r="AP286" s="570" t="s">
        <v>1002</v>
      </c>
      <c r="AQ286" s="570">
        <v>0</v>
      </c>
      <c r="AR286" s="570">
        <v>0</v>
      </c>
      <c r="AS286" s="570">
        <v>0</v>
      </c>
    </row>
    <row r="287" spans="1:45" x14ac:dyDescent="0.35">
      <c r="A287" s="570">
        <v>300543271</v>
      </c>
      <c r="B287" s="570">
        <v>44</v>
      </c>
      <c r="C287" s="570">
        <v>0</v>
      </c>
      <c r="D287" s="570">
        <v>5</v>
      </c>
      <c r="E287" s="570">
        <v>0</v>
      </c>
      <c r="F287" s="570">
        <v>18.03</v>
      </c>
      <c r="G287" s="570" t="s">
        <v>1000</v>
      </c>
      <c r="H287" s="570">
        <v>2</v>
      </c>
      <c r="I287" s="570">
        <v>0</v>
      </c>
      <c r="J287" s="570">
        <v>0</v>
      </c>
      <c r="K287" s="570">
        <v>0</v>
      </c>
      <c r="L287" s="570">
        <v>0</v>
      </c>
      <c r="M287" s="570">
        <v>0</v>
      </c>
      <c r="N287" s="570" t="s">
        <v>1014</v>
      </c>
      <c r="O287" s="570">
        <v>1</v>
      </c>
      <c r="P287" s="571">
        <v>44554</v>
      </c>
      <c r="Q287" s="570">
        <v>35.09583086</v>
      </c>
      <c r="R287" s="570">
        <v>-97.423577379999998</v>
      </c>
      <c r="S287" s="570">
        <v>15.19</v>
      </c>
      <c r="T287" s="570" t="s">
        <v>1008</v>
      </c>
      <c r="U287" s="570" t="s">
        <v>1002</v>
      </c>
      <c r="V287" s="570">
        <v>6</v>
      </c>
      <c r="W287" s="570">
        <v>1</v>
      </c>
      <c r="X287" s="570" t="s">
        <v>1000</v>
      </c>
      <c r="Y287" s="570" t="s">
        <v>1013</v>
      </c>
      <c r="Z287" s="570">
        <v>1</v>
      </c>
      <c r="AA287" s="570">
        <v>0</v>
      </c>
      <c r="AB287" s="570">
        <v>0</v>
      </c>
      <c r="AC287" s="570">
        <v>0</v>
      </c>
      <c r="AD287" s="570">
        <v>0</v>
      </c>
      <c r="AE287" s="570" t="s">
        <v>1041</v>
      </c>
      <c r="AF287" s="570">
        <v>80</v>
      </c>
      <c r="AG287" s="570" t="s">
        <v>1020</v>
      </c>
      <c r="AH287" s="570">
        <v>0</v>
      </c>
      <c r="AI287" s="570" t="s">
        <v>1036</v>
      </c>
      <c r="AJ287" s="570">
        <v>2</v>
      </c>
      <c r="AK287" s="570">
        <v>98</v>
      </c>
      <c r="AL287" s="570">
        <v>1</v>
      </c>
      <c r="AM287" s="570">
        <v>0</v>
      </c>
      <c r="AN287" s="570">
        <v>0</v>
      </c>
      <c r="AO287" s="570">
        <v>9</v>
      </c>
      <c r="AP287" s="570" t="s">
        <v>1002</v>
      </c>
      <c r="AQ287" s="570"/>
      <c r="AR287" s="570"/>
      <c r="AS287" s="570"/>
    </row>
    <row r="288" spans="1:45" x14ac:dyDescent="0.35">
      <c r="A288" s="570">
        <v>300548049</v>
      </c>
      <c r="B288" s="570">
        <v>44</v>
      </c>
      <c r="C288" s="570">
        <v>0</v>
      </c>
      <c r="D288" s="570">
        <v>5</v>
      </c>
      <c r="E288" s="570">
        <v>0</v>
      </c>
      <c r="F288" s="570">
        <v>18.82</v>
      </c>
      <c r="G288" s="570" t="s">
        <v>1000</v>
      </c>
      <c r="H288" s="570">
        <v>2</v>
      </c>
      <c r="I288" s="570">
        <v>0</v>
      </c>
      <c r="J288" s="570">
        <v>0</v>
      </c>
      <c r="K288" s="570">
        <v>0</v>
      </c>
      <c r="L288" s="570">
        <v>0</v>
      </c>
      <c r="M288" s="570">
        <v>0</v>
      </c>
      <c r="N288" s="570" t="s">
        <v>1010</v>
      </c>
      <c r="O288" s="570">
        <v>1</v>
      </c>
      <c r="P288" s="571">
        <v>44595</v>
      </c>
      <c r="Q288" s="570">
        <v>35.104956389999998</v>
      </c>
      <c r="R288" s="570">
        <v>-97.432016259999997</v>
      </c>
      <c r="S288" s="570">
        <v>0.4</v>
      </c>
      <c r="T288" s="570" t="s">
        <v>1002</v>
      </c>
      <c r="U288" s="570" t="s">
        <v>1002</v>
      </c>
      <c r="V288" s="570">
        <v>5</v>
      </c>
      <c r="W288" s="570">
        <v>2</v>
      </c>
      <c r="X288" s="570" t="s">
        <v>1000</v>
      </c>
      <c r="Y288" s="570" t="s">
        <v>1054</v>
      </c>
      <c r="Z288" s="570">
        <v>5</v>
      </c>
      <c r="AA288" s="570">
        <v>0</v>
      </c>
      <c r="AB288" s="570">
        <v>0</v>
      </c>
      <c r="AC288" s="570">
        <v>0</v>
      </c>
      <c r="AD288" s="570">
        <v>0</v>
      </c>
      <c r="AE288" s="570" t="s">
        <v>1011</v>
      </c>
      <c r="AF288" s="570">
        <v>23</v>
      </c>
      <c r="AG288" s="570" t="s">
        <v>1012</v>
      </c>
      <c r="AH288" s="570">
        <v>0</v>
      </c>
      <c r="AI288" s="570" t="s">
        <v>1006</v>
      </c>
      <c r="AJ288" s="570">
        <v>8</v>
      </c>
      <c r="AK288" s="570">
        <v>23</v>
      </c>
      <c r="AL288" s="570">
        <v>4</v>
      </c>
      <c r="AM288" s="570">
        <v>0</v>
      </c>
      <c r="AN288" s="570">
        <v>31</v>
      </c>
      <c r="AO288" s="570" t="s">
        <v>1007</v>
      </c>
      <c r="AP288" s="570" t="s">
        <v>1008</v>
      </c>
      <c r="AQ288" s="570">
        <v>1</v>
      </c>
      <c r="AR288" s="570">
        <v>1</v>
      </c>
      <c r="AS288" s="570">
        <v>4</v>
      </c>
    </row>
    <row r="289" spans="1:45" x14ac:dyDescent="0.35">
      <c r="A289" s="570">
        <v>300548049</v>
      </c>
      <c r="B289" s="570">
        <v>44</v>
      </c>
      <c r="C289" s="570">
        <v>0</v>
      </c>
      <c r="D289" s="570">
        <v>5</v>
      </c>
      <c r="E289" s="570">
        <v>0</v>
      </c>
      <c r="F289" s="570">
        <v>18.82</v>
      </c>
      <c r="G289" s="570" t="s">
        <v>1000</v>
      </c>
      <c r="H289" s="570">
        <v>2</v>
      </c>
      <c r="I289" s="570">
        <v>0</v>
      </c>
      <c r="J289" s="570">
        <v>0</v>
      </c>
      <c r="K289" s="570">
        <v>0</v>
      </c>
      <c r="L289" s="570">
        <v>0</v>
      </c>
      <c r="M289" s="570">
        <v>0</v>
      </c>
      <c r="N289" s="570" t="s">
        <v>1010</v>
      </c>
      <c r="O289" s="570">
        <v>1</v>
      </c>
      <c r="P289" s="571">
        <v>44595</v>
      </c>
      <c r="Q289" s="570">
        <v>35.104956389999998</v>
      </c>
      <c r="R289" s="570">
        <v>-97.432016259999997</v>
      </c>
      <c r="S289" s="570">
        <v>0.4</v>
      </c>
      <c r="T289" s="570" t="s">
        <v>1002</v>
      </c>
      <c r="U289" s="570" t="s">
        <v>1002</v>
      </c>
      <c r="V289" s="570">
        <v>5</v>
      </c>
      <c r="W289" s="570">
        <v>2</v>
      </c>
      <c r="X289" s="570" t="s">
        <v>1000</v>
      </c>
      <c r="Y289" s="570" t="s">
        <v>1054</v>
      </c>
      <c r="Z289" s="570">
        <v>5</v>
      </c>
      <c r="AA289" s="570">
        <v>0</v>
      </c>
      <c r="AB289" s="570">
        <v>0</v>
      </c>
      <c r="AC289" s="570">
        <v>0</v>
      </c>
      <c r="AD289" s="570">
        <v>0</v>
      </c>
      <c r="AE289" s="570" t="s">
        <v>1011</v>
      </c>
      <c r="AF289" s="570">
        <v>23</v>
      </c>
      <c r="AG289" s="570" t="s">
        <v>1012</v>
      </c>
      <c r="AH289" s="570">
        <v>0</v>
      </c>
      <c r="AI289" s="570" t="s">
        <v>1006</v>
      </c>
      <c r="AJ289" s="570">
        <v>8</v>
      </c>
      <c r="AK289" s="570">
        <v>23</v>
      </c>
      <c r="AL289" s="570">
        <v>4</v>
      </c>
      <c r="AM289" s="570">
        <v>0</v>
      </c>
      <c r="AN289" s="570">
        <v>0</v>
      </c>
      <c r="AO289" s="570">
        <v>9</v>
      </c>
      <c r="AP289" s="570" t="s">
        <v>1002</v>
      </c>
      <c r="AQ289" s="570"/>
      <c r="AR289" s="570"/>
      <c r="AS289" s="570"/>
    </row>
    <row r="290" spans="1:45" x14ac:dyDescent="0.35">
      <c r="A290" s="570">
        <v>300548050</v>
      </c>
      <c r="B290" s="570">
        <v>44</v>
      </c>
      <c r="C290" s="570">
        <v>15</v>
      </c>
      <c r="D290" s="570">
        <v>5</v>
      </c>
      <c r="E290" s="570">
        <v>0</v>
      </c>
      <c r="F290" s="570">
        <v>16.829999999999998</v>
      </c>
      <c r="G290" s="570" t="s">
        <v>1000</v>
      </c>
      <c r="H290" s="570">
        <v>2</v>
      </c>
      <c r="I290" s="570">
        <v>0</v>
      </c>
      <c r="J290" s="570">
        <v>0</v>
      </c>
      <c r="K290" s="570">
        <v>0</v>
      </c>
      <c r="L290" s="570">
        <v>0</v>
      </c>
      <c r="M290" s="570">
        <v>0</v>
      </c>
      <c r="N290" s="570" t="s">
        <v>1010</v>
      </c>
      <c r="O290" s="570">
        <v>1</v>
      </c>
      <c r="P290" s="571">
        <v>44594</v>
      </c>
      <c r="Q290" s="570">
        <v>35.082097349999998</v>
      </c>
      <c r="R290" s="570">
        <v>-97.410558960000003</v>
      </c>
      <c r="S290" s="570">
        <v>15.51</v>
      </c>
      <c r="T290" s="570" t="s">
        <v>1002</v>
      </c>
      <c r="U290" s="570" t="s">
        <v>1002</v>
      </c>
      <c r="V290" s="570">
        <v>4</v>
      </c>
      <c r="W290" s="570">
        <v>1</v>
      </c>
      <c r="X290" s="570" t="s">
        <v>1000</v>
      </c>
      <c r="Y290" s="570" t="s">
        <v>1055</v>
      </c>
      <c r="Z290" s="570">
        <v>6</v>
      </c>
      <c r="AA290" s="570">
        <v>0</v>
      </c>
      <c r="AB290" s="570">
        <v>0</v>
      </c>
      <c r="AC290" s="570">
        <v>0</v>
      </c>
      <c r="AD290" s="570">
        <v>0</v>
      </c>
      <c r="AE290" s="570" t="s">
        <v>1011</v>
      </c>
      <c r="AF290" s="570">
        <v>21</v>
      </c>
      <c r="AG290" s="570" t="s">
        <v>1012</v>
      </c>
      <c r="AH290" s="570">
        <v>0</v>
      </c>
      <c r="AI290" s="570" t="s">
        <v>1006</v>
      </c>
      <c r="AJ290" s="570">
        <v>2</v>
      </c>
      <c r="AK290" s="570">
        <v>21</v>
      </c>
      <c r="AL290" s="570">
        <v>3</v>
      </c>
      <c r="AM290" s="570">
        <v>0</v>
      </c>
      <c r="AN290" s="570">
        <v>56</v>
      </c>
      <c r="AO290" s="570" t="s">
        <v>1009</v>
      </c>
      <c r="AP290" s="570" t="s">
        <v>1008</v>
      </c>
      <c r="AQ290" s="570">
        <v>1</v>
      </c>
      <c r="AR290" s="570">
        <v>1</v>
      </c>
      <c r="AS290" s="570">
        <v>4</v>
      </c>
    </row>
    <row r="291" spans="1:45" x14ac:dyDescent="0.35">
      <c r="A291" s="570">
        <v>300548050</v>
      </c>
      <c r="B291" s="570">
        <v>44</v>
      </c>
      <c r="C291" s="570">
        <v>15</v>
      </c>
      <c r="D291" s="570">
        <v>5</v>
      </c>
      <c r="E291" s="570">
        <v>0</v>
      </c>
      <c r="F291" s="570">
        <v>16.829999999999998</v>
      </c>
      <c r="G291" s="570" t="s">
        <v>1000</v>
      </c>
      <c r="H291" s="570">
        <v>2</v>
      </c>
      <c r="I291" s="570">
        <v>0</v>
      </c>
      <c r="J291" s="570">
        <v>0</v>
      </c>
      <c r="K291" s="570">
        <v>0</v>
      </c>
      <c r="L291" s="570">
        <v>0</v>
      </c>
      <c r="M291" s="570">
        <v>0</v>
      </c>
      <c r="N291" s="570" t="s">
        <v>1010</v>
      </c>
      <c r="O291" s="570">
        <v>1</v>
      </c>
      <c r="P291" s="571">
        <v>44594</v>
      </c>
      <c r="Q291" s="570">
        <v>35.082097349999998</v>
      </c>
      <c r="R291" s="570">
        <v>-97.410558960000003</v>
      </c>
      <c r="S291" s="570">
        <v>15.51</v>
      </c>
      <c r="T291" s="570" t="s">
        <v>1002</v>
      </c>
      <c r="U291" s="570" t="s">
        <v>1002</v>
      </c>
      <c r="V291" s="570">
        <v>4</v>
      </c>
      <c r="W291" s="570">
        <v>1</v>
      </c>
      <c r="X291" s="570" t="s">
        <v>1000</v>
      </c>
      <c r="Y291" s="570" t="s">
        <v>1055</v>
      </c>
      <c r="Z291" s="570">
        <v>6</v>
      </c>
      <c r="AA291" s="570">
        <v>0</v>
      </c>
      <c r="AB291" s="570">
        <v>0</v>
      </c>
      <c r="AC291" s="570">
        <v>0</v>
      </c>
      <c r="AD291" s="570">
        <v>0</v>
      </c>
      <c r="AE291" s="570" t="s">
        <v>1011</v>
      </c>
      <c r="AF291" s="570">
        <v>21</v>
      </c>
      <c r="AG291" s="570" t="s">
        <v>1012</v>
      </c>
      <c r="AH291" s="570">
        <v>0</v>
      </c>
      <c r="AI291" s="570" t="s">
        <v>1006</v>
      </c>
      <c r="AJ291" s="570">
        <v>2</v>
      </c>
      <c r="AK291" s="570">
        <v>21</v>
      </c>
      <c r="AL291" s="570">
        <v>3</v>
      </c>
      <c r="AM291" s="570">
        <v>0</v>
      </c>
      <c r="AN291" s="570">
        <v>0</v>
      </c>
      <c r="AO291" s="570">
        <v>9</v>
      </c>
      <c r="AP291" s="570" t="s">
        <v>1002</v>
      </c>
      <c r="AQ291" s="570"/>
      <c r="AR291" s="570"/>
      <c r="AS291" s="570"/>
    </row>
    <row r="292" spans="1:45" x14ac:dyDescent="0.35">
      <c r="A292" s="570">
        <v>300560385</v>
      </c>
      <c r="B292" s="570">
        <v>44</v>
      </c>
      <c r="C292" s="570">
        <v>15</v>
      </c>
      <c r="D292" s="570">
        <v>5</v>
      </c>
      <c r="E292" s="570">
        <v>0</v>
      </c>
      <c r="F292" s="570">
        <v>17.32</v>
      </c>
      <c r="G292" s="570" t="s">
        <v>1000</v>
      </c>
      <c r="H292" s="570">
        <v>2</v>
      </c>
      <c r="I292" s="570">
        <v>0</v>
      </c>
      <c r="J292" s="570">
        <v>0</v>
      </c>
      <c r="K292" s="570">
        <v>0</v>
      </c>
      <c r="L292" s="570">
        <v>0</v>
      </c>
      <c r="M292" s="570">
        <v>0</v>
      </c>
      <c r="N292" s="570" t="s">
        <v>1010</v>
      </c>
      <c r="O292" s="570">
        <v>2</v>
      </c>
      <c r="P292" s="571">
        <v>44681</v>
      </c>
      <c r="Q292" s="570">
        <v>35.087686060000003</v>
      </c>
      <c r="R292" s="570">
        <v>-97.415904960000006</v>
      </c>
      <c r="S292" s="570">
        <v>20.48</v>
      </c>
      <c r="T292" s="570" t="s">
        <v>1002</v>
      </c>
      <c r="U292" s="570" t="s">
        <v>1002</v>
      </c>
      <c r="V292" s="570">
        <v>7</v>
      </c>
      <c r="W292" s="570">
        <v>2</v>
      </c>
      <c r="X292" s="570" t="s">
        <v>1000</v>
      </c>
      <c r="Y292" s="570" t="s">
        <v>1003</v>
      </c>
      <c r="Z292" s="570">
        <v>1</v>
      </c>
      <c r="AA292" s="570">
        <v>0</v>
      </c>
      <c r="AB292" s="570">
        <v>0</v>
      </c>
      <c r="AC292" s="570">
        <v>1</v>
      </c>
      <c r="AD292" s="570">
        <v>0</v>
      </c>
      <c r="AE292" s="570" t="s">
        <v>1030</v>
      </c>
      <c r="AF292" s="570">
        <v>49</v>
      </c>
      <c r="AG292" s="570" t="s">
        <v>1012</v>
      </c>
      <c r="AH292" s="570">
        <v>0</v>
      </c>
      <c r="AI292" s="570" t="s">
        <v>1006</v>
      </c>
      <c r="AJ292" s="570">
        <v>2</v>
      </c>
      <c r="AK292" s="570">
        <v>49</v>
      </c>
      <c r="AL292" s="570">
        <v>1</v>
      </c>
      <c r="AM292" s="570">
        <v>0</v>
      </c>
      <c r="AN292" s="570">
        <v>24</v>
      </c>
      <c r="AO292" s="570" t="s">
        <v>1007</v>
      </c>
      <c r="AP292" s="570" t="s">
        <v>1008</v>
      </c>
      <c r="AQ292" s="570">
        <v>1</v>
      </c>
      <c r="AR292" s="570">
        <v>1</v>
      </c>
      <c r="AS292" s="570">
        <v>4</v>
      </c>
    </row>
    <row r="293" spans="1:45" x14ac:dyDescent="0.35">
      <c r="A293" s="570">
        <v>300560385</v>
      </c>
      <c r="B293" s="570">
        <v>44</v>
      </c>
      <c r="C293" s="570">
        <v>15</v>
      </c>
      <c r="D293" s="570">
        <v>5</v>
      </c>
      <c r="E293" s="570">
        <v>0</v>
      </c>
      <c r="F293" s="570">
        <v>17.32</v>
      </c>
      <c r="G293" s="570" t="s">
        <v>1000</v>
      </c>
      <c r="H293" s="570">
        <v>2</v>
      </c>
      <c r="I293" s="570">
        <v>0</v>
      </c>
      <c r="J293" s="570">
        <v>0</v>
      </c>
      <c r="K293" s="570">
        <v>0</v>
      </c>
      <c r="L293" s="570">
        <v>0</v>
      </c>
      <c r="M293" s="570">
        <v>0</v>
      </c>
      <c r="N293" s="570" t="s">
        <v>1010</v>
      </c>
      <c r="O293" s="570">
        <v>2</v>
      </c>
      <c r="P293" s="571">
        <v>44681</v>
      </c>
      <c r="Q293" s="570">
        <v>35.087686060000003</v>
      </c>
      <c r="R293" s="570">
        <v>-97.415904960000006</v>
      </c>
      <c r="S293" s="570">
        <v>20.48</v>
      </c>
      <c r="T293" s="570" t="s">
        <v>1002</v>
      </c>
      <c r="U293" s="570" t="s">
        <v>1002</v>
      </c>
      <c r="V293" s="570">
        <v>7</v>
      </c>
      <c r="W293" s="570">
        <v>2</v>
      </c>
      <c r="X293" s="570" t="s">
        <v>1000</v>
      </c>
      <c r="Y293" s="570" t="s">
        <v>1003</v>
      </c>
      <c r="Z293" s="570">
        <v>1</v>
      </c>
      <c r="AA293" s="570">
        <v>0</v>
      </c>
      <c r="AB293" s="570">
        <v>0</v>
      </c>
      <c r="AC293" s="570">
        <v>1</v>
      </c>
      <c r="AD293" s="570">
        <v>0</v>
      </c>
      <c r="AE293" s="570" t="s">
        <v>1030</v>
      </c>
      <c r="AF293" s="570">
        <v>49</v>
      </c>
      <c r="AG293" s="570" t="s">
        <v>1012</v>
      </c>
      <c r="AH293" s="570">
        <v>0</v>
      </c>
      <c r="AI293" s="570" t="s">
        <v>1006</v>
      </c>
      <c r="AJ293" s="570">
        <v>2</v>
      </c>
      <c r="AK293" s="570">
        <v>49</v>
      </c>
      <c r="AL293" s="570">
        <v>1</v>
      </c>
      <c r="AM293" s="570">
        <v>0</v>
      </c>
      <c r="AN293" s="570">
        <v>0</v>
      </c>
      <c r="AO293" s="570">
        <v>9</v>
      </c>
      <c r="AP293" s="570" t="s">
        <v>1002</v>
      </c>
      <c r="AQ293" s="570"/>
      <c r="AR293" s="570"/>
      <c r="AS293" s="570"/>
    </row>
    <row r="294" spans="1:45" x14ac:dyDescent="0.35">
      <c r="A294" s="570">
        <v>300560385</v>
      </c>
      <c r="B294" s="570">
        <v>44</v>
      </c>
      <c r="C294" s="570">
        <v>15</v>
      </c>
      <c r="D294" s="570">
        <v>5</v>
      </c>
      <c r="E294" s="570">
        <v>0</v>
      </c>
      <c r="F294" s="570">
        <v>17.32</v>
      </c>
      <c r="G294" s="570" t="s">
        <v>1000</v>
      </c>
      <c r="H294" s="570">
        <v>2</v>
      </c>
      <c r="I294" s="570">
        <v>0</v>
      </c>
      <c r="J294" s="570">
        <v>0</v>
      </c>
      <c r="K294" s="570">
        <v>0</v>
      </c>
      <c r="L294" s="570">
        <v>0</v>
      </c>
      <c r="M294" s="570">
        <v>0</v>
      </c>
      <c r="N294" s="570" t="s">
        <v>1010</v>
      </c>
      <c r="O294" s="570">
        <v>2</v>
      </c>
      <c r="P294" s="571">
        <v>44681</v>
      </c>
      <c r="Q294" s="570">
        <v>35.087686060000003</v>
      </c>
      <c r="R294" s="570">
        <v>-97.415904960000006</v>
      </c>
      <c r="S294" s="570">
        <v>20.48</v>
      </c>
      <c r="T294" s="570" t="s">
        <v>1002</v>
      </c>
      <c r="U294" s="570" t="s">
        <v>1002</v>
      </c>
      <c r="V294" s="570">
        <v>7</v>
      </c>
      <c r="W294" s="570">
        <v>2</v>
      </c>
      <c r="X294" s="570" t="s">
        <v>1000</v>
      </c>
      <c r="Y294" s="570" t="s">
        <v>1003</v>
      </c>
      <c r="Z294" s="570">
        <v>1</v>
      </c>
      <c r="AA294" s="570">
        <v>0</v>
      </c>
      <c r="AB294" s="570">
        <v>0</v>
      </c>
      <c r="AC294" s="570">
        <v>1</v>
      </c>
      <c r="AD294" s="570">
        <v>0</v>
      </c>
      <c r="AE294" s="570" t="s">
        <v>1030</v>
      </c>
      <c r="AF294" s="570">
        <v>49</v>
      </c>
      <c r="AG294" s="570" t="s">
        <v>1012</v>
      </c>
      <c r="AH294" s="570">
        <v>0</v>
      </c>
      <c r="AI294" s="570" t="s">
        <v>1006</v>
      </c>
      <c r="AJ294" s="570">
        <v>2</v>
      </c>
      <c r="AK294" s="570">
        <v>49</v>
      </c>
      <c r="AL294" s="570">
        <v>1</v>
      </c>
      <c r="AM294" s="570">
        <v>0</v>
      </c>
      <c r="AN294" s="570">
        <v>0</v>
      </c>
      <c r="AO294" s="570" t="s">
        <v>1009</v>
      </c>
      <c r="AP294" s="570" t="s">
        <v>1002</v>
      </c>
      <c r="AQ294" s="570">
        <v>2</v>
      </c>
      <c r="AR294" s="570"/>
      <c r="AS294" s="570">
        <v>4</v>
      </c>
    </row>
    <row r="295" spans="1:45" x14ac:dyDescent="0.35">
      <c r="A295" s="570">
        <v>300591935</v>
      </c>
      <c r="B295" s="570">
        <v>44</v>
      </c>
      <c r="C295" s="570">
        <v>0</v>
      </c>
      <c r="D295" s="570">
        <v>5</v>
      </c>
      <c r="E295" s="570">
        <v>0</v>
      </c>
      <c r="F295" s="570">
        <v>18.82</v>
      </c>
      <c r="G295" s="570" t="s">
        <v>1000</v>
      </c>
      <c r="H295" s="570">
        <v>2</v>
      </c>
      <c r="I295" s="570">
        <v>0</v>
      </c>
      <c r="J295" s="570">
        <v>0</v>
      </c>
      <c r="K295" s="570">
        <v>0</v>
      </c>
      <c r="L295" s="570">
        <v>1</v>
      </c>
      <c r="M295" s="570">
        <v>0</v>
      </c>
      <c r="N295" s="570" t="s">
        <v>1028</v>
      </c>
      <c r="O295" s="570">
        <v>3</v>
      </c>
      <c r="P295" s="571">
        <v>44890</v>
      </c>
      <c r="Q295" s="570">
        <v>35.104956389999998</v>
      </c>
      <c r="R295" s="570">
        <v>-97.432016259999997</v>
      </c>
      <c r="S295" s="570">
        <v>21.41</v>
      </c>
      <c r="T295" s="570" t="s">
        <v>1002</v>
      </c>
      <c r="U295" s="570" t="s">
        <v>1002</v>
      </c>
      <c r="V295" s="570">
        <v>6</v>
      </c>
      <c r="W295" s="570">
        <v>2</v>
      </c>
      <c r="X295" s="570" t="s">
        <v>1024</v>
      </c>
      <c r="Y295" s="570" t="s">
        <v>1056</v>
      </c>
      <c r="Z295" s="570">
        <v>1</v>
      </c>
      <c r="AA295" s="570">
        <v>0</v>
      </c>
      <c r="AB295" s="570">
        <v>1</v>
      </c>
      <c r="AC295" s="570">
        <v>0</v>
      </c>
      <c r="AD295" s="570">
        <v>0</v>
      </c>
      <c r="AE295" s="570" t="s">
        <v>1031</v>
      </c>
      <c r="AF295" s="570">
        <v>38</v>
      </c>
      <c r="AG295" s="570" t="s">
        <v>1020</v>
      </c>
      <c r="AH295" s="570">
        <v>0</v>
      </c>
      <c r="AI295" s="570" t="s">
        <v>1006</v>
      </c>
      <c r="AJ295" s="570">
        <v>20</v>
      </c>
      <c r="AK295" s="570">
        <v>38</v>
      </c>
      <c r="AL295" s="570">
        <v>1</v>
      </c>
      <c r="AM295" s="570">
        <v>0</v>
      </c>
      <c r="AN295" s="570">
        <v>46</v>
      </c>
      <c r="AO295" s="570" t="s">
        <v>1007</v>
      </c>
      <c r="AP295" s="570" t="s">
        <v>1008</v>
      </c>
      <c r="AQ295" s="570">
        <v>1</v>
      </c>
      <c r="AR295" s="570">
        <v>1</v>
      </c>
      <c r="AS295" s="570">
        <v>4</v>
      </c>
    </row>
    <row r="296" spans="1:45" x14ac:dyDescent="0.35">
      <c r="A296" s="570">
        <v>300591935</v>
      </c>
      <c r="B296" s="570">
        <v>44</v>
      </c>
      <c r="C296" s="570">
        <v>0</v>
      </c>
      <c r="D296" s="570">
        <v>5</v>
      </c>
      <c r="E296" s="570">
        <v>0</v>
      </c>
      <c r="F296" s="570">
        <v>18.82</v>
      </c>
      <c r="G296" s="570" t="s">
        <v>1000</v>
      </c>
      <c r="H296" s="570">
        <v>2</v>
      </c>
      <c r="I296" s="570">
        <v>0</v>
      </c>
      <c r="J296" s="570">
        <v>0</v>
      </c>
      <c r="K296" s="570">
        <v>0</v>
      </c>
      <c r="L296" s="570">
        <v>1</v>
      </c>
      <c r="M296" s="570">
        <v>0</v>
      </c>
      <c r="N296" s="570" t="s">
        <v>1028</v>
      </c>
      <c r="O296" s="570">
        <v>3</v>
      </c>
      <c r="P296" s="571">
        <v>44890</v>
      </c>
      <c r="Q296" s="570">
        <v>35.104956389999998</v>
      </c>
      <c r="R296" s="570">
        <v>-97.432016259999997</v>
      </c>
      <c r="S296" s="570">
        <v>21.41</v>
      </c>
      <c r="T296" s="570" t="s">
        <v>1002</v>
      </c>
      <c r="U296" s="570" t="s">
        <v>1002</v>
      </c>
      <c r="V296" s="570">
        <v>6</v>
      </c>
      <c r="W296" s="570">
        <v>2</v>
      </c>
      <c r="X296" s="570" t="s">
        <v>1024</v>
      </c>
      <c r="Y296" s="570" t="s">
        <v>1056</v>
      </c>
      <c r="Z296" s="570">
        <v>1</v>
      </c>
      <c r="AA296" s="570">
        <v>0</v>
      </c>
      <c r="AB296" s="570">
        <v>1</v>
      </c>
      <c r="AC296" s="570">
        <v>0</v>
      </c>
      <c r="AD296" s="570">
        <v>0</v>
      </c>
      <c r="AE296" s="570" t="s">
        <v>1031</v>
      </c>
      <c r="AF296" s="570">
        <v>38</v>
      </c>
      <c r="AG296" s="570" t="s">
        <v>1020</v>
      </c>
      <c r="AH296" s="570">
        <v>0</v>
      </c>
      <c r="AI296" s="570" t="s">
        <v>1006</v>
      </c>
      <c r="AJ296" s="570">
        <v>2</v>
      </c>
      <c r="AK296" s="570">
        <v>98</v>
      </c>
      <c r="AL296" s="570">
        <v>1</v>
      </c>
      <c r="AM296" s="570">
        <v>0</v>
      </c>
      <c r="AN296" s="570">
        <v>27</v>
      </c>
      <c r="AO296" s="570" t="s">
        <v>1007</v>
      </c>
      <c r="AP296" s="570" t="s">
        <v>1008</v>
      </c>
      <c r="AQ296" s="570">
        <v>3</v>
      </c>
      <c r="AR296" s="570">
        <v>1</v>
      </c>
      <c r="AS296" s="570">
        <v>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9FEF0-BCC1-4811-A912-71AB4EC7447D}">
  <sheetPr>
    <tabColor theme="9" tint="-0.249977111117893"/>
  </sheetPr>
  <dimension ref="A1:X298"/>
  <sheetViews>
    <sheetView zoomScale="80" zoomScaleNormal="80" workbookViewId="0">
      <selection activeCell="K17" sqref="K17"/>
    </sheetView>
  </sheetViews>
  <sheetFormatPr defaultRowHeight="14.5" x14ac:dyDescent="0.35"/>
  <cols>
    <col min="1" max="1" width="18.453125" customWidth="1"/>
    <col min="2" max="2" width="12.81640625" bestFit="1" customWidth="1"/>
    <col min="3" max="3" width="23.1796875" customWidth="1"/>
    <col min="4" max="4" width="24.81640625" customWidth="1"/>
    <col min="5" max="5" width="12.26953125" customWidth="1"/>
    <col min="6" max="6" width="24.26953125" customWidth="1"/>
    <col min="7" max="8" width="18.54296875" customWidth="1"/>
    <col min="18" max="18" width="11.453125" customWidth="1"/>
    <col min="20" max="20" width="16.81640625" customWidth="1"/>
    <col min="23" max="23" width="65" bestFit="1" customWidth="1"/>
  </cols>
  <sheetData>
    <row r="1" spans="1:24" x14ac:dyDescent="0.35">
      <c r="A1" t="s">
        <v>1356</v>
      </c>
    </row>
    <row r="3" spans="1:24" x14ac:dyDescent="0.35">
      <c r="A3" s="570"/>
      <c r="B3" s="648" t="s">
        <v>1355</v>
      </c>
      <c r="C3" s="570"/>
      <c r="D3" s="570"/>
      <c r="E3" s="570"/>
      <c r="F3" s="648" t="s">
        <v>1357</v>
      </c>
      <c r="G3" s="570"/>
      <c r="H3" s="570"/>
      <c r="I3" s="570"/>
      <c r="J3" s="570"/>
      <c r="K3" s="570"/>
      <c r="L3" s="570"/>
      <c r="M3" s="570"/>
      <c r="N3" s="570"/>
      <c r="O3" s="570"/>
      <c r="P3" s="570"/>
      <c r="Q3" s="570"/>
      <c r="R3" s="570"/>
      <c r="S3" s="570"/>
      <c r="T3" s="570"/>
      <c r="U3" s="570"/>
      <c r="W3" s="574"/>
      <c r="X3" s="178"/>
    </row>
    <row r="4" spans="1:24" x14ac:dyDescent="0.35">
      <c r="A4" s="570"/>
      <c r="B4" s="570" t="s">
        <v>1150</v>
      </c>
      <c r="C4" s="570">
        <v>17</v>
      </c>
      <c r="D4" s="570">
        <v>28</v>
      </c>
      <c r="E4" s="570"/>
      <c r="F4" s="570" t="s">
        <v>1272</v>
      </c>
      <c r="G4" s="570" t="s">
        <v>1211</v>
      </c>
      <c r="H4" s="570" t="s">
        <v>1211</v>
      </c>
      <c r="I4" s="570"/>
      <c r="J4" s="570"/>
      <c r="K4" s="570"/>
      <c r="L4" s="570"/>
      <c r="M4" s="570"/>
      <c r="N4" s="570"/>
      <c r="O4" s="570"/>
      <c r="P4" s="570"/>
      <c r="Q4" s="570"/>
      <c r="R4" s="570"/>
      <c r="S4" s="570"/>
      <c r="T4" s="570"/>
      <c r="U4" s="570"/>
      <c r="W4" s="10"/>
    </row>
    <row r="5" spans="1:24" x14ac:dyDescent="0.35">
      <c r="A5" s="570"/>
      <c r="B5" s="570" t="s">
        <v>1151</v>
      </c>
      <c r="C5" s="570">
        <v>17</v>
      </c>
      <c r="D5" s="570" t="s">
        <v>1201</v>
      </c>
      <c r="E5" s="570"/>
      <c r="F5" s="570" t="s">
        <v>1212</v>
      </c>
      <c r="G5" s="570" t="s">
        <v>1155</v>
      </c>
      <c r="H5" s="570" t="s">
        <v>1165</v>
      </c>
      <c r="I5" s="570"/>
      <c r="J5" s="570"/>
      <c r="K5" s="570"/>
      <c r="L5" s="570"/>
      <c r="M5" s="570"/>
      <c r="N5" s="570"/>
      <c r="O5" s="570"/>
      <c r="P5" s="570"/>
      <c r="Q5" s="570"/>
      <c r="R5" s="570"/>
      <c r="S5" s="570"/>
      <c r="T5" s="570"/>
      <c r="U5" s="570"/>
      <c r="W5" s="10"/>
      <c r="X5" s="178"/>
    </row>
    <row r="6" spans="1:24" x14ac:dyDescent="0.35">
      <c r="A6" s="570"/>
      <c r="B6" s="570" t="s">
        <v>1152</v>
      </c>
      <c r="C6" s="570" t="s">
        <v>1153</v>
      </c>
      <c r="D6" s="570" t="s">
        <v>1201</v>
      </c>
      <c r="E6" s="570"/>
      <c r="F6" s="570" t="s">
        <v>1213</v>
      </c>
      <c r="G6" s="570" t="s">
        <v>1155</v>
      </c>
      <c r="H6" s="570" t="s">
        <v>1155</v>
      </c>
      <c r="I6" s="570"/>
      <c r="J6" s="570"/>
      <c r="K6" s="570"/>
      <c r="L6" s="570"/>
      <c r="M6" s="570"/>
      <c r="N6" s="570"/>
      <c r="O6" s="570"/>
      <c r="P6" s="570"/>
      <c r="Q6" s="570"/>
      <c r="R6" s="570"/>
      <c r="S6" s="570"/>
      <c r="T6" s="570"/>
      <c r="U6" s="570"/>
      <c r="W6" s="10"/>
      <c r="X6" s="178"/>
    </row>
    <row r="7" spans="1:24" x14ac:dyDescent="0.35">
      <c r="A7" s="570"/>
      <c r="B7" s="570" t="s">
        <v>1154</v>
      </c>
      <c r="C7" s="570" t="s">
        <v>1155</v>
      </c>
      <c r="D7" s="570" t="s">
        <v>1165</v>
      </c>
      <c r="E7" s="570"/>
      <c r="F7" s="570" t="s">
        <v>1156</v>
      </c>
      <c r="G7" s="570" t="s">
        <v>1214</v>
      </c>
      <c r="H7" s="570" t="s">
        <v>1263</v>
      </c>
      <c r="I7" s="570"/>
      <c r="J7" s="570"/>
      <c r="K7" s="570"/>
      <c r="L7" s="570"/>
      <c r="M7" s="570"/>
      <c r="N7" s="570"/>
      <c r="O7" s="570"/>
      <c r="P7" s="570"/>
      <c r="Q7" s="570"/>
      <c r="R7" s="570"/>
      <c r="S7" s="570"/>
      <c r="T7" s="570"/>
      <c r="U7" s="570"/>
      <c r="W7" s="10"/>
      <c r="X7" s="178"/>
    </row>
    <row r="8" spans="1:24" x14ac:dyDescent="0.35">
      <c r="A8" s="570"/>
      <c r="B8" s="570" t="s">
        <v>1156</v>
      </c>
      <c r="C8" s="570" t="s">
        <v>1157</v>
      </c>
      <c r="D8" s="570" t="s">
        <v>1202</v>
      </c>
      <c r="E8" s="570"/>
      <c r="F8" s="570" t="s">
        <v>1215</v>
      </c>
      <c r="G8" s="570"/>
      <c r="H8" s="575">
        <v>6391</v>
      </c>
      <c r="I8" s="570"/>
      <c r="J8" s="570"/>
      <c r="K8" s="570"/>
      <c r="L8" s="570"/>
      <c r="M8" s="570"/>
      <c r="N8" s="570"/>
      <c r="O8" s="570"/>
      <c r="P8" s="570"/>
      <c r="Q8" s="570"/>
      <c r="R8" s="570"/>
      <c r="S8" s="570"/>
      <c r="T8" s="570"/>
      <c r="U8" s="570"/>
      <c r="W8" s="10"/>
      <c r="X8" s="178"/>
    </row>
    <row r="9" spans="1:24" x14ac:dyDescent="0.35">
      <c r="A9" s="570"/>
      <c r="B9" s="570" t="s">
        <v>1158</v>
      </c>
      <c r="C9" s="570" t="s">
        <v>1159</v>
      </c>
      <c r="D9" s="570" t="s">
        <v>1159</v>
      </c>
      <c r="E9" s="570"/>
      <c r="F9" s="570" t="s">
        <v>1158</v>
      </c>
      <c r="G9" s="570" t="s">
        <v>1159</v>
      </c>
      <c r="H9" s="570" t="s">
        <v>1159</v>
      </c>
      <c r="I9" s="570"/>
      <c r="J9" s="570"/>
      <c r="K9" s="570"/>
      <c r="L9" s="570"/>
      <c r="M9" s="570"/>
      <c r="N9" s="570"/>
      <c r="O9" s="570"/>
      <c r="P9" s="570"/>
      <c r="Q9" s="570"/>
      <c r="R9" s="570"/>
      <c r="S9" s="570"/>
      <c r="T9" s="570"/>
      <c r="U9" s="570"/>
      <c r="W9" s="10"/>
      <c r="X9" s="178"/>
    </row>
    <row r="10" spans="1:24" x14ac:dyDescent="0.35">
      <c r="A10" s="570"/>
      <c r="B10" s="570" t="s">
        <v>1160</v>
      </c>
      <c r="C10" s="570" t="s">
        <v>1161</v>
      </c>
      <c r="D10" s="570" t="s">
        <v>1203</v>
      </c>
      <c r="E10" s="570"/>
      <c r="F10" s="570" t="s">
        <v>1160</v>
      </c>
      <c r="G10" s="571">
        <v>44409</v>
      </c>
      <c r="H10" s="571">
        <v>44316</v>
      </c>
      <c r="I10" s="570"/>
      <c r="J10" s="570"/>
      <c r="K10" s="570"/>
      <c r="L10" s="570"/>
      <c r="M10" s="570"/>
      <c r="N10" s="570"/>
      <c r="O10" s="570"/>
      <c r="P10" s="570"/>
      <c r="Q10" s="570"/>
      <c r="R10" s="570"/>
      <c r="S10" s="570"/>
      <c r="T10" s="570"/>
      <c r="U10" s="570"/>
    </row>
    <row r="11" spans="1:24" x14ac:dyDescent="0.35">
      <c r="A11" s="570"/>
      <c r="B11" s="570" t="s">
        <v>1162</v>
      </c>
      <c r="C11" s="570" t="s">
        <v>1163</v>
      </c>
      <c r="D11" s="570" t="s">
        <v>1204</v>
      </c>
      <c r="E11" s="570"/>
      <c r="F11" s="570" t="s">
        <v>1162</v>
      </c>
      <c r="G11" s="570" t="s">
        <v>1216</v>
      </c>
      <c r="H11" s="570" t="s">
        <v>1260</v>
      </c>
      <c r="I11" s="570"/>
      <c r="J11" s="570"/>
      <c r="K11" s="570"/>
      <c r="L11" s="570"/>
      <c r="M11" s="570"/>
      <c r="N11" s="570"/>
      <c r="O11" s="570"/>
      <c r="P11" s="570"/>
      <c r="Q11" s="570"/>
      <c r="R11" s="570"/>
      <c r="S11" s="570"/>
      <c r="T11" s="570"/>
      <c r="U11" s="570"/>
    </row>
    <row r="12" spans="1:24" x14ac:dyDescent="0.35">
      <c r="A12" s="570"/>
      <c r="B12" s="570" t="s">
        <v>1164</v>
      </c>
      <c r="C12" s="570" t="s">
        <v>1165</v>
      </c>
      <c r="D12" s="570" t="s">
        <v>1155</v>
      </c>
      <c r="E12" s="570"/>
      <c r="F12" s="570" t="s">
        <v>1217</v>
      </c>
      <c r="G12" s="570" t="s">
        <v>1218</v>
      </c>
      <c r="H12" s="570" t="s">
        <v>1261</v>
      </c>
      <c r="I12" s="570"/>
      <c r="J12" s="570"/>
      <c r="K12" s="570"/>
      <c r="L12" s="570"/>
      <c r="M12" s="570"/>
      <c r="N12" s="570"/>
      <c r="O12" s="570"/>
      <c r="P12" s="570"/>
      <c r="Q12" s="570"/>
      <c r="R12" s="570"/>
      <c r="S12" s="570"/>
      <c r="T12" s="570"/>
      <c r="U12" s="570"/>
    </row>
    <row r="13" spans="1:24" x14ac:dyDescent="0.35">
      <c r="A13" s="570"/>
      <c r="B13" s="570" t="s">
        <v>1166</v>
      </c>
      <c r="C13" s="570" t="s">
        <v>1155</v>
      </c>
      <c r="D13" s="570" t="s">
        <v>1165</v>
      </c>
      <c r="E13" s="570"/>
      <c r="F13" s="570" t="s">
        <v>1164</v>
      </c>
      <c r="G13" s="570" t="s">
        <v>1155</v>
      </c>
      <c r="H13" s="570" t="s">
        <v>1155</v>
      </c>
      <c r="I13" s="570"/>
      <c r="J13" s="570"/>
      <c r="K13" s="570"/>
      <c r="L13" s="570"/>
      <c r="M13" s="570"/>
      <c r="N13" s="570"/>
      <c r="O13" s="570"/>
      <c r="P13" s="570"/>
      <c r="Q13" s="570"/>
      <c r="R13" s="570"/>
      <c r="S13" s="570"/>
      <c r="T13" s="570"/>
      <c r="U13" s="570"/>
    </row>
    <row r="14" spans="1:24" x14ac:dyDescent="0.35">
      <c r="A14" s="570"/>
      <c r="B14" s="570" t="s">
        <v>1167</v>
      </c>
      <c r="C14" s="570">
        <v>3</v>
      </c>
      <c r="D14" s="570">
        <v>387</v>
      </c>
      <c r="E14" s="570"/>
      <c r="F14" s="570" t="s">
        <v>1219</v>
      </c>
      <c r="G14" s="575">
        <v>300522348</v>
      </c>
      <c r="H14" s="575">
        <v>300527456</v>
      </c>
      <c r="I14" s="570"/>
      <c r="J14" s="570"/>
      <c r="K14" s="570"/>
      <c r="L14" s="570"/>
      <c r="M14" s="570"/>
      <c r="N14" s="570"/>
      <c r="O14" s="570"/>
      <c r="P14" s="570"/>
      <c r="Q14" s="570"/>
      <c r="R14" s="570"/>
      <c r="S14" s="570"/>
      <c r="T14" s="570"/>
      <c r="U14" s="570"/>
    </row>
    <row r="15" spans="1:24" x14ac:dyDescent="0.35">
      <c r="A15" s="570"/>
      <c r="B15" s="570" t="s">
        <v>1168</v>
      </c>
      <c r="C15" s="570" t="s">
        <v>1169</v>
      </c>
      <c r="D15" s="570" t="s">
        <v>1169</v>
      </c>
      <c r="E15" s="570"/>
      <c r="F15" s="570" t="s">
        <v>1220</v>
      </c>
      <c r="G15" s="570" t="s">
        <v>1155</v>
      </c>
      <c r="H15" s="570" t="s">
        <v>1155</v>
      </c>
      <c r="I15" s="570"/>
      <c r="J15" s="570"/>
      <c r="K15" s="570"/>
      <c r="L15" s="570"/>
      <c r="M15" s="570"/>
      <c r="N15" s="570"/>
      <c r="O15" s="570"/>
      <c r="P15" s="570"/>
      <c r="Q15" s="570"/>
      <c r="R15" s="570"/>
      <c r="S15" s="570"/>
      <c r="T15" s="570"/>
      <c r="U15" s="570"/>
    </row>
    <row r="16" spans="1:24" x14ac:dyDescent="0.35">
      <c r="A16" s="570"/>
      <c r="B16" s="570" t="s">
        <v>1170</v>
      </c>
      <c r="C16" s="570" t="s">
        <v>1171</v>
      </c>
      <c r="D16" s="570" t="s">
        <v>1171</v>
      </c>
      <c r="E16" s="570"/>
      <c r="F16" s="570" t="s">
        <v>1221</v>
      </c>
      <c r="G16" s="570" t="s">
        <v>1165</v>
      </c>
      <c r="H16" s="570" t="s">
        <v>1155</v>
      </c>
      <c r="I16" s="570"/>
      <c r="J16" s="570"/>
      <c r="K16" s="570"/>
      <c r="L16" s="570"/>
      <c r="M16" s="570"/>
      <c r="N16" s="570"/>
      <c r="O16" s="570"/>
      <c r="P16" s="570"/>
      <c r="Q16" s="570"/>
      <c r="R16" s="570"/>
      <c r="S16" s="570"/>
      <c r="T16" s="570"/>
      <c r="U16" s="570"/>
    </row>
    <row r="17" spans="1:21" x14ac:dyDescent="0.35">
      <c r="A17" s="570"/>
      <c r="B17" s="570" t="s">
        <v>1172</v>
      </c>
      <c r="C17" s="570" t="s">
        <v>1173</v>
      </c>
      <c r="D17" s="570" t="s">
        <v>1205</v>
      </c>
      <c r="E17" s="570"/>
      <c r="F17" s="570" t="s">
        <v>1222</v>
      </c>
      <c r="G17" s="570" t="s">
        <v>1165</v>
      </c>
      <c r="H17" s="570" t="s">
        <v>1165</v>
      </c>
      <c r="I17" s="570"/>
      <c r="J17" s="570"/>
      <c r="K17" s="570"/>
      <c r="L17" s="570"/>
      <c r="M17" s="570"/>
      <c r="N17" s="570"/>
      <c r="O17" s="570"/>
      <c r="P17" s="570"/>
      <c r="Q17" s="570"/>
      <c r="R17" s="570"/>
      <c r="S17" s="570"/>
      <c r="T17" s="570"/>
      <c r="U17" s="570"/>
    </row>
    <row r="18" spans="1:21" x14ac:dyDescent="0.35">
      <c r="A18" s="570"/>
      <c r="B18" s="570" t="s">
        <v>1174</v>
      </c>
      <c r="C18" s="570" t="s">
        <v>1175</v>
      </c>
      <c r="D18" s="570" t="s">
        <v>1175</v>
      </c>
      <c r="E18" s="570"/>
      <c r="F18" s="570" t="s">
        <v>1223</v>
      </c>
      <c r="G18" s="570" t="s">
        <v>1155</v>
      </c>
      <c r="H18" s="570" t="s">
        <v>1165</v>
      </c>
      <c r="I18" s="570"/>
      <c r="J18" s="570"/>
      <c r="K18" s="570"/>
      <c r="L18" s="570"/>
      <c r="M18" s="570"/>
      <c r="N18" s="570"/>
      <c r="O18" s="570"/>
      <c r="P18" s="570"/>
      <c r="Q18" s="570"/>
      <c r="R18" s="570"/>
      <c r="S18" s="570"/>
      <c r="T18" s="570"/>
      <c r="U18" s="570"/>
    </row>
    <row r="19" spans="1:21" x14ac:dyDescent="0.35">
      <c r="A19" s="570"/>
      <c r="B19" s="570" t="s">
        <v>1176</v>
      </c>
      <c r="C19" s="570">
        <v>35.1</v>
      </c>
      <c r="D19" s="570">
        <v>35.08</v>
      </c>
      <c r="E19" s="570"/>
      <c r="F19" s="570" t="s">
        <v>1224</v>
      </c>
      <c r="G19" s="570" t="s">
        <v>1225</v>
      </c>
      <c r="H19" s="570" t="s">
        <v>1264</v>
      </c>
      <c r="I19" s="570"/>
      <c r="J19" s="570"/>
      <c r="K19" s="570"/>
      <c r="L19" s="570"/>
      <c r="M19" s="570"/>
      <c r="N19" s="570"/>
      <c r="O19" s="570"/>
      <c r="P19" s="570"/>
      <c r="Q19" s="570"/>
      <c r="R19" s="570"/>
      <c r="S19" s="570"/>
      <c r="T19" s="570"/>
      <c r="U19" s="570"/>
    </row>
    <row r="20" spans="1:21" x14ac:dyDescent="0.35">
      <c r="A20" s="570"/>
      <c r="B20" s="570" t="s">
        <v>1177</v>
      </c>
      <c r="C20" s="570">
        <v>-97.43</v>
      </c>
      <c r="D20" s="570">
        <v>-97.41</v>
      </c>
      <c r="E20" s="570"/>
      <c r="F20" s="570" t="s">
        <v>1226</v>
      </c>
      <c r="G20" s="570" t="s">
        <v>1227</v>
      </c>
      <c r="H20" s="570" t="s">
        <v>1265</v>
      </c>
      <c r="I20" s="570"/>
      <c r="J20" s="570"/>
      <c r="K20" s="570"/>
      <c r="L20" s="570"/>
      <c r="M20" s="570"/>
      <c r="N20" s="570"/>
      <c r="O20" s="570"/>
      <c r="P20" s="570"/>
      <c r="Q20" s="570"/>
      <c r="R20" s="570"/>
      <c r="S20" s="570"/>
      <c r="T20" s="570"/>
      <c r="U20" s="570"/>
    </row>
    <row r="21" spans="1:21" x14ac:dyDescent="0.35">
      <c r="A21" s="570"/>
      <c r="B21" s="570" t="s">
        <v>1178</v>
      </c>
      <c r="C21" s="570" t="s">
        <v>1179</v>
      </c>
      <c r="D21" s="570" t="s">
        <v>1206</v>
      </c>
      <c r="E21" s="570"/>
      <c r="F21" s="570" t="s">
        <v>1228</v>
      </c>
      <c r="G21" s="570" t="s">
        <v>1229</v>
      </c>
      <c r="H21" s="570" t="s">
        <v>1266</v>
      </c>
      <c r="I21" s="570"/>
      <c r="J21" s="570"/>
      <c r="K21" s="570"/>
      <c r="L21" s="570"/>
      <c r="M21" s="570"/>
      <c r="N21" s="570"/>
      <c r="O21" s="570"/>
      <c r="P21" s="570"/>
      <c r="Q21" s="570"/>
      <c r="R21" s="570"/>
      <c r="S21" s="570"/>
      <c r="T21" s="570"/>
      <c r="U21" s="570"/>
    </row>
    <row r="22" spans="1:21" x14ac:dyDescent="0.35">
      <c r="A22" s="570"/>
      <c r="B22" s="570" t="s">
        <v>1180</v>
      </c>
      <c r="C22" s="570" t="s">
        <v>1181</v>
      </c>
      <c r="D22" s="570" t="s">
        <v>1207</v>
      </c>
      <c r="E22" s="570"/>
      <c r="F22" s="570" t="s">
        <v>1230</v>
      </c>
      <c r="G22" s="570" t="s">
        <v>1231</v>
      </c>
      <c r="H22" s="570" t="s">
        <v>1267</v>
      </c>
      <c r="I22" s="570"/>
      <c r="J22" s="570"/>
      <c r="K22" s="570"/>
      <c r="L22" s="570"/>
      <c r="M22" s="570"/>
      <c r="N22" s="570"/>
      <c r="O22" s="570"/>
      <c r="P22" s="570"/>
      <c r="Q22" s="570"/>
      <c r="R22" s="570"/>
      <c r="S22" s="570"/>
      <c r="T22" s="570"/>
      <c r="U22" s="570"/>
    </row>
    <row r="23" spans="1:21" x14ac:dyDescent="0.35">
      <c r="A23" s="570"/>
      <c r="B23" s="570" t="s">
        <v>1182</v>
      </c>
      <c r="C23" s="570" t="s">
        <v>1183</v>
      </c>
      <c r="D23" s="570" t="s">
        <v>1208</v>
      </c>
      <c r="E23" s="570"/>
      <c r="F23" s="570" t="s">
        <v>1232</v>
      </c>
      <c r="G23" s="570" t="s">
        <v>1233</v>
      </c>
      <c r="H23" s="570" t="s">
        <v>1233</v>
      </c>
      <c r="I23" s="570"/>
      <c r="J23" s="570"/>
      <c r="K23" s="570"/>
      <c r="L23" s="570"/>
      <c r="M23" s="570"/>
      <c r="N23" s="570"/>
      <c r="O23" s="570"/>
      <c r="P23" s="570"/>
      <c r="Q23" s="570"/>
      <c r="R23" s="570"/>
      <c r="S23" s="570"/>
      <c r="T23" s="570"/>
      <c r="U23" s="570"/>
    </row>
    <row r="24" spans="1:21" x14ac:dyDescent="0.35">
      <c r="A24" s="570"/>
      <c r="B24" s="570" t="s">
        <v>1184</v>
      </c>
      <c r="C24" s="570" t="s">
        <v>1185</v>
      </c>
      <c r="D24" s="570" t="s">
        <v>1209</v>
      </c>
      <c r="E24" s="570"/>
      <c r="F24" s="570" t="s">
        <v>1234</v>
      </c>
      <c r="G24" s="570">
        <v>35.1</v>
      </c>
      <c r="H24" s="570">
        <v>35.1</v>
      </c>
      <c r="I24" s="570"/>
      <c r="J24" s="570"/>
      <c r="K24" s="570"/>
      <c r="L24" s="570"/>
      <c r="M24" s="570"/>
      <c r="N24" s="570"/>
      <c r="O24" s="570"/>
      <c r="P24" s="570"/>
      <c r="Q24" s="570"/>
      <c r="R24" s="570"/>
      <c r="S24" s="570"/>
      <c r="T24" s="570"/>
      <c r="U24" s="570"/>
    </row>
    <row r="25" spans="1:21" x14ac:dyDescent="0.35">
      <c r="A25" s="570"/>
      <c r="B25" s="570" t="s">
        <v>1186</v>
      </c>
      <c r="C25" s="570" t="s">
        <v>1187</v>
      </c>
      <c r="D25" s="570" t="s">
        <v>1199</v>
      </c>
      <c r="E25" s="570"/>
      <c r="F25" s="570" t="s">
        <v>1235</v>
      </c>
      <c r="G25" s="570" t="s">
        <v>1236</v>
      </c>
      <c r="H25" s="570" t="s">
        <v>1236</v>
      </c>
      <c r="I25" s="570"/>
      <c r="J25" s="570"/>
      <c r="K25" s="570"/>
      <c r="L25" s="570"/>
      <c r="M25" s="570"/>
      <c r="N25" s="570"/>
      <c r="O25" s="570"/>
      <c r="P25" s="570"/>
      <c r="Q25" s="570"/>
      <c r="R25" s="570"/>
      <c r="S25" s="570"/>
      <c r="T25" s="570"/>
      <c r="U25" s="570"/>
    </row>
    <row r="26" spans="1:21" x14ac:dyDescent="0.35">
      <c r="A26" s="570"/>
      <c r="B26" s="570" t="s">
        <v>1188</v>
      </c>
      <c r="C26" s="570" t="s">
        <v>1189</v>
      </c>
      <c r="D26" s="570" t="s">
        <v>1200</v>
      </c>
      <c r="E26" s="570"/>
      <c r="F26" s="570" t="s">
        <v>1237</v>
      </c>
      <c r="G26" s="570" t="s">
        <v>1238</v>
      </c>
      <c r="H26" s="570" t="s">
        <v>1262</v>
      </c>
      <c r="I26" s="570"/>
      <c r="J26" s="570"/>
      <c r="K26" s="570"/>
      <c r="L26" s="570"/>
      <c r="M26" s="570"/>
      <c r="N26" s="570"/>
      <c r="O26" s="570"/>
      <c r="P26" s="570"/>
      <c r="Q26" s="570"/>
      <c r="R26" s="570"/>
      <c r="S26" s="570"/>
      <c r="T26" s="570"/>
      <c r="U26" s="570"/>
    </row>
    <row r="27" spans="1:21" x14ac:dyDescent="0.35">
      <c r="A27" s="570"/>
      <c r="B27" s="570" t="s">
        <v>1190</v>
      </c>
      <c r="C27" s="570" t="s">
        <v>1191</v>
      </c>
      <c r="D27" s="570" t="s">
        <v>1210</v>
      </c>
      <c r="E27" s="570"/>
      <c r="F27" s="570" t="s">
        <v>1177</v>
      </c>
      <c r="G27" s="570">
        <v>-97.43</v>
      </c>
      <c r="H27" s="570">
        <v>-97.42</v>
      </c>
      <c r="I27" s="570"/>
      <c r="J27" s="570"/>
      <c r="K27" s="570"/>
      <c r="L27" s="570"/>
      <c r="M27" s="570"/>
      <c r="N27" s="570"/>
      <c r="O27" s="570"/>
      <c r="P27" s="570"/>
      <c r="Q27" s="570"/>
      <c r="R27" s="570"/>
      <c r="S27" s="570"/>
      <c r="T27" s="570"/>
      <c r="U27" s="570"/>
    </row>
    <row r="28" spans="1:21" x14ac:dyDescent="0.35">
      <c r="A28" s="570"/>
      <c r="B28" s="570" t="s">
        <v>1192</v>
      </c>
      <c r="C28" s="570" t="s">
        <v>1193</v>
      </c>
      <c r="D28" s="570" t="s">
        <v>1193</v>
      </c>
      <c r="E28" s="570"/>
      <c r="F28" s="570" t="s">
        <v>1178</v>
      </c>
      <c r="G28" s="570" t="s">
        <v>1239</v>
      </c>
      <c r="H28" s="570" t="s">
        <v>1268</v>
      </c>
      <c r="I28" s="570"/>
      <c r="J28" s="570"/>
      <c r="K28" s="570"/>
      <c r="L28" s="570"/>
      <c r="M28" s="570"/>
      <c r="N28" s="570"/>
      <c r="O28" s="570"/>
      <c r="P28" s="570"/>
      <c r="Q28" s="570"/>
      <c r="R28" s="570"/>
      <c r="S28" s="570"/>
      <c r="T28" s="570"/>
      <c r="U28" s="570"/>
    </row>
    <row r="29" spans="1:21" x14ac:dyDescent="0.35">
      <c r="A29" s="570"/>
      <c r="B29" s="570" t="s">
        <v>1194</v>
      </c>
      <c r="C29" s="570" t="s">
        <v>1155</v>
      </c>
      <c r="D29" s="570" t="s">
        <v>1155</v>
      </c>
      <c r="E29" s="570"/>
      <c r="F29" s="570" t="s">
        <v>1240</v>
      </c>
      <c r="G29" s="570" t="s">
        <v>1241</v>
      </c>
      <c r="H29" s="570" t="s">
        <v>1269</v>
      </c>
      <c r="I29" s="570"/>
      <c r="J29" s="570"/>
      <c r="K29" s="570"/>
      <c r="L29" s="570"/>
      <c r="M29" s="570"/>
      <c r="N29" s="570"/>
      <c r="O29" s="570"/>
      <c r="P29" s="570"/>
      <c r="Q29" s="570"/>
      <c r="R29" s="570"/>
      <c r="S29" s="570"/>
      <c r="T29" s="570"/>
      <c r="U29" s="570"/>
    </row>
    <row r="30" spans="1:21" x14ac:dyDescent="0.35">
      <c r="A30" s="570"/>
      <c r="B30" s="570" t="s">
        <v>1195</v>
      </c>
      <c r="C30" s="570" t="s">
        <v>1196</v>
      </c>
      <c r="D30" s="570" t="s">
        <v>1196</v>
      </c>
      <c r="E30" s="570"/>
      <c r="F30" s="570" t="s">
        <v>1242</v>
      </c>
      <c r="G30" s="570" t="s">
        <v>1051</v>
      </c>
      <c r="H30" s="570" t="s">
        <v>1270</v>
      </c>
      <c r="I30" s="570"/>
      <c r="J30" s="570"/>
      <c r="K30" s="570"/>
      <c r="L30" s="570"/>
      <c r="M30" s="570"/>
      <c r="N30" s="570"/>
      <c r="O30" s="570"/>
      <c r="P30" s="570"/>
      <c r="Q30" s="570"/>
      <c r="R30" s="570"/>
      <c r="S30" s="570"/>
      <c r="T30" s="570"/>
      <c r="U30" s="570"/>
    </row>
    <row r="31" spans="1:21" x14ac:dyDescent="0.35">
      <c r="A31" s="570"/>
      <c r="B31" s="570" t="s">
        <v>1197</v>
      </c>
      <c r="C31" s="570" t="s">
        <v>1198</v>
      </c>
      <c r="D31" s="570" t="s">
        <v>1198</v>
      </c>
      <c r="E31" s="570"/>
      <c r="F31" s="570" t="s">
        <v>1243</v>
      </c>
      <c r="G31" s="570">
        <v>1</v>
      </c>
      <c r="H31" s="570">
        <v>3</v>
      </c>
      <c r="I31" s="570"/>
      <c r="J31" s="570"/>
      <c r="K31" s="570"/>
      <c r="L31" s="570"/>
      <c r="M31" s="570"/>
      <c r="N31" s="570"/>
      <c r="O31" s="570"/>
      <c r="P31" s="570"/>
      <c r="Q31" s="570"/>
      <c r="R31" s="570"/>
      <c r="S31" s="570"/>
      <c r="T31" s="570"/>
      <c r="U31" s="570"/>
    </row>
    <row r="32" spans="1:21" x14ac:dyDescent="0.35">
      <c r="A32" s="570"/>
      <c r="B32" s="570" t="s">
        <v>1067</v>
      </c>
      <c r="C32" s="575">
        <v>2022</v>
      </c>
      <c r="D32" s="575">
        <v>2022</v>
      </c>
      <c r="E32" s="570"/>
      <c r="F32" s="570" t="s">
        <v>1244</v>
      </c>
      <c r="G32" s="570" t="s">
        <v>1155</v>
      </c>
      <c r="H32" s="570" t="s">
        <v>1155</v>
      </c>
      <c r="I32" s="570"/>
      <c r="J32" s="570"/>
      <c r="K32" s="570"/>
      <c r="L32" s="570"/>
      <c r="M32" s="570"/>
      <c r="N32" s="570"/>
      <c r="O32" s="570"/>
      <c r="P32" s="570"/>
      <c r="Q32" s="570"/>
      <c r="R32" s="570"/>
      <c r="S32" s="570"/>
      <c r="T32" s="570"/>
      <c r="U32" s="570"/>
    </row>
    <row r="33" spans="1:21" x14ac:dyDescent="0.35">
      <c r="A33" s="570"/>
      <c r="B33" s="570"/>
      <c r="C33" s="570"/>
      <c r="D33" s="570"/>
      <c r="E33" s="570"/>
      <c r="F33" s="570" t="s">
        <v>1245</v>
      </c>
      <c r="G33" s="570" t="s">
        <v>1165</v>
      </c>
      <c r="H33" s="570" t="s">
        <v>1155</v>
      </c>
      <c r="I33" s="570"/>
      <c r="J33" s="570"/>
      <c r="K33" s="570"/>
      <c r="L33" s="570"/>
      <c r="M33" s="570"/>
      <c r="N33" s="570"/>
      <c r="O33" s="570"/>
      <c r="P33" s="570"/>
      <c r="Q33" s="570"/>
      <c r="R33" s="570"/>
      <c r="S33" s="570"/>
      <c r="T33" s="570"/>
      <c r="U33" s="570"/>
    </row>
    <row r="34" spans="1:21" x14ac:dyDescent="0.35">
      <c r="A34" s="570"/>
      <c r="B34" s="570"/>
      <c r="C34" s="570"/>
      <c r="D34" s="570"/>
      <c r="E34" s="570"/>
      <c r="F34" s="570" t="s">
        <v>1246</v>
      </c>
      <c r="G34" s="570" t="s">
        <v>1157</v>
      </c>
      <c r="H34" s="570" t="s">
        <v>1157</v>
      </c>
      <c r="I34" s="570"/>
      <c r="J34" s="570"/>
      <c r="K34" s="570"/>
      <c r="L34" s="570"/>
      <c r="M34" s="570"/>
      <c r="N34" s="570"/>
      <c r="O34" s="570"/>
      <c r="P34" s="570"/>
      <c r="Q34" s="570"/>
      <c r="R34" s="570"/>
      <c r="S34" s="570"/>
      <c r="T34" s="570"/>
      <c r="U34" s="570"/>
    </row>
    <row r="35" spans="1:21" x14ac:dyDescent="0.35">
      <c r="A35" s="570"/>
      <c r="B35" s="570"/>
      <c r="C35" s="570"/>
      <c r="D35" s="570"/>
      <c r="E35" s="570"/>
      <c r="F35" s="570" t="s">
        <v>1247</v>
      </c>
      <c r="G35" s="570" t="s">
        <v>1248</v>
      </c>
      <c r="H35" s="570" t="s">
        <v>1248</v>
      </c>
      <c r="I35" s="570"/>
      <c r="J35" s="570"/>
      <c r="K35" s="570"/>
      <c r="L35" s="570"/>
      <c r="M35" s="570"/>
      <c r="N35" s="570"/>
      <c r="O35" s="570"/>
      <c r="P35" s="570"/>
      <c r="Q35" s="570"/>
      <c r="R35" s="570"/>
      <c r="S35" s="570"/>
      <c r="T35" s="570"/>
      <c r="U35" s="570"/>
    </row>
    <row r="36" spans="1:21" x14ac:dyDescent="0.35">
      <c r="A36" s="570"/>
      <c r="B36" s="570"/>
      <c r="C36" s="570"/>
      <c r="D36" s="570"/>
      <c r="E36" s="570"/>
      <c r="F36" s="570" t="s">
        <v>1249</v>
      </c>
      <c r="G36" s="570" t="s">
        <v>1250</v>
      </c>
      <c r="H36" s="570" t="s">
        <v>1271</v>
      </c>
      <c r="I36" s="570"/>
      <c r="J36" s="570"/>
      <c r="K36" s="570"/>
      <c r="L36" s="570"/>
      <c r="M36" s="570"/>
      <c r="N36" s="570"/>
      <c r="O36" s="570"/>
      <c r="P36" s="570"/>
      <c r="Q36" s="570"/>
      <c r="R36" s="570"/>
      <c r="S36" s="570"/>
      <c r="T36" s="570"/>
      <c r="U36" s="570"/>
    </row>
    <row r="37" spans="1:21" x14ac:dyDescent="0.35">
      <c r="A37" s="570"/>
      <c r="B37" s="570"/>
      <c r="C37" s="570"/>
      <c r="D37" s="570"/>
      <c r="E37" s="570"/>
      <c r="F37" s="570" t="s">
        <v>1251</v>
      </c>
      <c r="G37" s="570" t="s">
        <v>1155</v>
      </c>
      <c r="H37" s="570" t="s">
        <v>1155</v>
      </c>
      <c r="I37" s="570"/>
      <c r="J37" s="570"/>
      <c r="K37" s="570"/>
      <c r="L37" s="570"/>
      <c r="M37" s="570"/>
      <c r="N37" s="570"/>
      <c r="O37" s="570"/>
      <c r="P37" s="570"/>
      <c r="Q37" s="570"/>
      <c r="R37" s="570"/>
      <c r="S37" s="570"/>
      <c r="T37" s="570"/>
      <c r="U37" s="570"/>
    </row>
    <row r="38" spans="1:21" x14ac:dyDescent="0.35">
      <c r="A38" s="570"/>
      <c r="B38" s="570"/>
      <c r="C38" s="570"/>
      <c r="D38" s="570"/>
      <c r="E38" s="570"/>
      <c r="F38" s="570" t="s">
        <v>1195</v>
      </c>
      <c r="G38" s="576">
        <v>0.2048611111111111</v>
      </c>
      <c r="H38" s="576">
        <v>0.98888888888888893</v>
      </c>
      <c r="I38" s="570"/>
      <c r="J38" s="570"/>
      <c r="K38" s="570"/>
      <c r="L38" s="570"/>
      <c r="M38" s="570"/>
      <c r="N38" s="570"/>
      <c r="O38" s="570"/>
      <c r="P38" s="570"/>
      <c r="Q38" s="570"/>
      <c r="R38" s="570"/>
      <c r="S38" s="570"/>
      <c r="T38" s="570"/>
      <c r="U38" s="570"/>
    </row>
    <row r="39" spans="1:21" x14ac:dyDescent="0.35">
      <c r="A39" s="570"/>
      <c r="B39" s="570"/>
      <c r="C39" s="570"/>
      <c r="D39" s="570"/>
      <c r="E39" s="570"/>
      <c r="F39" s="570" t="s">
        <v>1252</v>
      </c>
      <c r="G39" s="570">
        <v>0</v>
      </c>
      <c r="H39" s="570">
        <v>1</v>
      </c>
      <c r="I39" s="570"/>
      <c r="J39" s="570"/>
      <c r="K39" s="570"/>
      <c r="L39" s="570"/>
      <c r="M39" s="570"/>
      <c r="N39" s="570"/>
      <c r="O39" s="570"/>
      <c r="P39" s="570"/>
      <c r="Q39" s="570"/>
      <c r="R39" s="570"/>
      <c r="S39" s="570"/>
      <c r="T39" s="570"/>
      <c r="U39" s="570"/>
    </row>
    <row r="40" spans="1:21" x14ac:dyDescent="0.35">
      <c r="A40" s="570"/>
      <c r="B40" s="570"/>
      <c r="C40" s="570"/>
      <c r="D40" s="570"/>
      <c r="E40" s="570"/>
      <c r="F40" s="570" t="s">
        <v>1253</v>
      </c>
      <c r="G40" s="570">
        <v>1</v>
      </c>
      <c r="H40" s="570">
        <v>1</v>
      </c>
      <c r="I40" s="570"/>
      <c r="J40" s="570"/>
      <c r="K40" s="570"/>
      <c r="L40" s="570"/>
      <c r="M40" s="570"/>
      <c r="N40" s="570"/>
      <c r="O40" s="570"/>
      <c r="P40" s="570"/>
      <c r="Q40" s="570"/>
      <c r="R40" s="570"/>
      <c r="S40" s="570"/>
      <c r="T40" s="570"/>
      <c r="U40" s="570"/>
    </row>
    <row r="41" spans="1:21" x14ac:dyDescent="0.35">
      <c r="A41" s="570"/>
      <c r="B41" s="570"/>
      <c r="C41" s="570"/>
      <c r="D41" s="570"/>
      <c r="E41" s="570"/>
      <c r="F41" s="570" t="s">
        <v>1254</v>
      </c>
      <c r="G41" s="570">
        <v>0</v>
      </c>
      <c r="H41" s="570">
        <v>0</v>
      </c>
      <c r="I41" s="570"/>
      <c r="J41" s="570"/>
      <c r="K41" s="570"/>
      <c r="L41" s="570"/>
      <c r="M41" s="570"/>
      <c r="N41" s="570"/>
      <c r="O41" s="570"/>
      <c r="P41" s="570"/>
      <c r="Q41" s="570"/>
      <c r="R41" s="570"/>
      <c r="S41" s="570"/>
      <c r="T41" s="570"/>
      <c r="U41" s="570"/>
    </row>
    <row r="42" spans="1:21" x14ac:dyDescent="0.35">
      <c r="A42" s="570"/>
      <c r="B42" s="570"/>
      <c r="C42" s="570"/>
      <c r="D42" s="570"/>
      <c r="E42" s="570"/>
      <c r="F42" s="570" t="s">
        <v>1255</v>
      </c>
      <c r="G42" s="570">
        <v>0</v>
      </c>
      <c r="H42" s="570">
        <v>0</v>
      </c>
      <c r="I42" s="570"/>
      <c r="J42" s="570"/>
      <c r="K42" s="570"/>
      <c r="L42" s="570"/>
      <c r="M42" s="570"/>
      <c r="N42" s="570"/>
      <c r="O42" s="570"/>
      <c r="P42" s="570"/>
      <c r="Q42" s="570"/>
      <c r="R42" s="570"/>
      <c r="S42" s="570"/>
      <c r="T42" s="570"/>
      <c r="U42" s="570"/>
    </row>
    <row r="43" spans="1:21" x14ac:dyDescent="0.35">
      <c r="A43" s="570"/>
      <c r="B43" s="570"/>
      <c r="C43" s="570"/>
      <c r="D43" s="570"/>
      <c r="E43" s="570"/>
      <c r="F43" s="570" t="s">
        <v>1256</v>
      </c>
      <c r="G43" s="570" t="s">
        <v>1155</v>
      </c>
      <c r="H43" s="570" t="s">
        <v>1155</v>
      </c>
      <c r="I43" s="570"/>
      <c r="J43" s="570"/>
      <c r="K43" s="570"/>
      <c r="L43" s="570"/>
      <c r="M43" s="570"/>
      <c r="N43" s="570"/>
      <c r="O43" s="570"/>
      <c r="P43" s="570"/>
      <c r="Q43" s="570"/>
      <c r="R43" s="570"/>
      <c r="S43" s="570"/>
      <c r="T43" s="570"/>
      <c r="U43" s="570"/>
    </row>
    <row r="44" spans="1:21" x14ac:dyDescent="0.35">
      <c r="A44" s="570"/>
      <c r="B44" s="570"/>
      <c r="C44" s="570"/>
      <c r="D44" s="570"/>
      <c r="E44" s="570"/>
      <c r="F44" s="570" t="s">
        <v>1257</v>
      </c>
      <c r="G44" s="570" t="s">
        <v>1258</v>
      </c>
      <c r="H44" s="570" t="s">
        <v>1258</v>
      </c>
      <c r="I44" s="570"/>
      <c r="J44" s="570"/>
      <c r="K44" s="570"/>
      <c r="L44" s="570"/>
      <c r="M44" s="570"/>
      <c r="N44" s="570"/>
      <c r="O44" s="570"/>
      <c r="P44" s="570"/>
      <c r="Q44" s="570"/>
      <c r="R44" s="570"/>
      <c r="S44" s="570"/>
      <c r="T44" s="570"/>
      <c r="U44" s="570"/>
    </row>
    <row r="45" spans="1:21" x14ac:dyDescent="0.35">
      <c r="A45" s="570"/>
      <c r="B45" s="570"/>
      <c r="C45" s="570"/>
      <c r="D45" s="570"/>
      <c r="E45" s="570"/>
      <c r="F45" s="570" t="s">
        <v>1259</v>
      </c>
      <c r="G45" s="570" t="s">
        <v>1155</v>
      </c>
      <c r="H45" s="570" t="s">
        <v>1155</v>
      </c>
      <c r="I45" s="570"/>
      <c r="J45" s="570"/>
      <c r="K45" s="570"/>
      <c r="L45" s="570"/>
      <c r="M45" s="570"/>
      <c r="N45" s="570"/>
      <c r="O45" s="570"/>
      <c r="P45" s="570"/>
      <c r="Q45" s="570"/>
      <c r="R45" s="570"/>
      <c r="S45" s="570"/>
      <c r="T45" s="570"/>
      <c r="U45" s="570"/>
    </row>
    <row r="46" spans="1:21" x14ac:dyDescent="0.35">
      <c r="A46" s="570"/>
      <c r="B46" s="570"/>
      <c r="C46" s="570"/>
      <c r="D46" s="570"/>
      <c r="E46" s="570"/>
      <c r="F46" s="570" t="s">
        <v>1067</v>
      </c>
      <c r="G46" s="575">
        <v>2021</v>
      </c>
      <c r="H46" s="575">
        <v>2021</v>
      </c>
      <c r="I46" s="570"/>
      <c r="J46" s="570"/>
      <c r="K46" s="570"/>
      <c r="L46" s="570"/>
      <c r="M46" s="570"/>
      <c r="N46" s="570"/>
      <c r="O46" s="570"/>
      <c r="P46" s="570"/>
      <c r="Q46" s="570"/>
      <c r="R46" s="570"/>
      <c r="S46" s="570"/>
      <c r="T46" s="570"/>
      <c r="U46" s="570"/>
    </row>
    <row r="47" spans="1:21" x14ac:dyDescent="0.35">
      <c r="A47" s="570"/>
      <c r="B47" s="570"/>
      <c r="C47" s="570"/>
      <c r="D47" s="570"/>
      <c r="E47" s="570"/>
      <c r="F47" s="570"/>
      <c r="G47" s="570"/>
      <c r="H47" s="570"/>
      <c r="I47" s="570"/>
      <c r="J47" s="570"/>
      <c r="K47" s="570"/>
      <c r="L47" s="570"/>
      <c r="M47" s="570"/>
      <c r="N47" s="570"/>
      <c r="O47" s="570"/>
      <c r="P47" s="570"/>
      <c r="Q47" s="570"/>
      <c r="R47" s="570"/>
      <c r="S47" s="570"/>
      <c r="T47" s="570"/>
      <c r="U47" s="570"/>
    </row>
    <row r="48" spans="1:21" x14ac:dyDescent="0.35">
      <c r="A48" s="570"/>
      <c r="B48" s="570"/>
      <c r="C48" s="570"/>
      <c r="D48" s="570"/>
      <c r="E48" s="570"/>
      <c r="F48" s="570"/>
      <c r="G48" s="570"/>
      <c r="H48" s="570"/>
      <c r="I48" s="570"/>
      <c r="J48" s="570"/>
      <c r="K48" s="570"/>
      <c r="L48" s="570"/>
      <c r="M48" s="570"/>
      <c r="N48" s="570"/>
      <c r="O48" s="570"/>
      <c r="P48" s="570"/>
      <c r="Q48" s="570"/>
      <c r="R48" s="570"/>
      <c r="S48" s="570"/>
      <c r="T48" s="570"/>
      <c r="U48" s="570"/>
    </row>
    <row r="49" spans="1:21" x14ac:dyDescent="0.35">
      <c r="A49" s="570"/>
      <c r="B49" s="570"/>
      <c r="C49" s="570"/>
      <c r="D49" s="570"/>
      <c r="E49" s="570"/>
      <c r="F49" s="570"/>
      <c r="G49" s="570"/>
      <c r="H49" s="570"/>
      <c r="I49" s="570"/>
      <c r="J49" s="570"/>
      <c r="K49" s="570"/>
      <c r="L49" s="570"/>
      <c r="M49" s="570"/>
      <c r="N49" s="570"/>
      <c r="O49" s="570"/>
      <c r="P49" s="570"/>
      <c r="Q49" s="570"/>
      <c r="R49" s="570"/>
      <c r="S49" s="570"/>
      <c r="T49" s="570"/>
      <c r="U49" s="570"/>
    </row>
    <row r="50" spans="1:21" x14ac:dyDescent="0.35">
      <c r="A50" s="570"/>
      <c r="B50" s="570"/>
      <c r="C50" s="570"/>
      <c r="D50" s="570"/>
      <c r="E50" s="570"/>
      <c r="F50" s="570"/>
      <c r="G50" s="570"/>
      <c r="H50" s="570"/>
      <c r="I50" s="570"/>
      <c r="J50" s="570"/>
      <c r="K50" s="570"/>
      <c r="L50" s="570"/>
      <c r="M50" s="570"/>
      <c r="N50" s="570"/>
      <c r="O50" s="570"/>
      <c r="P50" s="570"/>
      <c r="Q50" s="570"/>
      <c r="R50" s="570"/>
      <c r="S50" s="570"/>
      <c r="T50" s="570"/>
      <c r="U50" s="570"/>
    </row>
    <row r="51" spans="1:21" x14ac:dyDescent="0.35">
      <c r="A51" s="570"/>
      <c r="B51" s="570"/>
      <c r="C51" s="570"/>
      <c r="D51" s="570"/>
      <c r="E51" s="570"/>
      <c r="F51" s="570"/>
      <c r="G51" s="570"/>
      <c r="H51" s="570"/>
      <c r="I51" s="570"/>
      <c r="J51" s="570"/>
      <c r="K51" s="570"/>
      <c r="L51" s="570"/>
      <c r="M51" s="570"/>
      <c r="N51" s="570"/>
      <c r="O51" s="570"/>
      <c r="P51" s="570"/>
      <c r="Q51" s="570"/>
      <c r="R51" s="570"/>
      <c r="S51" s="570"/>
      <c r="T51" s="570"/>
      <c r="U51" s="570"/>
    </row>
    <row r="52" spans="1:21" x14ac:dyDescent="0.35">
      <c r="A52" s="570"/>
      <c r="B52" s="570"/>
      <c r="C52" s="570"/>
      <c r="D52" s="570"/>
      <c r="E52" s="570"/>
      <c r="F52" s="570"/>
      <c r="G52" s="570"/>
      <c r="H52" s="570"/>
      <c r="I52" s="570"/>
      <c r="J52" s="570"/>
      <c r="K52" s="570"/>
      <c r="L52" s="570"/>
      <c r="M52" s="570"/>
      <c r="N52" s="570"/>
      <c r="O52" s="570"/>
      <c r="P52" s="570"/>
      <c r="Q52" s="570"/>
      <c r="R52" s="570"/>
      <c r="S52" s="570"/>
      <c r="T52" s="570"/>
      <c r="U52" s="570"/>
    </row>
    <row r="53" spans="1:21" x14ac:dyDescent="0.35">
      <c r="A53" s="570"/>
      <c r="B53" s="570"/>
      <c r="C53" s="570"/>
      <c r="D53" s="570"/>
      <c r="E53" s="570"/>
      <c r="F53" s="570"/>
      <c r="G53" s="570"/>
      <c r="H53" s="570"/>
      <c r="I53" s="570"/>
      <c r="J53" s="570"/>
      <c r="K53" s="570"/>
      <c r="L53" s="570"/>
      <c r="M53" s="570"/>
      <c r="N53" s="570"/>
      <c r="O53" s="570"/>
      <c r="P53" s="570"/>
      <c r="Q53" s="570"/>
      <c r="R53" s="570"/>
      <c r="S53" s="570"/>
      <c r="T53" s="570"/>
      <c r="U53" s="570"/>
    </row>
    <row r="54" spans="1:21" x14ac:dyDescent="0.35">
      <c r="A54" s="570"/>
      <c r="B54" s="570"/>
      <c r="C54" s="570"/>
      <c r="D54" s="570"/>
      <c r="E54" s="570"/>
      <c r="F54" s="570"/>
      <c r="G54" s="570"/>
      <c r="H54" s="570"/>
      <c r="I54" s="570"/>
      <c r="J54" s="570"/>
      <c r="K54" s="570"/>
      <c r="L54" s="570"/>
      <c r="M54" s="570"/>
      <c r="N54" s="570"/>
      <c r="O54" s="570"/>
      <c r="P54" s="570"/>
      <c r="Q54" s="570"/>
      <c r="R54" s="570"/>
      <c r="S54" s="570"/>
      <c r="T54" s="570"/>
      <c r="U54" s="570"/>
    </row>
    <row r="55" spans="1:21" x14ac:dyDescent="0.35">
      <c r="A55" s="570"/>
      <c r="B55" s="570"/>
      <c r="C55" s="570"/>
      <c r="D55" s="570"/>
      <c r="E55" s="570"/>
      <c r="F55" s="570"/>
      <c r="G55" s="570"/>
      <c r="H55" s="570"/>
      <c r="I55" s="570"/>
      <c r="J55" s="570"/>
      <c r="K55" s="570"/>
      <c r="L55" s="570"/>
      <c r="M55" s="570"/>
      <c r="N55" s="570"/>
      <c r="O55" s="570"/>
      <c r="P55" s="570"/>
      <c r="Q55" s="570"/>
      <c r="R55" s="570"/>
      <c r="S55" s="570"/>
      <c r="T55" s="570"/>
      <c r="U55" s="570"/>
    </row>
    <row r="56" spans="1:21" x14ac:dyDescent="0.35">
      <c r="A56" s="570"/>
      <c r="B56" s="570"/>
      <c r="C56" s="570"/>
      <c r="D56" s="570"/>
      <c r="E56" s="570"/>
      <c r="F56" s="570"/>
      <c r="G56" s="570"/>
      <c r="H56" s="570"/>
      <c r="I56" s="570"/>
      <c r="J56" s="570"/>
      <c r="K56" s="570"/>
      <c r="L56" s="570"/>
      <c r="M56" s="570"/>
      <c r="N56" s="570"/>
      <c r="O56" s="570"/>
      <c r="P56" s="570"/>
      <c r="Q56" s="570"/>
      <c r="R56" s="570"/>
      <c r="S56" s="570"/>
      <c r="T56" s="570"/>
      <c r="U56" s="570"/>
    </row>
    <row r="57" spans="1:21" x14ac:dyDescent="0.35">
      <c r="A57" s="570"/>
      <c r="B57" s="570"/>
      <c r="C57" s="570"/>
      <c r="D57" s="570"/>
      <c r="E57" s="570"/>
      <c r="F57" s="570"/>
      <c r="G57" s="570"/>
      <c r="H57" s="570"/>
      <c r="I57" s="570"/>
      <c r="J57" s="570"/>
      <c r="K57" s="570"/>
      <c r="L57" s="570"/>
      <c r="M57" s="570"/>
      <c r="N57" s="570"/>
      <c r="O57" s="570"/>
      <c r="P57" s="570"/>
      <c r="Q57" s="570"/>
      <c r="R57" s="570"/>
      <c r="S57" s="570"/>
      <c r="T57" s="570"/>
      <c r="U57" s="570"/>
    </row>
    <row r="58" spans="1:21" x14ac:dyDescent="0.35">
      <c r="A58" s="570"/>
      <c r="B58" s="570"/>
      <c r="C58" s="570"/>
      <c r="D58" s="570"/>
      <c r="E58" s="570"/>
      <c r="F58" s="570"/>
      <c r="G58" s="570"/>
      <c r="H58" s="570"/>
      <c r="I58" s="570"/>
      <c r="J58" s="570"/>
      <c r="K58" s="570"/>
      <c r="L58" s="570"/>
      <c r="M58" s="570"/>
      <c r="N58" s="570"/>
      <c r="O58" s="570"/>
      <c r="P58" s="570"/>
      <c r="Q58" s="570"/>
      <c r="R58" s="570"/>
      <c r="S58" s="570"/>
      <c r="T58" s="570"/>
      <c r="U58" s="570"/>
    </row>
    <row r="59" spans="1:21" x14ac:dyDescent="0.35">
      <c r="A59" s="570"/>
      <c r="B59" s="570"/>
      <c r="C59" s="570"/>
      <c r="D59" s="570"/>
      <c r="E59" s="570"/>
      <c r="F59" s="570"/>
      <c r="G59" s="570"/>
      <c r="H59" s="570"/>
      <c r="I59" s="570"/>
      <c r="J59" s="570"/>
      <c r="K59" s="570"/>
      <c r="L59" s="570"/>
      <c r="M59" s="570"/>
      <c r="N59" s="570"/>
      <c r="O59" s="570"/>
      <c r="P59" s="570"/>
      <c r="Q59" s="570"/>
      <c r="R59" s="570"/>
      <c r="S59" s="570"/>
      <c r="T59" s="570"/>
      <c r="U59" s="570"/>
    </row>
    <row r="60" spans="1:21" x14ac:dyDescent="0.35">
      <c r="A60" s="570"/>
      <c r="B60" s="570"/>
      <c r="C60" s="570"/>
      <c r="D60" s="570"/>
      <c r="E60" s="570"/>
      <c r="F60" s="570"/>
      <c r="G60" s="570"/>
      <c r="H60" s="570"/>
      <c r="I60" s="570"/>
      <c r="J60" s="570"/>
      <c r="K60" s="570"/>
      <c r="L60" s="570"/>
      <c r="M60" s="570"/>
      <c r="N60" s="570"/>
      <c r="O60" s="570"/>
      <c r="P60" s="570"/>
      <c r="Q60" s="570"/>
      <c r="R60" s="570"/>
      <c r="S60" s="570"/>
      <c r="T60" s="570"/>
      <c r="U60" s="570"/>
    </row>
    <row r="61" spans="1:21" x14ac:dyDescent="0.35">
      <c r="A61" s="570"/>
      <c r="B61" s="570"/>
      <c r="C61" s="570"/>
      <c r="D61" s="570"/>
      <c r="E61" s="570"/>
      <c r="F61" s="570"/>
      <c r="G61" s="570"/>
      <c r="H61" s="570"/>
      <c r="I61" s="570"/>
      <c r="J61" s="570"/>
      <c r="K61" s="570"/>
      <c r="L61" s="570"/>
      <c r="M61" s="570"/>
      <c r="N61" s="570"/>
      <c r="O61" s="570"/>
      <c r="P61" s="570"/>
      <c r="Q61" s="570"/>
      <c r="R61" s="570"/>
      <c r="S61" s="570"/>
      <c r="T61" s="570"/>
      <c r="U61" s="570"/>
    </row>
    <row r="62" spans="1:21" x14ac:dyDescent="0.35">
      <c r="A62" s="570"/>
      <c r="B62" s="570"/>
      <c r="C62" s="570"/>
      <c r="D62" s="570"/>
      <c r="E62" s="570"/>
      <c r="F62" s="570"/>
      <c r="G62" s="570"/>
      <c r="H62" s="570"/>
      <c r="I62" s="570"/>
      <c r="J62" s="570"/>
      <c r="K62" s="570"/>
      <c r="L62" s="570"/>
      <c r="M62" s="570"/>
      <c r="N62" s="570"/>
      <c r="O62" s="570"/>
      <c r="P62" s="570"/>
      <c r="Q62" s="570"/>
      <c r="R62" s="570"/>
      <c r="S62" s="570"/>
      <c r="T62" s="570"/>
      <c r="U62" s="570"/>
    </row>
    <row r="63" spans="1:21" x14ac:dyDescent="0.35">
      <c r="A63" s="570"/>
      <c r="B63" s="570"/>
      <c r="C63" s="570"/>
      <c r="D63" s="570"/>
      <c r="E63" s="570"/>
      <c r="F63" s="570"/>
      <c r="G63" s="570"/>
      <c r="H63" s="570"/>
      <c r="I63" s="570"/>
      <c r="J63" s="570"/>
      <c r="K63" s="570"/>
      <c r="L63" s="570"/>
      <c r="M63" s="570"/>
      <c r="N63" s="570"/>
      <c r="O63" s="570"/>
      <c r="P63" s="570"/>
      <c r="Q63" s="570"/>
      <c r="R63" s="570"/>
      <c r="S63" s="570"/>
      <c r="T63" s="570"/>
      <c r="U63" s="570"/>
    </row>
    <row r="64" spans="1:21" x14ac:dyDescent="0.35">
      <c r="A64" s="570"/>
      <c r="B64" s="570"/>
      <c r="C64" s="570"/>
      <c r="D64" s="570"/>
      <c r="E64" s="570"/>
      <c r="F64" s="570"/>
      <c r="G64" s="570"/>
      <c r="H64" s="570"/>
      <c r="I64" s="570"/>
      <c r="J64" s="570"/>
      <c r="K64" s="570"/>
      <c r="L64" s="570"/>
      <c r="M64" s="570"/>
      <c r="N64" s="570"/>
      <c r="O64" s="570"/>
      <c r="P64" s="570"/>
      <c r="Q64" s="570"/>
      <c r="R64" s="570"/>
      <c r="S64" s="570"/>
      <c r="T64" s="570"/>
      <c r="U64" s="570"/>
    </row>
    <row r="65" spans="1:21" x14ac:dyDescent="0.35">
      <c r="A65" s="570"/>
      <c r="B65" s="570"/>
      <c r="C65" s="570"/>
      <c r="D65" s="570"/>
      <c r="E65" s="570"/>
      <c r="F65" s="570"/>
      <c r="G65" s="570"/>
      <c r="H65" s="570"/>
      <c r="I65" s="570"/>
      <c r="J65" s="570"/>
      <c r="K65" s="570"/>
      <c r="L65" s="570"/>
      <c r="M65" s="570"/>
      <c r="N65" s="570"/>
      <c r="O65" s="570"/>
      <c r="P65" s="570"/>
      <c r="Q65" s="570"/>
      <c r="R65" s="570"/>
      <c r="S65" s="570"/>
      <c r="T65" s="570"/>
      <c r="U65" s="570"/>
    </row>
    <row r="66" spans="1:21" x14ac:dyDescent="0.35">
      <c r="A66" s="570"/>
      <c r="B66" s="570"/>
      <c r="C66" s="570"/>
      <c r="D66" s="570"/>
      <c r="E66" s="570"/>
      <c r="F66" s="570"/>
      <c r="G66" s="570"/>
      <c r="H66" s="570"/>
      <c r="I66" s="570"/>
      <c r="J66" s="570"/>
      <c r="K66" s="570"/>
      <c r="L66" s="570"/>
      <c r="M66" s="570"/>
      <c r="N66" s="570"/>
      <c r="O66" s="570"/>
      <c r="P66" s="570"/>
      <c r="Q66" s="570"/>
      <c r="R66" s="570"/>
      <c r="S66" s="570"/>
      <c r="T66" s="570"/>
      <c r="U66" s="570"/>
    </row>
    <row r="67" spans="1:21" x14ac:dyDescent="0.35">
      <c r="A67" s="570"/>
      <c r="B67" s="570"/>
      <c r="C67" s="570"/>
      <c r="D67" s="570"/>
      <c r="E67" s="570"/>
      <c r="F67" s="570"/>
      <c r="G67" s="570"/>
      <c r="H67" s="570"/>
      <c r="I67" s="570"/>
      <c r="J67" s="570"/>
      <c r="K67" s="570"/>
      <c r="L67" s="570"/>
      <c r="M67" s="570"/>
      <c r="N67" s="570"/>
      <c r="O67" s="570"/>
      <c r="P67" s="570"/>
      <c r="Q67" s="570"/>
      <c r="R67" s="570"/>
      <c r="S67" s="570"/>
      <c r="T67" s="570"/>
      <c r="U67" s="570"/>
    </row>
    <row r="68" spans="1:21" x14ac:dyDescent="0.35">
      <c r="A68" s="570"/>
      <c r="B68" s="570"/>
      <c r="C68" s="570"/>
      <c r="D68" s="570"/>
      <c r="E68" s="570"/>
      <c r="F68" s="570"/>
      <c r="G68" s="570"/>
      <c r="H68" s="570"/>
      <c r="I68" s="570"/>
      <c r="J68" s="570"/>
      <c r="K68" s="570"/>
      <c r="L68" s="570"/>
      <c r="M68" s="570"/>
      <c r="N68" s="570"/>
      <c r="O68" s="570"/>
      <c r="P68" s="570"/>
      <c r="Q68" s="570"/>
      <c r="R68" s="570"/>
      <c r="S68" s="570"/>
      <c r="T68" s="570"/>
      <c r="U68" s="570"/>
    </row>
    <row r="69" spans="1:21" x14ac:dyDescent="0.35">
      <c r="A69" s="570"/>
      <c r="B69" s="570"/>
      <c r="C69" s="570"/>
      <c r="D69" s="570"/>
      <c r="E69" s="570"/>
      <c r="F69" s="570"/>
      <c r="G69" s="570"/>
      <c r="H69" s="570"/>
      <c r="I69" s="570"/>
      <c r="J69" s="570"/>
      <c r="K69" s="570"/>
      <c r="L69" s="570"/>
      <c r="M69" s="570"/>
      <c r="N69" s="570"/>
      <c r="O69" s="570"/>
      <c r="P69" s="570"/>
      <c r="Q69" s="570"/>
      <c r="R69" s="570"/>
      <c r="S69" s="570"/>
      <c r="T69" s="570"/>
      <c r="U69" s="570"/>
    </row>
    <row r="70" spans="1:21" x14ac:dyDescent="0.35">
      <c r="A70" s="570"/>
      <c r="B70" s="570"/>
      <c r="C70" s="570"/>
      <c r="D70" s="570"/>
      <c r="E70" s="570"/>
      <c r="F70" s="570"/>
      <c r="G70" s="570"/>
      <c r="H70" s="570"/>
      <c r="I70" s="570"/>
      <c r="J70" s="570"/>
      <c r="K70" s="570"/>
      <c r="L70" s="570"/>
      <c r="M70" s="570"/>
      <c r="N70" s="570"/>
      <c r="O70" s="570"/>
      <c r="P70" s="570"/>
      <c r="Q70" s="570"/>
      <c r="R70" s="570"/>
      <c r="S70" s="570"/>
      <c r="T70" s="570"/>
      <c r="U70" s="570"/>
    </row>
    <row r="71" spans="1:21" x14ac:dyDescent="0.35">
      <c r="A71" s="570"/>
      <c r="B71" s="570"/>
      <c r="C71" s="570"/>
      <c r="D71" s="570"/>
      <c r="E71" s="570"/>
      <c r="F71" s="570"/>
      <c r="G71" s="570"/>
      <c r="H71" s="570"/>
      <c r="I71" s="570"/>
      <c r="J71" s="570"/>
      <c r="K71" s="570"/>
      <c r="L71" s="570"/>
      <c r="M71" s="570"/>
      <c r="N71" s="570"/>
      <c r="O71" s="570"/>
      <c r="P71" s="570"/>
      <c r="Q71" s="570"/>
      <c r="R71" s="570"/>
      <c r="S71" s="570"/>
      <c r="T71" s="570"/>
      <c r="U71" s="570"/>
    </row>
    <row r="72" spans="1:21" x14ac:dyDescent="0.35">
      <c r="A72" s="570"/>
      <c r="B72" s="570"/>
      <c r="C72" s="570"/>
      <c r="D72" s="570"/>
      <c r="E72" s="570"/>
      <c r="F72" s="570"/>
      <c r="G72" s="570"/>
      <c r="H72" s="570"/>
      <c r="I72" s="570"/>
      <c r="J72" s="570"/>
      <c r="K72" s="570"/>
      <c r="L72" s="570"/>
      <c r="M72" s="570"/>
      <c r="N72" s="570"/>
      <c r="O72" s="570"/>
      <c r="P72" s="570"/>
      <c r="Q72" s="570"/>
      <c r="R72" s="570"/>
      <c r="S72" s="570"/>
      <c r="T72" s="570"/>
      <c r="U72" s="570"/>
    </row>
    <row r="73" spans="1:21" x14ac:dyDescent="0.35">
      <c r="A73" s="570"/>
      <c r="B73" s="570"/>
      <c r="C73" s="570"/>
      <c r="D73" s="570"/>
      <c r="E73" s="570"/>
      <c r="F73" s="570"/>
      <c r="G73" s="570"/>
      <c r="H73" s="570"/>
      <c r="I73" s="570"/>
      <c r="J73" s="570"/>
      <c r="K73" s="570"/>
      <c r="L73" s="570"/>
      <c r="M73" s="570"/>
      <c r="N73" s="570"/>
      <c r="O73" s="570"/>
      <c r="P73" s="570"/>
      <c r="Q73" s="570"/>
      <c r="R73" s="570"/>
      <c r="S73" s="570"/>
      <c r="T73" s="570"/>
      <c r="U73" s="570"/>
    </row>
    <row r="74" spans="1:21" x14ac:dyDescent="0.35">
      <c r="A74" s="570"/>
      <c r="B74" s="570"/>
      <c r="C74" s="570"/>
      <c r="D74" s="570"/>
      <c r="E74" s="570"/>
      <c r="F74" s="570"/>
      <c r="G74" s="570"/>
      <c r="H74" s="570"/>
      <c r="I74" s="570"/>
      <c r="J74" s="570"/>
      <c r="K74" s="570"/>
      <c r="L74" s="570"/>
      <c r="M74" s="570"/>
      <c r="N74" s="570"/>
      <c r="O74" s="570"/>
      <c r="P74" s="570"/>
      <c r="Q74" s="570"/>
      <c r="R74" s="570"/>
      <c r="S74" s="570"/>
      <c r="T74" s="570"/>
      <c r="U74" s="570"/>
    </row>
    <row r="75" spans="1:21" x14ac:dyDescent="0.35">
      <c r="A75" s="570"/>
      <c r="B75" s="570"/>
      <c r="C75" s="570"/>
      <c r="D75" s="570"/>
      <c r="E75" s="570"/>
      <c r="F75" s="570"/>
      <c r="G75" s="570"/>
      <c r="H75" s="570"/>
      <c r="I75" s="570"/>
      <c r="J75" s="570"/>
      <c r="K75" s="570"/>
      <c r="L75" s="570"/>
      <c r="M75" s="570"/>
      <c r="N75" s="570"/>
      <c r="O75" s="570"/>
      <c r="P75" s="570"/>
      <c r="Q75" s="570"/>
      <c r="R75" s="570"/>
      <c r="S75" s="570"/>
      <c r="T75" s="570"/>
      <c r="U75" s="570"/>
    </row>
    <row r="76" spans="1:21" x14ac:dyDescent="0.35">
      <c r="A76" s="570"/>
      <c r="B76" s="570"/>
      <c r="C76" s="570"/>
      <c r="D76" s="570"/>
      <c r="E76" s="570"/>
      <c r="F76" s="570"/>
      <c r="G76" s="570"/>
      <c r="H76" s="570"/>
      <c r="I76" s="570"/>
      <c r="J76" s="570"/>
      <c r="K76" s="570"/>
      <c r="L76" s="570"/>
      <c r="M76" s="570"/>
      <c r="N76" s="570"/>
      <c r="O76" s="570"/>
      <c r="P76" s="570"/>
      <c r="Q76" s="570"/>
      <c r="R76" s="570"/>
      <c r="S76" s="570"/>
      <c r="T76" s="570"/>
      <c r="U76" s="570"/>
    </row>
    <row r="77" spans="1:21" x14ac:dyDescent="0.35">
      <c r="A77" s="570"/>
      <c r="B77" s="570"/>
      <c r="C77" s="570"/>
      <c r="D77" s="570"/>
      <c r="E77" s="570"/>
      <c r="F77" s="570"/>
      <c r="G77" s="570"/>
      <c r="H77" s="570"/>
      <c r="I77" s="570"/>
      <c r="J77" s="570"/>
      <c r="K77" s="570"/>
      <c r="L77" s="570"/>
      <c r="M77" s="570"/>
      <c r="N77" s="570"/>
      <c r="O77" s="570"/>
      <c r="P77" s="570"/>
      <c r="Q77" s="570"/>
      <c r="R77" s="570"/>
      <c r="S77" s="570"/>
      <c r="T77" s="570"/>
      <c r="U77" s="570"/>
    </row>
    <row r="78" spans="1:21" x14ac:dyDescent="0.35">
      <c r="A78" s="570"/>
      <c r="B78" s="570"/>
      <c r="C78" s="570"/>
      <c r="D78" s="570"/>
      <c r="E78" s="570"/>
      <c r="F78" s="570"/>
      <c r="G78" s="570"/>
      <c r="H78" s="570"/>
      <c r="I78" s="570"/>
      <c r="J78" s="570"/>
      <c r="K78" s="570"/>
      <c r="L78" s="570"/>
      <c r="M78" s="570"/>
      <c r="N78" s="570"/>
      <c r="O78" s="570"/>
      <c r="P78" s="570"/>
      <c r="Q78" s="570"/>
      <c r="R78" s="570"/>
      <c r="S78" s="570"/>
      <c r="T78" s="570"/>
      <c r="U78" s="570"/>
    </row>
    <row r="79" spans="1:21" x14ac:dyDescent="0.35">
      <c r="A79" s="570"/>
      <c r="B79" s="570"/>
      <c r="C79" s="570"/>
      <c r="D79" s="570"/>
      <c r="E79" s="570"/>
      <c r="F79" s="570"/>
      <c r="G79" s="570"/>
      <c r="H79" s="570"/>
      <c r="I79" s="570"/>
      <c r="J79" s="570"/>
      <c r="K79" s="570"/>
      <c r="L79" s="570"/>
      <c r="M79" s="570"/>
      <c r="N79" s="570"/>
      <c r="O79" s="570"/>
      <c r="P79" s="570"/>
      <c r="Q79" s="570"/>
      <c r="R79" s="570"/>
      <c r="S79" s="570"/>
      <c r="T79" s="570"/>
      <c r="U79" s="570"/>
    </row>
    <row r="80" spans="1:21" x14ac:dyDescent="0.35">
      <c r="A80" s="570"/>
      <c r="B80" s="570"/>
      <c r="C80" s="570"/>
      <c r="D80" s="570"/>
      <c r="E80" s="570"/>
      <c r="F80" s="570"/>
      <c r="G80" s="570"/>
      <c r="H80" s="570"/>
      <c r="I80" s="570"/>
      <c r="J80" s="570"/>
      <c r="K80" s="570"/>
      <c r="L80" s="570"/>
      <c r="M80" s="570"/>
      <c r="N80" s="570"/>
      <c r="O80" s="570"/>
      <c r="P80" s="570"/>
      <c r="Q80" s="570"/>
      <c r="R80" s="570"/>
      <c r="S80" s="570"/>
      <c r="T80" s="570"/>
      <c r="U80" s="570"/>
    </row>
    <row r="81" spans="1:21" x14ac:dyDescent="0.35">
      <c r="A81" s="570"/>
      <c r="B81" s="570"/>
      <c r="C81" s="570"/>
      <c r="D81" s="570"/>
      <c r="E81" s="570"/>
      <c r="F81" s="570"/>
      <c r="G81" s="570"/>
      <c r="H81" s="570"/>
      <c r="I81" s="570"/>
      <c r="J81" s="570"/>
      <c r="K81" s="570"/>
      <c r="L81" s="570"/>
      <c r="M81" s="570"/>
      <c r="N81" s="570"/>
      <c r="O81" s="570"/>
      <c r="P81" s="570"/>
      <c r="Q81" s="570"/>
      <c r="R81" s="570"/>
      <c r="S81" s="570"/>
      <c r="T81" s="570"/>
      <c r="U81" s="570"/>
    </row>
    <row r="82" spans="1:21" x14ac:dyDescent="0.35">
      <c r="A82" s="570"/>
      <c r="B82" s="570"/>
      <c r="C82" s="570"/>
      <c r="D82" s="570"/>
      <c r="E82" s="570"/>
      <c r="F82" s="570"/>
      <c r="G82" s="570"/>
      <c r="H82" s="570"/>
      <c r="I82" s="570"/>
      <c r="J82" s="570"/>
      <c r="K82" s="570"/>
      <c r="L82" s="570"/>
      <c r="M82" s="570"/>
      <c r="N82" s="570"/>
      <c r="O82" s="570"/>
      <c r="P82" s="570"/>
      <c r="Q82" s="570"/>
      <c r="R82" s="570"/>
      <c r="S82" s="570"/>
      <c r="T82" s="570"/>
      <c r="U82" s="570"/>
    </row>
    <row r="83" spans="1:21" x14ac:dyDescent="0.35">
      <c r="A83" s="570"/>
      <c r="B83" s="570"/>
      <c r="C83" s="570"/>
      <c r="D83" s="570"/>
      <c r="E83" s="570"/>
      <c r="F83" s="570"/>
      <c r="G83" s="570"/>
      <c r="H83" s="570"/>
      <c r="I83" s="570"/>
      <c r="J83" s="570"/>
      <c r="K83" s="570"/>
      <c r="L83" s="570"/>
      <c r="M83" s="570"/>
      <c r="N83" s="570"/>
      <c r="O83" s="570"/>
      <c r="P83" s="570"/>
      <c r="Q83" s="570"/>
      <c r="R83" s="570"/>
      <c r="S83" s="570"/>
      <c r="T83" s="570"/>
      <c r="U83" s="570"/>
    </row>
    <row r="84" spans="1:21" x14ac:dyDescent="0.35">
      <c r="A84" s="570"/>
      <c r="B84" s="570"/>
      <c r="C84" s="570"/>
      <c r="D84" s="570"/>
      <c r="E84" s="570"/>
      <c r="F84" s="570"/>
      <c r="G84" s="570"/>
      <c r="H84" s="570"/>
      <c r="I84" s="570"/>
      <c r="J84" s="570"/>
      <c r="K84" s="570"/>
      <c r="L84" s="570"/>
      <c r="M84" s="570"/>
      <c r="N84" s="570"/>
      <c r="O84" s="570"/>
      <c r="P84" s="570"/>
      <c r="Q84" s="570"/>
      <c r="R84" s="570"/>
      <c r="S84" s="570"/>
      <c r="T84" s="570"/>
      <c r="U84" s="570"/>
    </row>
    <row r="85" spans="1:21" x14ac:dyDescent="0.35">
      <c r="A85" s="570"/>
      <c r="B85" s="570"/>
      <c r="C85" s="570"/>
      <c r="D85" s="570"/>
      <c r="E85" s="570"/>
      <c r="F85" s="570"/>
      <c r="G85" s="570"/>
      <c r="H85" s="570"/>
      <c r="I85" s="570"/>
      <c r="J85" s="570"/>
      <c r="K85" s="570"/>
      <c r="L85" s="570"/>
      <c r="M85" s="570"/>
      <c r="N85" s="570"/>
      <c r="O85" s="570"/>
      <c r="P85" s="570"/>
      <c r="Q85" s="570"/>
      <c r="R85" s="570"/>
      <c r="S85" s="570"/>
      <c r="T85" s="570"/>
      <c r="U85" s="570"/>
    </row>
    <row r="86" spans="1:21" x14ac:dyDescent="0.35">
      <c r="A86" s="570"/>
      <c r="B86" s="570"/>
      <c r="C86" s="570"/>
      <c r="D86" s="570"/>
      <c r="E86" s="570"/>
      <c r="F86" s="570"/>
      <c r="G86" s="570"/>
      <c r="H86" s="570"/>
      <c r="I86" s="570"/>
      <c r="J86" s="570"/>
      <c r="K86" s="570"/>
      <c r="L86" s="570"/>
      <c r="M86" s="570"/>
      <c r="N86" s="570"/>
      <c r="O86" s="570"/>
      <c r="P86" s="570"/>
      <c r="Q86" s="570"/>
      <c r="R86" s="570"/>
      <c r="S86" s="570"/>
      <c r="T86" s="570"/>
      <c r="U86" s="570"/>
    </row>
    <row r="87" spans="1:21" x14ac:dyDescent="0.35">
      <c r="A87" s="570"/>
      <c r="B87" s="570"/>
      <c r="C87" s="570"/>
      <c r="D87" s="570"/>
      <c r="E87" s="570"/>
      <c r="F87" s="570"/>
      <c r="G87" s="570"/>
      <c r="H87" s="570"/>
      <c r="I87" s="570"/>
      <c r="J87" s="570"/>
      <c r="K87" s="570"/>
      <c r="L87" s="570"/>
      <c r="M87" s="570"/>
      <c r="N87" s="570"/>
      <c r="O87" s="570"/>
      <c r="P87" s="570"/>
      <c r="Q87" s="570"/>
      <c r="R87" s="570"/>
      <c r="S87" s="570"/>
      <c r="T87" s="570"/>
      <c r="U87" s="570"/>
    </row>
    <row r="88" spans="1:21" x14ac:dyDescent="0.35">
      <c r="A88" s="570"/>
      <c r="B88" s="570"/>
      <c r="C88" s="570"/>
      <c r="D88" s="570"/>
      <c r="E88" s="570"/>
      <c r="F88" s="570"/>
      <c r="G88" s="570"/>
      <c r="H88" s="570"/>
      <c r="I88" s="570"/>
      <c r="J88" s="570"/>
      <c r="K88" s="570"/>
      <c r="L88" s="570"/>
      <c r="M88" s="570"/>
      <c r="N88" s="570"/>
      <c r="O88" s="570"/>
      <c r="P88" s="570"/>
      <c r="Q88" s="570"/>
      <c r="R88" s="570"/>
      <c r="S88" s="570"/>
      <c r="T88" s="570"/>
      <c r="U88" s="570"/>
    </row>
    <row r="89" spans="1:21" x14ac:dyDescent="0.35">
      <c r="A89" s="570"/>
      <c r="B89" s="570"/>
      <c r="C89" s="570"/>
      <c r="D89" s="570"/>
      <c r="E89" s="570"/>
      <c r="F89" s="570"/>
      <c r="G89" s="570"/>
      <c r="H89" s="570"/>
      <c r="I89" s="570"/>
      <c r="J89" s="570"/>
      <c r="K89" s="570"/>
      <c r="L89" s="570"/>
      <c r="M89" s="570"/>
      <c r="N89" s="570"/>
      <c r="O89" s="570"/>
      <c r="P89" s="570"/>
      <c r="Q89" s="570"/>
      <c r="R89" s="570"/>
      <c r="S89" s="570"/>
      <c r="T89" s="570"/>
      <c r="U89" s="570"/>
    </row>
    <row r="90" spans="1:21" x14ac:dyDescent="0.35">
      <c r="A90" s="570"/>
      <c r="B90" s="570"/>
      <c r="C90" s="570"/>
      <c r="D90" s="570"/>
      <c r="E90" s="570"/>
      <c r="F90" s="570"/>
      <c r="G90" s="570"/>
      <c r="H90" s="570"/>
      <c r="I90" s="570"/>
      <c r="J90" s="570"/>
      <c r="K90" s="570"/>
      <c r="L90" s="570"/>
      <c r="M90" s="570"/>
      <c r="N90" s="570"/>
      <c r="O90" s="570"/>
      <c r="P90" s="570"/>
      <c r="Q90" s="570"/>
      <c r="R90" s="570"/>
      <c r="S90" s="570"/>
      <c r="T90" s="570"/>
      <c r="U90" s="570"/>
    </row>
    <row r="91" spans="1:21" x14ac:dyDescent="0.35">
      <c r="A91" s="570"/>
      <c r="B91" s="570"/>
      <c r="C91" s="570"/>
      <c r="D91" s="570"/>
      <c r="E91" s="570"/>
      <c r="F91" s="570"/>
      <c r="G91" s="570"/>
      <c r="H91" s="570"/>
      <c r="I91" s="570"/>
      <c r="J91" s="570"/>
      <c r="K91" s="570"/>
      <c r="L91" s="570"/>
      <c r="M91" s="570"/>
      <c r="N91" s="570"/>
      <c r="O91" s="570"/>
      <c r="P91" s="570"/>
      <c r="Q91" s="570"/>
      <c r="R91" s="570"/>
      <c r="S91" s="570"/>
      <c r="T91" s="570"/>
      <c r="U91" s="570"/>
    </row>
    <row r="92" spans="1:21" x14ac:dyDescent="0.35">
      <c r="A92" s="570"/>
      <c r="B92" s="570"/>
      <c r="C92" s="570"/>
      <c r="D92" s="570"/>
      <c r="E92" s="570"/>
      <c r="F92" s="570"/>
      <c r="G92" s="570"/>
      <c r="H92" s="570"/>
      <c r="I92" s="570"/>
      <c r="J92" s="570"/>
      <c r="K92" s="570"/>
      <c r="L92" s="570"/>
      <c r="M92" s="570"/>
      <c r="N92" s="570"/>
      <c r="O92" s="570"/>
      <c r="P92" s="570"/>
      <c r="Q92" s="570"/>
      <c r="R92" s="570"/>
      <c r="S92" s="570"/>
      <c r="T92" s="570"/>
      <c r="U92" s="570"/>
    </row>
    <row r="93" spans="1:21" x14ac:dyDescent="0.35">
      <c r="A93" s="570"/>
      <c r="B93" s="570"/>
      <c r="C93" s="570"/>
      <c r="D93" s="570"/>
      <c r="E93" s="570"/>
      <c r="F93" s="570"/>
      <c r="G93" s="570"/>
      <c r="H93" s="570"/>
      <c r="I93" s="570"/>
      <c r="J93" s="570"/>
      <c r="K93" s="570"/>
      <c r="L93" s="570"/>
      <c r="M93" s="570"/>
      <c r="N93" s="570"/>
      <c r="O93" s="570"/>
      <c r="P93" s="570"/>
      <c r="Q93" s="570"/>
      <c r="R93" s="570"/>
      <c r="S93" s="570"/>
      <c r="T93" s="570"/>
      <c r="U93" s="570"/>
    </row>
    <row r="94" spans="1:21" x14ac:dyDescent="0.35">
      <c r="A94" s="570"/>
      <c r="B94" s="570"/>
      <c r="C94" s="570"/>
      <c r="D94" s="570"/>
      <c r="E94" s="570"/>
      <c r="F94" s="570"/>
      <c r="G94" s="570"/>
      <c r="H94" s="570"/>
      <c r="I94" s="570"/>
      <c r="J94" s="570"/>
      <c r="K94" s="570"/>
      <c r="L94" s="570"/>
      <c r="M94" s="570"/>
      <c r="N94" s="570"/>
      <c r="O94" s="570"/>
      <c r="P94" s="570"/>
      <c r="Q94" s="570"/>
      <c r="R94" s="570"/>
      <c r="S94" s="570"/>
      <c r="T94" s="570"/>
      <c r="U94" s="570"/>
    </row>
    <row r="95" spans="1:21" x14ac:dyDescent="0.35">
      <c r="A95" s="570"/>
      <c r="B95" s="570"/>
      <c r="C95" s="570"/>
      <c r="D95" s="570"/>
      <c r="E95" s="570"/>
      <c r="F95" s="570"/>
      <c r="G95" s="570"/>
      <c r="H95" s="570"/>
      <c r="I95" s="570"/>
      <c r="J95" s="570"/>
      <c r="K95" s="570"/>
      <c r="L95" s="570"/>
      <c r="M95" s="570"/>
      <c r="N95" s="570"/>
      <c r="O95" s="570"/>
      <c r="P95" s="570"/>
      <c r="Q95" s="570"/>
      <c r="R95" s="570"/>
      <c r="S95" s="570"/>
      <c r="T95" s="570"/>
      <c r="U95" s="570"/>
    </row>
    <row r="96" spans="1:21" x14ac:dyDescent="0.35">
      <c r="A96" s="570"/>
      <c r="B96" s="570"/>
      <c r="C96" s="570"/>
      <c r="D96" s="570"/>
      <c r="E96" s="570"/>
      <c r="F96" s="570"/>
      <c r="G96" s="570"/>
      <c r="H96" s="570"/>
      <c r="I96" s="570"/>
      <c r="J96" s="570"/>
      <c r="K96" s="570"/>
      <c r="L96" s="570"/>
      <c r="M96" s="570"/>
      <c r="N96" s="570"/>
      <c r="O96" s="570"/>
      <c r="P96" s="570"/>
      <c r="Q96" s="570"/>
      <c r="R96" s="570"/>
      <c r="S96" s="570"/>
      <c r="T96" s="570"/>
      <c r="U96" s="570"/>
    </row>
    <row r="97" spans="1:21" x14ac:dyDescent="0.35">
      <c r="A97" s="570"/>
      <c r="B97" s="570"/>
      <c r="C97" s="570"/>
      <c r="D97" s="570"/>
      <c r="E97" s="570"/>
      <c r="F97" s="570"/>
      <c r="G97" s="570"/>
      <c r="H97" s="570"/>
      <c r="I97" s="570"/>
      <c r="J97" s="570"/>
      <c r="K97" s="570"/>
      <c r="L97" s="570"/>
      <c r="M97" s="570"/>
      <c r="N97" s="570"/>
      <c r="O97" s="570"/>
      <c r="P97" s="570"/>
      <c r="Q97" s="570"/>
      <c r="R97" s="570"/>
      <c r="S97" s="570"/>
      <c r="T97" s="570"/>
      <c r="U97" s="570"/>
    </row>
    <row r="98" spans="1:21" x14ac:dyDescent="0.35">
      <c r="A98" s="570"/>
      <c r="B98" s="570"/>
      <c r="C98" s="570"/>
      <c r="D98" s="570"/>
      <c r="E98" s="570"/>
      <c r="F98" s="570"/>
      <c r="G98" s="570"/>
      <c r="H98" s="570"/>
      <c r="I98" s="570"/>
      <c r="J98" s="570"/>
      <c r="K98" s="570"/>
      <c r="L98" s="570"/>
      <c r="M98" s="570"/>
      <c r="N98" s="570"/>
      <c r="O98" s="570"/>
      <c r="P98" s="570"/>
      <c r="Q98" s="570"/>
      <c r="R98" s="570"/>
      <c r="S98" s="570"/>
      <c r="T98" s="570"/>
      <c r="U98" s="570"/>
    </row>
    <row r="99" spans="1:21" x14ac:dyDescent="0.35">
      <c r="A99" s="570"/>
      <c r="B99" s="570"/>
      <c r="C99" s="570"/>
      <c r="D99" s="570"/>
      <c r="E99" s="570"/>
      <c r="F99" s="570"/>
      <c r="G99" s="570"/>
      <c r="H99" s="570"/>
      <c r="I99" s="570"/>
      <c r="J99" s="570"/>
      <c r="K99" s="570"/>
      <c r="L99" s="570"/>
      <c r="M99" s="570"/>
      <c r="N99" s="570"/>
      <c r="O99" s="570"/>
      <c r="P99" s="570"/>
      <c r="Q99" s="570"/>
      <c r="R99" s="570"/>
      <c r="S99" s="570"/>
      <c r="T99" s="570"/>
      <c r="U99" s="570"/>
    </row>
    <row r="100" spans="1:21" x14ac:dyDescent="0.35">
      <c r="A100" s="570"/>
      <c r="B100" s="570"/>
      <c r="C100" s="570"/>
      <c r="D100" s="570"/>
      <c r="E100" s="570"/>
      <c r="F100" s="570"/>
      <c r="G100" s="570"/>
      <c r="H100" s="570"/>
      <c r="I100" s="570"/>
      <c r="J100" s="570"/>
      <c r="K100" s="570"/>
      <c r="L100" s="570"/>
      <c r="M100" s="570"/>
      <c r="N100" s="570"/>
      <c r="O100" s="570"/>
      <c r="P100" s="570"/>
      <c r="Q100" s="570"/>
      <c r="R100" s="570"/>
      <c r="S100" s="570"/>
      <c r="T100" s="570"/>
      <c r="U100" s="570"/>
    </row>
    <row r="101" spans="1:21" x14ac:dyDescent="0.35">
      <c r="A101" s="570"/>
      <c r="B101" s="570"/>
      <c r="C101" s="570"/>
      <c r="D101" s="570"/>
      <c r="E101" s="570"/>
      <c r="F101" s="570"/>
      <c r="G101" s="570"/>
      <c r="H101" s="570"/>
      <c r="I101" s="570"/>
      <c r="J101" s="570"/>
      <c r="K101" s="570"/>
      <c r="L101" s="570"/>
      <c r="M101" s="570"/>
      <c r="N101" s="570"/>
      <c r="O101" s="570"/>
      <c r="P101" s="570"/>
      <c r="Q101" s="570"/>
      <c r="R101" s="570"/>
      <c r="S101" s="570"/>
      <c r="T101" s="570"/>
      <c r="U101" s="570"/>
    </row>
    <row r="102" spans="1:21" x14ac:dyDescent="0.35">
      <c r="A102" s="570"/>
      <c r="B102" s="570"/>
      <c r="C102" s="570"/>
      <c r="D102" s="570"/>
      <c r="E102" s="570"/>
      <c r="F102" s="570"/>
      <c r="G102" s="570"/>
      <c r="H102" s="570"/>
      <c r="I102" s="570"/>
      <c r="J102" s="570"/>
      <c r="K102" s="570"/>
      <c r="L102" s="570"/>
      <c r="M102" s="570"/>
      <c r="N102" s="570"/>
      <c r="O102" s="570"/>
      <c r="P102" s="570"/>
      <c r="Q102" s="570"/>
      <c r="R102" s="570"/>
      <c r="S102" s="570"/>
      <c r="T102" s="570"/>
      <c r="U102" s="570"/>
    </row>
    <row r="103" spans="1:21" x14ac:dyDescent="0.35">
      <c r="A103" s="570"/>
      <c r="B103" s="570"/>
      <c r="C103" s="570"/>
      <c r="D103" s="570"/>
      <c r="E103" s="570"/>
      <c r="F103" s="570"/>
      <c r="G103" s="570"/>
      <c r="H103" s="570"/>
      <c r="I103" s="570"/>
      <c r="J103" s="570"/>
      <c r="K103" s="570"/>
      <c r="L103" s="570"/>
      <c r="M103" s="570"/>
      <c r="N103" s="570"/>
      <c r="O103" s="570"/>
      <c r="P103" s="570"/>
      <c r="Q103" s="570"/>
      <c r="R103" s="570"/>
      <c r="S103" s="570"/>
      <c r="T103" s="570"/>
      <c r="U103" s="570"/>
    </row>
    <row r="104" spans="1:21" x14ac:dyDescent="0.35">
      <c r="A104" s="570"/>
      <c r="B104" s="570"/>
      <c r="C104" s="570"/>
      <c r="D104" s="570"/>
      <c r="E104" s="570"/>
      <c r="F104" s="570"/>
      <c r="G104" s="570"/>
      <c r="H104" s="570"/>
      <c r="I104" s="570"/>
      <c r="J104" s="570"/>
      <c r="K104" s="570"/>
      <c r="L104" s="570"/>
      <c r="M104" s="570"/>
      <c r="N104" s="570"/>
      <c r="O104" s="570"/>
      <c r="P104" s="570"/>
      <c r="Q104" s="570"/>
      <c r="R104" s="570"/>
      <c r="S104" s="570"/>
      <c r="T104" s="570"/>
      <c r="U104" s="570"/>
    </row>
    <row r="105" spans="1:21" x14ac:dyDescent="0.35">
      <c r="A105" s="570"/>
      <c r="B105" s="570"/>
      <c r="C105" s="570"/>
      <c r="D105" s="570"/>
      <c r="E105" s="570"/>
      <c r="F105" s="570"/>
      <c r="G105" s="570"/>
      <c r="H105" s="570"/>
      <c r="I105" s="570"/>
      <c r="J105" s="570"/>
      <c r="K105" s="570"/>
      <c r="L105" s="570"/>
      <c r="M105" s="570"/>
      <c r="N105" s="570"/>
      <c r="O105" s="570"/>
      <c r="P105" s="570"/>
      <c r="Q105" s="570"/>
      <c r="R105" s="570"/>
      <c r="S105" s="570"/>
      <c r="T105" s="570"/>
      <c r="U105" s="570"/>
    </row>
    <row r="106" spans="1:21" x14ac:dyDescent="0.35">
      <c r="A106" s="570"/>
      <c r="B106" s="570"/>
      <c r="C106" s="570"/>
      <c r="D106" s="570"/>
      <c r="E106" s="570"/>
      <c r="F106" s="570"/>
      <c r="G106" s="570"/>
      <c r="H106" s="570"/>
      <c r="I106" s="570"/>
      <c r="J106" s="570"/>
      <c r="K106" s="570"/>
      <c r="L106" s="570"/>
      <c r="M106" s="570"/>
      <c r="N106" s="570"/>
      <c r="O106" s="570"/>
      <c r="P106" s="570"/>
      <c r="Q106" s="570"/>
      <c r="R106" s="570"/>
      <c r="S106" s="570"/>
      <c r="T106" s="570"/>
      <c r="U106" s="570"/>
    </row>
    <row r="107" spans="1:21" x14ac:dyDescent="0.35">
      <c r="A107" s="570"/>
      <c r="B107" s="570"/>
      <c r="C107" s="570"/>
      <c r="D107" s="570"/>
      <c r="E107" s="570"/>
      <c r="F107" s="570"/>
      <c r="G107" s="570"/>
      <c r="H107" s="570"/>
      <c r="I107" s="570"/>
      <c r="J107" s="570"/>
      <c r="K107" s="570"/>
      <c r="L107" s="570"/>
      <c r="M107" s="570"/>
      <c r="N107" s="570"/>
      <c r="O107" s="570"/>
      <c r="P107" s="570"/>
      <c r="Q107" s="570"/>
      <c r="R107" s="570"/>
      <c r="S107" s="570"/>
      <c r="T107" s="570"/>
      <c r="U107" s="570"/>
    </row>
    <row r="108" spans="1:21" x14ac:dyDescent="0.35">
      <c r="A108" s="570"/>
      <c r="B108" s="570"/>
      <c r="C108" s="570"/>
      <c r="D108" s="570"/>
      <c r="E108" s="570"/>
      <c r="F108" s="570"/>
      <c r="G108" s="570"/>
      <c r="H108" s="570"/>
      <c r="I108" s="570"/>
      <c r="J108" s="570"/>
      <c r="K108" s="570"/>
      <c r="L108" s="570"/>
      <c r="M108" s="570"/>
      <c r="N108" s="570"/>
      <c r="O108" s="570"/>
      <c r="P108" s="570"/>
      <c r="Q108" s="570"/>
      <c r="R108" s="570"/>
      <c r="S108" s="570"/>
      <c r="T108" s="570"/>
      <c r="U108" s="570"/>
    </row>
    <row r="109" spans="1:21" x14ac:dyDescent="0.35">
      <c r="A109" s="570"/>
      <c r="B109" s="570"/>
      <c r="C109" s="570"/>
      <c r="D109" s="570"/>
      <c r="E109" s="570"/>
      <c r="F109" s="570"/>
      <c r="G109" s="570"/>
      <c r="H109" s="570"/>
      <c r="I109" s="570"/>
      <c r="J109" s="570"/>
      <c r="K109" s="570"/>
      <c r="L109" s="570"/>
      <c r="M109" s="570"/>
      <c r="N109" s="570"/>
      <c r="O109" s="570"/>
      <c r="P109" s="570"/>
      <c r="Q109" s="570"/>
      <c r="R109" s="570"/>
      <c r="S109" s="570"/>
      <c r="T109" s="570"/>
      <c r="U109" s="570"/>
    </row>
    <row r="110" spans="1:21" x14ac:dyDescent="0.35">
      <c r="A110" s="570"/>
      <c r="B110" s="570"/>
      <c r="C110" s="570"/>
      <c r="D110" s="570"/>
      <c r="E110" s="570"/>
      <c r="F110" s="570"/>
      <c r="G110" s="570"/>
      <c r="H110" s="570"/>
      <c r="I110" s="570"/>
      <c r="J110" s="570"/>
      <c r="K110" s="570"/>
      <c r="L110" s="570"/>
      <c r="M110" s="570"/>
      <c r="N110" s="570"/>
      <c r="O110" s="570"/>
      <c r="P110" s="570"/>
      <c r="Q110" s="570"/>
      <c r="R110" s="570"/>
      <c r="S110" s="570"/>
      <c r="T110" s="570"/>
      <c r="U110" s="570"/>
    </row>
    <row r="111" spans="1:21" x14ac:dyDescent="0.35">
      <c r="A111" s="570"/>
      <c r="B111" s="570"/>
      <c r="C111" s="570"/>
      <c r="D111" s="570"/>
      <c r="E111" s="570"/>
      <c r="F111" s="570"/>
      <c r="G111" s="570"/>
      <c r="H111" s="570"/>
      <c r="I111" s="570"/>
      <c r="J111" s="570"/>
      <c r="K111" s="570"/>
      <c r="L111" s="570"/>
      <c r="M111" s="570"/>
      <c r="N111" s="570"/>
      <c r="O111" s="570"/>
      <c r="P111" s="570"/>
      <c r="Q111" s="570"/>
      <c r="R111" s="570"/>
      <c r="S111" s="570"/>
      <c r="T111" s="570"/>
      <c r="U111" s="570"/>
    </row>
    <row r="112" spans="1:21" x14ac:dyDescent="0.35">
      <c r="A112" s="570"/>
      <c r="B112" s="570"/>
      <c r="C112" s="570"/>
      <c r="D112" s="570"/>
      <c r="E112" s="570"/>
      <c r="F112" s="570"/>
      <c r="G112" s="570"/>
      <c r="H112" s="570"/>
      <c r="I112" s="570"/>
      <c r="J112" s="570"/>
      <c r="K112" s="570"/>
      <c r="L112" s="570"/>
      <c r="M112" s="570"/>
      <c r="N112" s="570"/>
      <c r="O112" s="570"/>
      <c r="P112" s="570"/>
      <c r="Q112" s="570"/>
      <c r="R112" s="570"/>
      <c r="S112" s="570"/>
      <c r="T112" s="570"/>
      <c r="U112" s="570"/>
    </row>
    <row r="113" spans="1:21" x14ac:dyDescent="0.35">
      <c r="A113" s="570"/>
      <c r="B113" s="570"/>
      <c r="C113" s="570"/>
      <c r="D113" s="570"/>
      <c r="E113" s="570"/>
      <c r="F113" s="570"/>
      <c r="G113" s="570"/>
      <c r="H113" s="570"/>
      <c r="I113" s="570"/>
      <c r="J113" s="570"/>
      <c r="K113" s="570"/>
      <c r="L113" s="570"/>
      <c r="M113" s="570"/>
      <c r="N113" s="570"/>
      <c r="O113" s="570"/>
      <c r="P113" s="570"/>
      <c r="Q113" s="570"/>
      <c r="R113" s="570"/>
      <c r="S113" s="570"/>
      <c r="T113" s="570"/>
      <c r="U113" s="570"/>
    </row>
    <row r="114" spans="1:21" x14ac:dyDescent="0.35">
      <c r="A114" s="570"/>
      <c r="B114" s="570"/>
      <c r="C114" s="570"/>
      <c r="D114" s="570"/>
      <c r="E114" s="570"/>
      <c r="F114" s="570"/>
      <c r="G114" s="570"/>
      <c r="H114" s="570"/>
      <c r="I114" s="570"/>
      <c r="J114" s="570"/>
      <c r="K114" s="570"/>
      <c r="L114" s="570"/>
      <c r="M114" s="570"/>
      <c r="N114" s="570"/>
      <c r="O114" s="570"/>
      <c r="P114" s="570"/>
      <c r="Q114" s="570"/>
      <c r="R114" s="570"/>
      <c r="S114" s="570"/>
      <c r="T114" s="570"/>
      <c r="U114" s="570"/>
    </row>
    <row r="115" spans="1:21" x14ac:dyDescent="0.35">
      <c r="A115" s="570"/>
      <c r="B115" s="570"/>
      <c r="C115" s="570"/>
      <c r="D115" s="570"/>
      <c r="E115" s="570"/>
      <c r="F115" s="570"/>
      <c r="G115" s="570"/>
      <c r="H115" s="570"/>
      <c r="I115" s="570"/>
      <c r="J115" s="570"/>
      <c r="K115" s="570"/>
      <c r="L115" s="570"/>
      <c r="M115" s="570"/>
      <c r="N115" s="570"/>
      <c r="O115" s="570"/>
      <c r="P115" s="570"/>
      <c r="Q115" s="570"/>
      <c r="R115" s="570"/>
      <c r="S115" s="570"/>
      <c r="T115" s="570"/>
      <c r="U115" s="570"/>
    </row>
    <row r="116" spans="1:21" x14ac:dyDescent="0.35">
      <c r="A116" s="570"/>
      <c r="B116" s="570"/>
      <c r="C116" s="570"/>
      <c r="D116" s="570"/>
      <c r="E116" s="570"/>
      <c r="F116" s="570"/>
      <c r="G116" s="570"/>
      <c r="H116" s="570"/>
      <c r="I116" s="570"/>
      <c r="J116" s="570"/>
      <c r="K116" s="570"/>
      <c r="L116" s="570"/>
      <c r="M116" s="570"/>
      <c r="N116" s="570"/>
      <c r="O116" s="570"/>
      <c r="P116" s="570"/>
      <c r="Q116" s="570"/>
      <c r="R116" s="570"/>
      <c r="S116" s="570"/>
      <c r="T116" s="570"/>
      <c r="U116" s="570"/>
    </row>
    <row r="117" spans="1:21" x14ac:dyDescent="0.35">
      <c r="A117" s="570"/>
      <c r="B117" s="570"/>
      <c r="C117" s="570"/>
      <c r="D117" s="570"/>
      <c r="E117" s="570"/>
      <c r="F117" s="570"/>
      <c r="G117" s="570"/>
      <c r="H117" s="570"/>
      <c r="I117" s="570"/>
      <c r="J117" s="570"/>
      <c r="K117" s="570"/>
      <c r="L117" s="570"/>
      <c r="M117" s="570"/>
      <c r="N117" s="570"/>
      <c r="O117" s="570"/>
      <c r="P117" s="570"/>
      <c r="Q117" s="570"/>
      <c r="R117" s="570"/>
      <c r="S117" s="570"/>
      <c r="T117" s="570"/>
      <c r="U117" s="570"/>
    </row>
    <row r="118" spans="1:21" x14ac:dyDescent="0.35">
      <c r="A118" s="570"/>
      <c r="B118" s="570"/>
      <c r="C118" s="570"/>
      <c r="D118" s="570"/>
      <c r="E118" s="570"/>
      <c r="F118" s="570"/>
      <c r="G118" s="570"/>
      <c r="H118" s="570"/>
      <c r="I118" s="570"/>
      <c r="J118" s="570"/>
      <c r="K118" s="570"/>
      <c r="L118" s="570"/>
      <c r="M118" s="570"/>
      <c r="N118" s="570"/>
      <c r="O118" s="570"/>
      <c r="P118" s="570"/>
      <c r="Q118" s="570"/>
      <c r="R118" s="570"/>
      <c r="S118" s="570"/>
      <c r="T118" s="570"/>
      <c r="U118" s="570"/>
    </row>
    <row r="119" spans="1:21" x14ac:dyDescent="0.35">
      <c r="A119" s="570"/>
      <c r="B119" s="570"/>
      <c r="C119" s="570"/>
      <c r="D119" s="570"/>
      <c r="E119" s="570"/>
      <c r="F119" s="570"/>
      <c r="G119" s="570"/>
      <c r="H119" s="570"/>
      <c r="I119" s="570"/>
      <c r="J119" s="570"/>
      <c r="K119" s="570"/>
      <c r="L119" s="570"/>
      <c r="M119" s="570"/>
      <c r="N119" s="570"/>
      <c r="O119" s="570"/>
      <c r="P119" s="570"/>
      <c r="Q119" s="570"/>
      <c r="R119" s="570"/>
      <c r="S119" s="570"/>
      <c r="T119" s="570"/>
      <c r="U119" s="570"/>
    </row>
    <row r="120" spans="1:21" x14ac:dyDescent="0.35">
      <c r="A120" s="570"/>
      <c r="B120" s="570"/>
      <c r="C120" s="570"/>
      <c r="D120" s="570"/>
      <c r="E120" s="570"/>
      <c r="F120" s="570"/>
      <c r="G120" s="570"/>
      <c r="H120" s="570"/>
      <c r="I120" s="570"/>
      <c r="J120" s="570"/>
      <c r="K120" s="570"/>
      <c r="L120" s="570"/>
      <c r="M120" s="570"/>
      <c r="N120" s="570"/>
      <c r="O120" s="570"/>
      <c r="P120" s="570"/>
      <c r="Q120" s="570"/>
      <c r="R120" s="570"/>
      <c r="S120" s="570"/>
      <c r="T120" s="570"/>
      <c r="U120" s="570"/>
    </row>
    <row r="121" spans="1:21" x14ac:dyDescent="0.35">
      <c r="A121" s="570"/>
      <c r="B121" s="570"/>
      <c r="C121" s="570"/>
      <c r="D121" s="570"/>
      <c r="E121" s="570"/>
      <c r="F121" s="570"/>
      <c r="G121" s="570"/>
      <c r="H121" s="570"/>
      <c r="I121" s="570"/>
      <c r="J121" s="570"/>
      <c r="K121" s="570"/>
      <c r="L121" s="570"/>
      <c r="M121" s="570"/>
      <c r="N121" s="570"/>
      <c r="O121" s="570"/>
      <c r="P121" s="570"/>
      <c r="Q121" s="570"/>
      <c r="R121" s="570"/>
      <c r="S121" s="570"/>
      <c r="T121" s="570"/>
      <c r="U121" s="570"/>
    </row>
    <row r="122" spans="1:21" x14ac:dyDescent="0.35">
      <c r="A122" s="570"/>
      <c r="B122" s="570"/>
      <c r="C122" s="570"/>
      <c r="D122" s="570"/>
      <c r="E122" s="570"/>
      <c r="F122" s="570"/>
      <c r="G122" s="570"/>
      <c r="H122" s="570"/>
      <c r="I122" s="570"/>
      <c r="J122" s="570"/>
      <c r="K122" s="570"/>
      <c r="L122" s="570"/>
      <c r="M122" s="570"/>
      <c r="N122" s="570"/>
      <c r="O122" s="570"/>
      <c r="P122" s="570"/>
      <c r="Q122" s="570"/>
      <c r="R122" s="570"/>
      <c r="S122" s="570"/>
      <c r="T122" s="570"/>
      <c r="U122" s="570"/>
    </row>
    <row r="123" spans="1:21" x14ac:dyDescent="0.35">
      <c r="A123" s="570"/>
      <c r="B123" s="570"/>
      <c r="C123" s="570"/>
      <c r="D123" s="570"/>
      <c r="E123" s="570"/>
      <c r="F123" s="570"/>
      <c r="G123" s="570"/>
      <c r="H123" s="570"/>
      <c r="I123" s="570"/>
      <c r="J123" s="570"/>
      <c r="K123" s="570"/>
      <c r="L123" s="570"/>
      <c r="M123" s="570"/>
      <c r="N123" s="570"/>
      <c r="O123" s="570"/>
      <c r="P123" s="570"/>
      <c r="Q123" s="570"/>
      <c r="R123" s="570"/>
      <c r="S123" s="570"/>
      <c r="T123" s="570"/>
      <c r="U123" s="570"/>
    </row>
    <row r="124" spans="1:21" x14ac:dyDescent="0.35">
      <c r="A124" s="570"/>
      <c r="B124" s="570"/>
      <c r="C124" s="570"/>
      <c r="D124" s="570"/>
      <c r="E124" s="570"/>
      <c r="F124" s="570"/>
      <c r="G124" s="570"/>
      <c r="H124" s="570"/>
      <c r="I124" s="570"/>
      <c r="J124" s="570"/>
      <c r="K124" s="570"/>
      <c r="L124" s="570"/>
      <c r="M124" s="570"/>
      <c r="N124" s="570"/>
      <c r="O124" s="570"/>
      <c r="P124" s="570"/>
      <c r="Q124" s="570"/>
      <c r="R124" s="570"/>
      <c r="S124" s="570"/>
      <c r="T124" s="570"/>
      <c r="U124" s="570"/>
    </row>
    <row r="125" spans="1:21" x14ac:dyDescent="0.35">
      <c r="A125" s="570"/>
      <c r="B125" s="570"/>
      <c r="C125" s="570"/>
      <c r="D125" s="570"/>
      <c r="E125" s="570"/>
      <c r="F125" s="570"/>
      <c r="G125" s="570"/>
      <c r="H125" s="570"/>
      <c r="I125" s="570"/>
      <c r="J125" s="570"/>
      <c r="K125" s="570"/>
      <c r="L125" s="570"/>
      <c r="M125" s="570"/>
      <c r="N125" s="570"/>
      <c r="O125" s="570"/>
      <c r="P125" s="570"/>
      <c r="Q125" s="570"/>
      <c r="R125" s="570"/>
      <c r="S125" s="570"/>
      <c r="T125" s="570"/>
      <c r="U125" s="570"/>
    </row>
    <row r="126" spans="1:21" x14ac:dyDescent="0.35">
      <c r="A126" s="570"/>
      <c r="B126" s="570"/>
      <c r="C126" s="570"/>
      <c r="D126" s="570"/>
      <c r="E126" s="570"/>
      <c r="F126" s="570"/>
      <c r="G126" s="570"/>
      <c r="H126" s="570"/>
      <c r="I126" s="570"/>
      <c r="J126" s="570"/>
      <c r="K126" s="570"/>
      <c r="L126" s="570"/>
      <c r="M126" s="570"/>
      <c r="N126" s="570"/>
      <c r="O126" s="570"/>
      <c r="P126" s="570"/>
      <c r="Q126" s="570"/>
      <c r="R126" s="570"/>
      <c r="S126" s="570"/>
      <c r="T126" s="570"/>
      <c r="U126" s="570"/>
    </row>
    <row r="127" spans="1:21" x14ac:dyDescent="0.35">
      <c r="A127" s="570"/>
      <c r="B127" s="570"/>
      <c r="C127" s="570"/>
      <c r="D127" s="570"/>
      <c r="E127" s="570"/>
      <c r="F127" s="570"/>
      <c r="G127" s="570"/>
      <c r="H127" s="570"/>
      <c r="I127" s="570"/>
      <c r="J127" s="570"/>
      <c r="K127" s="570"/>
      <c r="L127" s="570"/>
      <c r="M127" s="570"/>
      <c r="N127" s="570"/>
      <c r="O127" s="570"/>
      <c r="P127" s="570"/>
      <c r="Q127" s="570"/>
      <c r="R127" s="570"/>
      <c r="S127" s="570"/>
      <c r="T127" s="570"/>
      <c r="U127" s="570"/>
    </row>
    <row r="128" spans="1:21" x14ac:dyDescent="0.35">
      <c r="A128" s="570"/>
      <c r="B128" s="570"/>
      <c r="C128" s="570"/>
      <c r="D128" s="570"/>
      <c r="E128" s="570"/>
      <c r="F128" s="570"/>
      <c r="G128" s="570"/>
      <c r="H128" s="570"/>
      <c r="I128" s="570"/>
      <c r="J128" s="570"/>
      <c r="K128" s="570"/>
      <c r="L128" s="570"/>
      <c r="M128" s="570"/>
      <c r="N128" s="570"/>
      <c r="O128" s="570"/>
      <c r="P128" s="570"/>
      <c r="Q128" s="570"/>
      <c r="R128" s="570"/>
      <c r="S128" s="570"/>
      <c r="T128" s="570"/>
      <c r="U128" s="570"/>
    </row>
    <row r="129" spans="1:21" x14ac:dyDescent="0.35">
      <c r="A129" s="570"/>
      <c r="B129" s="570"/>
      <c r="C129" s="570"/>
      <c r="D129" s="570"/>
      <c r="E129" s="570"/>
      <c r="F129" s="570"/>
      <c r="G129" s="570"/>
      <c r="H129" s="570"/>
      <c r="I129" s="570"/>
      <c r="J129" s="570"/>
      <c r="K129" s="570"/>
      <c r="L129" s="570"/>
      <c r="M129" s="570"/>
      <c r="N129" s="570"/>
      <c r="O129" s="570"/>
      <c r="P129" s="570"/>
      <c r="Q129" s="570"/>
      <c r="R129" s="570"/>
      <c r="S129" s="570"/>
      <c r="T129" s="570"/>
      <c r="U129" s="570"/>
    </row>
    <row r="130" spans="1:21" x14ac:dyDescent="0.35">
      <c r="A130" s="570"/>
      <c r="B130" s="570"/>
      <c r="C130" s="570"/>
      <c r="D130" s="570"/>
      <c r="E130" s="570"/>
      <c r="F130" s="570"/>
      <c r="G130" s="570"/>
      <c r="H130" s="570"/>
      <c r="I130" s="570"/>
      <c r="J130" s="570"/>
      <c r="K130" s="570"/>
      <c r="L130" s="570"/>
      <c r="M130" s="570"/>
      <c r="N130" s="570"/>
      <c r="O130" s="570"/>
      <c r="P130" s="570"/>
      <c r="Q130" s="570"/>
      <c r="R130" s="570"/>
      <c r="S130" s="570"/>
      <c r="T130" s="570"/>
      <c r="U130" s="570"/>
    </row>
    <row r="131" spans="1:21" x14ac:dyDescent="0.35">
      <c r="A131" s="570"/>
      <c r="B131" s="570"/>
      <c r="C131" s="570"/>
      <c r="D131" s="570"/>
      <c r="E131" s="570"/>
      <c r="F131" s="570"/>
      <c r="G131" s="570"/>
      <c r="H131" s="570"/>
      <c r="I131" s="570"/>
      <c r="J131" s="570"/>
      <c r="K131" s="570"/>
      <c r="L131" s="570"/>
      <c r="M131" s="570"/>
      <c r="N131" s="570"/>
      <c r="O131" s="570"/>
      <c r="P131" s="570"/>
      <c r="Q131" s="570"/>
      <c r="R131" s="570"/>
      <c r="S131" s="570"/>
      <c r="T131" s="570"/>
      <c r="U131" s="570"/>
    </row>
    <row r="132" spans="1:21" x14ac:dyDescent="0.35">
      <c r="A132" s="570"/>
      <c r="B132" s="570"/>
      <c r="C132" s="570"/>
      <c r="D132" s="570"/>
      <c r="E132" s="570"/>
      <c r="F132" s="570"/>
      <c r="G132" s="570"/>
      <c r="H132" s="570"/>
      <c r="I132" s="570"/>
      <c r="J132" s="570"/>
      <c r="K132" s="570"/>
      <c r="L132" s="570"/>
      <c r="M132" s="570"/>
      <c r="N132" s="570"/>
      <c r="O132" s="570"/>
      <c r="P132" s="570"/>
      <c r="Q132" s="570"/>
      <c r="R132" s="570"/>
      <c r="S132" s="570"/>
      <c r="T132" s="570"/>
      <c r="U132" s="570"/>
    </row>
    <row r="133" spans="1:21" x14ac:dyDescent="0.35">
      <c r="A133" s="570"/>
      <c r="B133" s="570"/>
      <c r="C133" s="570"/>
      <c r="D133" s="570"/>
      <c r="E133" s="570"/>
      <c r="F133" s="570"/>
      <c r="G133" s="570"/>
      <c r="H133" s="570"/>
      <c r="I133" s="570"/>
      <c r="J133" s="570"/>
      <c r="K133" s="570"/>
      <c r="L133" s="570"/>
      <c r="M133" s="570"/>
      <c r="N133" s="570"/>
      <c r="O133" s="570"/>
      <c r="P133" s="570"/>
      <c r="Q133" s="570"/>
      <c r="R133" s="570"/>
      <c r="S133" s="570"/>
      <c r="T133" s="570"/>
      <c r="U133" s="570"/>
    </row>
    <row r="134" spans="1:21" x14ac:dyDescent="0.35">
      <c r="A134" s="570"/>
      <c r="B134" s="570"/>
      <c r="C134" s="570"/>
      <c r="D134" s="570"/>
      <c r="E134" s="570"/>
      <c r="F134" s="570"/>
      <c r="G134" s="570"/>
      <c r="H134" s="570"/>
      <c r="I134" s="570"/>
      <c r="J134" s="570"/>
      <c r="K134" s="570"/>
      <c r="L134" s="570"/>
      <c r="M134" s="570"/>
      <c r="N134" s="570"/>
      <c r="O134" s="570"/>
      <c r="P134" s="570"/>
      <c r="Q134" s="570"/>
      <c r="R134" s="570"/>
      <c r="S134" s="570"/>
      <c r="T134" s="570"/>
      <c r="U134" s="570"/>
    </row>
    <row r="135" spans="1:21" x14ac:dyDescent="0.35">
      <c r="A135" s="570"/>
      <c r="B135" s="570"/>
      <c r="C135" s="570"/>
      <c r="D135" s="570"/>
      <c r="E135" s="570"/>
      <c r="F135" s="570"/>
      <c r="G135" s="570"/>
      <c r="H135" s="570"/>
      <c r="I135" s="570"/>
      <c r="J135" s="570"/>
      <c r="K135" s="570"/>
      <c r="L135" s="570"/>
      <c r="M135" s="570"/>
      <c r="N135" s="570"/>
      <c r="O135" s="570"/>
      <c r="P135" s="570"/>
      <c r="Q135" s="570"/>
      <c r="R135" s="570"/>
      <c r="S135" s="570"/>
      <c r="T135" s="570"/>
      <c r="U135" s="570"/>
    </row>
    <row r="136" spans="1:21" x14ac:dyDescent="0.35">
      <c r="A136" s="570"/>
      <c r="B136" s="570"/>
      <c r="C136" s="570"/>
      <c r="D136" s="570"/>
      <c r="E136" s="570"/>
      <c r="F136" s="570"/>
      <c r="G136" s="570"/>
      <c r="H136" s="570"/>
      <c r="I136" s="570"/>
      <c r="J136" s="570"/>
      <c r="K136" s="570"/>
      <c r="L136" s="570"/>
      <c r="M136" s="570"/>
      <c r="N136" s="570"/>
      <c r="O136" s="570"/>
      <c r="P136" s="570"/>
      <c r="Q136" s="570"/>
      <c r="R136" s="570"/>
      <c r="S136" s="570"/>
      <c r="T136" s="570"/>
      <c r="U136" s="570"/>
    </row>
    <row r="137" spans="1:21" x14ac:dyDescent="0.35">
      <c r="A137" s="570"/>
      <c r="B137" s="570"/>
      <c r="C137" s="570"/>
      <c r="D137" s="570"/>
      <c r="E137" s="570"/>
      <c r="F137" s="570"/>
      <c r="G137" s="570"/>
      <c r="H137" s="570"/>
      <c r="I137" s="570"/>
      <c r="J137" s="570"/>
      <c r="K137" s="570"/>
      <c r="L137" s="570"/>
      <c r="M137" s="570"/>
      <c r="N137" s="570"/>
      <c r="O137" s="570"/>
      <c r="P137" s="570"/>
      <c r="Q137" s="570"/>
      <c r="R137" s="570"/>
      <c r="S137" s="570"/>
      <c r="T137" s="570"/>
      <c r="U137" s="570"/>
    </row>
    <row r="138" spans="1:21" x14ac:dyDescent="0.35">
      <c r="A138" s="570"/>
      <c r="B138" s="570"/>
      <c r="C138" s="570"/>
      <c r="D138" s="570"/>
      <c r="E138" s="570"/>
      <c r="F138" s="570"/>
      <c r="G138" s="570"/>
      <c r="H138" s="570"/>
      <c r="I138" s="570"/>
      <c r="J138" s="570"/>
      <c r="K138" s="570"/>
      <c r="L138" s="570"/>
      <c r="M138" s="570"/>
      <c r="N138" s="570"/>
      <c r="O138" s="570"/>
      <c r="P138" s="570"/>
      <c r="Q138" s="570"/>
      <c r="R138" s="570"/>
      <c r="S138" s="570"/>
      <c r="T138" s="570"/>
      <c r="U138" s="570"/>
    </row>
    <row r="139" spans="1:21" x14ac:dyDescent="0.35">
      <c r="A139" s="570"/>
      <c r="B139" s="570"/>
      <c r="C139" s="570"/>
      <c r="D139" s="570"/>
      <c r="E139" s="570"/>
      <c r="F139" s="570"/>
      <c r="G139" s="570"/>
      <c r="H139" s="570"/>
      <c r="I139" s="570"/>
      <c r="J139" s="570"/>
      <c r="K139" s="570"/>
      <c r="L139" s="570"/>
      <c r="M139" s="570"/>
      <c r="N139" s="570"/>
      <c r="O139" s="570"/>
      <c r="P139" s="570"/>
      <c r="Q139" s="570"/>
      <c r="R139" s="570"/>
      <c r="S139" s="570"/>
      <c r="T139" s="570"/>
      <c r="U139" s="570"/>
    </row>
    <row r="140" spans="1:21" x14ac:dyDescent="0.35">
      <c r="A140" s="570"/>
      <c r="B140" s="570"/>
      <c r="C140" s="570"/>
      <c r="D140" s="570"/>
      <c r="E140" s="570"/>
      <c r="F140" s="570"/>
      <c r="G140" s="570"/>
      <c r="H140" s="570"/>
      <c r="I140" s="570"/>
      <c r="J140" s="570"/>
      <c r="K140" s="570"/>
      <c r="L140" s="570"/>
      <c r="M140" s="570"/>
      <c r="N140" s="570"/>
      <c r="O140" s="570"/>
      <c r="P140" s="570"/>
      <c r="Q140" s="570"/>
      <c r="R140" s="570"/>
      <c r="S140" s="570"/>
      <c r="T140" s="570"/>
      <c r="U140" s="570"/>
    </row>
    <row r="141" spans="1:21" x14ac:dyDescent="0.35">
      <c r="A141" s="570"/>
      <c r="B141" s="570"/>
      <c r="C141" s="570"/>
      <c r="D141" s="570"/>
      <c r="E141" s="570"/>
      <c r="F141" s="570"/>
      <c r="G141" s="570"/>
      <c r="H141" s="570"/>
      <c r="I141" s="570"/>
      <c r="J141" s="570"/>
      <c r="K141" s="570"/>
      <c r="L141" s="570"/>
      <c r="M141" s="570"/>
      <c r="N141" s="570"/>
      <c r="O141" s="570"/>
      <c r="P141" s="570"/>
      <c r="Q141" s="570"/>
      <c r="R141" s="570"/>
      <c r="S141" s="570"/>
      <c r="T141" s="570"/>
      <c r="U141" s="570"/>
    </row>
    <row r="142" spans="1:21" x14ac:dyDescent="0.35">
      <c r="A142" s="570"/>
      <c r="B142" s="570"/>
      <c r="C142" s="570"/>
      <c r="D142" s="570"/>
      <c r="E142" s="570"/>
      <c r="F142" s="570"/>
      <c r="G142" s="570"/>
      <c r="H142" s="570"/>
      <c r="I142" s="570"/>
      <c r="J142" s="570"/>
      <c r="K142" s="570"/>
      <c r="L142" s="570"/>
      <c r="M142" s="570"/>
      <c r="N142" s="570"/>
      <c r="O142" s="570"/>
      <c r="P142" s="570"/>
      <c r="Q142" s="570"/>
      <c r="R142" s="570"/>
      <c r="S142" s="570"/>
      <c r="T142" s="570"/>
      <c r="U142" s="570"/>
    </row>
    <row r="143" spans="1:21" x14ac:dyDescent="0.35">
      <c r="A143" s="570"/>
      <c r="B143" s="570"/>
      <c r="C143" s="570"/>
      <c r="D143" s="570"/>
      <c r="E143" s="570"/>
      <c r="F143" s="570"/>
      <c r="G143" s="570"/>
      <c r="H143" s="570"/>
      <c r="I143" s="570"/>
      <c r="J143" s="570"/>
      <c r="K143" s="570"/>
      <c r="L143" s="570"/>
      <c r="M143" s="570"/>
      <c r="N143" s="570"/>
      <c r="O143" s="570"/>
      <c r="P143" s="570"/>
      <c r="Q143" s="570"/>
      <c r="R143" s="570"/>
      <c r="S143" s="570"/>
      <c r="T143" s="570"/>
      <c r="U143" s="570"/>
    </row>
    <row r="144" spans="1:21" x14ac:dyDescent="0.35">
      <c r="A144" s="570"/>
      <c r="B144" s="570"/>
      <c r="C144" s="570"/>
      <c r="D144" s="570"/>
      <c r="E144" s="570"/>
      <c r="F144" s="570"/>
      <c r="G144" s="570"/>
      <c r="H144" s="570"/>
      <c r="I144" s="570"/>
      <c r="J144" s="570"/>
      <c r="K144" s="570"/>
      <c r="L144" s="570"/>
      <c r="M144" s="570"/>
      <c r="N144" s="570"/>
      <c r="O144" s="570"/>
      <c r="P144" s="570"/>
      <c r="Q144" s="570"/>
      <c r="R144" s="570"/>
      <c r="S144" s="570"/>
      <c r="T144" s="570"/>
      <c r="U144" s="570"/>
    </row>
    <row r="145" spans="1:21" x14ac:dyDescent="0.35">
      <c r="A145" s="570"/>
      <c r="B145" s="570"/>
      <c r="C145" s="570"/>
      <c r="D145" s="570"/>
      <c r="E145" s="570"/>
      <c r="F145" s="570"/>
      <c r="G145" s="570"/>
      <c r="H145" s="570"/>
      <c r="I145" s="570"/>
      <c r="J145" s="570"/>
      <c r="K145" s="570"/>
      <c r="L145" s="570"/>
      <c r="M145" s="570"/>
      <c r="N145" s="570"/>
      <c r="O145" s="570"/>
      <c r="P145" s="570"/>
      <c r="Q145" s="570"/>
      <c r="R145" s="570"/>
      <c r="S145" s="570"/>
      <c r="T145" s="570"/>
      <c r="U145" s="570"/>
    </row>
    <row r="146" spans="1:21" x14ac:dyDescent="0.35">
      <c r="A146" s="570"/>
      <c r="B146" s="570"/>
      <c r="C146" s="570"/>
      <c r="D146" s="570"/>
      <c r="E146" s="570"/>
      <c r="F146" s="570"/>
      <c r="G146" s="570"/>
      <c r="H146" s="570"/>
      <c r="I146" s="570"/>
      <c r="J146" s="570"/>
      <c r="K146" s="570"/>
      <c r="L146" s="570"/>
      <c r="M146" s="570"/>
      <c r="N146" s="570"/>
      <c r="O146" s="570"/>
      <c r="P146" s="570"/>
      <c r="Q146" s="570"/>
      <c r="R146" s="570"/>
      <c r="S146" s="570"/>
      <c r="T146" s="570"/>
      <c r="U146" s="570"/>
    </row>
    <row r="147" spans="1:21" x14ac:dyDescent="0.35">
      <c r="A147" s="570"/>
      <c r="B147" s="570"/>
      <c r="C147" s="570"/>
      <c r="D147" s="570"/>
      <c r="E147" s="570"/>
      <c r="F147" s="570"/>
      <c r="G147" s="570"/>
      <c r="H147" s="570"/>
      <c r="I147" s="570"/>
      <c r="J147" s="570"/>
      <c r="K147" s="570"/>
      <c r="L147" s="570"/>
      <c r="M147" s="570"/>
      <c r="N147" s="570"/>
      <c r="O147" s="570"/>
      <c r="P147" s="570"/>
      <c r="Q147" s="570"/>
      <c r="R147" s="570"/>
      <c r="S147" s="570"/>
      <c r="T147" s="570"/>
      <c r="U147" s="570"/>
    </row>
    <row r="148" spans="1:21" x14ac:dyDescent="0.35">
      <c r="A148" s="570"/>
      <c r="B148" s="570"/>
      <c r="C148" s="570"/>
      <c r="D148" s="570"/>
      <c r="E148" s="570"/>
      <c r="F148" s="570"/>
      <c r="G148" s="570"/>
      <c r="H148" s="570"/>
      <c r="I148" s="570"/>
      <c r="J148" s="570"/>
      <c r="K148" s="570"/>
      <c r="L148" s="570"/>
      <c r="M148" s="570"/>
      <c r="N148" s="570"/>
      <c r="O148" s="570"/>
      <c r="P148" s="570"/>
      <c r="Q148" s="570"/>
      <c r="R148" s="570"/>
      <c r="S148" s="570"/>
      <c r="T148" s="570"/>
      <c r="U148" s="570"/>
    </row>
    <row r="149" spans="1:21" x14ac:dyDescent="0.35">
      <c r="A149" s="570"/>
      <c r="B149" s="570"/>
      <c r="C149" s="570"/>
      <c r="D149" s="570"/>
      <c r="E149" s="570"/>
      <c r="F149" s="570"/>
      <c r="G149" s="570"/>
      <c r="H149" s="570"/>
      <c r="I149" s="570"/>
      <c r="J149" s="570"/>
      <c r="K149" s="570"/>
      <c r="L149" s="570"/>
      <c r="M149" s="570"/>
      <c r="N149" s="570"/>
      <c r="O149" s="570"/>
      <c r="P149" s="570"/>
      <c r="Q149" s="570"/>
      <c r="R149" s="570"/>
      <c r="S149" s="570"/>
      <c r="T149" s="570"/>
      <c r="U149" s="570"/>
    </row>
    <row r="150" spans="1:21" x14ac:dyDescent="0.35">
      <c r="A150" s="570"/>
      <c r="B150" s="570"/>
      <c r="C150" s="570"/>
      <c r="D150" s="570"/>
      <c r="E150" s="570"/>
      <c r="F150" s="570"/>
      <c r="G150" s="570"/>
      <c r="H150" s="570"/>
      <c r="I150" s="570"/>
      <c r="J150" s="570"/>
      <c r="K150" s="570"/>
      <c r="L150" s="570"/>
      <c r="M150" s="570"/>
      <c r="N150" s="570"/>
      <c r="O150" s="570"/>
      <c r="P150" s="570"/>
      <c r="Q150" s="570"/>
      <c r="R150" s="570"/>
      <c r="S150" s="570"/>
      <c r="T150" s="570"/>
      <c r="U150" s="570"/>
    </row>
    <row r="151" spans="1:21" x14ac:dyDescent="0.35">
      <c r="A151" s="570"/>
      <c r="B151" s="570"/>
      <c r="C151" s="570"/>
      <c r="D151" s="570"/>
      <c r="E151" s="570"/>
      <c r="F151" s="570"/>
      <c r="G151" s="570"/>
      <c r="H151" s="570"/>
      <c r="I151" s="570"/>
      <c r="J151" s="570"/>
      <c r="K151" s="570"/>
      <c r="L151" s="570"/>
      <c r="M151" s="570"/>
      <c r="N151" s="570"/>
      <c r="O151" s="570"/>
      <c r="P151" s="570"/>
      <c r="Q151" s="570"/>
      <c r="R151" s="570"/>
      <c r="S151" s="570"/>
      <c r="T151" s="570"/>
      <c r="U151" s="570"/>
    </row>
    <row r="152" spans="1:21" x14ac:dyDescent="0.35">
      <c r="A152" s="570"/>
      <c r="B152" s="570"/>
      <c r="C152" s="570"/>
      <c r="D152" s="570"/>
      <c r="E152" s="570"/>
      <c r="F152" s="570"/>
      <c r="G152" s="570"/>
      <c r="H152" s="570"/>
      <c r="I152" s="570"/>
      <c r="J152" s="570"/>
      <c r="K152" s="570"/>
      <c r="L152" s="570"/>
      <c r="M152" s="570"/>
      <c r="N152" s="570"/>
      <c r="O152" s="570"/>
      <c r="P152" s="570"/>
      <c r="Q152" s="570"/>
      <c r="R152" s="570"/>
      <c r="S152" s="570"/>
      <c r="T152" s="570"/>
      <c r="U152" s="570"/>
    </row>
    <row r="153" spans="1:21" x14ac:dyDescent="0.35">
      <c r="A153" s="570"/>
      <c r="B153" s="570"/>
      <c r="C153" s="570"/>
      <c r="D153" s="570"/>
      <c r="E153" s="570"/>
      <c r="F153" s="570"/>
      <c r="G153" s="570"/>
      <c r="H153" s="570"/>
      <c r="I153" s="570"/>
      <c r="J153" s="570"/>
      <c r="K153" s="570"/>
      <c r="L153" s="570"/>
      <c r="M153" s="570"/>
      <c r="N153" s="570"/>
      <c r="O153" s="570"/>
      <c r="P153" s="570"/>
      <c r="Q153" s="570"/>
      <c r="R153" s="570"/>
      <c r="S153" s="570"/>
      <c r="T153" s="570"/>
      <c r="U153" s="570"/>
    </row>
    <row r="154" spans="1:21" x14ac:dyDescent="0.35">
      <c r="A154" s="570"/>
      <c r="B154" s="570"/>
      <c r="C154" s="570"/>
      <c r="D154" s="570"/>
      <c r="E154" s="570"/>
      <c r="F154" s="570"/>
      <c r="G154" s="570"/>
      <c r="H154" s="570"/>
      <c r="I154" s="570"/>
      <c r="J154" s="570"/>
      <c r="K154" s="570"/>
      <c r="L154" s="570"/>
      <c r="M154" s="570"/>
      <c r="N154" s="570"/>
      <c r="O154" s="570"/>
      <c r="P154" s="570"/>
      <c r="Q154" s="570"/>
      <c r="R154" s="570"/>
      <c r="S154" s="570"/>
      <c r="T154" s="570"/>
      <c r="U154" s="570"/>
    </row>
    <row r="155" spans="1:21" x14ac:dyDescent="0.35">
      <c r="A155" s="570"/>
      <c r="B155" s="570"/>
      <c r="C155" s="570"/>
      <c r="D155" s="570"/>
      <c r="E155" s="570"/>
      <c r="F155" s="570"/>
      <c r="G155" s="570"/>
      <c r="H155" s="570"/>
      <c r="I155" s="570"/>
      <c r="J155" s="570"/>
      <c r="K155" s="570"/>
      <c r="L155" s="570"/>
      <c r="M155" s="570"/>
      <c r="N155" s="570"/>
      <c r="O155" s="570"/>
      <c r="P155" s="570"/>
      <c r="Q155" s="570"/>
      <c r="R155" s="570"/>
      <c r="S155" s="570"/>
      <c r="T155" s="570"/>
      <c r="U155" s="570"/>
    </row>
    <row r="156" spans="1:21" x14ac:dyDescent="0.35">
      <c r="A156" s="570"/>
      <c r="B156" s="570"/>
      <c r="C156" s="570"/>
      <c r="D156" s="570"/>
      <c r="E156" s="570"/>
      <c r="F156" s="570"/>
      <c r="G156" s="570"/>
      <c r="H156" s="570"/>
      <c r="I156" s="570"/>
      <c r="J156" s="570"/>
      <c r="K156" s="570"/>
      <c r="L156" s="570"/>
      <c r="M156" s="570"/>
      <c r="N156" s="570"/>
      <c r="O156" s="570"/>
      <c r="P156" s="570"/>
      <c r="Q156" s="570"/>
      <c r="R156" s="570"/>
      <c r="S156" s="570"/>
      <c r="T156" s="570"/>
      <c r="U156" s="570"/>
    </row>
    <row r="157" spans="1:21" x14ac:dyDescent="0.35">
      <c r="A157" s="570"/>
      <c r="B157" s="570"/>
      <c r="C157" s="570"/>
      <c r="D157" s="570"/>
      <c r="E157" s="570"/>
      <c r="F157" s="570"/>
      <c r="G157" s="570"/>
      <c r="H157" s="570"/>
      <c r="I157" s="570"/>
      <c r="J157" s="570"/>
      <c r="K157" s="570"/>
      <c r="L157" s="570"/>
      <c r="M157" s="570"/>
      <c r="N157" s="570"/>
      <c r="O157" s="570"/>
      <c r="P157" s="570"/>
      <c r="Q157" s="570"/>
      <c r="R157" s="570"/>
      <c r="S157" s="570"/>
      <c r="T157" s="570"/>
      <c r="U157" s="570"/>
    </row>
    <row r="158" spans="1:21" x14ac:dyDescent="0.35">
      <c r="A158" s="570"/>
      <c r="B158" s="570"/>
      <c r="C158" s="570"/>
      <c r="D158" s="570"/>
      <c r="E158" s="570"/>
      <c r="F158" s="570"/>
      <c r="G158" s="570"/>
      <c r="H158" s="570"/>
      <c r="I158" s="570"/>
      <c r="J158" s="570"/>
      <c r="K158" s="570"/>
      <c r="L158" s="570"/>
      <c r="M158" s="570"/>
      <c r="N158" s="570"/>
      <c r="O158" s="570"/>
      <c r="P158" s="570"/>
      <c r="Q158" s="570"/>
      <c r="R158" s="570"/>
      <c r="S158" s="570"/>
      <c r="T158" s="570"/>
      <c r="U158" s="570"/>
    </row>
    <row r="159" spans="1:21" x14ac:dyDescent="0.35">
      <c r="A159" s="570"/>
      <c r="B159" s="570"/>
      <c r="C159" s="570"/>
      <c r="D159" s="570"/>
      <c r="E159" s="570"/>
      <c r="F159" s="570"/>
      <c r="G159" s="570"/>
      <c r="H159" s="570"/>
      <c r="I159" s="570"/>
      <c r="J159" s="570"/>
      <c r="K159" s="570"/>
      <c r="L159" s="570"/>
      <c r="M159" s="570"/>
      <c r="N159" s="570"/>
      <c r="O159" s="570"/>
      <c r="P159" s="570"/>
      <c r="Q159" s="570"/>
      <c r="R159" s="570"/>
      <c r="S159" s="570"/>
      <c r="T159" s="570"/>
      <c r="U159" s="570"/>
    </row>
    <row r="160" spans="1:21" x14ac:dyDescent="0.35">
      <c r="A160" s="570"/>
      <c r="B160" s="570"/>
      <c r="C160" s="570"/>
      <c r="D160" s="570"/>
      <c r="E160" s="570"/>
      <c r="F160" s="570"/>
      <c r="G160" s="570"/>
      <c r="H160" s="570"/>
      <c r="I160" s="570"/>
      <c r="J160" s="570"/>
      <c r="K160" s="570"/>
      <c r="L160" s="570"/>
      <c r="M160" s="570"/>
      <c r="N160" s="570"/>
      <c r="O160" s="570"/>
      <c r="P160" s="570"/>
      <c r="Q160" s="570"/>
      <c r="R160" s="570"/>
      <c r="S160" s="570"/>
      <c r="T160" s="570"/>
      <c r="U160" s="570"/>
    </row>
    <row r="161" spans="1:21" x14ac:dyDescent="0.35">
      <c r="A161" s="570"/>
      <c r="B161" s="570"/>
      <c r="C161" s="570"/>
      <c r="D161" s="570"/>
      <c r="E161" s="570"/>
      <c r="F161" s="570"/>
      <c r="G161" s="570"/>
      <c r="H161" s="570"/>
      <c r="I161" s="570"/>
      <c r="J161" s="570"/>
      <c r="K161" s="570"/>
      <c r="L161" s="570"/>
      <c r="M161" s="570"/>
      <c r="N161" s="570"/>
      <c r="O161" s="570"/>
      <c r="P161" s="570"/>
      <c r="Q161" s="570"/>
      <c r="R161" s="570"/>
      <c r="S161" s="570"/>
      <c r="T161" s="570"/>
      <c r="U161" s="570"/>
    </row>
    <row r="162" spans="1:21" x14ac:dyDescent="0.35">
      <c r="A162" s="570"/>
      <c r="B162" s="570"/>
      <c r="C162" s="570"/>
      <c r="D162" s="570"/>
      <c r="E162" s="570"/>
      <c r="F162" s="570"/>
      <c r="G162" s="570"/>
      <c r="H162" s="570"/>
      <c r="I162" s="570"/>
      <c r="J162" s="570"/>
      <c r="K162" s="570"/>
      <c r="L162" s="570"/>
      <c r="M162" s="570"/>
      <c r="N162" s="570"/>
      <c r="O162" s="570"/>
      <c r="P162" s="570"/>
      <c r="Q162" s="570"/>
      <c r="R162" s="570"/>
      <c r="S162" s="570"/>
      <c r="T162" s="570"/>
      <c r="U162" s="570"/>
    </row>
    <row r="163" spans="1:21" x14ac:dyDescent="0.35">
      <c r="A163" s="570"/>
      <c r="B163" s="570"/>
      <c r="C163" s="570"/>
      <c r="D163" s="570"/>
      <c r="E163" s="570"/>
      <c r="F163" s="570"/>
      <c r="G163" s="570"/>
      <c r="H163" s="570"/>
      <c r="I163" s="570"/>
      <c r="J163" s="570"/>
      <c r="K163" s="570"/>
      <c r="L163" s="570"/>
      <c r="M163" s="570"/>
      <c r="N163" s="570"/>
      <c r="O163" s="570"/>
      <c r="P163" s="570"/>
      <c r="Q163" s="570"/>
      <c r="R163" s="570"/>
      <c r="S163" s="570"/>
      <c r="T163" s="570"/>
      <c r="U163" s="570"/>
    </row>
    <row r="164" spans="1:21" x14ac:dyDescent="0.35">
      <c r="A164" s="570"/>
      <c r="B164" s="570"/>
      <c r="C164" s="570"/>
      <c r="D164" s="570"/>
      <c r="E164" s="570"/>
      <c r="F164" s="570"/>
      <c r="G164" s="570"/>
      <c r="H164" s="570"/>
      <c r="I164" s="570"/>
      <c r="J164" s="570"/>
      <c r="K164" s="570"/>
      <c r="L164" s="570"/>
      <c r="M164" s="570"/>
      <c r="N164" s="570"/>
      <c r="O164" s="570"/>
      <c r="P164" s="570"/>
      <c r="Q164" s="570"/>
      <c r="R164" s="570"/>
      <c r="S164" s="570"/>
      <c r="T164" s="570"/>
      <c r="U164" s="570"/>
    </row>
    <row r="165" spans="1:21" x14ac:dyDescent="0.35">
      <c r="A165" s="570"/>
      <c r="B165" s="570"/>
      <c r="C165" s="570"/>
      <c r="D165" s="570"/>
      <c r="E165" s="570"/>
      <c r="F165" s="570"/>
      <c r="G165" s="570"/>
      <c r="H165" s="570"/>
      <c r="I165" s="570"/>
      <c r="J165" s="570"/>
      <c r="K165" s="570"/>
      <c r="L165" s="570"/>
      <c r="M165" s="570"/>
      <c r="N165" s="570"/>
      <c r="O165" s="570"/>
      <c r="P165" s="570"/>
      <c r="Q165" s="570"/>
      <c r="R165" s="570"/>
      <c r="S165" s="570"/>
      <c r="T165" s="570"/>
      <c r="U165" s="570"/>
    </row>
    <row r="166" spans="1:21" x14ac:dyDescent="0.35">
      <c r="A166" s="570"/>
      <c r="B166" s="570"/>
      <c r="C166" s="570"/>
      <c r="D166" s="570"/>
      <c r="E166" s="570"/>
      <c r="F166" s="570"/>
      <c r="G166" s="570"/>
      <c r="H166" s="570"/>
      <c r="I166" s="570"/>
      <c r="J166" s="570"/>
      <c r="K166" s="570"/>
      <c r="L166" s="570"/>
      <c r="M166" s="570"/>
      <c r="N166" s="570"/>
      <c r="O166" s="570"/>
      <c r="P166" s="570"/>
      <c r="Q166" s="570"/>
      <c r="R166" s="570"/>
      <c r="S166" s="570"/>
      <c r="T166" s="570"/>
      <c r="U166" s="570"/>
    </row>
    <row r="167" spans="1:21" x14ac:dyDescent="0.35">
      <c r="A167" s="570"/>
      <c r="B167" s="570"/>
      <c r="C167" s="570"/>
      <c r="D167" s="570"/>
      <c r="E167" s="570"/>
      <c r="F167" s="570"/>
      <c r="G167" s="570"/>
      <c r="H167" s="570"/>
      <c r="I167" s="570"/>
      <c r="J167" s="570"/>
      <c r="K167" s="570"/>
      <c r="L167" s="570"/>
      <c r="M167" s="570"/>
      <c r="N167" s="570"/>
      <c r="O167" s="570"/>
      <c r="P167" s="570"/>
      <c r="Q167" s="570"/>
      <c r="R167" s="570"/>
      <c r="S167" s="570"/>
      <c r="T167" s="570"/>
      <c r="U167" s="570"/>
    </row>
    <row r="168" spans="1:21" x14ac:dyDescent="0.35">
      <c r="A168" s="570"/>
      <c r="B168" s="570"/>
      <c r="C168" s="570"/>
      <c r="D168" s="570"/>
      <c r="E168" s="570"/>
      <c r="F168" s="570"/>
      <c r="G168" s="570"/>
      <c r="H168" s="570"/>
      <c r="I168" s="570"/>
      <c r="J168" s="570"/>
      <c r="K168" s="570"/>
      <c r="L168" s="570"/>
      <c r="M168" s="570"/>
      <c r="N168" s="570"/>
      <c r="O168" s="570"/>
      <c r="P168" s="570"/>
      <c r="Q168" s="570"/>
      <c r="R168" s="570"/>
      <c r="S168" s="570"/>
      <c r="T168" s="570"/>
      <c r="U168" s="570"/>
    </row>
    <row r="169" spans="1:21" x14ac:dyDescent="0.35">
      <c r="A169" s="570"/>
      <c r="B169" s="570"/>
      <c r="C169" s="570"/>
      <c r="D169" s="570"/>
      <c r="E169" s="570"/>
      <c r="F169" s="570"/>
      <c r="G169" s="570"/>
      <c r="H169" s="570"/>
      <c r="I169" s="570"/>
      <c r="J169" s="570"/>
      <c r="K169" s="570"/>
      <c r="L169" s="570"/>
      <c r="M169" s="570"/>
      <c r="N169" s="570"/>
      <c r="O169" s="570"/>
      <c r="P169" s="570"/>
      <c r="Q169" s="570"/>
      <c r="R169" s="570"/>
      <c r="S169" s="570"/>
      <c r="T169" s="570"/>
      <c r="U169" s="570"/>
    </row>
    <row r="170" spans="1:21" x14ac:dyDescent="0.35">
      <c r="A170" s="570"/>
      <c r="B170" s="570"/>
      <c r="C170" s="570"/>
      <c r="D170" s="570"/>
      <c r="E170" s="570"/>
      <c r="F170" s="570"/>
      <c r="G170" s="570"/>
      <c r="H170" s="570"/>
      <c r="I170" s="570"/>
      <c r="J170" s="570"/>
      <c r="K170" s="570"/>
      <c r="L170" s="570"/>
      <c r="M170" s="570"/>
      <c r="N170" s="570"/>
      <c r="O170" s="570"/>
      <c r="P170" s="570"/>
      <c r="Q170" s="570"/>
      <c r="R170" s="570"/>
      <c r="S170" s="570"/>
      <c r="T170" s="570"/>
      <c r="U170" s="570"/>
    </row>
    <row r="171" spans="1:21" x14ac:dyDescent="0.35">
      <c r="A171" s="570"/>
      <c r="B171" s="570"/>
      <c r="C171" s="570"/>
      <c r="D171" s="570"/>
      <c r="E171" s="570"/>
      <c r="F171" s="570"/>
      <c r="G171" s="570"/>
      <c r="H171" s="570"/>
      <c r="I171" s="570"/>
      <c r="J171" s="570"/>
      <c r="K171" s="570"/>
      <c r="L171" s="570"/>
      <c r="M171" s="570"/>
      <c r="N171" s="570"/>
      <c r="O171" s="570"/>
      <c r="P171" s="570"/>
      <c r="Q171" s="570"/>
      <c r="R171" s="570"/>
      <c r="S171" s="570"/>
      <c r="T171" s="570"/>
      <c r="U171" s="570"/>
    </row>
    <row r="172" spans="1:21" x14ac:dyDescent="0.35">
      <c r="A172" s="570"/>
      <c r="B172" s="570"/>
      <c r="C172" s="570"/>
      <c r="D172" s="570"/>
      <c r="E172" s="570"/>
      <c r="F172" s="570"/>
      <c r="G172" s="570"/>
      <c r="H172" s="570"/>
      <c r="I172" s="570"/>
      <c r="J172" s="570"/>
      <c r="K172" s="570"/>
      <c r="L172" s="570"/>
      <c r="M172" s="570"/>
      <c r="N172" s="570"/>
      <c r="O172" s="570"/>
      <c r="P172" s="570"/>
      <c r="Q172" s="570"/>
      <c r="R172" s="570"/>
      <c r="S172" s="570"/>
      <c r="T172" s="570"/>
      <c r="U172" s="570"/>
    </row>
    <row r="173" spans="1:21" x14ac:dyDescent="0.35">
      <c r="A173" s="570"/>
      <c r="B173" s="570"/>
      <c r="C173" s="570"/>
      <c r="D173" s="570"/>
      <c r="E173" s="570"/>
      <c r="F173" s="570"/>
      <c r="G173" s="570"/>
      <c r="H173" s="570"/>
      <c r="I173" s="570"/>
      <c r="J173" s="570"/>
      <c r="K173" s="570"/>
      <c r="L173" s="570"/>
      <c r="M173" s="570"/>
      <c r="N173" s="570"/>
      <c r="O173" s="570"/>
      <c r="P173" s="570"/>
      <c r="Q173" s="570"/>
      <c r="R173" s="570"/>
      <c r="S173" s="570"/>
      <c r="T173" s="570"/>
      <c r="U173" s="570"/>
    </row>
    <row r="174" spans="1:21" x14ac:dyDescent="0.35">
      <c r="A174" s="570"/>
      <c r="B174" s="570"/>
      <c r="C174" s="570"/>
      <c r="D174" s="570"/>
      <c r="E174" s="570"/>
      <c r="F174" s="570"/>
      <c r="G174" s="570"/>
      <c r="H174" s="570"/>
      <c r="I174" s="570"/>
      <c r="J174" s="570"/>
      <c r="K174" s="570"/>
      <c r="L174" s="570"/>
      <c r="M174" s="570"/>
      <c r="N174" s="570"/>
      <c r="O174" s="570"/>
      <c r="P174" s="570"/>
      <c r="Q174" s="570"/>
      <c r="R174" s="570"/>
      <c r="S174" s="570"/>
      <c r="T174" s="570"/>
      <c r="U174" s="570"/>
    </row>
    <row r="175" spans="1:21" x14ac:dyDescent="0.35">
      <c r="A175" s="570"/>
      <c r="B175" s="570"/>
      <c r="C175" s="570"/>
      <c r="D175" s="570"/>
      <c r="E175" s="570"/>
      <c r="F175" s="570"/>
      <c r="G175" s="570"/>
      <c r="H175" s="570"/>
      <c r="I175" s="570"/>
      <c r="J175" s="570"/>
      <c r="K175" s="570"/>
      <c r="L175" s="570"/>
      <c r="M175" s="570"/>
      <c r="N175" s="570"/>
      <c r="O175" s="570"/>
      <c r="P175" s="570"/>
      <c r="Q175" s="570"/>
      <c r="R175" s="570"/>
      <c r="S175" s="570"/>
      <c r="T175" s="570"/>
      <c r="U175" s="570"/>
    </row>
    <row r="176" spans="1:21" x14ac:dyDescent="0.35">
      <c r="A176" s="570"/>
      <c r="B176" s="570"/>
      <c r="C176" s="570"/>
      <c r="D176" s="570"/>
      <c r="E176" s="570"/>
      <c r="F176" s="570"/>
      <c r="G176" s="570"/>
      <c r="H176" s="570"/>
      <c r="I176" s="570"/>
      <c r="J176" s="570"/>
      <c r="K176" s="570"/>
      <c r="L176" s="570"/>
      <c r="M176" s="570"/>
      <c r="N176" s="570"/>
      <c r="O176" s="570"/>
      <c r="P176" s="570"/>
      <c r="Q176" s="570"/>
      <c r="R176" s="570"/>
      <c r="S176" s="570"/>
      <c r="T176" s="570"/>
      <c r="U176" s="570"/>
    </row>
    <row r="177" spans="1:21" x14ac:dyDescent="0.35">
      <c r="A177" s="570"/>
      <c r="B177" s="570"/>
      <c r="C177" s="570"/>
      <c r="D177" s="570"/>
      <c r="E177" s="570"/>
      <c r="F177" s="570"/>
      <c r="G177" s="570"/>
      <c r="H177" s="570"/>
      <c r="I177" s="570"/>
      <c r="J177" s="570"/>
      <c r="K177" s="570"/>
      <c r="L177" s="570"/>
      <c r="M177" s="570"/>
      <c r="N177" s="570"/>
      <c r="O177" s="570"/>
      <c r="P177" s="570"/>
      <c r="Q177" s="570"/>
      <c r="R177" s="570"/>
      <c r="S177" s="570"/>
      <c r="T177" s="570"/>
      <c r="U177" s="570"/>
    </row>
    <row r="178" spans="1:21" x14ac:dyDescent="0.35">
      <c r="A178" s="570"/>
      <c r="B178" s="570"/>
      <c r="C178" s="570"/>
      <c r="D178" s="570"/>
      <c r="E178" s="570"/>
      <c r="F178" s="570"/>
      <c r="G178" s="570"/>
      <c r="H178" s="570"/>
      <c r="I178" s="570"/>
      <c r="J178" s="570"/>
      <c r="K178" s="570"/>
      <c r="L178" s="570"/>
      <c r="M178" s="570"/>
      <c r="N178" s="570"/>
      <c r="O178" s="570"/>
      <c r="P178" s="570"/>
      <c r="Q178" s="570"/>
      <c r="R178" s="570"/>
      <c r="S178" s="570"/>
      <c r="T178" s="570"/>
      <c r="U178" s="570"/>
    </row>
    <row r="179" spans="1:21" x14ac:dyDescent="0.35">
      <c r="A179" s="570"/>
      <c r="B179" s="570"/>
      <c r="C179" s="570"/>
      <c r="D179" s="570"/>
      <c r="E179" s="570"/>
      <c r="F179" s="570"/>
      <c r="G179" s="570"/>
      <c r="H179" s="570"/>
      <c r="I179" s="570"/>
      <c r="J179" s="570"/>
      <c r="K179" s="570"/>
      <c r="L179" s="570"/>
      <c r="M179" s="570"/>
      <c r="N179" s="570"/>
      <c r="O179" s="570"/>
      <c r="P179" s="570"/>
      <c r="Q179" s="570"/>
      <c r="R179" s="570"/>
      <c r="S179" s="570"/>
      <c r="T179" s="570"/>
      <c r="U179" s="570"/>
    </row>
    <row r="180" spans="1:21" x14ac:dyDescent="0.35">
      <c r="A180" s="570"/>
      <c r="B180" s="570"/>
      <c r="C180" s="570"/>
      <c r="D180" s="570"/>
      <c r="E180" s="570"/>
      <c r="F180" s="570"/>
      <c r="G180" s="570"/>
      <c r="H180" s="570"/>
      <c r="I180" s="570"/>
      <c r="J180" s="570"/>
      <c r="K180" s="570"/>
      <c r="L180" s="570"/>
      <c r="M180" s="570"/>
      <c r="N180" s="570"/>
      <c r="O180" s="570"/>
      <c r="P180" s="570"/>
      <c r="Q180" s="570"/>
      <c r="R180" s="570"/>
      <c r="S180" s="570"/>
      <c r="T180" s="570"/>
      <c r="U180" s="570"/>
    </row>
    <row r="181" spans="1:21" x14ac:dyDescent="0.35">
      <c r="A181" s="570"/>
      <c r="B181" s="570"/>
      <c r="C181" s="570"/>
      <c r="D181" s="570"/>
      <c r="E181" s="570"/>
      <c r="F181" s="570"/>
      <c r="G181" s="570"/>
      <c r="H181" s="570"/>
      <c r="I181" s="570"/>
      <c r="J181" s="570"/>
      <c r="K181" s="570"/>
      <c r="L181" s="570"/>
      <c r="M181" s="570"/>
      <c r="N181" s="570"/>
      <c r="O181" s="570"/>
      <c r="P181" s="570"/>
      <c r="Q181" s="570"/>
      <c r="R181" s="570"/>
      <c r="S181" s="570"/>
      <c r="T181" s="570"/>
      <c r="U181" s="570"/>
    </row>
    <row r="182" spans="1:21" x14ac:dyDescent="0.35">
      <c r="A182" s="570"/>
      <c r="B182" s="570"/>
      <c r="C182" s="570"/>
      <c r="D182" s="570"/>
      <c r="E182" s="570"/>
      <c r="F182" s="570"/>
      <c r="G182" s="570"/>
      <c r="H182" s="570"/>
      <c r="I182" s="570"/>
      <c r="J182" s="570"/>
      <c r="K182" s="570"/>
      <c r="L182" s="570"/>
      <c r="M182" s="570"/>
      <c r="N182" s="570"/>
      <c r="O182" s="570"/>
      <c r="P182" s="570"/>
      <c r="Q182" s="570"/>
      <c r="R182" s="570"/>
      <c r="S182" s="570"/>
      <c r="T182" s="570"/>
      <c r="U182" s="570"/>
    </row>
    <row r="183" spans="1:21" x14ac:dyDescent="0.35">
      <c r="A183" s="570"/>
      <c r="B183" s="570"/>
      <c r="C183" s="570"/>
      <c r="D183" s="570"/>
      <c r="E183" s="570"/>
      <c r="F183" s="570"/>
      <c r="G183" s="570"/>
      <c r="H183" s="570"/>
      <c r="I183" s="570"/>
      <c r="J183" s="570"/>
      <c r="K183" s="570"/>
      <c r="L183" s="570"/>
      <c r="M183" s="570"/>
      <c r="N183" s="570"/>
      <c r="O183" s="570"/>
      <c r="P183" s="570"/>
      <c r="Q183" s="570"/>
      <c r="R183" s="570"/>
      <c r="S183" s="570"/>
      <c r="T183" s="570"/>
      <c r="U183" s="570"/>
    </row>
    <row r="184" spans="1:21" x14ac:dyDescent="0.35">
      <c r="A184" s="570"/>
      <c r="B184" s="570"/>
      <c r="C184" s="570"/>
      <c r="D184" s="570"/>
      <c r="E184" s="570"/>
      <c r="F184" s="570"/>
      <c r="G184" s="570"/>
      <c r="H184" s="570"/>
      <c r="I184" s="570"/>
      <c r="J184" s="570"/>
      <c r="K184" s="570"/>
      <c r="L184" s="570"/>
      <c r="M184" s="570"/>
      <c r="N184" s="570"/>
      <c r="O184" s="570"/>
      <c r="P184" s="570"/>
      <c r="Q184" s="570"/>
      <c r="R184" s="570"/>
      <c r="S184" s="570"/>
      <c r="T184" s="570"/>
      <c r="U184" s="570"/>
    </row>
    <row r="185" spans="1:21" x14ac:dyDescent="0.35">
      <c r="A185" s="570"/>
      <c r="B185" s="570"/>
      <c r="C185" s="570"/>
      <c r="D185" s="570"/>
      <c r="E185" s="570"/>
      <c r="F185" s="570"/>
      <c r="G185" s="570"/>
      <c r="H185" s="570"/>
      <c r="I185" s="570"/>
      <c r="J185" s="570"/>
      <c r="K185" s="570"/>
      <c r="L185" s="570"/>
      <c r="M185" s="570"/>
      <c r="N185" s="570"/>
      <c r="O185" s="570"/>
      <c r="P185" s="570"/>
      <c r="Q185" s="570"/>
      <c r="R185" s="570"/>
      <c r="S185" s="570"/>
      <c r="T185" s="570"/>
      <c r="U185" s="570"/>
    </row>
    <row r="186" spans="1:21" x14ac:dyDescent="0.35">
      <c r="A186" s="570"/>
      <c r="B186" s="570"/>
      <c r="C186" s="570"/>
      <c r="D186" s="570"/>
      <c r="E186" s="570"/>
      <c r="F186" s="570"/>
      <c r="G186" s="570"/>
      <c r="H186" s="570"/>
      <c r="I186" s="570"/>
      <c r="J186" s="570"/>
      <c r="K186" s="570"/>
      <c r="L186" s="570"/>
      <c r="M186" s="570"/>
      <c r="N186" s="570"/>
      <c r="O186" s="570"/>
      <c r="P186" s="570"/>
      <c r="Q186" s="570"/>
      <c r="R186" s="570"/>
      <c r="S186" s="570"/>
      <c r="T186" s="570"/>
      <c r="U186" s="570"/>
    </row>
    <row r="187" spans="1:21" x14ac:dyDescent="0.35">
      <c r="A187" s="570"/>
      <c r="B187" s="570"/>
      <c r="C187" s="570"/>
      <c r="D187" s="570"/>
      <c r="E187" s="570"/>
      <c r="F187" s="570"/>
      <c r="G187" s="570"/>
      <c r="H187" s="570"/>
      <c r="I187" s="570"/>
      <c r="J187" s="570"/>
      <c r="K187" s="570"/>
      <c r="L187" s="570"/>
      <c r="M187" s="570"/>
      <c r="N187" s="570"/>
      <c r="O187" s="570"/>
      <c r="P187" s="570"/>
      <c r="Q187" s="570"/>
      <c r="R187" s="570"/>
      <c r="S187" s="570"/>
      <c r="T187" s="570"/>
      <c r="U187" s="570"/>
    </row>
    <row r="188" spans="1:21" x14ac:dyDescent="0.35">
      <c r="A188" s="570"/>
      <c r="B188" s="570"/>
      <c r="C188" s="570"/>
      <c r="D188" s="570"/>
      <c r="E188" s="570"/>
      <c r="F188" s="570"/>
      <c r="G188" s="570"/>
      <c r="H188" s="570"/>
      <c r="I188" s="570"/>
      <c r="J188" s="570"/>
      <c r="K188" s="570"/>
      <c r="L188" s="570"/>
      <c r="M188" s="570"/>
      <c r="N188" s="570"/>
      <c r="O188" s="570"/>
      <c r="P188" s="570"/>
      <c r="Q188" s="570"/>
      <c r="R188" s="570"/>
      <c r="S188" s="570"/>
      <c r="T188" s="570"/>
      <c r="U188" s="570"/>
    </row>
    <row r="189" spans="1:21" x14ac:dyDescent="0.35">
      <c r="A189" s="570"/>
      <c r="B189" s="570"/>
      <c r="C189" s="570"/>
      <c r="D189" s="570"/>
      <c r="E189" s="570"/>
      <c r="F189" s="570"/>
      <c r="G189" s="570"/>
      <c r="H189" s="570"/>
      <c r="I189" s="570"/>
      <c r="J189" s="570"/>
      <c r="K189" s="570"/>
      <c r="L189" s="570"/>
      <c r="M189" s="570"/>
      <c r="N189" s="570"/>
      <c r="O189" s="570"/>
      <c r="P189" s="570"/>
      <c r="Q189" s="570"/>
      <c r="R189" s="570"/>
      <c r="S189" s="570"/>
      <c r="T189" s="570"/>
      <c r="U189" s="570"/>
    </row>
    <row r="190" spans="1:21" x14ac:dyDescent="0.35">
      <c r="A190" s="570"/>
      <c r="B190" s="570"/>
      <c r="C190" s="570"/>
      <c r="D190" s="570"/>
      <c r="E190" s="570"/>
      <c r="F190" s="570"/>
      <c r="G190" s="570"/>
      <c r="H190" s="570"/>
      <c r="I190" s="570"/>
      <c r="J190" s="570"/>
      <c r="K190" s="570"/>
      <c r="L190" s="570"/>
      <c r="M190" s="570"/>
      <c r="N190" s="570"/>
      <c r="O190" s="570"/>
      <c r="P190" s="570"/>
      <c r="Q190" s="570"/>
      <c r="R190" s="570"/>
      <c r="S190" s="570"/>
      <c r="T190" s="570"/>
      <c r="U190" s="570"/>
    </row>
    <row r="191" spans="1:21" x14ac:dyDescent="0.35">
      <c r="A191" s="570"/>
      <c r="B191" s="570"/>
      <c r="C191" s="570"/>
      <c r="D191" s="570"/>
      <c r="E191" s="570"/>
      <c r="F191" s="570"/>
      <c r="G191" s="570"/>
      <c r="H191" s="570"/>
      <c r="I191" s="570"/>
      <c r="J191" s="570"/>
      <c r="K191" s="570"/>
      <c r="L191" s="570"/>
      <c r="M191" s="570"/>
      <c r="N191" s="570"/>
      <c r="O191" s="570"/>
      <c r="P191" s="570"/>
      <c r="Q191" s="570"/>
      <c r="R191" s="570"/>
      <c r="S191" s="570"/>
      <c r="T191" s="570"/>
      <c r="U191" s="570"/>
    </row>
    <row r="192" spans="1:21" x14ac:dyDescent="0.35">
      <c r="A192" s="570"/>
      <c r="B192" s="570"/>
      <c r="C192" s="570"/>
      <c r="D192" s="570"/>
      <c r="E192" s="570"/>
      <c r="F192" s="570"/>
      <c r="G192" s="570"/>
      <c r="H192" s="570"/>
      <c r="I192" s="570"/>
      <c r="J192" s="570"/>
      <c r="K192" s="570"/>
      <c r="L192" s="570"/>
      <c r="M192" s="570"/>
      <c r="N192" s="570"/>
      <c r="O192" s="570"/>
      <c r="P192" s="570"/>
      <c r="Q192" s="570"/>
      <c r="R192" s="570"/>
      <c r="S192" s="570"/>
      <c r="T192" s="570"/>
      <c r="U192" s="570"/>
    </row>
    <row r="193" spans="1:21" x14ac:dyDescent="0.35">
      <c r="A193" s="570"/>
      <c r="B193" s="570"/>
      <c r="C193" s="570"/>
      <c r="D193" s="570"/>
      <c r="E193" s="570"/>
      <c r="F193" s="570"/>
      <c r="G193" s="570"/>
      <c r="H193" s="570"/>
      <c r="I193" s="570"/>
      <c r="J193" s="570"/>
      <c r="K193" s="570"/>
      <c r="L193" s="570"/>
      <c r="M193" s="570"/>
      <c r="N193" s="570"/>
      <c r="O193" s="570"/>
      <c r="P193" s="570"/>
      <c r="Q193" s="570"/>
      <c r="R193" s="570"/>
      <c r="S193" s="570"/>
      <c r="T193" s="570"/>
      <c r="U193" s="570"/>
    </row>
    <row r="194" spans="1:21" x14ac:dyDescent="0.35">
      <c r="A194" s="570"/>
      <c r="B194" s="570"/>
      <c r="C194" s="570"/>
      <c r="D194" s="570"/>
      <c r="E194" s="570"/>
      <c r="F194" s="570"/>
      <c r="G194" s="570"/>
      <c r="H194" s="570"/>
      <c r="I194" s="570"/>
      <c r="J194" s="570"/>
      <c r="K194" s="570"/>
      <c r="L194" s="570"/>
      <c r="M194" s="570"/>
      <c r="N194" s="570"/>
      <c r="O194" s="570"/>
      <c r="P194" s="570"/>
      <c r="Q194" s="570"/>
      <c r="R194" s="570"/>
      <c r="S194" s="570"/>
      <c r="T194" s="570"/>
      <c r="U194" s="570"/>
    </row>
    <row r="195" spans="1:21" x14ac:dyDescent="0.35">
      <c r="A195" s="570"/>
      <c r="B195" s="570"/>
      <c r="C195" s="570"/>
      <c r="D195" s="570"/>
      <c r="E195" s="570"/>
      <c r="F195" s="570"/>
      <c r="G195" s="570"/>
      <c r="H195" s="570"/>
      <c r="I195" s="570"/>
      <c r="J195" s="570"/>
      <c r="K195" s="570"/>
      <c r="L195" s="570"/>
      <c r="M195" s="570"/>
      <c r="N195" s="570"/>
      <c r="O195" s="570"/>
      <c r="P195" s="570"/>
      <c r="Q195" s="570"/>
      <c r="R195" s="570"/>
      <c r="S195" s="570"/>
      <c r="T195" s="570"/>
      <c r="U195" s="570"/>
    </row>
    <row r="196" spans="1:21" x14ac:dyDescent="0.35">
      <c r="A196" s="570"/>
      <c r="B196" s="570"/>
      <c r="C196" s="570"/>
      <c r="D196" s="570"/>
      <c r="E196" s="570"/>
      <c r="F196" s="570"/>
      <c r="G196" s="570"/>
      <c r="H196" s="570"/>
      <c r="I196" s="570"/>
      <c r="J196" s="570"/>
      <c r="K196" s="570"/>
      <c r="L196" s="570"/>
      <c r="M196" s="570"/>
      <c r="N196" s="570"/>
      <c r="O196" s="570"/>
      <c r="P196" s="570"/>
      <c r="Q196" s="570"/>
      <c r="R196" s="570"/>
      <c r="S196" s="570"/>
      <c r="T196" s="570"/>
      <c r="U196" s="570"/>
    </row>
    <row r="197" spans="1:21" x14ac:dyDescent="0.35">
      <c r="A197" s="570"/>
      <c r="B197" s="570"/>
      <c r="C197" s="570"/>
      <c r="D197" s="570"/>
      <c r="E197" s="570"/>
      <c r="F197" s="570"/>
      <c r="G197" s="570"/>
      <c r="H197" s="570"/>
      <c r="I197" s="570"/>
      <c r="J197" s="570"/>
      <c r="K197" s="570"/>
      <c r="L197" s="570"/>
      <c r="M197" s="570"/>
      <c r="N197" s="570"/>
      <c r="O197" s="570"/>
      <c r="P197" s="570"/>
      <c r="Q197" s="570"/>
      <c r="R197" s="570"/>
      <c r="S197" s="570"/>
      <c r="T197" s="570"/>
      <c r="U197" s="570"/>
    </row>
    <row r="198" spans="1:21" x14ac:dyDescent="0.35">
      <c r="A198" s="570"/>
      <c r="B198" s="570"/>
      <c r="C198" s="570"/>
      <c r="D198" s="570"/>
      <c r="E198" s="570"/>
      <c r="F198" s="570"/>
      <c r="G198" s="570"/>
      <c r="H198" s="570"/>
      <c r="I198" s="570"/>
      <c r="J198" s="570"/>
      <c r="K198" s="570"/>
      <c r="L198" s="570"/>
      <c r="M198" s="570"/>
      <c r="N198" s="570"/>
      <c r="O198" s="570"/>
      <c r="P198" s="570"/>
      <c r="Q198" s="570"/>
      <c r="R198" s="570"/>
      <c r="S198" s="570"/>
      <c r="T198" s="570"/>
      <c r="U198" s="570"/>
    </row>
    <row r="199" spans="1:21" x14ac:dyDescent="0.35">
      <c r="A199" s="570"/>
      <c r="B199" s="570"/>
      <c r="C199" s="570"/>
      <c r="D199" s="570"/>
      <c r="E199" s="570"/>
      <c r="F199" s="570"/>
      <c r="G199" s="570"/>
      <c r="H199" s="570"/>
      <c r="I199" s="570"/>
      <c r="J199" s="570"/>
      <c r="K199" s="570"/>
      <c r="L199" s="570"/>
      <c r="M199" s="570"/>
      <c r="N199" s="570"/>
      <c r="O199" s="570"/>
      <c r="P199" s="570"/>
      <c r="Q199" s="570"/>
      <c r="R199" s="570"/>
      <c r="S199" s="570"/>
      <c r="T199" s="570"/>
      <c r="U199" s="570"/>
    </row>
    <row r="200" spans="1:21" x14ac:dyDescent="0.35">
      <c r="A200" s="570"/>
      <c r="B200" s="570"/>
      <c r="C200" s="570"/>
      <c r="D200" s="570"/>
      <c r="E200" s="570"/>
      <c r="F200" s="570"/>
      <c r="G200" s="570"/>
      <c r="H200" s="570"/>
      <c r="I200" s="570"/>
      <c r="J200" s="570"/>
      <c r="K200" s="570"/>
      <c r="L200" s="570"/>
      <c r="M200" s="570"/>
      <c r="N200" s="570"/>
      <c r="O200" s="570"/>
      <c r="P200" s="570"/>
      <c r="Q200" s="570"/>
      <c r="R200" s="570"/>
      <c r="S200" s="570"/>
      <c r="T200" s="570"/>
      <c r="U200" s="570"/>
    </row>
    <row r="201" spans="1:21" x14ac:dyDescent="0.35">
      <c r="A201" s="570"/>
      <c r="B201" s="570"/>
      <c r="C201" s="570"/>
      <c r="D201" s="570"/>
      <c r="E201" s="570"/>
      <c r="F201" s="570"/>
      <c r="G201" s="570"/>
      <c r="H201" s="570"/>
      <c r="I201" s="570"/>
      <c r="J201" s="570"/>
      <c r="K201" s="570"/>
      <c r="L201" s="570"/>
      <c r="M201" s="570"/>
      <c r="N201" s="570"/>
      <c r="O201" s="570"/>
      <c r="P201" s="570"/>
      <c r="Q201" s="570"/>
      <c r="R201" s="570"/>
      <c r="S201" s="570"/>
      <c r="T201" s="570"/>
      <c r="U201" s="570"/>
    </row>
    <row r="202" spans="1:21" x14ac:dyDescent="0.35">
      <c r="A202" s="570"/>
      <c r="B202" s="570"/>
      <c r="C202" s="570"/>
      <c r="D202" s="570"/>
      <c r="E202" s="570"/>
      <c r="F202" s="570"/>
      <c r="G202" s="570"/>
      <c r="H202" s="570"/>
      <c r="I202" s="570"/>
      <c r="J202" s="570"/>
      <c r="K202" s="570"/>
      <c r="L202" s="570"/>
      <c r="M202" s="570"/>
      <c r="N202" s="570"/>
      <c r="O202" s="570"/>
      <c r="P202" s="570"/>
      <c r="Q202" s="570"/>
      <c r="R202" s="570"/>
      <c r="S202" s="570"/>
      <c r="T202" s="570"/>
      <c r="U202" s="570"/>
    </row>
    <row r="203" spans="1:21" x14ac:dyDescent="0.35">
      <c r="A203" s="570"/>
      <c r="B203" s="570"/>
      <c r="C203" s="570"/>
      <c r="D203" s="570"/>
      <c r="E203" s="570"/>
      <c r="F203" s="570"/>
      <c r="G203" s="570"/>
      <c r="H203" s="570"/>
      <c r="I203" s="570"/>
      <c r="J203" s="570"/>
      <c r="K203" s="570"/>
      <c r="L203" s="570"/>
      <c r="M203" s="570"/>
      <c r="N203" s="570"/>
      <c r="O203" s="570"/>
      <c r="P203" s="570"/>
      <c r="Q203" s="570"/>
      <c r="R203" s="570"/>
      <c r="S203" s="570"/>
      <c r="T203" s="570"/>
      <c r="U203" s="570"/>
    </row>
    <row r="204" spans="1:21" x14ac:dyDescent="0.35">
      <c r="A204" s="570"/>
      <c r="B204" s="570"/>
      <c r="C204" s="570"/>
      <c r="D204" s="570"/>
      <c r="E204" s="570"/>
      <c r="F204" s="570"/>
      <c r="G204" s="570"/>
      <c r="H204" s="570"/>
      <c r="I204" s="570"/>
      <c r="J204" s="570"/>
      <c r="K204" s="570"/>
      <c r="L204" s="570"/>
      <c r="M204" s="570"/>
      <c r="N204" s="570"/>
      <c r="O204" s="570"/>
      <c r="P204" s="570"/>
      <c r="Q204" s="570"/>
      <c r="R204" s="570"/>
      <c r="S204" s="570"/>
      <c r="T204" s="570"/>
      <c r="U204" s="570"/>
    </row>
    <row r="205" spans="1:21" x14ac:dyDescent="0.35">
      <c r="A205" s="570"/>
      <c r="B205" s="570"/>
      <c r="C205" s="570"/>
      <c r="D205" s="570"/>
      <c r="E205" s="570"/>
      <c r="F205" s="570"/>
      <c r="G205" s="570"/>
      <c r="H205" s="570"/>
      <c r="I205" s="570"/>
      <c r="J205" s="570"/>
      <c r="K205" s="570"/>
      <c r="L205" s="570"/>
      <c r="M205" s="570"/>
      <c r="N205" s="570"/>
      <c r="O205" s="570"/>
      <c r="P205" s="570"/>
      <c r="Q205" s="570"/>
      <c r="R205" s="570"/>
      <c r="S205" s="570"/>
      <c r="T205" s="570"/>
      <c r="U205" s="570"/>
    </row>
    <row r="206" spans="1:21" x14ac:dyDescent="0.35">
      <c r="A206" s="570"/>
      <c r="B206" s="570"/>
      <c r="C206" s="570"/>
      <c r="D206" s="570"/>
      <c r="E206" s="570"/>
      <c r="F206" s="570"/>
      <c r="G206" s="570"/>
      <c r="H206" s="570"/>
      <c r="I206" s="570"/>
      <c r="J206" s="570"/>
      <c r="K206" s="570"/>
      <c r="L206" s="570"/>
      <c r="M206" s="570"/>
      <c r="N206" s="570"/>
      <c r="O206" s="570"/>
      <c r="P206" s="570"/>
      <c r="Q206" s="570"/>
      <c r="R206" s="570"/>
      <c r="S206" s="570"/>
      <c r="T206" s="570"/>
      <c r="U206" s="570"/>
    </row>
    <row r="207" spans="1:21" x14ac:dyDescent="0.35">
      <c r="A207" s="570"/>
      <c r="B207" s="570"/>
      <c r="C207" s="570"/>
      <c r="D207" s="570"/>
      <c r="E207" s="570"/>
      <c r="F207" s="570"/>
      <c r="G207" s="570"/>
      <c r="H207" s="570"/>
      <c r="I207" s="570"/>
      <c r="J207" s="570"/>
      <c r="K207" s="570"/>
      <c r="L207" s="570"/>
      <c r="M207" s="570"/>
      <c r="N207" s="570"/>
      <c r="O207" s="570"/>
      <c r="P207" s="570"/>
      <c r="Q207" s="570"/>
      <c r="R207" s="570"/>
      <c r="S207" s="570"/>
      <c r="T207" s="570"/>
      <c r="U207" s="570"/>
    </row>
    <row r="208" spans="1:21" x14ac:dyDescent="0.35">
      <c r="A208" s="570"/>
      <c r="B208" s="570"/>
      <c r="C208" s="570"/>
      <c r="D208" s="570"/>
      <c r="E208" s="570"/>
      <c r="F208" s="570"/>
      <c r="G208" s="570"/>
      <c r="H208" s="570"/>
      <c r="I208" s="570"/>
      <c r="J208" s="570"/>
      <c r="K208" s="570"/>
      <c r="L208" s="570"/>
      <c r="M208" s="570"/>
      <c r="N208" s="570"/>
      <c r="O208" s="570"/>
      <c r="P208" s="570"/>
      <c r="Q208" s="570"/>
      <c r="R208" s="570"/>
      <c r="S208" s="570"/>
      <c r="T208" s="570"/>
      <c r="U208" s="570"/>
    </row>
    <row r="209" spans="1:21" x14ac:dyDescent="0.35">
      <c r="A209" s="570"/>
      <c r="B209" s="570"/>
      <c r="C209" s="570"/>
      <c r="D209" s="570"/>
      <c r="E209" s="570"/>
      <c r="F209" s="570"/>
      <c r="G209" s="570"/>
      <c r="H209" s="570"/>
      <c r="I209" s="570"/>
      <c r="J209" s="570"/>
      <c r="K209" s="570"/>
      <c r="L209" s="570"/>
      <c r="M209" s="570"/>
      <c r="N209" s="570"/>
      <c r="O209" s="570"/>
      <c r="P209" s="570"/>
      <c r="Q209" s="570"/>
      <c r="R209" s="570"/>
      <c r="S209" s="570"/>
      <c r="T209" s="570"/>
      <c r="U209" s="570"/>
    </row>
    <row r="210" spans="1:21" x14ac:dyDescent="0.35">
      <c r="A210" s="570"/>
      <c r="B210" s="570"/>
      <c r="C210" s="570"/>
      <c r="D210" s="570"/>
      <c r="E210" s="570"/>
      <c r="F210" s="570"/>
      <c r="G210" s="570"/>
      <c r="H210" s="570"/>
      <c r="I210" s="570"/>
      <c r="J210" s="570"/>
      <c r="K210" s="570"/>
      <c r="L210" s="570"/>
      <c r="M210" s="570"/>
      <c r="N210" s="570"/>
      <c r="O210" s="570"/>
      <c r="P210" s="570"/>
      <c r="Q210" s="570"/>
      <c r="R210" s="570"/>
      <c r="S210" s="570"/>
      <c r="T210" s="570"/>
      <c r="U210" s="570"/>
    </row>
    <row r="211" spans="1:21" x14ac:dyDescent="0.35">
      <c r="A211" s="570"/>
      <c r="B211" s="570"/>
      <c r="C211" s="570"/>
      <c r="D211" s="570"/>
      <c r="E211" s="570"/>
      <c r="F211" s="570"/>
      <c r="G211" s="570"/>
      <c r="H211" s="570"/>
      <c r="I211" s="570"/>
      <c r="J211" s="570"/>
      <c r="K211" s="570"/>
      <c r="L211" s="570"/>
      <c r="M211" s="570"/>
      <c r="N211" s="570"/>
      <c r="O211" s="570"/>
      <c r="P211" s="570"/>
      <c r="Q211" s="570"/>
      <c r="R211" s="570"/>
      <c r="S211" s="570"/>
      <c r="T211" s="570"/>
      <c r="U211" s="570"/>
    </row>
    <row r="212" spans="1:21" x14ac:dyDescent="0.35">
      <c r="A212" s="570"/>
      <c r="B212" s="570"/>
      <c r="C212" s="570"/>
      <c r="D212" s="570"/>
      <c r="E212" s="570"/>
      <c r="F212" s="570"/>
      <c r="G212" s="570"/>
      <c r="H212" s="570"/>
      <c r="I212" s="570"/>
      <c r="J212" s="570"/>
      <c r="K212" s="570"/>
      <c r="L212" s="570"/>
      <c r="M212" s="570"/>
      <c r="N212" s="570"/>
      <c r="O212" s="570"/>
      <c r="P212" s="570"/>
      <c r="Q212" s="570"/>
      <c r="R212" s="570"/>
      <c r="S212" s="570"/>
      <c r="T212" s="570"/>
      <c r="U212" s="570"/>
    </row>
    <row r="213" spans="1:21" x14ac:dyDescent="0.35">
      <c r="A213" s="570"/>
      <c r="B213" s="570"/>
      <c r="C213" s="570"/>
      <c r="D213" s="570"/>
      <c r="E213" s="570"/>
      <c r="F213" s="570"/>
      <c r="G213" s="570"/>
      <c r="H213" s="570"/>
      <c r="I213" s="570"/>
      <c r="J213" s="570"/>
      <c r="K213" s="570"/>
      <c r="L213" s="570"/>
      <c r="M213" s="570"/>
      <c r="N213" s="570"/>
      <c r="O213" s="570"/>
      <c r="P213" s="570"/>
      <c r="Q213" s="570"/>
      <c r="R213" s="570"/>
      <c r="S213" s="570"/>
      <c r="T213" s="570"/>
      <c r="U213" s="570"/>
    </row>
    <row r="214" spans="1:21" x14ac:dyDescent="0.35">
      <c r="A214" s="570"/>
      <c r="B214" s="570"/>
      <c r="C214" s="570"/>
      <c r="D214" s="570"/>
      <c r="E214" s="570"/>
      <c r="F214" s="570"/>
      <c r="G214" s="570"/>
      <c r="H214" s="570"/>
      <c r="I214" s="570"/>
      <c r="J214" s="570"/>
      <c r="K214" s="570"/>
      <c r="L214" s="570"/>
      <c r="M214" s="570"/>
      <c r="N214" s="570"/>
      <c r="O214" s="570"/>
      <c r="P214" s="570"/>
      <c r="Q214" s="570"/>
      <c r="R214" s="570"/>
      <c r="S214" s="570"/>
      <c r="T214" s="570"/>
      <c r="U214" s="570"/>
    </row>
    <row r="215" spans="1:21" x14ac:dyDescent="0.35">
      <c r="A215" s="570"/>
      <c r="B215" s="570"/>
      <c r="C215" s="570"/>
      <c r="D215" s="570"/>
      <c r="E215" s="570"/>
      <c r="F215" s="570"/>
      <c r="G215" s="570"/>
      <c r="H215" s="570"/>
      <c r="I215" s="570"/>
      <c r="J215" s="570"/>
      <c r="K215" s="570"/>
      <c r="L215" s="570"/>
      <c r="M215" s="570"/>
      <c r="N215" s="570"/>
      <c r="O215" s="570"/>
      <c r="P215" s="570"/>
      <c r="Q215" s="570"/>
      <c r="R215" s="570"/>
      <c r="S215" s="570"/>
      <c r="T215" s="570"/>
      <c r="U215" s="570"/>
    </row>
    <row r="216" spans="1:21" x14ac:dyDescent="0.35">
      <c r="A216" s="570"/>
      <c r="B216" s="570"/>
      <c r="C216" s="570"/>
      <c r="D216" s="570"/>
      <c r="E216" s="570"/>
      <c r="F216" s="570"/>
      <c r="G216" s="570"/>
      <c r="H216" s="570"/>
      <c r="I216" s="570"/>
      <c r="J216" s="570"/>
      <c r="K216" s="570"/>
      <c r="L216" s="570"/>
      <c r="M216" s="570"/>
      <c r="N216" s="570"/>
      <c r="O216" s="570"/>
      <c r="P216" s="570"/>
      <c r="Q216" s="570"/>
      <c r="R216" s="570"/>
      <c r="S216" s="570"/>
      <c r="T216" s="570"/>
      <c r="U216" s="570"/>
    </row>
    <row r="217" spans="1:21" x14ac:dyDescent="0.35">
      <c r="A217" s="570"/>
      <c r="B217" s="570"/>
      <c r="C217" s="570"/>
      <c r="D217" s="570"/>
      <c r="E217" s="570"/>
      <c r="F217" s="570"/>
      <c r="G217" s="570"/>
      <c r="H217" s="570"/>
      <c r="I217" s="570"/>
      <c r="J217" s="570"/>
      <c r="K217" s="570"/>
      <c r="L217" s="570"/>
      <c r="M217" s="570"/>
      <c r="N217" s="570"/>
      <c r="O217" s="570"/>
      <c r="P217" s="570"/>
      <c r="Q217" s="570"/>
      <c r="R217" s="570"/>
      <c r="S217" s="570"/>
      <c r="T217" s="570"/>
      <c r="U217" s="570"/>
    </row>
    <row r="218" spans="1:21" x14ac:dyDescent="0.35">
      <c r="A218" s="570"/>
      <c r="B218" s="570"/>
      <c r="C218" s="570"/>
      <c r="D218" s="570"/>
      <c r="E218" s="570"/>
      <c r="F218" s="570"/>
      <c r="G218" s="570"/>
      <c r="H218" s="570"/>
      <c r="I218" s="570"/>
      <c r="J218" s="570"/>
      <c r="K218" s="570"/>
      <c r="L218" s="570"/>
      <c r="M218" s="570"/>
      <c r="N218" s="570"/>
      <c r="O218" s="570"/>
      <c r="P218" s="570"/>
      <c r="Q218" s="570"/>
      <c r="R218" s="570"/>
      <c r="S218" s="570"/>
      <c r="T218" s="570"/>
      <c r="U218" s="570"/>
    </row>
    <row r="219" spans="1:21" x14ac:dyDescent="0.35">
      <c r="A219" s="570"/>
      <c r="B219" s="570"/>
      <c r="C219" s="570"/>
      <c r="D219" s="570"/>
      <c r="E219" s="570"/>
      <c r="F219" s="570"/>
      <c r="G219" s="570"/>
      <c r="H219" s="570"/>
      <c r="I219" s="570"/>
      <c r="J219" s="570"/>
      <c r="K219" s="570"/>
      <c r="L219" s="570"/>
      <c r="M219" s="570"/>
      <c r="N219" s="570"/>
      <c r="O219" s="570"/>
      <c r="P219" s="570"/>
      <c r="Q219" s="570"/>
      <c r="R219" s="570"/>
      <c r="S219" s="570"/>
      <c r="T219" s="570"/>
      <c r="U219" s="570"/>
    </row>
    <row r="220" spans="1:21" x14ac:dyDescent="0.35">
      <c r="A220" s="570"/>
      <c r="B220" s="570"/>
      <c r="C220" s="570"/>
      <c r="D220" s="570"/>
      <c r="E220" s="570"/>
      <c r="F220" s="570"/>
      <c r="G220" s="570"/>
      <c r="H220" s="570"/>
      <c r="I220" s="570"/>
      <c r="J220" s="570"/>
      <c r="K220" s="570"/>
      <c r="L220" s="570"/>
      <c r="M220" s="570"/>
      <c r="N220" s="570"/>
      <c r="O220" s="570"/>
      <c r="P220" s="570"/>
      <c r="Q220" s="570"/>
      <c r="R220" s="570"/>
      <c r="S220" s="570"/>
      <c r="T220" s="570"/>
      <c r="U220" s="570"/>
    </row>
    <row r="221" spans="1:21" x14ac:dyDescent="0.35">
      <c r="A221" s="570"/>
      <c r="B221" s="570"/>
      <c r="C221" s="570"/>
      <c r="D221" s="570"/>
      <c r="E221" s="570"/>
      <c r="F221" s="570"/>
      <c r="G221" s="570"/>
      <c r="H221" s="570"/>
      <c r="I221" s="570"/>
      <c r="J221" s="570"/>
      <c r="K221" s="570"/>
      <c r="L221" s="570"/>
      <c r="M221" s="570"/>
      <c r="N221" s="570"/>
      <c r="O221" s="570"/>
      <c r="P221" s="570"/>
      <c r="Q221" s="570"/>
      <c r="R221" s="570"/>
      <c r="S221" s="570"/>
      <c r="T221" s="570"/>
      <c r="U221" s="570"/>
    </row>
    <row r="222" spans="1:21" x14ac:dyDescent="0.35">
      <c r="A222" s="570"/>
      <c r="B222" s="570"/>
      <c r="C222" s="570"/>
      <c r="D222" s="570"/>
      <c r="E222" s="570"/>
      <c r="F222" s="570"/>
      <c r="G222" s="570"/>
      <c r="H222" s="570"/>
      <c r="I222" s="570"/>
      <c r="J222" s="570"/>
      <c r="K222" s="570"/>
      <c r="L222" s="570"/>
      <c r="M222" s="570"/>
      <c r="N222" s="570"/>
      <c r="O222" s="570"/>
      <c r="P222" s="570"/>
      <c r="Q222" s="570"/>
      <c r="R222" s="570"/>
      <c r="S222" s="570"/>
      <c r="T222" s="570"/>
      <c r="U222" s="570"/>
    </row>
    <row r="223" spans="1:21" x14ac:dyDescent="0.35">
      <c r="A223" s="570"/>
      <c r="B223" s="570"/>
      <c r="C223" s="570"/>
      <c r="D223" s="570"/>
      <c r="E223" s="570"/>
      <c r="F223" s="570"/>
      <c r="G223" s="570"/>
      <c r="H223" s="570"/>
      <c r="I223" s="570"/>
      <c r="J223" s="570"/>
      <c r="K223" s="570"/>
      <c r="L223" s="570"/>
      <c r="M223" s="570"/>
      <c r="N223" s="570"/>
      <c r="O223" s="570"/>
      <c r="P223" s="570"/>
      <c r="Q223" s="570"/>
      <c r="R223" s="570"/>
      <c r="S223" s="570"/>
      <c r="T223" s="570"/>
      <c r="U223" s="570"/>
    </row>
    <row r="224" spans="1:21" x14ac:dyDescent="0.35">
      <c r="A224" s="570"/>
      <c r="B224" s="570"/>
      <c r="C224" s="570"/>
      <c r="D224" s="570"/>
      <c r="E224" s="570"/>
      <c r="F224" s="570"/>
      <c r="G224" s="570"/>
      <c r="H224" s="570"/>
      <c r="I224" s="570"/>
      <c r="J224" s="570"/>
      <c r="K224" s="570"/>
      <c r="L224" s="570"/>
      <c r="M224" s="570"/>
      <c r="N224" s="570"/>
      <c r="O224" s="570"/>
      <c r="P224" s="570"/>
      <c r="Q224" s="570"/>
      <c r="R224" s="570"/>
      <c r="S224" s="570"/>
      <c r="T224" s="570"/>
      <c r="U224" s="570"/>
    </row>
    <row r="225" spans="1:21" x14ac:dyDescent="0.35">
      <c r="A225" s="570"/>
      <c r="B225" s="570"/>
      <c r="C225" s="570"/>
      <c r="D225" s="570"/>
      <c r="E225" s="570"/>
      <c r="F225" s="570"/>
      <c r="G225" s="570"/>
      <c r="H225" s="570"/>
      <c r="I225" s="570"/>
      <c r="J225" s="570"/>
      <c r="K225" s="570"/>
      <c r="L225" s="570"/>
      <c r="M225" s="570"/>
      <c r="N225" s="570"/>
      <c r="O225" s="570"/>
      <c r="P225" s="570"/>
      <c r="Q225" s="570"/>
      <c r="R225" s="570"/>
      <c r="S225" s="570"/>
      <c r="T225" s="570"/>
      <c r="U225" s="570"/>
    </row>
    <row r="226" spans="1:21" x14ac:dyDescent="0.35">
      <c r="A226" s="570"/>
      <c r="B226" s="570"/>
      <c r="C226" s="570"/>
      <c r="D226" s="570"/>
      <c r="E226" s="570"/>
      <c r="F226" s="570"/>
      <c r="G226" s="570"/>
      <c r="H226" s="570"/>
      <c r="I226" s="570"/>
      <c r="J226" s="570"/>
      <c r="K226" s="570"/>
      <c r="L226" s="570"/>
      <c r="M226" s="570"/>
      <c r="N226" s="570"/>
      <c r="O226" s="570"/>
      <c r="P226" s="570"/>
      <c r="Q226" s="570"/>
      <c r="R226" s="570"/>
      <c r="S226" s="570"/>
      <c r="T226" s="570"/>
      <c r="U226" s="570"/>
    </row>
    <row r="227" spans="1:21" x14ac:dyDescent="0.35">
      <c r="A227" s="570"/>
      <c r="B227" s="570"/>
      <c r="C227" s="570"/>
      <c r="D227" s="570"/>
      <c r="E227" s="570"/>
      <c r="F227" s="570"/>
      <c r="G227" s="570"/>
      <c r="H227" s="570"/>
      <c r="I227" s="570"/>
      <c r="J227" s="570"/>
      <c r="K227" s="570"/>
      <c r="L227" s="570"/>
      <c r="M227" s="570"/>
      <c r="N227" s="570"/>
      <c r="O227" s="570"/>
      <c r="P227" s="570"/>
      <c r="Q227" s="570"/>
      <c r="R227" s="570"/>
      <c r="S227" s="570"/>
      <c r="T227" s="570"/>
      <c r="U227" s="570"/>
    </row>
    <row r="228" spans="1:21" x14ac:dyDescent="0.35">
      <c r="A228" s="570"/>
      <c r="B228" s="570"/>
      <c r="C228" s="570"/>
      <c r="D228" s="570"/>
      <c r="E228" s="570"/>
      <c r="F228" s="570"/>
      <c r="G228" s="570"/>
      <c r="H228" s="570"/>
      <c r="I228" s="570"/>
      <c r="J228" s="570"/>
      <c r="K228" s="570"/>
      <c r="L228" s="570"/>
      <c r="M228" s="570"/>
      <c r="N228" s="570"/>
      <c r="O228" s="570"/>
      <c r="P228" s="570"/>
      <c r="Q228" s="570"/>
      <c r="R228" s="570"/>
      <c r="S228" s="570"/>
      <c r="T228" s="570"/>
      <c r="U228" s="570"/>
    </row>
    <row r="229" spans="1:21" x14ac:dyDescent="0.35">
      <c r="A229" s="570"/>
      <c r="B229" s="570"/>
      <c r="C229" s="570"/>
      <c r="D229" s="570"/>
      <c r="E229" s="570"/>
      <c r="F229" s="570"/>
      <c r="G229" s="570"/>
      <c r="H229" s="570"/>
      <c r="I229" s="570"/>
      <c r="J229" s="570"/>
      <c r="K229" s="570"/>
      <c r="L229" s="570"/>
      <c r="M229" s="570"/>
      <c r="N229" s="570"/>
      <c r="O229" s="570"/>
      <c r="P229" s="570"/>
      <c r="Q229" s="570"/>
      <c r="R229" s="570"/>
      <c r="S229" s="570"/>
      <c r="T229" s="570"/>
      <c r="U229" s="570"/>
    </row>
    <row r="230" spans="1:21" x14ac:dyDescent="0.35">
      <c r="A230" s="570"/>
      <c r="B230" s="570"/>
      <c r="C230" s="570"/>
      <c r="D230" s="570"/>
      <c r="E230" s="570"/>
      <c r="F230" s="570"/>
      <c r="G230" s="570"/>
      <c r="H230" s="570"/>
      <c r="I230" s="570"/>
      <c r="J230" s="570"/>
      <c r="K230" s="570"/>
      <c r="L230" s="570"/>
      <c r="M230" s="570"/>
      <c r="N230" s="570"/>
      <c r="O230" s="570"/>
      <c r="P230" s="570"/>
      <c r="Q230" s="570"/>
      <c r="R230" s="570"/>
      <c r="S230" s="570"/>
      <c r="T230" s="570"/>
      <c r="U230" s="570"/>
    </row>
    <row r="231" spans="1:21" x14ac:dyDescent="0.35">
      <c r="A231" s="570"/>
      <c r="B231" s="570"/>
      <c r="C231" s="570"/>
      <c r="D231" s="570"/>
      <c r="E231" s="570"/>
      <c r="F231" s="570"/>
      <c r="G231" s="570"/>
      <c r="H231" s="570"/>
      <c r="I231" s="570"/>
      <c r="J231" s="570"/>
      <c r="K231" s="570"/>
      <c r="L231" s="570"/>
      <c r="M231" s="570"/>
      <c r="N231" s="570"/>
      <c r="O231" s="570"/>
      <c r="P231" s="570"/>
      <c r="Q231" s="570"/>
      <c r="R231" s="570"/>
      <c r="S231" s="570"/>
      <c r="T231" s="570"/>
      <c r="U231" s="570"/>
    </row>
    <row r="232" spans="1:21" x14ac:dyDescent="0.35">
      <c r="A232" s="570"/>
      <c r="B232" s="570"/>
      <c r="C232" s="570"/>
      <c r="D232" s="570"/>
      <c r="E232" s="570"/>
      <c r="F232" s="570"/>
      <c r="G232" s="570"/>
      <c r="H232" s="570"/>
      <c r="I232" s="570"/>
      <c r="J232" s="570"/>
      <c r="K232" s="570"/>
      <c r="L232" s="570"/>
      <c r="M232" s="570"/>
      <c r="N232" s="570"/>
      <c r="O232" s="570"/>
      <c r="P232" s="570"/>
      <c r="Q232" s="570"/>
      <c r="R232" s="570"/>
      <c r="S232" s="570"/>
      <c r="T232" s="570"/>
      <c r="U232" s="570"/>
    </row>
    <row r="233" spans="1:21" x14ac:dyDescent="0.35">
      <c r="A233" s="570"/>
      <c r="B233" s="570"/>
      <c r="C233" s="570"/>
      <c r="D233" s="570"/>
      <c r="E233" s="570"/>
      <c r="F233" s="570"/>
      <c r="G233" s="570"/>
      <c r="H233" s="570"/>
      <c r="I233" s="570"/>
      <c r="J233" s="570"/>
      <c r="K233" s="570"/>
      <c r="L233" s="570"/>
      <c r="M233" s="570"/>
      <c r="N233" s="570"/>
      <c r="O233" s="570"/>
      <c r="P233" s="570"/>
      <c r="Q233" s="570"/>
      <c r="R233" s="570"/>
      <c r="S233" s="570"/>
      <c r="T233" s="570"/>
      <c r="U233" s="570"/>
    </row>
    <row r="234" spans="1:21" x14ac:dyDescent="0.35">
      <c r="A234" s="570"/>
      <c r="B234" s="570"/>
      <c r="C234" s="570"/>
      <c r="D234" s="570"/>
      <c r="E234" s="570"/>
      <c r="F234" s="570"/>
      <c r="G234" s="570"/>
      <c r="H234" s="570"/>
      <c r="I234" s="570"/>
      <c r="J234" s="570"/>
      <c r="K234" s="570"/>
      <c r="L234" s="570"/>
      <c r="M234" s="570"/>
      <c r="N234" s="570"/>
      <c r="O234" s="570"/>
      <c r="P234" s="570"/>
      <c r="Q234" s="570"/>
      <c r="R234" s="570"/>
      <c r="S234" s="570"/>
      <c r="T234" s="570"/>
      <c r="U234" s="570"/>
    </row>
    <row r="235" spans="1:21" x14ac:dyDescent="0.35">
      <c r="A235" s="570"/>
      <c r="B235" s="570"/>
      <c r="C235" s="570"/>
      <c r="D235" s="570"/>
      <c r="E235" s="570"/>
      <c r="F235" s="570"/>
      <c r="G235" s="570"/>
      <c r="H235" s="570"/>
      <c r="I235" s="570"/>
      <c r="J235" s="570"/>
      <c r="K235" s="570"/>
      <c r="L235" s="570"/>
      <c r="M235" s="570"/>
      <c r="N235" s="570"/>
      <c r="O235" s="570"/>
      <c r="P235" s="570"/>
      <c r="Q235" s="570"/>
      <c r="R235" s="570"/>
      <c r="S235" s="570"/>
      <c r="T235" s="570"/>
      <c r="U235" s="570"/>
    </row>
    <row r="236" spans="1:21" x14ac:dyDescent="0.35">
      <c r="A236" s="570"/>
      <c r="B236" s="570"/>
      <c r="C236" s="570"/>
      <c r="D236" s="570"/>
      <c r="E236" s="570"/>
      <c r="F236" s="570"/>
      <c r="G236" s="570"/>
      <c r="H236" s="570"/>
      <c r="I236" s="570"/>
      <c r="J236" s="570"/>
      <c r="K236" s="570"/>
      <c r="L236" s="570"/>
      <c r="M236" s="570"/>
      <c r="N236" s="570"/>
      <c r="O236" s="570"/>
      <c r="P236" s="570"/>
      <c r="Q236" s="570"/>
      <c r="R236" s="570"/>
      <c r="S236" s="570"/>
      <c r="T236" s="570"/>
      <c r="U236" s="570"/>
    </row>
    <row r="237" spans="1:21" x14ac:dyDescent="0.35">
      <c r="A237" s="570"/>
      <c r="B237" s="570"/>
      <c r="C237" s="570"/>
      <c r="D237" s="570"/>
      <c r="E237" s="570"/>
      <c r="F237" s="570"/>
      <c r="G237" s="570"/>
      <c r="H237" s="570"/>
      <c r="I237" s="570"/>
      <c r="J237" s="570"/>
      <c r="K237" s="570"/>
      <c r="L237" s="570"/>
      <c r="M237" s="570"/>
      <c r="N237" s="570"/>
      <c r="O237" s="570"/>
      <c r="P237" s="570"/>
      <c r="Q237" s="570"/>
      <c r="R237" s="570"/>
      <c r="S237" s="570"/>
      <c r="T237" s="570"/>
      <c r="U237" s="570"/>
    </row>
    <row r="238" spans="1:21" x14ac:dyDescent="0.35">
      <c r="A238" s="570"/>
      <c r="B238" s="570"/>
      <c r="C238" s="570"/>
      <c r="D238" s="570"/>
      <c r="E238" s="570"/>
      <c r="F238" s="570"/>
      <c r="G238" s="570"/>
      <c r="H238" s="570"/>
      <c r="I238" s="570"/>
      <c r="J238" s="570"/>
      <c r="K238" s="570"/>
      <c r="L238" s="570"/>
      <c r="M238" s="570"/>
      <c r="N238" s="570"/>
      <c r="O238" s="570"/>
      <c r="P238" s="570"/>
      <c r="Q238" s="570"/>
      <c r="R238" s="570"/>
      <c r="S238" s="570"/>
      <c r="T238" s="570"/>
      <c r="U238" s="570"/>
    </row>
    <row r="239" spans="1:21" x14ac:dyDescent="0.35">
      <c r="A239" s="570"/>
      <c r="B239" s="570"/>
      <c r="C239" s="570"/>
      <c r="D239" s="570"/>
      <c r="E239" s="570"/>
      <c r="F239" s="570"/>
      <c r="G239" s="570"/>
      <c r="H239" s="570"/>
      <c r="I239" s="570"/>
      <c r="J239" s="570"/>
      <c r="K239" s="570"/>
      <c r="L239" s="570"/>
      <c r="M239" s="570"/>
      <c r="N239" s="570"/>
      <c r="O239" s="570"/>
      <c r="P239" s="570"/>
      <c r="Q239" s="570"/>
      <c r="R239" s="570"/>
      <c r="S239" s="570"/>
      <c r="T239" s="570"/>
      <c r="U239" s="570"/>
    </row>
    <row r="240" spans="1:21" x14ac:dyDescent="0.35">
      <c r="A240" s="570"/>
      <c r="B240" s="570"/>
      <c r="C240" s="570"/>
      <c r="D240" s="570"/>
      <c r="E240" s="570"/>
      <c r="F240" s="570"/>
      <c r="G240" s="570"/>
      <c r="H240" s="570"/>
      <c r="I240" s="570"/>
      <c r="J240" s="570"/>
      <c r="K240" s="570"/>
      <c r="L240" s="570"/>
      <c r="M240" s="570"/>
      <c r="N240" s="570"/>
      <c r="O240" s="570"/>
      <c r="P240" s="570"/>
      <c r="Q240" s="570"/>
      <c r="R240" s="570"/>
      <c r="S240" s="570"/>
      <c r="T240" s="570"/>
      <c r="U240" s="570"/>
    </row>
    <row r="241" spans="1:21" x14ac:dyDescent="0.35">
      <c r="A241" s="570"/>
      <c r="B241" s="570"/>
      <c r="C241" s="570"/>
      <c r="D241" s="570"/>
      <c r="E241" s="570"/>
      <c r="F241" s="570"/>
      <c r="G241" s="570"/>
      <c r="H241" s="570"/>
      <c r="I241" s="570"/>
      <c r="J241" s="570"/>
      <c r="K241" s="570"/>
      <c r="L241" s="570"/>
      <c r="M241" s="570"/>
      <c r="N241" s="570"/>
      <c r="O241" s="570"/>
      <c r="P241" s="570"/>
      <c r="Q241" s="570"/>
      <c r="R241" s="570"/>
      <c r="S241" s="570"/>
      <c r="T241" s="570"/>
      <c r="U241" s="570"/>
    </row>
    <row r="242" spans="1:21" x14ac:dyDescent="0.35">
      <c r="A242" s="570"/>
      <c r="B242" s="570"/>
      <c r="C242" s="570"/>
      <c r="D242" s="570"/>
      <c r="E242" s="570"/>
      <c r="F242" s="570"/>
      <c r="G242" s="570"/>
      <c r="H242" s="570"/>
      <c r="I242" s="570"/>
      <c r="J242" s="570"/>
      <c r="K242" s="570"/>
      <c r="L242" s="570"/>
      <c r="M242" s="570"/>
      <c r="N242" s="570"/>
      <c r="O242" s="570"/>
      <c r="P242" s="570"/>
      <c r="Q242" s="570"/>
      <c r="R242" s="570"/>
      <c r="S242" s="570"/>
      <c r="T242" s="570"/>
      <c r="U242" s="570"/>
    </row>
    <row r="243" spans="1:21" x14ac:dyDescent="0.35">
      <c r="A243" s="570"/>
      <c r="B243" s="570"/>
      <c r="C243" s="570"/>
      <c r="D243" s="570"/>
      <c r="E243" s="570"/>
      <c r="F243" s="570"/>
      <c r="G243" s="570"/>
      <c r="H243" s="570"/>
      <c r="I243" s="570"/>
      <c r="J243" s="570"/>
      <c r="K243" s="570"/>
      <c r="L243" s="570"/>
      <c r="M243" s="570"/>
      <c r="N243" s="570"/>
      <c r="O243" s="570"/>
      <c r="P243" s="570"/>
      <c r="Q243" s="570"/>
      <c r="R243" s="570"/>
      <c r="S243" s="570"/>
      <c r="T243" s="570"/>
      <c r="U243" s="570"/>
    </row>
    <row r="244" spans="1:21" x14ac:dyDescent="0.35">
      <c r="A244" s="570"/>
      <c r="B244" s="570"/>
      <c r="C244" s="570"/>
      <c r="D244" s="570"/>
      <c r="E244" s="570"/>
      <c r="F244" s="570"/>
      <c r="G244" s="570"/>
      <c r="H244" s="570"/>
      <c r="I244" s="570"/>
      <c r="J244" s="570"/>
      <c r="K244" s="570"/>
      <c r="L244" s="570"/>
      <c r="M244" s="570"/>
      <c r="N244" s="570"/>
      <c r="O244" s="570"/>
      <c r="P244" s="570"/>
      <c r="Q244" s="570"/>
      <c r="R244" s="570"/>
      <c r="S244" s="570"/>
      <c r="T244" s="570"/>
      <c r="U244" s="570"/>
    </row>
    <row r="245" spans="1:21" x14ac:dyDescent="0.35">
      <c r="A245" s="570"/>
      <c r="B245" s="570"/>
      <c r="C245" s="570"/>
      <c r="D245" s="570"/>
      <c r="E245" s="570"/>
      <c r="F245" s="570"/>
      <c r="G245" s="570"/>
      <c r="H245" s="570"/>
      <c r="I245" s="570"/>
      <c r="J245" s="570"/>
      <c r="K245" s="570"/>
      <c r="L245" s="570"/>
      <c r="M245" s="570"/>
      <c r="N245" s="570"/>
      <c r="O245" s="570"/>
      <c r="P245" s="570"/>
      <c r="Q245" s="570"/>
      <c r="R245" s="570"/>
      <c r="S245" s="570"/>
      <c r="T245" s="570"/>
      <c r="U245" s="570"/>
    </row>
    <row r="246" spans="1:21" x14ac:dyDescent="0.35">
      <c r="A246" s="570"/>
      <c r="B246" s="570"/>
      <c r="C246" s="570"/>
      <c r="D246" s="570"/>
      <c r="E246" s="570"/>
      <c r="F246" s="570"/>
      <c r="G246" s="570"/>
      <c r="H246" s="570"/>
      <c r="I246" s="570"/>
      <c r="J246" s="570"/>
      <c r="K246" s="570"/>
      <c r="L246" s="570"/>
      <c r="M246" s="570"/>
      <c r="N246" s="570"/>
      <c r="O246" s="570"/>
      <c r="P246" s="570"/>
      <c r="Q246" s="570"/>
      <c r="R246" s="570"/>
      <c r="S246" s="570"/>
      <c r="T246" s="570"/>
      <c r="U246" s="570"/>
    </row>
    <row r="247" spans="1:21" x14ac:dyDescent="0.35">
      <c r="A247" s="570"/>
      <c r="B247" s="570"/>
      <c r="C247" s="570"/>
      <c r="D247" s="570"/>
      <c r="E247" s="570"/>
      <c r="F247" s="570"/>
      <c r="G247" s="570"/>
      <c r="H247" s="570"/>
      <c r="I247" s="570"/>
      <c r="J247" s="570"/>
      <c r="K247" s="570"/>
      <c r="L247" s="570"/>
      <c r="M247" s="570"/>
      <c r="N247" s="570"/>
      <c r="O247" s="570"/>
      <c r="P247" s="570"/>
      <c r="Q247" s="570"/>
      <c r="R247" s="570"/>
      <c r="S247" s="570"/>
      <c r="T247" s="570"/>
      <c r="U247" s="570"/>
    </row>
    <row r="248" spans="1:21" x14ac:dyDescent="0.35">
      <c r="A248" s="570"/>
      <c r="B248" s="570"/>
      <c r="C248" s="570"/>
      <c r="D248" s="570"/>
      <c r="E248" s="570"/>
      <c r="F248" s="570"/>
      <c r="G248" s="570"/>
      <c r="H248" s="570"/>
      <c r="I248" s="570"/>
      <c r="J248" s="570"/>
      <c r="K248" s="570"/>
      <c r="L248" s="570"/>
      <c r="M248" s="570"/>
      <c r="N248" s="570"/>
      <c r="O248" s="570"/>
      <c r="P248" s="570"/>
      <c r="Q248" s="570"/>
      <c r="R248" s="570"/>
      <c r="S248" s="570"/>
      <c r="T248" s="570"/>
      <c r="U248" s="570"/>
    </row>
    <row r="249" spans="1:21" x14ac:dyDescent="0.35">
      <c r="A249" s="570"/>
      <c r="B249" s="570"/>
      <c r="C249" s="570"/>
      <c r="D249" s="570"/>
      <c r="E249" s="570"/>
      <c r="F249" s="570"/>
      <c r="G249" s="570"/>
      <c r="H249" s="570"/>
      <c r="I249" s="570"/>
      <c r="J249" s="570"/>
      <c r="K249" s="570"/>
      <c r="L249" s="570"/>
      <c r="M249" s="570"/>
      <c r="N249" s="570"/>
      <c r="O249" s="570"/>
      <c r="P249" s="570"/>
      <c r="Q249" s="570"/>
      <c r="R249" s="570"/>
      <c r="S249" s="570"/>
      <c r="T249" s="570"/>
      <c r="U249" s="570"/>
    </row>
    <row r="250" spans="1:21" x14ac:dyDescent="0.35">
      <c r="A250" s="570"/>
      <c r="B250" s="570"/>
      <c r="C250" s="570"/>
      <c r="D250" s="570"/>
      <c r="E250" s="570"/>
      <c r="F250" s="570"/>
      <c r="G250" s="570"/>
      <c r="H250" s="570"/>
      <c r="I250" s="570"/>
      <c r="J250" s="570"/>
      <c r="K250" s="570"/>
      <c r="L250" s="570"/>
      <c r="M250" s="570"/>
      <c r="N250" s="570"/>
      <c r="O250" s="570"/>
      <c r="P250" s="570"/>
      <c r="Q250" s="570"/>
      <c r="R250" s="570"/>
      <c r="S250" s="570"/>
      <c r="T250" s="570"/>
      <c r="U250" s="570"/>
    </row>
    <row r="251" spans="1:21" x14ac:dyDescent="0.35">
      <c r="A251" s="570"/>
      <c r="B251" s="570"/>
      <c r="C251" s="570"/>
      <c r="D251" s="570"/>
      <c r="E251" s="570"/>
      <c r="F251" s="570"/>
      <c r="G251" s="570"/>
      <c r="H251" s="570"/>
      <c r="I251" s="570"/>
      <c r="J251" s="570"/>
      <c r="K251" s="570"/>
      <c r="L251" s="570"/>
      <c r="M251" s="570"/>
      <c r="N251" s="570"/>
      <c r="O251" s="570"/>
      <c r="P251" s="570"/>
      <c r="Q251" s="570"/>
      <c r="R251" s="570"/>
      <c r="S251" s="570"/>
      <c r="T251" s="570"/>
      <c r="U251" s="570"/>
    </row>
    <row r="252" spans="1:21" x14ac:dyDescent="0.35">
      <c r="A252" s="570"/>
      <c r="B252" s="570"/>
      <c r="C252" s="570"/>
      <c r="D252" s="570"/>
      <c r="E252" s="570"/>
      <c r="F252" s="570"/>
      <c r="G252" s="570"/>
      <c r="H252" s="570"/>
      <c r="I252" s="570"/>
      <c r="J252" s="570"/>
      <c r="K252" s="570"/>
      <c r="L252" s="570"/>
      <c r="M252" s="570"/>
      <c r="N252" s="570"/>
      <c r="O252" s="570"/>
      <c r="P252" s="570"/>
      <c r="Q252" s="570"/>
      <c r="R252" s="570"/>
      <c r="S252" s="570"/>
      <c r="T252" s="570"/>
      <c r="U252" s="570"/>
    </row>
    <row r="253" spans="1:21" x14ac:dyDescent="0.35">
      <c r="A253" s="570"/>
      <c r="B253" s="570"/>
      <c r="C253" s="570"/>
      <c r="D253" s="570"/>
      <c r="E253" s="570"/>
      <c r="F253" s="570"/>
      <c r="G253" s="570"/>
      <c r="H253" s="570"/>
      <c r="I253" s="570"/>
      <c r="J253" s="570"/>
      <c r="K253" s="570"/>
      <c r="L253" s="570"/>
      <c r="M253" s="570"/>
      <c r="N253" s="570"/>
      <c r="O253" s="570"/>
      <c r="P253" s="570"/>
      <c r="Q253" s="570"/>
      <c r="R253" s="570"/>
      <c r="S253" s="570"/>
      <c r="T253" s="570"/>
      <c r="U253" s="570"/>
    </row>
    <row r="254" spans="1:21" x14ac:dyDescent="0.35">
      <c r="A254" s="570"/>
      <c r="B254" s="570"/>
      <c r="C254" s="570"/>
      <c r="D254" s="570"/>
      <c r="E254" s="570"/>
      <c r="F254" s="570"/>
      <c r="G254" s="570"/>
      <c r="H254" s="570"/>
      <c r="I254" s="570"/>
      <c r="J254" s="570"/>
      <c r="K254" s="570"/>
      <c r="L254" s="570"/>
      <c r="M254" s="570"/>
      <c r="N254" s="570"/>
      <c r="O254" s="570"/>
      <c r="P254" s="570"/>
      <c r="Q254" s="570"/>
      <c r="R254" s="570"/>
      <c r="S254" s="570"/>
      <c r="T254" s="570"/>
      <c r="U254" s="570"/>
    </row>
    <row r="255" spans="1:21" x14ac:dyDescent="0.35">
      <c r="A255" s="570"/>
      <c r="B255" s="570"/>
      <c r="C255" s="570"/>
      <c r="D255" s="570"/>
      <c r="E255" s="570"/>
      <c r="F255" s="570"/>
      <c r="G255" s="570"/>
      <c r="H255" s="570"/>
      <c r="I255" s="570"/>
      <c r="J255" s="570"/>
      <c r="K255" s="570"/>
      <c r="L255" s="570"/>
      <c r="M255" s="570"/>
      <c r="N255" s="570"/>
      <c r="O255" s="570"/>
      <c r="P255" s="570"/>
      <c r="Q255" s="570"/>
      <c r="R255" s="570"/>
      <c r="S255" s="570"/>
      <c r="T255" s="570"/>
      <c r="U255" s="570"/>
    </row>
    <row r="256" spans="1:21" x14ac:dyDescent="0.35">
      <c r="A256" s="570"/>
      <c r="B256" s="570"/>
      <c r="C256" s="570"/>
      <c r="D256" s="570"/>
      <c r="E256" s="570"/>
      <c r="F256" s="570"/>
      <c r="G256" s="570"/>
      <c r="H256" s="570"/>
      <c r="I256" s="570"/>
      <c r="J256" s="570"/>
      <c r="K256" s="570"/>
      <c r="L256" s="570"/>
      <c r="M256" s="570"/>
      <c r="N256" s="570"/>
      <c r="O256" s="570"/>
      <c r="P256" s="570"/>
      <c r="Q256" s="570"/>
      <c r="R256" s="570"/>
      <c r="S256" s="570"/>
      <c r="T256" s="570"/>
      <c r="U256" s="570"/>
    </row>
    <row r="257" spans="1:21" x14ac:dyDescent="0.35">
      <c r="A257" s="570"/>
      <c r="B257" s="570"/>
      <c r="C257" s="570"/>
      <c r="D257" s="570"/>
      <c r="E257" s="570"/>
      <c r="F257" s="570"/>
      <c r="G257" s="570"/>
      <c r="H257" s="570"/>
      <c r="I257" s="570"/>
      <c r="J257" s="570"/>
      <c r="K257" s="570"/>
      <c r="L257" s="570"/>
      <c r="M257" s="570"/>
      <c r="N257" s="570"/>
      <c r="O257" s="570"/>
      <c r="P257" s="570"/>
      <c r="Q257" s="570"/>
      <c r="R257" s="570"/>
      <c r="S257" s="570"/>
      <c r="T257" s="570"/>
      <c r="U257" s="570"/>
    </row>
    <row r="258" spans="1:21" x14ac:dyDescent="0.35">
      <c r="A258" s="570"/>
      <c r="B258" s="570"/>
      <c r="C258" s="570"/>
      <c r="D258" s="570"/>
      <c r="E258" s="570"/>
      <c r="F258" s="570"/>
      <c r="G258" s="570"/>
      <c r="H258" s="570"/>
      <c r="I258" s="570"/>
      <c r="J258" s="570"/>
      <c r="K258" s="570"/>
      <c r="L258" s="570"/>
      <c r="M258" s="570"/>
      <c r="N258" s="570"/>
      <c r="O258" s="570"/>
      <c r="P258" s="570"/>
      <c r="Q258" s="570"/>
      <c r="R258" s="570"/>
      <c r="S258" s="570"/>
      <c r="T258" s="570"/>
      <c r="U258" s="570"/>
    </row>
    <row r="259" spans="1:21" x14ac:dyDescent="0.35">
      <c r="A259" s="570"/>
      <c r="B259" s="570"/>
      <c r="C259" s="570"/>
      <c r="D259" s="570"/>
      <c r="E259" s="570"/>
      <c r="F259" s="570"/>
      <c r="G259" s="570"/>
      <c r="H259" s="570"/>
      <c r="I259" s="570"/>
      <c r="J259" s="570"/>
      <c r="K259" s="570"/>
      <c r="L259" s="570"/>
      <c r="M259" s="570"/>
      <c r="N259" s="570"/>
      <c r="O259" s="570"/>
      <c r="P259" s="570"/>
      <c r="Q259" s="570"/>
      <c r="R259" s="570"/>
      <c r="S259" s="570"/>
      <c r="T259" s="570"/>
      <c r="U259" s="570"/>
    </row>
    <row r="260" spans="1:21" x14ac:dyDescent="0.35">
      <c r="A260" s="570"/>
      <c r="B260" s="570"/>
      <c r="C260" s="570"/>
      <c r="D260" s="570"/>
      <c r="E260" s="570"/>
      <c r="F260" s="570"/>
      <c r="G260" s="570"/>
      <c r="H260" s="570"/>
      <c r="I260" s="570"/>
      <c r="J260" s="570"/>
      <c r="K260" s="570"/>
      <c r="L260" s="570"/>
      <c r="M260" s="570"/>
      <c r="N260" s="570"/>
      <c r="O260" s="570"/>
      <c r="P260" s="570"/>
      <c r="Q260" s="570"/>
      <c r="R260" s="570"/>
      <c r="S260" s="570"/>
      <c r="T260" s="570"/>
      <c r="U260" s="570"/>
    </row>
    <row r="261" spans="1:21" x14ac:dyDescent="0.35">
      <c r="A261" s="570"/>
      <c r="B261" s="570"/>
      <c r="C261" s="570"/>
      <c r="D261" s="570"/>
      <c r="E261" s="570"/>
      <c r="F261" s="570"/>
      <c r="G261" s="570"/>
      <c r="H261" s="570"/>
      <c r="I261" s="570"/>
      <c r="J261" s="570"/>
      <c r="K261" s="570"/>
      <c r="L261" s="570"/>
      <c r="M261" s="570"/>
      <c r="N261" s="570"/>
      <c r="O261" s="570"/>
      <c r="P261" s="570"/>
      <c r="Q261" s="570"/>
      <c r="R261" s="570"/>
      <c r="S261" s="570"/>
      <c r="T261" s="570"/>
      <c r="U261" s="570"/>
    </row>
    <row r="262" spans="1:21" x14ac:dyDescent="0.35">
      <c r="A262" s="570"/>
      <c r="B262" s="570"/>
      <c r="C262" s="570"/>
      <c r="D262" s="570"/>
      <c r="E262" s="570"/>
      <c r="F262" s="570"/>
      <c r="G262" s="570"/>
      <c r="H262" s="570"/>
      <c r="I262" s="570"/>
      <c r="J262" s="570"/>
      <c r="K262" s="570"/>
      <c r="L262" s="570"/>
      <c r="M262" s="570"/>
      <c r="N262" s="570"/>
      <c r="O262" s="570"/>
      <c r="P262" s="570"/>
      <c r="Q262" s="570"/>
      <c r="R262" s="570"/>
      <c r="S262" s="570"/>
      <c r="T262" s="570"/>
      <c r="U262" s="570"/>
    </row>
    <row r="263" spans="1:21" x14ac:dyDescent="0.35">
      <c r="A263" s="570"/>
      <c r="B263" s="570"/>
      <c r="C263" s="570"/>
      <c r="D263" s="570"/>
      <c r="E263" s="570"/>
      <c r="F263" s="570"/>
      <c r="G263" s="570"/>
      <c r="H263" s="570"/>
      <c r="I263" s="570"/>
      <c r="J263" s="570"/>
      <c r="K263" s="570"/>
      <c r="L263" s="570"/>
      <c r="M263" s="570"/>
      <c r="N263" s="570"/>
      <c r="O263" s="570"/>
      <c r="P263" s="570"/>
      <c r="Q263" s="570"/>
      <c r="R263" s="570"/>
      <c r="S263" s="570"/>
      <c r="T263" s="570"/>
      <c r="U263" s="570"/>
    </row>
    <row r="264" spans="1:21" x14ac:dyDescent="0.35">
      <c r="A264" s="570"/>
      <c r="B264" s="570"/>
      <c r="C264" s="570"/>
      <c r="D264" s="570"/>
      <c r="E264" s="570"/>
      <c r="F264" s="570"/>
      <c r="G264" s="570"/>
      <c r="H264" s="570"/>
      <c r="I264" s="570"/>
      <c r="J264" s="570"/>
      <c r="K264" s="570"/>
      <c r="L264" s="570"/>
      <c r="M264" s="570"/>
      <c r="N264" s="570"/>
      <c r="O264" s="570"/>
      <c r="P264" s="570"/>
      <c r="Q264" s="570"/>
      <c r="R264" s="570"/>
      <c r="S264" s="570"/>
      <c r="T264" s="570"/>
      <c r="U264" s="570"/>
    </row>
    <row r="265" spans="1:21" x14ac:dyDescent="0.35">
      <c r="A265" s="570"/>
      <c r="B265" s="570"/>
      <c r="C265" s="570"/>
      <c r="D265" s="570"/>
      <c r="E265" s="570"/>
      <c r="F265" s="570"/>
      <c r="G265" s="570"/>
      <c r="H265" s="570"/>
      <c r="I265" s="570"/>
      <c r="J265" s="570"/>
      <c r="K265" s="570"/>
      <c r="L265" s="570"/>
      <c r="M265" s="570"/>
      <c r="N265" s="570"/>
      <c r="O265" s="570"/>
      <c r="P265" s="570"/>
      <c r="Q265" s="570"/>
      <c r="R265" s="570"/>
      <c r="S265" s="570"/>
      <c r="T265" s="570"/>
      <c r="U265" s="570"/>
    </row>
    <row r="266" spans="1:21" x14ac:dyDescent="0.35">
      <c r="A266" s="570"/>
      <c r="B266" s="570"/>
      <c r="C266" s="570"/>
      <c r="D266" s="570"/>
      <c r="E266" s="570"/>
      <c r="F266" s="570"/>
      <c r="G266" s="570"/>
      <c r="H266" s="570"/>
      <c r="I266" s="570"/>
      <c r="J266" s="570"/>
      <c r="K266" s="570"/>
      <c r="L266" s="570"/>
      <c r="M266" s="570"/>
      <c r="N266" s="570"/>
      <c r="O266" s="570"/>
      <c r="P266" s="570"/>
      <c r="Q266" s="570"/>
      <c r="R266" s="570"/>
      <c r="S266" s="570"/>
      <c r="T266" s="570"/>
      <c r="U266" s="570"/>
    </row>
    <row r="267" spans="1:21" x14ac:dyDescent="0.35">
      <c r="A267" s="570"/>
      <c r="B267" s="570"/>
      <c r="C267" s="570"/>
      <c r="D267" s="570"/>
      <c r="E267" s="570"/>
      <c r="F267" s="570"/>
      <c r="G267" s="570"/>
      <c r="H267" s="570"/>
      <c r="I267" s="570"/>
      <c r="J267" s="570"/>
      <c r="K267" s="570"/>
      <c r="L267" s="570"/>
      <c r="M267" s="570"/>
      <c r="N267" s="570"/>
      <c r="O267" s="570"/>
      <c r="P267" s="570"/>
      <c r="Q267" s="570"/>
      <c r="R267" s="570"/>
      <c r="S267" s="570"/>
      <c r="T267" s="570"/>
      <c r="U267" s="570"/>
    </row>
    <row r="268" spans="1:21" x14ac:dyDescent="0.35">
      <c r="A268" s="570"/>
      <c r="B268" s="570"/>
      <c r="C268" s="570"/>
      <c r="D268" s="570"/>
      <c r="E268" s="570"/>
      <c r="F268" s="570"/>
      <c r="G268" s="570"/>
      <c r="H268" s="570"/>
      <c r="I268" s="570"/>
      <c r="J268" s="570"/>
      <c r="K268" s="570"/>
      <c r="L268" s="570"/>
      <c r="M268" s="570"/>
      <c r="N268" s="570"/>
      <c r="O268" s="570"/>
      <c r="P268" s="570"/>
      <c r="Q268" s="570"/>
      <c r="R268" s="570"/>
      <c r="S268" s="570"/>
      <c r="T268" s="570"/>
      <c r="U268" s="570"/>
    </row>
    <row r="269" spans="1:21" x14ac:dyDescent="0.35">
      <c r="A269" s="570"/>
      <c r="B269" s="570"/>
      <c r="C269" s="570"/>
      <c r="D269" s="570"/>
      <c r="E269" s="570"/>
      <c r="F269" s="570"/>
      <c r="G269" s="570"/>
      <c r="H269" s="570"/>
      <c r="I269" s="570"/>
      <c r="J269" s="570"/>
      <c r="K269" s="570"/>
      <c r="L269" s="570"/>
      <c r="M269" s="570"/>
      <c r="N269" s="570"/>
      <c r="O269" s="570"/>
      <c r="P269" s="570"/>
      <c r="Q269" s="570"/>
      <c r="R269" s="570"/>
      <c r="S269" s="570"/>
      <c r="T269" s="570"/>
      <c r="U269" s="570"/>
    </row>
    <row r="270" spans="1:21" x14ac:dyDescent="0.35">
      <c r="A270" s="570"/>
      <c r="B270" s="570"/>
      <c r="C270" s="570"/>
      <c r="D270" s="570"/>
      <c r="E270" s="570"/>
      <c r="F270" s="570"/>
      <c r="G270" s="570"/>
      <c r="H270" s="570"/>
      <c r="I270" s="570"/>
      <c r="J270" s="570"/>
      <c r="K270" s="570"/>
      <c r="L270" s="570"/>
      <c r="M270" s="570"/>
      <c r="N270" s="570"/>
      <c r="O270" s="570"/>
      <c r="P270" s="570"/>
      <c r="Q270" s="570"/>
      <c r="R270" s="570"/>
      <c r="S270" s="570"/>
      <c r="T270" s="570"/>
      <c r="U270" s="570"/>
    </row>
    <row r="271" spans="1:21" x14ac:dyDescent="0.35">
      <c r="A271" s="570"/>
      <c r="B271" s="570"/>
      <c r="C271" s="570"/>
      <c r="D271" s="570"/>
      <c r="E271" s="570"/>
      <c r="F271" s="570"/>
      <c r="G271" s="570"/>
      <c r="H271" s="570"/>
      <c r="I271" s="570"/>
      <c r="J271" s="570"/>
      <c r="K271" s="570"/>
      <c r="L271" s="570"/>
      <c r="M271" s="570"/>
      <c r="N271" s="570"/>
      <c r="O271" s="570"/>
      <c r="P271" s="570"/>
      <c r="Q271" s="570"/>
      <c r="R271" s="570"/>
      <c r="S271" s="570"/>
      <c r="T271" s="570"/>
      <c r="U271" s="570"/>
    </row>
    <row r="272" spans="1:21" x14ac:dyDescent="0.35">
      <c r="A272" s="570"/>
      <c r="B272" s="570"/>
      <c r="C272" s="570"/>
      <c r="D272" s="570"/>
      <c r="E272" s="570"/>
      <c r="F272" s="570"/>
      <c r="G272" s="570"/>
      <c r="H272" s="570"/>
      <c r="I272" s="570"/>
      <c r="J272" s="570"/>
      <c r="K272" s="570"/>
      <c r="L272" s="570"/>
      <c r="M272" s="570"/>
      <c r="N272" s="570"/>
      <c r="O272" s="570"/>
      <c r="P272" s="570"/>
      <c r="Q272" s="570"/>
      <c r="R272" s="570"/>
      <c r="S272" s="570"/>
      <c r="T272" s="570"/>
      <c r="U272" s="570"/>
    </row>
    <row r="273" spans="1:21" x14ac:dyDescent="0.35">
      <c r="A273" s="570"/>
      <c r="B273" s="570"/>
      <c r="C273" s="570"/>
      <c r="D273" s="570"/>
      <c r="E273" s="570"/>
      <c r="F273" s="570"/>
      <c r="G273" s="570"/>
      <c r="H273" s="570"/>
      <c r="I273" s="570"/>
      <c r="J273" s="570"/>
      <c r="K273" s="570"/>
      <c r="L273" s="570"/>
      <c r="M273" s="570"/>
      <c r="N273" s="570"/>
      <c r="O273" s="570"/>
      <c r="P273" s="570"/>
      <c r="Q273" s="570"/>
      <c r="R273" s="570"/>
      <c r="S273" s="570"/>
      <c r="T273" s="570"/>
      <c r="U273" s="570"/>
    </row>
    <row r="274" spans="1:21" x14ac:dyDescent="0.35">
      <c r="A274" s="570"/>
      <c r="B274" s="570"/>
      <c r="C274" s="570"/>
      <c r="D274" s="570"/>
      <c r="E274" s="570"/>
      <c r="F274" s="570"/>
      <c r="G274" s="570"/>
      <c r="H274" s="570"/>
      <c r="I274" s="570"/>
      <c r="J274" s="570"/>
      <c r="K274" s="570"/>
      <c r="L274" s="570"/>
      <c r="M274" s="570"/>
      <c r="N274" s="570"/>
      <c r="O274" s="570"/>
      <c r="P274" s="570"/>
      <c r="Q274" s="570"/>
      <c r="R274" s="570"/>
      <c r="S274" s="570"/>
      <c r="T274" s="570"/>
      <c r="U274" s="570"/>
    </row>
    <row r="275" spans="1:21" x14ac:dyDescent="0.35">
      <c r="A275" s="570"/>
      <c r="B275" s="570"/>
      <c r="C275" s="570"/>
      <c r="D275" s="570"/>
      <c r="E275" s="570"/>
      <c r="F275" s="570"/>
      <c r="G275" s="570"/>
      <c r="H275" s="570"/>
      <c r="I275" s="570"/>
      <c r="J275" s="570"/>
      <c r="K275" s="570"/>
      <c r="L275" s="570"/>
      <c r="M275" s="570"/>
      <c r="N275" s="570"/>
      <c r="O275" s="570"/>
      <c r="P275" s="570"/>
      <c r="Q275" s="570"/>
      <c r="R275" s="570"/>
      <c r="S275" s="570"/>
      <c r="T275" s="570"/>
      <c r="U275" s="570"/>
    </row>
    <row r="276" spans="1:21" x14ac:dyDescent="0.35">
      <c r="A276" s="570"/>
      <c r="B276" s="570"/>
      <c r="C276" s="570"/>
      <c r="D276" s="570"/>
      <c r="E276" s="570"/>
      <c r="F276" s="570"/>
      <c r="G276" s="570"/>
      <c r="H276" s="570"/>
      <c r="I276" s="570"/>
      <c r="J276" s="570"/>
      <c r="K276" s="570"/>
      <c r="L276" s="570"/>
      <c r="M276" s="570"/>
      <c r="N276" s="570"/>
      <c r="O276" s="570"/>
      <c r="P276" s="570"/>
      <c r="Q276" s="570"/>
      <c r="R276" s="570"/>
      <c r="S276" s="570"/>
      <c r="T276" s="570"/>
      <c r="U276" s="570"/>
    </row>
    <row r="277" spans="1:21" x14ac:dyDescent="0.35">
      <c r="A277" s="570"/>
      <c r="B277" s="570"/>
      <c r="C277" s="570"/>
      <c r="D277" s="570"/>
      <c r="E277" s="570"/>
      <c r="F277" s="570"/>
      <c r="G277" s="570"/>
      <c r="H277" s="570"/>
      <c r="I277" s="570"/>
      <c r="J277" s="570"/>
      <c r="K277" s="570"/>
      <c r="L277" s="570"/>
      <c r="M277" s="570"/>
      <c r="N277" s="570"/>
      <c r="O277" s="570"/>
      <c r="P277" s="570"/>
      <c r="Q277" s="570"/>
      <c r="R277" s="570"/>
      <c r="S277" s="570"/>
      <c r="T277" s="570"/>
      <c r="U277" s="570"/>
    </row>
    <row r="278" spans="1:21" x14ac:dyDescent="0.35">
      <c r="A278" s="570"/>
      <c r="B278" s="570"/>
      <c r="C278" s="570"/>
      <c r="D278" s="570"/>
      <c r="E278" s="570"/>
      <c r="F278" s="570"/>
      <c r="G278" s="570"/>
      <c r="H278" s="570"/>
      <c r="I278" s="570"/>
      <c r="J278" s="570"/>
      <c r="K278" s="570"/>
      <c r="L278" s="570"/>
      <c r="M278" s="570"/>
      <c r="N278" s="570"/>
      <c r="O278" s="570"/>
      <c r="P278" s="570"/>
      <c r="Q278" s="570"/>
      <c r="R278" s="570"/>
      <c r="S278" s="570"/>
      <c r="T278" s="570"/>
      <c r="U278" s="570"/>
    </row>
    <row r="279" spans="1:21" x14ac:dyDescent="0.35">
      <c r="A279" s="570"/>
      <c r="B279" s="570"/>
      <c r="C279" s="570"/>
      <c r="D279" s="570"/>
      <c r="E279" s="570"/>
      <c r="F279" s="570"/>
      <c r="G279" s="570"/>
      <c r="H279" s="570"/>
      <c r="I279" s="570"/>
      <c r="J279" s="570"/>
      <c r="K279" s="570"/>
      <c r="L279" s="570"/>
      <c r="M279" s="570"/>
      <c r="N279" s="570"/>
      <c r="O279" s="570"/>
      <c r="P279" s="570"/>
      <c r="Q279" s="570"/>
      <c r="R279" s="570"/>
      <c r="S279" s="570"/>
      <c r="T279" s="570"/>
      <c r="U279" s="570"/>
    </row>
    <row r="280" spans="1:21" x14ac:dyDescent="0.35">
      <c r="A280" s="570"/>
      <c r="B280" s="570"/>
      <c r="C280" s="570"/>
      <c r="D280" s="570"/>
      <c r="E280" s="570"/>
      <c r="F280" s="570"/>
      <c r="G280" s="570"/>
      <c r="H280" s="570"/>
      <c r="I280" s="570"/>
      <c r="J280" s="570"/>
      <c r="K280" s="570"/>
      <c r="L280" s="570"/>
      <c r="M280" s="570"/>
      <c r="N280" s="570"/>
      <c r="O280" s="570"/>
      <c r="P280" s="570"/>
      <c r="Q280" s="570"/>
      <c r="R280" s="570"/>
      <c r="S280" s="570"/>
      <c r="T280" s="570"/>
      <c r="U280" s="570"/>
    </row>
    <row r="281" spans="1:21" x14ac:dyDescent="0.35">
      <c r="A281" s="570"/>
      <c r="B281" s="570"/>
      <c r="C281" s="570"/>
      <c r="D281" s="570"/>
      <c r="E281" s="570"/>
      <c r="F281" s="570"/>
      <c r="G281" s="570"/>
      <c r="H281" s="570"/>
      <c r="I281" s="570"/>
      <c r="J281" s="570"/>
      <c r="K281" s="570"/>
      <c r="L281" s="570"/>
      <c r="M281" s="570"/>
      <c r="N281" s="570"/>
      <c r="O281" s="570"/>
      <c r="P281" s="570"/>
      <c r="Q281" s="570"/>
      <c r="R281" s="570"/>
      <c r="S281" s="570"/>
      <c r="T281" s="570"/>
      <c r="U281" s="570"/>
    </row>
    <row r="282" spans="1:21" x14ac:dyDescent="0.35">
      <c r="A282" s="570"/>
      <c r="B282" s="570"/>
      <c r="C282" s="570"/>
      <c r="D282" s="570"/>
      <c r="E282" s="570"/>
      <c r="F282" s="570"/>
      <c r="G282" s="570"/>
      <c r="H282" s="570"/>
      <c r="I282" s="570"/>
      <c r="J282" s="570"/>
      <c r="K282" s="570"/>
      <c r="L282" s="570"/>
      <c r="M282" s="570"/>
      <c r="N282" s="570"/>
      <c r="O282" s="570"/>
      <c r="P282" s="570"/>
      <c r="Q282" s="570"/>
      <c r="R282" s="570"/>
      <c r="S282" s="570"/>
      <c r="T282" s="570"/>
      <c r="U282" s="570"/>
    </row>
    <row r="283" spans="1:21" x14ac:dyDescent="0.35">
      <c r="A283" s="570"/>
      <c r="B283" s="570"/>
      <c r="C283" s="570"/>
      <c r="D283" s="570"/>
      <c r="E283" s="570"/>
      <c r="F283" s="570"/>
      <c r="G283" s="570"/>
      <c r="H283" s="570"/>
      <c r="I283" s="570"/>
      <c r="J283" s="570"/>
      <c r="K283" s="570"/>
      <c r="L283" s="570"/>
      <c r="M283" s="570"/>
      <c r="N283" s="570"/>
      <c r="O283" s="570"/>
      <c r="P283" s="570"/>
      <c r="Q283" s="570"/>
      <c r="R283" s="570"/>
      <c r="S283" s="570"/>
      <c r="T283" s="570"/>
      <c r="U283" s="570"/>
    </row>
    <row r="284" spans="1:21" x14ac:dyDescent="0.35">
      <c r="A284" s="570"/>
      <c r="B284" s="570"/>
      <c r="C284" s="570"/>
      <c r="D284" s="570"/>
      <c r="E284" s="570"/>
      <c r="F284" s="570"/>
      <c r="G284" s="570"/>
      <c r="H284" s="570"/>
      <c r="I284" s="570"/>
      <c r="J284" s="570"/>
      <c r="K284" s="570"/>
      <c r="L284" s="570"/>
      <c r="M284" s="570"/>
      <c r="N284" s="570"/>
      <c r="O284" s="570"/>
      <c r="P284" s="570"/>
      <c r="Q284" s="570"/>
      <c r="R284" s="570"/>
      <c r="S284" s="570"/>
      <c r="T284" s="570"/>
      <c r="U284" s="570"/>
    </row>
    <row r="285" spans="1:21" x14ac:dyDescent="0.35">
      <c r="A285" s="570"/>
      <c r="B285" s="570"/>
      <c r="C285" s="570"/>
      <c r="D285" s="570"/>
      <c r="E285" s="570"/>
      <c r="F285" s="570"/>
      <c r="G285" s="570"/>
      <c r="H285" s="570"/>
      <c r="I285" s="570"/>
      <c r="J285" s="570"/>
      <c r="K285" s="570"/>
      <c r="L285" s="570"/>
      <c r="M285" s="570"/>
      <c r="N285" s="570"/>
      <c r="O285" s="570"/>
      <c r="P285" s="570"/>
      <c r="Q285" s="570"/>
      <c r="R285" s="570"/>
      <c r="S285" s="570"/>
      <c r="T285" s="570"/>
      <c r="U285" s="570"/>
    </row>
    <row r="286" spans="1:21" x14ac:dyDescent="0.35">
      <c r="A286" s="570"/>
      <c r="B286" s="570"/>
      <c r="C286" s="570"/>
      <c r="D286" s="570"/>
      <c r="E286" s="570"/>
      <c r="F286" s="570"/>
      <c r="G286" s="570"/>
      <c r="H286" s="570"/>
      <c r="I286" s="570"/>
      <c r="J286" s="570"/>
      <c r="K286" s="570"/>
      <c r="L286" s="570"/>
      <c r="M286" s="570"/>
      <c r="N286" s="570"/>
      <c r="O286" s="570"/>
      <c r="P286" s="570"/>
      <c r="Q286" s="570"/>
      <c r="R286" s="570"/>
      <c r="S286" s="570"/>
      <c r="T286" s="570"/>
      <c r="U286" s="570"/>
    </row>
    <row r="287" spans="1:21" x14ac:dyDescent="0.35">
      <c r="A287" s="570"/>
      <c r="B287" s="570"/>
      <c r="C287" s="570"/>
      <c r="D287" s="570"/>
      <c r="E287" s="570"/>
      <c r="F287" s="570"/>
      <c r="G287" s="570"/>
      <c r="H287" s="570"/>
      <c r="I287" s="570"/>
      <c r="J287" s="570"/>
      <c r="K287" s="570"/>
      <c r="L287" s="570"/>
      <c r="M287" s="570"/>
      <c r="N287" s="570"/>
      <c r="O287" s="570"/>
      <c r="P287" s="570"/>
      <c r="Q287" s="570"/>
      <c r="R287" s="570"/>
      <c r="S287" s="570"/>
      <c r="T287" s="570"/>
      <c r="U287" s="570"/>
    </row>
    <row r="288" spans="1:21" x14ac:dyDescent="0.35">
      <c r="A288" s="570"/>
      <c r="B288" s="570"/>
      <c r="C288" s="570"/>
      <c r="D288" s="570"/>
      <c r="E288" s="570"/>
      <c r="F288" s="570"/>
      <c r="G288" s="570"/>
      <c r="H288" s="570"/>
      <c r="I288" s="570"/>
      <c r="J288" s="570"/>
      <c r="K288" s="570"/>
      <c r="L288" s="570"/>
      <c r="M288" s="570"/>
      <c r="N288" s="570"/>
      <c r="O288" s="570"/>
      <c r="P288" s="570"/>
      <c r="Q288" s="570"/>
      <c r="R288" s="570"/>
      <c r="S288" s="570"/>
      <c r="T288" s="570"/>
      <c r="U288" s="570"/>
    </row>
    <row r="289" spans="1:21" x14ac:dyDescent="0.35">
      <c r="A289" s="570"/>
      <c r="B289" s="570"/>
      <c r="C289" s="570"/>
      <c r="D289" s="570"/>
      <c r="E289" s="570"/>
      <c r="F289" s="570"/>
      <c r="G289" s="570"/>
      <c r="H289" s="570"/>
      <c r="I289" s="570"/>
      <c r="J289" s="570"/>
      <c r="K289" s="570"/>
      <c r="L289" s="570"/>
      <c r="M289" s="570"/>
      <c r="N289" s="570"/>
      <c r="O289" s="570"/>
      <c r="P289" s="570"/>
      <c r="Q289" s="570"/>
      <c r="R289" s="570"/>
      <c r="S289" s="570"/>
      <c r="T289" s="570"/>
      <c r="U289" s="570"/>
    </row>
    <row r="290" spans="1:21" x14ac:dyDescent="0.35">
      <c r="A290" s="570"/>
      <c r="B290" s="570"/>
      <c r="C290" s="570"/>
      <c r="D290" s="570"/>
      <c r="E290" s="570"/>
      <c r="F290" s="570"/>
      <c r="G290" s="570"/>
      <c r="H290" s="570"/>
      <c r="I290" s="570"/>
      <c r="J290" s="570"/>
      <c r="K290" s="570"/>
      <c r="L290" s="570"/>
      <c r="M290" s="570"/>
      <c r="N290" s="570"/>
      <c r="O290" s="570"/>
      <c r="P290" s="570"/>
      <c r="Q290" s="570"/>
      <c r="R290" s="570"/>
      <c r="S290" s="570"/>
      <c r="T290" s="570"/>
      <c r="U290" s="570"/>
    </row>
    <row r="291" spans="1:21" x14ac:dyDescent="0.35">
      <c r="A291" s="570"/>
      <c r="B291" s="570"/>
      <c r="C291" s="570"/>
      <c r="D291" s="570"/>
      <c r="E291" s="570"/>
      <c r="F291" s="570"/>
      <c r="G291" s="570"/>
      <c r="H291" s="570"/>
      <c r="I291" s="570"/>
      <c r="J291" s="570"/>
      <c r="K291" s="570"/>
      <c r="L291" s="570"/>
      <c r="M291" s="570"/>
      <c r="N291" s="570"/>
      <c r="O291" s="570"/>
      <c r="P291" s="570"/>
      <c r="Q291" s="570"/>
      <c r="R291" s="570"/>
      <c r="S291" s="570"/>
      <c r="T291" s="570"/>
      <c r="U291" s="570"/>
    </row>
    <row r="292" spans="1:21" x14ac:dyDescent="0.35">
      <c r="A292" s="570"/>
      <c r="B292" s="570"/>
      <c r="C292" s="570"/>
      <c r="D292" s="570"/>
      <c r="E292" s="570"/>
      <c r="F292" s="570"/>
      <c r="G292" s="570"/>
      <c r="H292" s="570"/>
      <c r="I292" s="570"/>
      <c r="J292" s="570"/>
      <c r="K292" s="570"/>
      <c r="L292" s="570"/>
      <c r="M292" s="570"/>
      <c r="N292" s="570"/>
      <c r="O292" s="570"/>
      <c r="P292" s="570"/>
      <c r="Q292" s="570"/>
      <c r="R292" s="570"/>
      <c r="S292" s="570"/>
      <c r="T292" s="570"/>
      <c r="U292" s="570"/>
    </row>
    <row r="293" spans="1:21" x14ac:dyDescent="0.35">
      <c r="A293" s="570"/>
      <c r="B293" s="570"/>
      <c r="C293" s="570"/>
      <c r="D293" s="570"/>
      <c r="E293" s="570"/>
      <c r="F293" s="570"/>
      <c r="G293" s="570"/>
      <c r="H293" s="570"/>
      <c r="I293" s="570"/>
      <c r="J293" s="570"/>
      <c r="K293" s="570"/>
      <c r="L293" s="570"/>
      <c r="M293" s="570"/>
      <c r="N293" s="570"/>
      <c r="O293" s="570"/>
      <c r="P293" s="570"/>
      <c r="Q293" s="570"/>
      <c r="R293" s="570"/>
      <c r="S293" s="570"/>
      <c r="T293" s="570"/>
      <c r="U293" s="570"/>
    </row>
    <row r="294" spans="1:21" x14ac:dyDescent="0.35">
      <c r="A294" s="570"/>
      <c r="B294" s="570"/>
      <c r="C294" s="570"/>
      <c r="D294" s="570"/>
      <c r="E294" s="570"/>
      <c r="F294" s="570"/>
      <c r="G294" s="570"/>
      <c r="H294" s="570"/>
      <c r="I294" s="570"/>
      <c r="J294" s="570"/>
      <c r="K294" s="570"/>
      <c r="L294" s="570"/>
      <c r="M294" s="570"/>
      <c r="N294" s="570"/>
      <c r="O294" s="570"/>
      <c r="P294" s="570"/>
      <c r="Q294" s="570"/>
      <c r="R294" s="570"/>
      <c r="S294" s="570"/>
      <c r="T294" s="570"/>
      <c r="U294" s="570"/>
    </row>
    <row r="295" spans="1:21" x14ac:dyDescent="0.35">
      <c r="A295" s="570"/>
      <c r="B295" s="570"/>
      <c r="C295" s="570"/>
      <c r="D295" s="570"/>
      <c r="E295" s="570"/>
      <c r="F295" s="570"/>
      <c r="G295" s="570"/>
      <c r="H295" s="570"/>
      <c r="I295" s="570"/>
      <c r="J295" s="570"/>
      <c r="K295" s="570"/>
      <c r="L295" s="570"/>
      <c r="M295" s="570"/>
      <c r="N295" s="570"/>
      <c r="O295" s="570"/>
      <c r="P295" s="570"/>
      <c r="Q295" s="570"/>
      <c r="R295" s="570"/>
      <c r="S295" s="570"/>
      <c r="T295" s="570"/>
      <c r="U295" s="570"/>
    </row>
    <row r="296" spans="1:21" x14ac:dyDescent="0.35">
      <c r="A296" s="570"/>
      <c r="B296" s="570"/>
      <c r="C296" s="570"/>
      <c r="D296" s="570"/>
      <c r="E296" s="570"/>
      <c r="F296" s="570"/>
      <c r="G296" s="570"/>
      <c r="H296" s="570"/>
      <c r="I296" s="570"/>
      <c r="J296" s="570"/>
      <c r="K296" s="570"/>
      <c r="L296" s="570"/>
      <c r="M296" s="570"/>
      <c r="N296" s="570"/>
      <c r="O296" s="570"/>
      <c r="P296" s="570"/>
      <c r="Q296" s="570"/>
      <c r="R296" s="570"/>
      <c r="S296" s="570"/>
      <c r="T296" s="570"/>
      <c r="U296" s="570"/>
    </row>
    <row r="297" spans="1:21" x14ac:dyDescent="0.35">
      <c r="A297" s="570"/>
      <c r="B297" s="570"/>
      <c r="C297" s="570"/>
      <c r="D297" s="570"/>
      <c r="E297" s="570"/>
      <c r="F297" s="570"/>
      <c r="G297" s="570"/>
      <c r="H297" s="570"/>
      <c r="I297" s="570"/>
      <c r="J297" s="570"/>
      <c r="K297" s="570"/>
      <c r="L297" s="570"/>
      <c r="M297" s="570"/>
      <c r="N297" s="570"/>
      <c r="O297" s="570"/>
      <c r="P297" s="570"/>
      <c r="Q297" s="570"/>
      <c r="R297" s="570"/>
      <c r="S297" s="570"/>
      <c r="T297" s="570"/>
      <c r="U297" s="570"/>
    </row>
    <row r="298" spans="1:21" x14ac:dyDescent="0.35">
      <c r="A298" s="570"/>
      <c r="B298" s="570"/>
      <c r="C298" s="570"/>
      <c r="D298" s="570"/>
      <c r="E298" s="570"/>
      <c r="F298" s="570"/>
      <c r="G298" s="570"/>
      <c r="H298" s="570"/>
      <c r="I298" s="570"/>
      <c r="J298" s="570"/>
      <c r="K298" s="570"/>
      <c r="L298" s="570"/>
      <c r="M298" s="570"/>
      <c r="N298" s="570"/>
      <c r="O298" s="570"/>
      <c r="P298" s="570"/>
      <c r="Q298" s="570"/>
      <c r="R298" s="570"/>
      <c r="S298" s="570"/>
      <c r="T298" s="570"/>
      <c r="U298" s="57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BB54"/>
  <sheetViews>
    <sheetView zoomScale="90" zoomScaleNormal="90" workbookViewId="0">
      <pane xSplit="8" ySplit="6" topLeftCell="Y27" activePane="bottomRight" state="frozen"/>
      <selection activeCell="T34" sqref="T34"/>
      <selection pane="topRight" activeCell="T34" sqref="T34"/>
      <selection pane="bottomLeft" activeCell="T34" sqref="T34"/>
      <selection pane="bottomRight" activeCell="AJ52" sqref="AJ52"/>
    </sheetView>
  </sheetViews>
  <sheetFormatPr defaultColWidth="0" defaultRowHeight="15" customHeight="1" zeroHeight="1" x14ac:dyDescent="0.35"/>
  <cols>
    <col min="1" max="1" width="1.453125" style="1" customWidth="1"/>
    <col min="2" max="2" width="1.453125" style="4" customWidth="1"/>
    <col min="3" max="3" width="1.453125" style="2" customWidth="1"/>
    <col min="4" max="4" width="1.453125" style="4" customWidth="1"/>
    <col min="5" max="5" width="28.453125" style="4" customWidth="1"/>
    <col min="6" max="6" width="25.453125" style="4" customWidth="1"/>
    <col min="7" max="7" width="20.453125" style="4" customWidth="1"/>
    <col min="8" max="8" width="4.81640625" style="4" customWidth="1"/>
    <col min="9" max="49" width="11.453125" style="4" customWidth="1"/>
    <col min="50" max="54" width="9.1796875" style="4" customWidth="1"/>
    <col min="55" max="16384" width="9.1796875" hidden="1"/>
  </cols>
  <sheetData>
    <row r="1" spans="1:54" ht="15" customHeight="1" x14ac:dyDescent="0.35">
      <c r="A1" s="380" t="s">
        <v>933</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2"/>
    </row>
    <row r="2" spans="1:54" ht="5.25" customHeight="1" x14ac:dyDescent="0.35"/>
    <row r="3" spans="1:54" ht="14.5" x14ac:dyDescent="0.35">
      <c r="E3" s="180" t="s">
        <v>739</v>
      </c>
    </row>
    <row r="4" spans="1:54" ht="14.5" x14ac:dyDescent="0.35">
      <c r="E4" s="178" t="str">
        <f>'Guide for Reviewers'!B3</f>
        <v>I-35 McClain County</v>
      </c>
    </row>
    <row r="5" spans="1:54" ht="14.5" x14ac:dyDescent="0.35">
      <c r="E5" s="178" t="str">
        <f>'Guide for Reviewers'!B4</f>
        <v>Oklahoma Department of Transportation</v>
      </c>
      <c r="G5" s="1" t="s">
        <v>575</v>
      </c>
      <c r="H5" s="1"/>
      <c r="I5" s="555">
        <f>StockValueC!$H$12</f>
        <v>2023</v>
      </c>
      <c r="J5" s="1">
        <f>I5+1</f>
        <v>2024</v>
      </c>
      <c r="K5" s="1">
        <f t="shared" ref="K5:BA5" si="0">J5+1</f>
        <v>2025</v>
      </c>
      <c r="L5" s="1">
        <f t="shared" si="0"/>
        <v>2026</v>
      </c>
      <c r="M5" s="1">
        <f t="shared" si="0"/>
        <v>2027</v>
      </c>
      <c r="N5" s="1">
        <f t="shared" si="0"/>
        <v>2028</v>
      </c>
      <c r="O5" s="1">
        <f t="shared" si="0"/>
        <v>2029</v>
      </c>
      <c r="P5" s="1">
        <f t="shared" si="0"/>
        <v>2030</v>
      </c>
      <c r="Q5" s="1">
        <f t="shared" si="0"/>
        <v>2031</v>
      </c>
      <c r="R5" s="1">
        <f t="shared" si="0"/>
        <v>2032</v>
      </c>
      <c r="S5" s="1">
        <f t="shared" si="0"/>
        <v>2033</v>
      </c>
      <c r="T5" s="1">
        <f t="shared" si="0"/>
        <v>2034</v>
      </c>
      <c r="U5" s="1">
        <f t="shared" si="0"/>
        <v>2035</v>
      </c>
      <c r="V5" s="1">
        <f t="shared" si="0"/>
        <v>2036</v>
      </c>
      <c r="W5" s="1">
        <f t="shared" si="0"/>
        <v>2037</v>
      </c>
      <c r="X5" s="1">
        <f t="shared" si="0"/>
        <v>2038</v>
      </c>
      <c r="Y5" s="1">
        <f t="shared" si="0"/>
        <v>2039</v>
      </c>
      <c r="Z5" s="1">
        <f t="shared" si="0"/>
        <v>2040</v>
      </c>
      <c r="AA5" s="1">
        <f t="shared" si="0"/>
        <v>2041</v>
      </c>
      <c r="AB5" s="1">
        <f t="shared" si="0"/>
        <v>2042</v>
      </c>
      <c r="AC5" s="1">
        <f t="shared" si="0"/>
        <v>2043</v>
      </c>
      <c r="AD5" s="1">
        <f t="shared" si="0"/>
        <v>2044</v>
      </c>
      <c r="AE5" s="1">
        <f t="shared" si="0"/>
        <v>2045</v>
      </c>
      <c r="AF5" s="1">
        <f t="shared" si="0"/>
        <v>2046</v>
      </c>
      <c r="AG5" s="1">
        <f t="shared" si="0"/>
        <v>2047</v>
      </c>
      <c r="AH5" s="1">
        <f t="shared" si="0"/>
        <v>2048</v>
      </c>
      <c r="AI5" s="1">
        <f t="shared" si="0"/>
        <v>2049</v>
      </c>
      <c r="AJ5" s="1">
        <f t="shared" si="0"/>
        <v>2050</v>
      </c>
      <c r="AK5" s="1">
        <f t="shared" si="0"/>
        <v>2051</v>
      </c>
      <c r="AL5" s="1">
        <f t="shared" si="0"/>
        <v>2052</v>
      </c>
      <c r="AM5" s="1">
        <f t="shared" si="0"/>
        <v>2053</v>
      </c>
      <c r="AN5" s="1">
        <f t="shared" si="0"/>
        <v>2054</v>
      </c>
      <c r="AO5" s="1">
        <f t="shared" si="0"/>
        <v>2055</v>
      </c>
      <c r="AP5" s="1">
        <f t="shared" si="0"/>
        <v>2056</v>
      </c>
      <c r="AQ5" s="1">
        <f t="shared" si="0"/>
        <v>2057</v>
      </c>
      <c r="AR5" s="1">
        <f t="shared" si="0"/>
        <v>2058</v>
      </c>
      <c r="AS5" s="1">
        <f t="shared" si="0"/>
        <v>2059</v>
      </c>
      <c r="AT5" s="1">
        <f t="shared" si="0"/>
        <v>2060</v>
      </c>
      <c r="AU5" s="1">
        <f t="shared" si="0"/>
        <v>2061</v>
      </c>
      <c r="AV5" s="1">
        <f t="shared" si="0"/>
        <v>2062</v>
      </c>
      <c r="AW5" s="1">
        <f t="shared" si="0"/>
        <v>2063</v>
      </c>
      <c r="AX5" s="1">
        <f t="shared" si="0"/>
        <v>2064</v>
      </c>
      <c r="AY5" s="1">
        <f t="shared" si="0"/>
        <v>2065</v>
      </c>
      <c r="AZ5" s="1">
        <f t="shared" si="0"/>
        <v>2066</v>
      </c>
      <c r="BA5" s="1">
        <f t="shared" si="0"/>
        <v>2067</v>
      </c>
    </row>
    <row r="6" spans="1:54" ht="14.5" x14ac:dyDescent="0.35">
      <c r="E6" s="1" t="s">
        <v>92</v>
      </c>
      <c r="F6" s="1" t="s">
        <v>823</v>
      </c>
      <c r="G6" s="8" t="s">
        <v>93</v>
      </c>
      <c r="H6" s="8"/>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row>
    <row r="7" spans="1:54" ht="14.5" x14ac:dyDescent="0.35">
      <c r="E7" s="1"/>
      <c r="F7" s="1"/>
      <c r="G7" s="8"/>
      <c r="H7" s="8"/>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54" ht="17.149999999999999" customHeight="1" x14ac:dyDescent="0.35">
      <c r="A8" s="49"/>
      <c r="B8" s="49" t="str">
        <f>'INTERMEDIATE CALCS'!B26</f>
        <v>Build Costs</v>
      </c>
      <c r="C8" s="49"/>
      <c r="D8" s="49"/>
      <c r="E8" s="1"/>
      <c r="F8" s="1"/>
      <c r="G8" s="8"/>
      <c r="H8" s="8"/>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54" ht="14.5" x14ac:dyDescent="0.35">
      <c r="A9" s="49"/>
      <c r="B9" s="49"/>
      <c r="C9" s="49" t="str">
        <f>'INTERMEDIATE CALCS'!C27</f>
        <v>Capital Costs</v>
      </c>
      <c r="D9" s="49"/>
      <c r="F9" s="53"/>
      <c r="G9" s="43"/>
      <c r="H9" s="43"/>
      <c r="I9" s="1"/>
      <c r="J9" s="1"/>
      <c r="K9" s="1"/>
      <c r="L9" s="1"/>
      <c r="M9" s="1"/>
      <c r="N9" s="1"/>
      <c r="O9" s="1"/>
      <c r="P9" s="1"/>
      <c r="Q9" s="1"/>
      <c r="R9" s="1"/>
      <c r="S9" s="1"/>
      <c r="T9" s="1"/>
      <c r="U9" s="1"/>
      <c r="V9" s="1"/>
      <c r="W9" s="1"/>
      <c r="X9" s="1"/>
      <c r="Y9" s="1"/>
      <c r="Z9" s="1"/>
      <c r="AA9" s="1"/>
      <c r="AB9" s="1"/>
      <c r="AC9" s="1"/>
      <c r="AD9" s="1"/>
      <c r="AE9" s="1"/>
      <c r="AF9" s="1"/>
      <c r="AG9" s="1"/>
      <c r="AH9" s="1"/>
      <c r="AI9" s="1"/>
      <c r="AJ9" s="1"/>
      <c r="AK9" s="55"/>
      <c r="AL9" s="55"/>
      <c r="AM9" s="55"/>
      <c r="AN9" s="55"/>
      <c r="AO9" s="55"/>
      <c r="AP9" s="55"/>
      <c r="AQ9" s="55"/>
      <c r="AR9" s="55"/>
      <c r="AS9" s="55"/>
      <c r="AT9" s="55"/>
      <c r="AU9" s="55"/>
      <c r="AV9" s="55"/>
      <c r="AW9" s="55"/>
      <c r="AX9" s="55"/>
      <c r="AY9" s="55"/>
      <c r="AZ9" s="55"/>
      <c r="BA9" s="55"/>
    </row>
    <row r="10" spans="1:54" ht="14.5" x14ac:dyDescent="0.35">
      <c r="A10" s="7"/>
      <c r="B10" s="53"/>
      <c r="C10" s="54"/>
      <c r="D10" s="53"/>
      <c r="E10" s="49" t="str">
        <f>'INTERMEDIATE CALCS'!E28</f>
        <v>Preliminary Engineering</v>
      </c>
      <c r="F10" s="56" t="str">
        <f>'INTERMEDIATE CALCS'!F28</f>
        <v>User Input</v>
      </c>
      <c r="G10" s="57" t="str">
        <f>'INTERMEDIATE CALCS'!G28</f>
        <v>2024$</v>
      </c>
      <c r="H10" s="57"/>
      <c r="I10" s="58">
        <f>'INTERMEDIATE CALCS'!I28</f>
        <v>327709.29052218742</v>
      </c>
      <c r="J10" s="58">
        <f>'INTERMEDIATE CALCS'!J28</f>
        <v>377521.10268155992</v>
      </c>
      <c r="K10" s="58">
        <f>'INTERMEDIATE CALCS'!K28</f>
        <v>362420.25857429748</v>
      </c>
      <c r="L10" s="58">
        <f>'INTERMEDIATE CALCS'!L28</f>
        <v>348481.01785990136</v>
      </c>
      <c r="M10" s="58">
        <f>'INTERMEDIATE CALCS'!M28</f>
        <v>27923.158482363891</v>
      </c>
      <c r="N10" s="58">
        <f>'INTERMEDIATE CALCS'!N28</f>
        <v>0</v>
      </c>
      <c r="O10" s="58">
        <f>'INTERMEDIATE CALCS'!O28</f>
        <v>0</v>
      </c>
      <c r="P10" s="58">
        <f>'INTERMEDIATE CALCS'!P28</f>
        <v>0</v>
      </c>
      <c r="Q10" s="58">
        <f>'INTERMEDIATE CALCS'!Q28</f>
        <v>0</v>
      </c>
      <c r="R10" s="58">
        <f>'INTERMEDIATE CALCS'!R28</f>
        <v>0</v>
      </c>
      <c r="S10" s="58">
        <f>'INTERMEDIATE CALCS'!S28</f>
        <v>0</v>
      </c>
      <c r="T10" s="58">
        <f>'INTERMEDIATE CALCS'!T28</f>
        <v>0</v>
      </c>
      <c r="U10" s="58">
        <f>'INTERMEDIATE CALCS'!U28</f>
        <v>0</v>
      </c>
      <c r="V10" s="58">
        <f>'INTERMEDIATE CALCS'!V28</f>
        <v>0</v>
      </c>
      <c r="W10" s="58">
        <f>'INTERMEDIATE CALCS'!W28</f>
        <v>0</v>
      </c>
      <c r="X10" s="58">
        <f>'INTERMEDIATE CALCS'!X28</f>
        <v>0</v>
      </c>
      <c r="Y10" s="58">
        <f>'INTERMEDIATE CALCS'!Y28</f>
        <v>0</v>
      </c>
      <c r="Z10" s="58">
        <f>'INTERMEDIATE CALCS'!Z28</f>
        <v>0</v>
      </c>
      <c r="AA10" s="58">
        <f>'INTERMEDIATE CALCS'!AA28</f>
        <v>0</v>
      </c>
      <c r="AB10" s="58">
        <f>'INTERMEDIATE CALCS'!AB28</f>
        <v>0</v>
      </c>
      <c r="AC10" s="58">
        <f>'INTERMEDIATE CALCS'!AC28</f>
        <v>0</v>
      </c>
      <c r="AD10" s="58">
        <f>'INTERMEDIATE CALCS'!AD28</f>
        <v>0</v>
      </c>
      <c r="AE10" s="58">
        <f>'INTERMEDIATE CALCS'!AE28</f>
        <v>0</v>
      </c>
      <c r="AF10" s="58">
        <f>'INTERMEDIATE CALCS'!AF28</f>
        <v>0</v>
      </c>
      <c r="AG10" s="58">
        <f>'INTERMEDIATE CALCS'!AG28</f>
        <v>0</v>
      </c>
      <c r="AH10" s="58">
        <f>'INTERMEDIATE CALCS'!AH28</f>
        <v>0</v>
      </c>
      <c r="AI10" s="58">
        <f>'INTERMEDIATE CALCS'!AI28</f>
        <v>0</v>
      </c>
      <c r="AJ10" s="58">
        <f>'INTERMEDIATE CALCS'!AJ28</f>
        <v>0</v>
      </c>
      <c r="AK10" s="58">
        <f>'INTERMEDIATE CALCS'!AK28</f>
        <v>0</v>
      </c>
      <c r="AL10" s="58">
        <f>'INTERMEDIATE CALCS'!AL28</f>
        <v>0</v>
      </c>
      <c r="AM10" s="58">
        <f>'INTERMEDIATE CALCS'!AM28</f>
        <v>0</v>
      </c>
      <c r="AN10" s="58">
        <f>'INTERMEDIATE CALCS'!AN28</f>
        <v>0</v>
      </c>
      <c r="AO10" s="58">
        <f>'INTERMEDIATE CALCS'!AO28</f>
        <v>0</v>
      </c>
      <c r="AP10" s="58">
        <f>'INTERMEDIATE CALCS'!AP28</f>
        <v>0</v>
      </c>
      <c r="AQ10" s="58">
        <f>'INTERMEDIATE CALCS'!AQ28</f>
        <v>0</v>
      </c>
      <c r="AR10" s="58">
        <f>'INTERMEDIATE CALCS'!AR28</f>
        <v>0</v>
      </c>
      <c r="AS10" s="58">
        <f>'INTERMEDIATE CALCS'!AS28</f>
        <v>0</v>
      </c>
      <c r="AT10" s="58">
        <f>'INTERMEDIATE CALCS'!AT28</f>
        <v>0</v>
      </c>
      <c r="AU10" s="58">
        <f>'INTERMEDIATE CALCS'!AU28</f>
        <v>0</v>
      </c>
      <c r="AV10" s="58">
        <f>'INTERMEDIATE CALCS'!AV28</f>
        <v>0</v>
      </c>
      <c r="AW10" s="58">
        <f>'INTERMEDIATE CALCS'!AW28</f>
        <v>0</v>
      </c>
      <c r="AX10" s="58">
        <f>'INTERMEDIATE CALCS'!AX28</f>
        <v>0</v>
      </c>
      <c r="AY10" s="58">
        <f>'INTERMEDIATE CALCS'!AY28</f>
        <v>0</v>
      </c>
      <c r="AZ10" s="58">
        <f>'INTERMEDIATE CALCS'!AZ28</f>
        <v>0</v>
      </c>
      <c r="BA10" s="58">
        <f>'INTERMEDIATE CALCS'!BA28</f>
        <v>0</v>
      </c>
    </row>
    <row r="11" spans="1:54" ht="14.5" x14ac:dyDescent="0.35">
      <c r="A11" s="53"/>
      <c r="B11" s="53"/>
      <c r="C11" s="54"/>
      <c r="D11" s="53"/>
      <c r="E11" s="49" t="str">
        <f>'INTERMEDIATE CALCS'!E29</f>
        <v>Right-of-Way</v>
      </c>
      <c r="F11" s="56" t="str">
        <f>'INTERMEDIATE CALCS'!F29</f>
        <v>User Input</v>
      </c>
      <c r="G11" s="57" t="str">
        <f>'INTERMEDIATE CALCS'!G29</f>
        <v>2024$</v>
      </c>
      <c r="H11" s="57"/>
      <c r="I11" s="58">
        <f>'INTERMEDIATE CALCS'!I29</f>
        <v>0</v>
      </c>
      <c r="J11" s="58">
        <f>'INTERMEDIATE CALCS'!J29</f>
        <v>0</v>
      </c>
      <c r="K11" s="58">
        <f>'INTERMEDIATE CALCS'!K29</f>
        <v>0</v>
      </c>
      <c r="L11" s="58">
        <f>'INTERMEDIATE CALCS'!L29</f>
        <v>0</v>
      </c>
      <c r="M11" s="58">
        <f>'INTERMEDIATE CALCS'!M29</f>
        <v>0</v>
      </c>
      <c r="N11" s="58">
        <f>'INTERMEDIATE CALCS'!N29</f>
        <v>0</v>
      </c>
      <c r="O11" s="58">
        <f>'INTERMEDIATE CALCS'!O29</f>
        <v>0</v>
      </c>
      <c r="P11" s="58">
        <f>'INTERMEDIATE CALCS'!P29</f>
        <v>0</v>
      </c>
      <c r="Q11" s="58">
        <f>'INTERMEDIATE CALCS'!Q29</f>
        <v>0</v>
      </c>
      <c r="R11" s="58">
        <f>'INTERMEDIATE CALCS'!R29</f>
        <v>0</v>
      </c>
      <c r="S11" s="58">
        <f>'INTERMEDIATE CALCS'!S29</f>
        <v>0</v>
      </c>
      <c r="T11" s="58">
        <f>'INTERMEDIATE CALCS'!T29</f>
        <v>0</v>
      </c>
      <c r="U11" s="58">
        <f>'INTERMEDIATE CALCS'!U29</f>
        <v>0</v>
      </c>
      <c r="V11" s="58">
        <f>'INTERMEDIATE CALCS'!V29</f>
        <v>0</v>
      </c>
      <c r="W11" s="58">
        <f>'INTERMEDIATE CALCS'!W29</f>
        <v>0</v>
      </c>
      <c r="X11" s="58">
        <f>'INTERMEDIATE CALCS'!X29</f>
        <v>0</v>
      </c>
      <c r="Y11" s="58">
        <f>'INTERMEDIATE CALCS'!Y29</f>
        <v>0</v>
      </c>
      <c r="Z11" s="58">
        <f>'INTERMEDIATE CALCS'!Z29</f>
        <v>0</v>
      </c>
      <c r="AA11" s="58">
        <f>'INTERMEDIATE CALCS'!AA29</f>
        <v>0</v>
      </c>
      <c r="AB11" s="58">
        <f>'INTERMEDIATE CALCS'!AB29</f>
        <v>0</v>
      </c>
      <c r="AC11" s="58">
        <f>'INTERMEDIATE CALCS'!AC29</f>
        <v>0</v>
      </c>
      <c r="AD11" s="58">
        <f>'INTERMEDIATE CALCS'!AD29</f>
        <v>0</v>
      </c>
      <c r="AE11" s="58">
        <f>'INTERMEDIATE CALCS'!AE29</f>
        <v>0</v>
      </c>
      <c r="AF11" s="58">
        <f>'INTERMEDIATE CALCS'!AF29</f>
        <v>0</v>
      </c>
      <c r="AG11" s="58">
        <f>'INTERMEDIATE CALCS'!AG29</f>
        <v>0</v>
      </c>
      <c r="AH11" s="58">
        <f>'INTERMEDIATE CALCS'!AH29</f>
        <v>0</v>
      </c>
      <c r="AI11" s="58">
        <f>'INTERMEDIATE CALCS'!AI29</f>
        <v>0</v>
      </c>
      <c r="AJ11" s="58">
        <f>'INTERMEDIATE CALCS'!AJ29</f>
        <v>0</v>
      </c>
      <c r="AK11" s="58">
        <f>'INTERMEDIATE CALCS'!AK29</f>
        <v>0</v>
      </c>
      <c r="AL11" s="58">
        <f>'INTERMEDIATE CALCS'!AL29</f>
        <v>0</v>
      </c>
      <c r="AM11" s="58">
        <f>'INTERMEDIATE CALCS'!AM29</f>
        <v>0</v>
      </c>
      <c r="AN11" s="58">
        <f>'INTERMEDIATE CALCS'!AN29</f>
        <v>0</v>
      </c>
      <c r="AO11" s="58">
        <f>'INTERMEDIATE CALCS'!AO29</f>
        <v>0</v>
      </c>
      <c r="AP11" s="58">
        <f>'INTERMEDIATE CALCS'!AP29</f>
        <v>0</v>
      </c>
      <c r="AQ11" s="58">
        <f>'INTERMEDIATE CALCS'!AQ29</f>
        <v>0</v>
      </c>
      <c r="AR11" s="58">
        <f>'INTERMEDIATE CALCS'!AR29</f>
        <v>0</v>
      </c>
      <c r="AS11" s="58">
        <f>'INTERMEDIATE CALCS'!AS29</f>
        <v>0</v>
      </c>
      <c r="AT11" s="58">
        <f>'INTERMEDIATE CALCS'!AT29</f>
        <v>0</v>
      </c>
      <c r="AU11" s="58">
        <f>'INTERMEDIATE CALCS'!AU29</f>
        <v>0</v>
      </c>
      <c r="AV11" s="58">
        <f>'INTERMEDIATE CALCS'!AV29</f>
        <v>0</v>
      </c>
      <c r="AW11" s="58">
        <f>'INTERMEDIATE CALCS'!AW29</f>
        <v>0</v>
      </c>
      <c r="AX11" s="58">
        <f>'INTERMEDIATE CALCS'!AX29</f>
        <v>0</v>
      </c>
      <c r="AY11" s="58">
        <f>'INTERMEDIATE CALCS'!AY29</f>
        <v>0</v>
      </c>
      <c r="AZ11" s="58">
        <f>'INTERMEDIATE CALCS'!AZ29</f>
        <v>0</v>
      </c>
      <c r="BA11" s="58">
        <f>'INTERMEDIATE CALCS'!BA29</f>
        <v>0</v>
      </c>
    </row>
    <row r="12" spans="1:54" ht="14.5" x14ac:dyDescent="0.35">
      <c r="A12" s="7"/>
      <c r="B12" s="53"/>
      <c r="C12" s="54"/>
      <c r="D12" s="53"/>
      <c r="E12" s="49" t="str">
        <f>'INTERMEDIATE CALCS'!E30</f>
        <v>Construction</v>
      </c>
      <c r="F12" s="56" t="str">
        <f>'INTERMEDIATE CALCS'!F30</f>
        <v>User Input</v>
      </c>
      <c r="G12" s="57" t="str">
        <f>'INTERMEDIATE CALCS'!G30</f>
        <v>2024$</v>
      </c>
      <c r="H12" s="57"/>
      <c r="I12" s="58">
        <f>'INTERMEDIATE CALCS'!I30</f>
        <v>0</v>
      </c>
      <c r="J12" s="58">
        <f>'INTERMEDIATE CALCS'!J30</f>
        <v>0</v>
      </c>
      <c r="K12" s="58">
        <f>'INTERMEDIATE CALCS'!K30</f>
        <v>0</v>
      </c>
      <c r="L12" s="58">
        <f>'INTERMEDIATE CALCS'!L30</f>
        <v>0</v>
      </c>
      <c r="M12" s="58">
        <f>'INTERMEDIATE CALCS'!M30</f>
        <v>27502205.514585167</v>
      </c>
      <c r="N12" s="58">
        <f>'INTERMEDIATE CALCS'!N30</f>
        <v>7933328.5138226459</v>
      </c>
      <c r="O12" s="58">
        <f>'INTERMEDIATE CALCS'!O30</f>
        <v>0</v>
      </c>
      <c r="P12" s="58">
        <f>'INTERMEDIATE CALCS'!P30</f>
        <v>0</v>
      </c>
      <c r="Q12" s="58">
        <f>'INTERMEDIATE CALCS'!Q30</f>
        <v>0</v>
      </c>
      <c r="R12" s="58">
        <f>'INTERMEDIATE CALCS'!R30</f>
        <v>0</v>
      </c>
      <c r="S12" s="58">
        <f>'INTERMEDIATE CALCS'!S30</f>
        <v>0</v>
      </c>
      <c r="T12" s="58">
        <f>'INTERMEDIATE CALCS'!T30</f>
        <v>0</v>
      </c>
      <c r="U12" s="58">
        <f>'INTERMEDIATE CALCS'!U30</f>
        <v>0</v>
      </c>
      <c r="V12" s="58">
        <f>'INTERMEDIATE CALCS'!V30</f>
        <v>0</v>
      </c>
      <c r="W12" s="58">
        <f>'INTERMEDIATE CALCS'!W30</f>
        <v>0</v>
      </c>
      <c r="X12" s="58">
        <f>'INTERMEDIATE CALCS'!X30</f>
        <v>0</v>
      </c>
      <c r="Y12" s="58">
        <f>'INTERMEDIATE CALCS'!Y30</f>
        <v>0</v>
      </c>
      <c r="Z12" s="58">
        <f>'INTERMEDIATE CALCS'!Z30</f>
        <v>0</v>
      </c>
      <c r="AA12" s="58">
        <f>'INTERMEDIATE CALCS'!AA30</f>
        <v>0</v>
      </c>
      <c r="AB12" s="58">
        <f>'INTERMEDIATE CALCS'!AB30</f>
        <v>0</v>
      </c>
      <c r="AC12" s="58">
        <f>'INTERMEDIATE CALCS'!AC30</f>
        <v>0</v>
      </c>
      <c r="AD12" s="58">
        <f>'INTERMEDIATE CALCS'!AD30</f>
        <v>0</v>
      </c>
      <c r="AE12" s="58">
        <f>'INTERMEDIATE CALCS'!AE30</f>
        <v>0</v>
      </c>
      <c r="AF12" s="58">
        <f>'INTERMEDIATE CALCS'!AF30</f>
        <v>0</v>
      </c>
      <c r="AG12" s="58">
        <f>'INTERMEDIATE CALCS'!AG30</f>
        <v>0</v>
      </c>
      <c r="AH12" s="58">
        <f>'INTERMEDIATE CALCS'!AH30</f>
        <v>0</v>
      </c>
      <c r="AI12" s="58">
        <f>'INTERMEDIATE CALCS'!AI30</f>
        <v>0</v>
      </c>
      <c r="AJ12" s="58">
        <f>'INTERMEDIATE CALCS'!AJ30</f>
        <v>0</v>
      </c>
      <c r="AK12" s="58">
        <f>'INTERMEDIATE CALCS'!AK30</f>
        <v>0</v>
      </c>
      <c r="AL12" s="58">
        <f>'INTERMEDIATE CALCS'!AL30</f>
        <v>0</v>
      </c>
      <c r="AM12" s="58">
        <f>'INTERMEDIATE CALCS'!AM30</f>
        <v>0</v>
      </c>
      <c r="AN12" s="58">
        <f>'INTERMEDIATE CALCS'!AN30</f>
        <v>0</v>
      </c>
      <c r="AO12" s="58">
        <f>'INTERMEDIATE CALCS'!AO30</f>
        <v>0</v>
      </c>
      <c r="AP12" s="58">
        <f>'INTERMEDIATE CALCS'!AP30</f>
        <v>0</v>
      </c>
      <c r="AQ12" s="58">
        <f>'INTERMEDIATE CALCS'!AQ30</f>
        <v>0</v>
      </c>
      <c r="AR12" s="58">
        <f>'INTERMEDIATE CALCS'!AR30</f>
        <v>0</v>
      </c>
      <c r="AS12" s="58">
        <f>'INTERMEDIATE CALCS'!AS30</f>
        <v>0</v>
      </c>
      <c r="AT12" s="58">
        <f>'INTERMEDIATE CALCS'!AT30</f>
        <v>0</v>
      </c>
      <c r="AU12" s="58">
        <f>'INTERMEDIATE CALCS'!AU30</f>
        <v>0</v>
      </c>
      <c r="AV12" s="58">
        <f>'INTERMEDIATE CALCS'!AV30</f>
        <v>0</v>
      </c>
      <c r="AW12" s="58">
        <f>'INTERMEDIATE CALCS'!AW30</f>
        <v>0</v>
      </c>
      <c r="AX12" s="58">
        <f>'INTERMEDIATE CALCS'!AX30</f>
        <v>0</v>
      </c>
      <c r="AY12" s="58">
        <f>'INTERMEDIATE CALCS'!AY30</f>
        <v>0</v>
      </c>
      <c r="AZ12" s="58">
        <f>'INTERMEDIATE CALCS'!AZ30</f>
        <v>0</v>
      </c>
      <c r="BA12" s="58">
        <f>'INTERMEDIATE CALCS'!BA30</f>
        <v>0</v>
      </c>
    </row>
    <row r="13" spans="1:54" ht="14.5" x14ac:dyDescent="0.35">
      <c r="A13" s="7"/>
      <c r="B13" s="53"/>
      <c r="C13" s="54"/>
      <c r="D13" s="53"/>
      <c r="E13" s="49" t="str">
        <f>'INTERMEDIATE CALCS'!E31</f>
        <v>Total Capital Costs (if not delineated above)</v>
      </c>
      <c r="F13" s="56" t="str">
        <f>'INTERMEDIATE CALCS'!F31</f>
        <v>User Input</v>
      </c>
      <c r="G13" s="57" t="str">
        <f>'INTERMEDIATE CALCS'!G31</f>
        <v>2024$</v>
      </c>
      <c r="H13" s="57"/>
      <c r="I13" s="58">
        <f>'INTERMEDIATE CALCS'!I31</f>
        <v>0</v>
      </c>
      <c r="J13" s="58">
        <f>'INTERMEDIATE CALCS'!J31</f>
        <v>0</v>
      </c>
      <c r="K13" s="58">
        <f>'INTERMEDIATE CALCS'!K31</f>
        <v>0</v>
      </c>
      <c r="L13" s="58">
        <f>'INTERMEDIATE CALCS'!L31</f>
        <v>0</v>
      </c>
      <c r="M13" s="58">
        <f>'INTERMEDIATE CALCS'!M31</f>
        <v>0</v>
      </c>
      <c r="N13" s="58">
        <f>'INTERMEDIATE CALCS'!N31</f>
        <v>0</v>
      </c>
      <c r="O13" s="58">
        <f>'INTERMEDIATE CALCS'!O31</f>
        <v>0</v>
      </c>
      <c r="P13" s="58">
        <f>'INTERMEDIATE CALCS'!P31</f>
        <v>0</v>
      </c>
      <c r="Q13" s="58">
        <f>'INTERMEDIATE CALCS'!Q31</f>
        <v>0</v>
      </c>
      <c r="R13" s="58">
        <f>'INTERMEDIATE CALCS'!R31</f>
        <v>0</v>
      </c>
      <c r="S13" s="58">
        <f>'INTERMEDIATE CALCS'!S31</f>
        <v>0</v>
      </c>
      <c r="T13" s="58">
        <f>'INTERMEDIATE CALCS'!T31</f>
        <v>0</v>
      </c>
      <c r="U13" s="58">
        <f>'INTERMEDIATE CALCS'!U31</f>
        <v>0</v>
      </c>
      <c r="V13" s="58">
        <f>'INTERMEDIATE CALCS'!V31</f>
        <v>0</v>
      </c>
      <c r="W13" s="58">
        <f>'INTERMEDIATE CALCS'!W31</f>
        <v>0</v>
      </c>
      <c r="X13" s="58">
        <f>'INTERMEDIATE CALCS'!X31</f>
        <v>0</v>
      </c>
      <c r="Y13" s="58">
        <f>'INTERMEDIATE CALCS'!Y31</f>
        <v>0</v>
      </c>
      <c r="Z13" s="58">
        <f>'INTERMEDIATE CALCS'!Z31</f>
        <v>0</v>
      </c>
      <c r="AA13" s="58">
        <f>'INTERMEDIATE CALCS'!AA31</f>
        <v>0</v>
      </c>
      <c r="AB13" s="58">
        <f>'INTERMEDIATE CALCS'!AB31</f>
        <v>0</v>
      </c>
      <c r="AC13" s="58">
        <f>'INTERMEDIATE CALCS'!AC31</f>
        <v>0</v>
      </c>
      <c r="AD13" s="58">
        <f>'INTERMEDIATE CALCS'!AD31</f>
        <v>0</v>
      </c>
      <c r="AE13" s="58">
        <f>'INTERMEDIATE CALCS'!AE31</f>
        <v>0</v>
      </c>
      <c r="AF13" s="58">
        <f>'INTERMEDIATE CALCS'!AF31</f>
        <v>0</v>
      </c>
      <c r="AG13" s="58">
        <f>'INTERMEDIATE CALCS'!AG31</f>
        <v>0</v>
      </c>
      <c r="AH13" s="58">
        <f>'INTERMEDIATE CALCS'!AH31</f>
        <v>0</v>
      </c>
      <c r="AI13" s="58">
        <f>'INTERMEDIATE CALCS'!AI31</f>
        <v>0</v>
      </c>
      <c r="AJ13" s="58">
        <f>'INTERMEDIATE CALCS'!AJ31</f>
        <v>0</v>
      </c>
      <c r="AK13" s="58">
        <f>'INTERMEDIATE CALCS'!AK31</f>
        <v>0</v>
      </c>
      <c r="AL13" s="58">
        <f>'INTERMEDIATE CALCS'!AL31</f>
        <v>0</v>
      </c>
      <c r="AM13" s="58">
        <f>'INTERMEDIATE CALCS'!AM31</f>
        <v>0</v>
      </c>
      <c r="AN13" s="58">
        <f>'INTERMEDIATE CALCS'!AN31</f>
        <v>0</v>
      </c>
      <c r="AO13" s="58">
        <f>'INTERMEDIATE CALCS'!AO31</f>
        <v>0</v>
      </c>
      <c r="AP13" s="58">
        <f>'INTERMEDIATE CALCS'!AP31</f>
        <v>0</v>
      </c>
      <c r="AQ13" s="58">
        <f>'INTERMEDIATE CALCS'!AQ31</f>
        <v>0</v>
      </c>
      <c r="AR13" s="58">
        <f>'INTERMEDIATE CALCS'!AR31</f>
        <v>0</v>
      </c>
      <c r="AS13" s="58">
        <f>'INTERMEDIATE CALCS'!AS31</f>
        <v>0</v>
      </c>
      <c r="AT13" s="58">
        <f>'INTERMEDIATE CALCS'!AT31</f>
        <v>0</v>
      </c>
      <c r="AU13" s="58">
        <f>'INTERMEDIATE CALCS'!AU31</f>
        <v>0</v>
      </c>
      <c r="AV13" s="58">
        <f>'INTERMEDIATE CALCS'!AV31</f>
        <v>0</v>
      </c>
      <c r="AW13" s="58">
        <f>'INTERMEDIATE CALCS'!AW31</f>
        <v>0</v>
      </c>
      <c r="AX13" s="58">
        <f>'INTERMEDIATE CALCS'!AX31</f>
        <v>0</v>
      </c>
      <c r="AY13" s="58">
        <f>'INTERMEDIATE CALCS'!AY31</f>
        <v>0</v>
      </c>
      <c r="AZ13" s="58">
        <f>'INTERMEDIATE CALCS'!AZ31</f>
        <v>0</v>
      </c>
      <c r="BA13" s="58">
        <f>'INTERMEDIATE CALCS'!BA31</f>
        <v>0</v>
      </c>
    </row>
    <row r="14" spans="1:54" ht="14.5" x14ac:dyDescent="0.35">
      <c r="A14" s="7"/>
      <c r="B14" s="53"/>
      <c r="C14" s="54"/>
      <c r="D14" s="53"/>
      <c r="E14" s="49"/>
      <c r="F14" s="56"/>
      <c r="G14" s="57"/>
      <c r="H14" s="57"/>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row>
    <row r="15" spans="1:54" ht="14.5" x14ac:dyDescent="0.35">
      <c r="A15" s="7"/>
      <c r="B15" s="53"/>
      <c r="C15" s="49" t="str">
        <f>'INTERMEDIATE CALCS'!C33</f>
        <v>O&amp;M Costs</v>
      </c>
      <c r="D15" s="49"/>
      <c r="E15" s="49"/>
      <c r="F15" s="56"/>
      <c r="G15" s="57"/>
      <c r="H15" s="57"/>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row>
    <row r="16" spans="1:54" ht="14.5" x14ac:dyDescent="0.35">
      <c r="B16" s="53"/>
      <c r="C16" s="54"/>
      <c r="D16" s="53"/>
      <c r="E16" s="49" t="str">
        <f>'INTERMEDIATE CALCS'!E34</f>
        <v>O&amp;M Costs</v>
      </c>
      <c r="F16" s="56" t="str">
        <f>'INTERMEDIATE CALCS'!F34</f>
        <v>User Input</v>
      </c>
      <c r="G16" s="57" t="str">
        <f>'INTERMEDIATE CALCS'!G34</f>
        <v>2024$</v>
      </c>
      <c r="H16" s="57"/>
      <c r="I16" s="58">
        <f>'INTERMEDIATE CALCS'!I34</f>
        <v>0</v>
      </c>
      <c r="J16" s="58">
        <f>'INTERMEDIATE CALCS'!J34</f>
        <v>0</v>
      </c>
      <c r="K16" s="58">
        <f>'INTERMEDIATE CALCS'!K34</f>
        <v>0</v>
      </c>
      <c r="L16" s="58">
        <f>'INTERMEDIATE CALCS'!L34</f>
        <v>0</v>
      </c>
      <c r="M16" s="58">
        <f>'INTERMEDIATE CALCS'!M34</f>
        <v>0</v>
      </c>
      <c r="N16" s="58">
        <f>'INTERMEDIATE CALCS'!N34</f>
        <v>0</v>
      </c>
      <c r="O16" s="58">
        <f>'INTERMEDIATE CALCS'!O34</f>
        <v>0</v>
      </c>
      <c r="P16" s="58">
        <f>'INTERMEDIATE CALCS'!P34</f>
        <v>0</v>
      </c>
      <c r="Q16" s="58">
        <f>'INTERMEDIATE CALCS'!Q34</f>
        <v>0</v>
      </c>
      <c r="R16" s="58">
        <f>'INTERMEDIATE CALCS'!R34</f>
        <v>0</v>
      </c>
      <c r="S16" s="58">
        <f>'INTERMEDIATE CALCS'!S34</f>
        <v>0</v>
      </c>
      <c r="T16" s="58">
        <f>'INTERMEDIATE CALCS'!T34</f>
        <v>0</v>
      </c>
      <c r="U16" s="58">
        <f>'INTERMEDIATE CALCS'!U34</f>
        <v>0</v>
      </c>
      <c r="V16" s="58">
        <f>'INTERMEDIATE CALCS'!V34</f>
        <v>0</v>
      </c>
      <c r="W16" s="58">
        <f>'INTERMEDIATE CALCS'!W34</f>
        <v>0</v>
      </c>
      <c r="X16" s="58">
        <f>'INTERMEDIATE CALCS'!X34</f>
        <v>0</v>
      </c>
      <c r="Y16" s="58">
        <f>'INTERMEDIATE CALCS'!Y34</f>
        <v>0</v>
      </c>
      <c r="Z16" s="58">
        <f>'INTERMEDIATE CALCS'!Z34</f>
        <v>0</v>
      </c>
      <c r="AA16" s="58">
        <f>'INTERMEDIATE CALCS'!AA34</f>
        <v>0</v>
      </c>
      <c r="AB16" s="58">
        <f>'INTERMEDIATE CALCS'!AB34</f>
        <v>0</v>
      </c>
      <c r="AC16" s="58">
        <f>'INTERMEDIATE CALCS'!AC34</f>
        <v>0</v>
      </c>
      <c r="AD16" s="58">
        <f>'INTERMEDIATE CALCS'!AD34</f>
        <v>0</v>
      </c>
      <c r="AE16" s="58">
        <f>'INTERMEDIATE CALCS'!AE34</f>
        <v>0</v>
      </c>
      <c r="AF16" s="58">
        <f>'INTERMEDIATE CALCS'!AF34</f>
        <v>0</v>
      </c>
      <c r="AG16" s="58">
        <f>'INTERMEDIATE CALCS'!AG34</f>
        <v>0</v>
      </c>
      <c r="AH16" s="58">
        <f>'INTERMEDIATE CALCS'!AH34</f>
        <v>0</v>
      </c>
      <c r="AI16" s="58">
        <f>'INTERMEDIATE CALCS'!AI34</f>
        <v>0</v>
      </c>
      <c r="AJ16" s="58">
        <f>'INTERMEDIATE CALCS'!AJ34</f>
        <v>0</v>
      </c>
      <c r="AK16" s="58">
        <f>'INTERMEDIATE CALCS'!AK34</f>
        <v>0</v>
      </c>
      <c r="AL16" s="58">
        <f>'INTERMEDIATE CALCS'!AL34</f>
        <v>0</v>
      </c>
      <c r="AM16" s="58">
        <f>'INTERMEDIATE CALCS'!AM34</f>
        <v>0</v>
      </c>
      <c r="AN16" s="58">
        <f>'INTERMEDIATE CALCS'!AN34</f>
        <v>0</v>
      </c>
      <c r="AO16" s="58">
        <f>'INTERMEDIATE CALCS'!AO34</f>
        <v>0</v>
      </c>
      <c r="AP16" s="58">
        <f>'INTERMEDIATE CALCS'!AP34</f>
        <v>0</v>
      </c>
      <c r="AQ16" s="58">
        <f>'INTERMEDIATE CALCS'!AQ34</f>
        <v>0</v>
      </c>
      <c r="AR16" s="58">
        <f>'INTERMEDIATE CALCS'!AR34</f>
        <v>0</v>
      </c>
      <c r="AS16" s="58">
        <f>'INTERMEDIATE CALCS'!AS34</f>
        <v>0</v>
      </c>
      <c r="AT16" s="58">
        <f>'INTERMEDIATE CALCS'!AT34</f>
        <v>0</v>
      </c>
      <c r="AU16" s="58">
        <f>'INTERMEDIATE CALCS'!AU34</f>
        <v>0</v>
      </c>
      <c r="AV16" s="58">
        <f>'INTERMEDIATE CALCS'!AV34</f>
        <v>0</v>
      </c>
      <c r="AW16" s="58">
        <f>'INTERMEDIATE CALCS'!AW34</f>
        <v>0</v>
      </c>
      <c r="AX16" s="58">
        <f>'INTERMEDIATE CALCS'!AX34</f>
        <v>0</v>
      </c>
      <c r="AY16" s="58">
        <f>'INTERMEDIATE CALCS'!AY34</f>
        <v>0</v>
      </c>
      <c r="AZ16" s="58">
        <f>'INTERMEDIATE CALCS'!AZ34</f>
        <v>0</v>
      </c>
      <c r="BA16" s="58">
        <f>'INTERMEDIATE CALCS'!BA34</f>
        <v>0</v>
      </c>
    </row>
    <row r="17" spans="2:53" ht="14.5" x14ac:dyDescent="0.35">
      <c r="B17" s="53"/>
      <c r="C17" s="54"/>
      <c r="D17" s="53"/>
      <c r="E17" s="49"/>
      <c r="F17" s="56"/>
      <c r="G17" s="57"/>
      <c r="H17" s="57"/>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row>
    <row r="18" spans="2:53" ht="14.5" x14ac:dyDescent="0.35">
      <c r="B18" s="53"/>
      <c r="C18" s="49" t="str">
        <f>'INTERMEDIATE CALCS'!C36</f>
        <v>R&amp;R Costs</v>
      </c>
      <c r="D18" s="49"/>
      <c r="E18" s="49"/>
      <c r="F18" s="56"/>
      <c r="G18" s="57"/>
      <c r="H18" s="57"/>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row>
    <row r="19" spans="2:53" ht="14.5" x14ac:dyDescent="0.35">
      <c r="B19" s="53"/>
      <c r="C19" s="54"/>
      <c r="D19" s="53"/>
      <c r="E19" s="49" t="str">
        <f>'INTERMEDIATE CALCS'!E37</f>
        <v>R&amp;R Costs</v>
      </c>
      <c r="F19" s="56" t="str">
        <f>'INTERMEDIATE CALCS'!F37</f>
        <v>User Input</v>
      </c>
      <c r="G19" s="57" t="str">
        <f>'INTERMEDIATE CALCS'!G37</f>
        <v>2024$</v>
      </c>
      <c r="H19" s="57"/>
      <c r="I19" s="58">
        <f>'INTERMEDIATE CALCS'!I37</f>
        <v>0</v>
      </c>
      <c r="J19" s="58">
        <f>'INTERMEDIATE CALCS'!J37</f>
        <v>0</v>
      </c>
      <c r="K19" s="58">
        <f>'INTERMEDIATE CALCS'!K37</f>
        <v>0</v>
      </c>
      <c r="L19" s="58">
        <f>'INTERMEDIATE CALCS'!L37</f>
        <v>0</v>
      </c>
      <c r="M19" s="58">
        <f>'INTERMEDIATE CALCS'!M37</f>
        <v>0</v>
      </c>
      <c r="N19" s="58">
        <f>'INTERMEDIATE CALCS'!N37</f>
        <v>0</v>
      </c>
      <c r="O19" s="58">
        <f>'INTERMEDIATE CALCS'!O37</f>
        <v>0</v>
      </c>
      <c r="P19" s="58">
        <f>'INTERMEDIATE CALCS'!P37</f>
        <v>0</v>
      </c>
      <c r="Q19" s="58">
        <f>'INTERMEDIATE CALCS'!Q37</f>
        <v>0</v>
      </c>
      <c r="R19" s="58">
        <f>'INTERMEDIATE CALCS'!R37</f>
        <v>0</v>
      </c>
      <c r="S19" s="58">
        <f>'INTERMEDIATE CALCS'!S37</f>
        <v>0</v>
      </c>
      <c r="T19" s="58">
        <f>'INTERMEDIATE CALCS'!T37</f>
        <v>0</v>
      </c>
      <c r="U19" s="58">
        <f>'INTERMEDIATE CALCS'!U37</f>
        <v>0</v>
      </c>
      <c r="V19" s="58">
        <f>'INTERMEDIATE CALCS'!V37</f>
        <v>0</v>
      </c>
      <c r="W19" s="58">
        <f>'INTERMEDIATE CALCS'!W37</f>
        <v>0</v>
      </c>
      <c r="X19" s="58">
        <f>'INTERMEDIATE CALCS'!X37</f>
        <v>0</v>
      </c>
      <c r="Y19" s="58">
        <f>'INTERMEDIATE CALCS'!Y37</f>
        <v>0</v>
      </c>
      <c r="Z19" s="58">
        <f>'INTERMEDIATE CALCS'!Z37</f>
        <v>0</v>
      </c>
      <c r="AA19" s="58">
        <f>'INTERMEDIATE CALCS'!AA37</f>
        <v>0</v>
      </c>
      <c r="AB19" s="58">
        <f>'INTERMEDIATE CALCS'!AB37</f>
        <v>1955817.2404907115</v>
      </c>
      <c r="AC19" s="58">
        <f>'INTERMEDIATE CALCS'!AC37</f>
        <v>0</v>
      </c>
      <c r="AD19" s="58">
        <f>'INTERMEDIATE CALCS'!AD37</f>
        <v>0</v>
      </c>
      <c r="AE19" s="58">
        <f>'INTERMEDIATE CALCS'!AE37</f>
        <v>0</v>
      </c>
      <c r="AF19" s="58">
        <f>'INTERMEDIATE CALCS'!AF37</f>
        <v>0</v>
      </c>
      <c r="AG19" s="58">
        <f>'INTERMEDIATE CALCS'!AG37</f>
        <v>0</v>
      </c>
      <c r="AH19" s="58">
        <f>'INTERMEDIATE CALCS'!AH37</f>
        <v>0</v>
      </c>
      <c r="AI19" s="58">
        <f>'INTERMEDIATE CALCS'!AI37</f>
        <v>0</v>
      </c>
      <c r="AJ19" s="58">
        <f>'INTERMEDIATE CALCS'!AJ37</f>
        <v>0</v>
      </c>
      <c r="AK19" s="58">
        <f>'INTERMEDIATE CALCS'!AK37</f>
        <v>0</v>
      </c>
      <c r="AL19" s="58">
        <f>'INTERMEDIATE CALCS'!AL37</f>
        <v>0</v>
      </c>
      <c r="AM19" s="58">
        <f>'INTERMEDIATE CALCS'!AM37</f>
        <v>0</v>
      </c>
      <c r="AN19" s="58">
        <f>'INTERMEDIATE CALCS'!AN37</f>
        <v>0</v>
      </c>
      <c r="AO19" s="58">
        <f>'INTERMEDIATE CALCS'!AO37</f>
        <v>0</v>
      </c>
      <c r="AP19" s="58">
        <f>'INTERMEDIATE CALCS'!AP37</f>
        <v>0</v>
      </c>
      <c r="AQ19" s="58">
        <f>'INTERMEDIATE CALCS'!AQ37</f>
        <v>0</v>
      </c>
      <c r="AR19" s="58">
        <f>'INTERMEDIATE CALCS'!AR37</f>
        <v>0</v>
      </c>
      <c r="AS19" s="58">
        <f>'INTERMEDIATE CALCS'!AS37</f>
        <v>0</v>
      </c>
      <c r="AT19" s="58">
        <f>'INTERMEDIATE CALCS'!AT37</f>
        <v>0</v>
      </c>
      <c r="AU19" s="58">
        <f>'INTERMEDIATE CALCS'!AU37</f>
        <v>0</v>
      </c>
      <c r="AV19" s="58">
        <f>'INTERMEDIATE CALCS'!AV37</f>
        <v>0</v>
      </c>
      <c r="AW19" s="58">
        <f>'INTERMEDIATE CALCS'!AW37</f>
        <v>0</v>
      </c>
      <c r="AX19" s="58">
        <f>'INTERMEDIATE CALCS'!AX37</f>
        <v>0</v>
      </c>
      <c r="AY19" s="58">
        <f>'INTERMEDIATE CALCS'!AY37</f>
        <v>0</v>
      </c>
      <c r="AZ19" s="58">
        <f>'INTERMEDIATE CALCS'!AZ37</f>
        <v>0</v>
      </c>
      <c r="BA19" s="58">
        <f>'INTERMEDIATE CALCS'!BA37</f>
        <v>0</v>
      </c>
    </row>
    <row r="20" spans="2:53" ht="14.5" x14ac:dyDescent="0.35">
      <c r="B20" s="53"/>
      <c r="C20" s="54"/>
      <c r="D20" s="53"/>
      <c r="E20" s="49"/>
      <c r="F20" s="56"/>
      <c r="G20" s="57"/>
      <c r="H20" s="57"/>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row>
    <row r="21" spans="2:53" ht="14.5" x14ac:dyDescent="0.35">
      <c r="B21" s="53"/>
      <c r="C21" s="54"/>
      <c r="D21" s="53"/>
      <c r="E21" s="49"/>
      <c r="F21" s="56"/>
      <c r="G21" s="57"/>
      <c r="H21" s="57"/>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row>
    <row r="22" spans="2:53" ht="14.5" x14ac:dyDescent="0.35">
      <c r="B22" s="49" t="str">
        <f>LEFT('INTERMEDIATE CALCS'!B40,15)</f>
        <v>No Build Costs</v>
      </c>
      <c r="C22" s="49"/>
      <c r="D22" s="53"/>
      <c r="E22" s="49"/>
      <c r="F22" s="56"/>
      <c r="G22" s="57"/>
      <c r="H22" s="57"/>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row>
    <row r="23" spans="2:53" ht="14.5" x14ac:dyDescent="0.35">
      <c r="B23" s="53"/>
      <c r="C23" s="49" t="str">
        <f>'INTERMEDIATE CALCS'!C41</f>
        <v>Capital Costs</v>
      </c>
      <c r="D23" s="49"/>
      <c r="E23" s="49"/>
      <c r="F23" s="56"/>
      <c r="G23" s="57"/>
      <c r="H23" s="57"/>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row>
    <row r="24" spans="2:53" ht="14.5" x14ac:dyDescent="0.35">
      <c r="B24" s="53"/>
      <c r="C24" s="54"/>
      <c r="D24" s="53"/>
      <c r="E24" s="49" t="str">
        <f>'INTERMEDIATE CALCS'!E42</f>
        <v>Preliminary Engineering</v>
      </c>
      <c r="F24" s="56" t="str">
        <f>'INTERMEDIATE CALCS'!F42</f>
        <v>User Input</v>
      </c>
      <c r="G24" s="57" t="str">
        <f>'INTERMEDIATE CALCS'!G42</f>
        <v>2024$</v>
      </c>
      <c r="H24" s="57"/>
      <c r="I24" s="58">
        <f>'INTERMEDIATE CALCS'!I42</f>
        <v>0</v>
      </c>
      <c r="J24" s="58">
        <f>'INTERMEDIATE CALCS'!J42</f>
        <v>0</v>
      </c>
      <c r="K24" s="58">
        <f>'INTERMEDIATE CALCS'!K42</f>
        <v>0</v>
      </c>
      <c r="L24" s="58">
        <f>'INTERMEDIATE CALCS'!L42</f>
        <v>0</v>
      </c>
      <c r="M24" s="58">
        <f>'INTERMEDIATE CALCS'!M42</f>
        <v>0</v>
      </c>
      <c r="N24" s="58">
        <f>'INTERMEDIATE CALCS'!N42</f>
        <v>0</v>
      </c>
      <c r="O24" s="58">
        <f>'INTERMEDIATE CALCS'!O42</f>
        <v>0</v>
      </c>
      <c r="P24" s="58">
        <f>'INTERMEDIATE CALCS'!P42</f>
        <v>0</v>
      </c>
      <c r="Q24" s="58">
        <f>'INTERMEDIATE CALCS'!Q42</f>
        <v>0</v>
      </c>
      <c r="R24" s="58">
        <f>'INTERMEDIATE CALCS'!R42</f>
        <v>0</v>
      </c>
      <c r="S24" s="58">
        <f>'INTERMEDIATE CALCS'!S42</f>
        <v>0</v>
      </c>
      <c r="T24" s="58">
        <f>'INTERMEDIATE CALCS'!T42</f>
        <v>0</v>
      </c>
      <c r="U24" s="58">
        <f>'INTERMEDIATE CALCS'!U42</f>
        <v>0</v>
      </c>
      <c r="V24" s="58">
        <f>'INTERMEDIATE CALCS'!V42</f>
        <v>0</v>
      </c>
      <c r="W24" s="58">
        <f>'INTERMEDIATE CALCS'!W42</f>
        <v>0</v>
      </c>
      <c r="X24" s="58">
        <f>'INTERMEDIATE CALCS'!X42</f>
        <v>0</v>
      </c>
      <c r="Y24" s="58">
        <f>'INTERMEDIATE CALCS'!Y42</f>
        <v>0</v>
      </c>
      <c r="Z24" s="58">
        <f>'INTERMEDIATE CALCS'!Z42</f>
        <v>0</v>
      </c>
      <c r="AA24" s="58">
        <f>'INTERMEDIATE CALCS'!AA42</f>
        <v>0</v>
      </c>
      <c r="AB24" s="58">
        <f>'INTERMEDIATE CALCS'!AB42</f>
        <v>0</v>
      </c>
      <c r="AC24" s="58">
        <f>'INTERMEDIATE CALCS'!AC42</f>
        <v>0</v>
      </c>
      <c r="AD24" s="58">
        <f>'INTERMEDIATE CALCS'!AD42</f>
        <v>0</v>
      </c>
      <c r="AE24" s="58">
        <f>'INTERMEDIATE CALCS'!AE42</f>
        <v>0</v>
      </c>
      <c r="AF24" s="58">
        <f>'INTERMEDIATE CALCS'!AF42</f>
        <v>0</v>
      </c>
      <c r="AG24" s="58">
        <f>'INTERMEDIATE CALCS'!AG42</f>
        <v>0</v>
      </c>
      <c r="AH24" s="58">
        <f>'INTERMEDIATE CALCS'!AH42</f>
        <v>0</v>
      </c>
      <c r="AI24" s="58">
        <f>'INTERMEDIATE CALCS'!AI42</f>
        <v>0</v>
      </c>
      <c r="AJ24" s="58">
        <f>'INTERMEDIATE CALCS'!AJ42</f>
        <v>0</v>
      </c>
      <c r="AK24" s="58">
        <f>'INTERMEDIATE CALCS'!AK42</f>
        <v>0</v>
      </c>
      <c r="AL24" s="58">
        <f>'INTERMEDIATE CALCS'!AL42</f>
        <v>0</v>
      </c>
      <c r="AM24" s="58">
        <f>'INTERMEDIATE CALCS'!AM42</f>
        <v>0</v>
      </c>
      <c r="AN24" s="58">
        <f>'INTERMEDIATE CALCS'!AN42</f>
        <v>0</v>
      </c>
      <c r="AO24" s="58">
        <f>'INTERMEDIATE CALCS'!AO42</f>
        <v>0</v>
      </c>
      <c r="AP24" s="58">
        <f>'INTERMEDIATE CALCS'!AP42</f>
        <v>0</v>
      </c>
      <c r="AQ24" s="58">
        <f>'INTERMEDIATE CALCS'!AQ42</f>
        <v>0</v>
      </c>
      <c r="AR24" s="58">
        <f>'INTERMEDIATE CALCS'!AR42</f>
        <v>0</v>
      </c>
      <c r="AS24" s="58">
        <f>'INTERMEDIATE CALCS'!AS42</f>
        <v>0</v>
      </c>
      <c r="AT24" s="58">
        <f>'INTERMEDIATE CALCS'!AT42</f>
        <v>0</v>
      </c>
      <c r="AU24" s="58">
        <f>'INTERMEDIATE CALCS'!AU42</f>
        <v>0</v>
      </c>
      <c r="AV24" s="58">
        <f>'INTERMEDIATE CALCS'!AV42</f>
        <v>0</v>
      </c>
      <c r="AW24" s="58">
        <f>'INTERMEDIATE CALCS'!AW42</f>
        <v>0</v>
      </c>
      <c r="AX24" s="58">
        <f>'INTERMEDIATE CALCS'!AX42</f>
        <v>0</v>
      </c>
      <c r="AY24" s="58">
        <f>'INTERMEDIATE CALCS'!AY42</f>
        <v>0</v>
      </c>
      <c r="AZ24" s="58">
        <f>'INTERMEDIATE CALCS'!AZ42</f>
        <v>0</v>
      </c>
      <c r="BA24" s="58">
        <f>'INTERMEDIATE CALCS'!BA42</f>
        <v>0</v>
      </c>
    </row>
    <row r="25" spans="2:53" ht="14.5" x14ac:dyDescent="0.35">
      <c r="B25" s="53"/>
      <c r="C25" s="54"/>
      <c r="D25" s="53"/>
      <c r="E25" s="49" t="str">
        <f>'INTERMEDIATE CALCS'!E43</f>
        <v>Right-of-Way</v>
      </c>
      <c r="F25" s="56" t="str">
        <f>'INTERMEDIATE CALCS'!F43</f>
        <v>User Input</v>
      </c>
      <c r="G25" s="57" t="str">
        <f>'INTERMEDIATE CALCS'!G43</f>
        <v>2024$</v>
      </c>
      <c r="H25" s="57"/>
      <c r="I25" s="58">
        <f>'INTERMEDIATE CALCS'!I43</f>
        <v>0</v>
      </c>
      <c r="J25" s="58">
        <f>'INTERMEDIATE CALCS'!J43</f>
        <v>0</v>
      </c>
      <c r="K25" s="58">
        <f>'INTERMEDIATE CALCS'!K43</f>
        <v>0</v>
      </c>
      <c r="L25" s="58">
        <f>'INTERMEDIATE CALCS'!L43</f>
        <v>0</v>
      </c>
      <c r="M25" s="58">
        <f>'INTERMEDIATE CALCS'!M43</f>
        <v>0</v>
      </c>
      <c r="N25" s="58">
        <f>'INTERMEDIATE CALCS'!N43</f>
        <v>0</v>
      </c>
      <c r="O25" s="58">
        <f>'INTERMEDIATE CALCS'!O43</f>
        <v>0</v>
      </c>
      <c r="P25" s="58">
        <f>'INTERMEDIATE CALCS'!P43</f>
        <v>0</v>
      </c>
      <c r="Q25" s="58">
        <f>'INTERMEDIATE CALCS'!Q43</f>
        <v>0</v>
      </c>
      <c r="R25" s="58">
        <f>'INTERMEDIATE CALCS'!R43</f>
        <v>0</v>
      </c>
      <c r="S25" s="58">
        <f>'INTERMEDIATE CALCS'!S43</f>
        <v>0</v>
      </c>
      <c r="T25" s="58">
        <f>'INTERMEDIATE CALCS'!T43</f>
        <v>0</v>
      </c>
      <c r="U25" s="58">
        <f>'INTERMEDIATE CALCS'!U43</f>
        <v>0</v>
      </c>
      <c r="V25" s="58">
        <f>'INTERMEDIATE CALCS'!V43</f>
        <v>0</v>
      </c>
      <c r="W25" s="58">
        <f>'INTERMEDIATE CALCS'!W43</f>
        <v>0</v>
      </c>
      <c r="X25" s="58">
        <f>'INTERMEDIATE CALCS'!X43</f>
        <v>0</v>
      </c>
      <c r="Y25" s="58">
        <f>'INTERMEDIATE CALCS'!Y43</f>
        <v>0</v>
      </c>
      <c r="Z25" s="58">
        <f>'INTERMEDIATE CALCS'!Z43</f>
        <v>0</v>
      </c>
      <c r="AA25" s="58">
        <f>'INTERMEDIATE CALCS'!AA43</f>
        <v>0</v>
      </c>
      <c r="AB25" s="58">
        <f>'INTERMEDIATE CALCS'!AB43</f>
        <v>0</v>
      </c>
      <c r="AC25" s="58">
        <f>'INTERMEDIATE CALCS'!AC43</f>
        <v>0</v>
      </c>
      <c r="AD25" s="58">
        <f>'INTERMEDIATE CALCS'!AD43</f>
        <v>0</v>
      </c>
      <c r="AE25" s="58">
        <f>'INTERMEDIATE CALCS'!AE43</f>
        <v>0</v>
      </c>
      <c r="AF25" s="58">
        <f>'INTERMEDIATE CALCS'!AF43</f>
        <v>0</v>
      </c>
      <c r="AG25" s="58">
        <f>'INTERMEDIATE CALCS'!AG43</f>
        <v>0</v>
      </c>
      <c r="AH25" s="58">
        <f>'INTERMEDIATE CALCS'!AH43</f>
        <v>0</v>
      </c>
      <c r="AI25" s="58">
        <f>'INTERMEDIATE CALCS'!AI43</f>
        <v>0</v>
      </c>
      <c r="AJ25" s="58">
        <f>'INTERMEDIATE CALCS'!AJ43</f>
        <v>0</v>
      </c>
      <c r="AK25" s="58">
        <f>'INTERMEDIATE CALCS'!AK43</f>
        <v>0</v>
      </c>
      <c r="AL25" s="58">
        <f>'INTERMEDIATE CALCS'!AL43</f>
        <v>0</v>
      </c>
      <c r="AM25" s="58">
        <f>'INTERMEDIATE CALCS'!AM43</f>
        <v>0</v>
      </c>
      <c r="AN25" s="58">
        <f>'INTERMEDIATE CALCS'!AN43</f>
        <v>0</v>
      </c>
      <c r="AO25" s="58">
        <f>'INTERMEDIATE CALCS'!AO43</f>
        <v>0</v>
      </c>
      <c r="AP25" s="58">
        <f>'INTERMEDIATE CALCS'!AP43</f>
        <v>0</v>
      </c>
      <c r="AQ25" s="58">
        <f>'INTERMEDIATE CALCS'!AQ43</f>
        <v>0</v>
      </c>
      <c r="AR25" s="58">
        <f>'INTERMEDIATE CALCS'!AR43</f>
        <v>0</v>
      </c>
      <c r="AS25" s="58">
        <f>'INTERMEDIATE CALCS'!AS43</f>
        <v>0</v>
      </c>
      <c r="AT25" s="58">
        <f>'INTERMEDIATE CALCS'!AT43</f>
        <v>0</v>
      </c>
      <c r="AU25" s="58">
        <f>'INTERMEDIATE CALCS'!AU43</f>
        <v>0</v>
      </c>
      <c r="AV25" s="58">
        <f>'INTERMEDIATE CALCS'!AV43</f>
        <v>0</v>
      </c>
      <c r="AW25" s="58">
        <f>'INTERMEDIATE CALCS'!AW43</f>
        <v>0</v>
      </c>
      <c r="AX25" s="58">
        <f>'INTERMEDIATE CALCS'!AX43</f>
        <v>0</v>
      </c>
      <c r="AY25" s="58">
        <f>'INTERMEDIATE CALCS'!AY43</f>
        <v>0</v>
      </c>
      <c r="AZ25" s="58">
        <f>'INTERMEDIATE CALCS'!AZ43</f>
        <v>0</v>
      </c>
      <c r="BA25" s="58">
        <f>'INTERMEDIATE CALCS'!BA43</f>
        <v>0</v>
      </c>
    </row>
    <row r="26" spans="2:53" ht="14.5" x14ac:dyDescent="0.35">
      <c r="B26" s="53"/>
      <c r="C26" s="54"/>
      <c r="D26" s="53"/>
      <c r="E26" s="49" t="str">
        <f>'INTERMEDIATE CALCS'!E44</f>
        <v>Construction</v>
      </c>
      <c r="F26" s="56" t="str">
        <f>'INTERMEDIATE CALCS'!F44</f>
        <v>User Input</v>
      </c>
      <c r="G26" s="57" t="str">
        <f>'INTERMEDIATE CALCS'!G44</f>
        <v>2024$</v>
      </c>
      <c r="H26" s="57"/>
      <c r="I26" s="58">
        <f>'INTERMEDIATE CALCS'!I44</f>
        <v>0</v>
      </c>
      <c r="J26" s="58">
        <f>'INTERMEDIATE CALCS'!J44</f>
        <v>0</v>
      </c>
      <c r="K26" s="58">
        <f>'INTERMEDIATE CALCS'!K44</f>
        <v>0</v>
      </c>
      <c r="L26" s="58">
        <f>'INTERMEDIATE CALCS'!L44</f>
        <v>0</v>
      </c>
      <c r="M26" s="58">
        <f>'INTERMEDIATE CALCS'!M44</f>
        <v>0</v>
      </c>
      <c r="N26" s="58">
        <f>'INTERMEDIATE CALCS'!N44</f>
        <v>0</v>
      </c>
      <c r="O26" s="58">
        <f>'INTERMEDIATE CALCS'!O44</f>
        <v>0</v>
      </c>
      <c r="P26" s="58">
        <f>'INTERMEDIATE CALCS'!P44</f>
        <v>0</v>
      </c>
      <c r="Q26" s="58">
        <f>'INTERMEDIATE CALCS'!Q44</f>
        <v>0</v>
      </c>
      <c r="R26" s="58">
        <f>'INTERMEDIATE CALCS'!R44</f>
        <v>0</v>
      </c>
      <c r="S26" s="58">
        <f>'INTERMEDIATE CALCS'!S44</f>
        <v>0</v>
      </c>
      <c r="T26" s="58">
        <f>'INTERMEDIATE CALCS'!T44</f>
        <v>0</v>
      </c>
      <c r="U26" s="58">
        <f>'INTERMEDIATE CALCS'!U44</f>
        <v>0</v>
      </c>
      <c r="V26" s="58">
        <f>'INTERMEDIATE CALCS'!V44</f>
        <v>0</v>
      </c>
      <c r="W26" s="58">
        <f>'INTERMEDIATE CALCS'!W44</f>
        <v>0</v>
      </c>
      <c r="X26" s="58">
        <f>'INTERMEDIATE CALCS'!X44</f>
        <v>0</v>
      </c>
      <c r="Y26" s="58">
        <f>'INTERMEDIATE CALCS'!Y44</f>
        <v>0</v>
      </c>
      <c r="Z26" s="58">
        <f>'INTERMEDIATE CALCS'!Z44</f>
        <v>0</v>
      </c>
      <c r="AA26" s="58">
        <f>'INTERMEDIATE CALCS'!AA44</f>
        <v>0</v>
      </c>
      <c r="AB26" s="58">
        <f>'INTERMEDIATE CALCS'!AB44</f>
        <v>0</v>
      </c>
      <c r="AC26" s="58">
        <f>'INTERMEDIATE CALCS'!AC44</f>
        <v>0</v>
      </c>
      <c r="AD26" s="58">
        <f>'INTERMEDIATE CALCS'!AD44</f>
        <v>0</v>
      </c>
      <c r="AE26" s="58">
        <f>'INTERMEDIATE CALCS'!AE44</f>
        <v>0</v>
      </c>
      <c r="AF26" s="58">
        <f>'INTERMEDIATE CALCS'!AF44</f>
        <v>0</v>
      </c>
      <c r="AG26" s="58">
        <f>'INTERMEDIATE CALCS'!AG44</f>
        <v>0</v>
      </c>
      <c r="AH26" s="58">
        <f>'INTERMEDIATE CALCS'!AH44</f>
        <v>0</v>
      </c>
      <c r="AI26" s="58">
        <f>'INTERMEDIATE CALCS'!AI44</f>
        <v>0</v>
      </c>
      <c r="AJ26" s="58">
        <f>'INTERMEDIATE CALCS'!AJ44</f>
        <v>0</v>
      </c>
      <c r="AK26" s="58">
        <f>'INTERMEDIATE CALCS'!AK44</f>
        <v>0</v>
      </c>
      <c r="AL26" s="58">
        <f>'INTERMEDIATE CALCS'!AL44</f>
        <v>0</v>
      </c>
      <c r="AM26" s="58">
        <f>'INTERMEDIATE CALCS'!AM44</f>
        <v>0</v>
      </c>
      <c r="AN26" s="58">
        <f>'INTERMEDIATE CALCS'!AN44</f>
        <v>0</v>
      </c>
      <c r="AO26" s="58">
        <f>'INTERMEDIATE CALCS'!AO44</f>
        <v>0</v>
      </c>
      <c r="AP26" s="58">
        <f>'INTERMEDIATE CALCS'!AP44</f>
        <v>0</v>
      </c>
      <c r="AQ26" s="58">
        <f>'INTERMEDIATE CALCS'!AQ44</f>
        <v>0</v>
      </c>
      <c r="AR26" s="58">
        <f>'INTERMEDIATE CALCS'!AR44</f>
        <v>0</v>
      </c>
      <c r="AS26" s="58">
        <f>'INTERMEDIATE CALCS'!AS44</f>
        <v>0</v>
      </c>
      <c r="AT26" s="58">
        <f>'INTERMEDIATE CALCS'!AT44</f>
        <v>0</v>
      </c>
      <c r="AU26" s="58">
        <f>'INTERMEDIATE CALCS'!AU44</f>
        <v>0</v>
      </c>
      <c r="AV26" s="58">
        <f>'INTERMEDIATE CALCS'!AV44</f>
        <v>0</v>
      </c>
      <c r="AW26" s="58">
        <f>'INTERMEDIATE CALCS'!AW44</f>
        <v>0</v>
      </c>
      <c r="AX26" s="58">
        <f>'INTERMEDIATE CALCS'!AX44</f>
        <v>0</v>
      </c>
      <c r="AY26" s="58">
        <f>'INTERMEDIATE CALCS'!AY44</f>
        <v>0</v>
      </c>
      <c r="AZ26" s="58">
        <f>'INTERMEDIATE CALCS'!AZ44</f>
        <v>0</v>
      </c>
      <c r="BA26" s="58">
        <f>'INTERMEDIATE CALCS'!BA44</f>
        <v>0</v>
      </c>
    </row>
    <row r="27" spans="2:53" ht="14.5" x14ac:dyDescent="0.35">
      <c r="B27" s="53"/>
      <c r="C27" s="54"/>
      <c r="D27" s="53"/>
      <c r="E27" s="49" t="str">
        <f>'INTERMEDIATE CALCS'!E45</f>
        <v>Total Capital Costs (if not delineated above)</v>
      </c>
      <c r="F27" s="56" t="str">
        <f>'INTERMEDIATE CALCS'!F45</f>
        <v>User Input</v>
      </c>
      <c r="G27" s="57" t="str">
        <f>'INTERMEDIATE CALCS'!G45</f>
        <v>2024$</v>
      </c>
      <c r="H27" s="57"/>
      <c r="I27" s="58">
        <f>'INTERMEDIATE CALCS'!I45</f>
        <v>0</v>
      </c>
      <c r="J27" s="58">
        <f>'INTERMEDIATE CALCS'!J45</f>
        <v>0</v>
      </c>
      <c r="K27" s="58">
        <f>'INTERMEDIATE CALCS'!K45</f>
        <v>0</v>
      </c>
      <c r="L27" s="58">
        <f>'INTERMEDIATE CALCS'!L45</f>
        <v>0</v>
      </c>
      <c r="M27" s="58">
        <f>'INTERMEDIATE CALCS'!M45</f>
        <v>0</v>
      </c>
      <c r="N27" s="58">
        <f>'INTERMEDIATE CALCS'!N45</f>
        <v>0</v>
      </c>
      <c r="O27" s="58">
        <f>'INTERMEDIATE CALCS'!O45</f>
        <v>0</v>
      </c>
      <c r="P27" s="58">
        <f>'INTERMEDIATE CALCS'!P45</f>
        <v>0</v>
      </c>
      <c r="Q27" s="58">
        <f>'INTERMEDIATE CALCS'!Q45</f>
        <v>0</v>
      </c>
      <c r="R27" s="58">
        <f>'INTERMEDIATE CALCS'!R45</f>
        <v>0</v>
      </c>
      <c r="S27" s="58">
        <f>'INTERMEDIATE CALCS'!S45</f>
        <v>0</v>
      </c>
      <c r="T27" s="58">
        <f>'INTERMEDIATE CALCS'!T45</f>
        <v>0</v>
      </c>
      <c r="U27" s="58">
        <f>'INTERMEDIATE CALCS'!U45</f>
        <v>0</v>
      </c>
      <c r="V27" s="58">
        <f>'INTERMEDIATE CALCS'!V45</f>
        <v>0</v>
      </c>
      <c r="W27" s="58">
        <f>'INTERMEDIATE CALCS'!W45</f>
        <v>0</v>
      </c>
      <c r="X27" s="58">
        <f>'INTERMEDIATE CALCS'!X45</f>
        <v>0</v>
      </c>
      <c r="Y27" s="58">
        <f>'INTERMEDIATE CALCS'!Y45</f>
        <v>0</v>
      </c>
      <c r="Z27" s="58">
        <f>'INTERMEDIATE CALCS'!Z45</f>
        <v>0</v>
      </c>
      <c r="AA27" s="58">
        <f>'INTERMEDIATE CALCS'!AA45</f>
        <v>0</v>
      </c>
      <c r="AB27" s="58">
        <f>'INTERMEDIATE CALCS'!AB45</f>
        <v>0</v>
      </c>
      <c r="AC27" s="58">
        <f>'INTERMEDIATE CALCS'!AC45</f>
        <v>0</v>
      </c>
      <c r="AD27" s="58">
        <f>'INTERMEDIATE CALCS'!AD45</f>
        <v>0</v>
      </c>
      <c r="AE27" s="58">
        <f>'INTERMEDIATE CALCS'!AE45</f>
        <v>0</v>
      </c>
      <c r="AF27" s="58">
        <f>'INTERMEDIATE CALCS'!AF45</f>
        <v>0</v>
      </c>
      <c r="AG27" s="58">
        <f>'INTERMEDIATE CALCS'!AG45</f>
        <v>0</v>
      </c>
      <c r="AH27" s="58">
        <f>'INTERMEDIATE CALCS'!AH45</f>
        <v>0</v>
      </c>
      <c r="AI27" s="58">
        <f>'INTERMEDIATE CALCS'!AI45</f>
        <v>0</v>
      </c>
      <c r="AJ27" s="58">
        <f>'INTERMEDIATE CALCS'!AJ45</f>
        <v>0</v>
      </c>
      <c r="AK27" s="58">
        <f>'INTERMEDIATE CALCS'!AK45</f>
        <v>0</v>
      </c>
      <c r="AL27" s="58">
        <f>'INTERMEDIATE CALCS'!AL45</f>
        <v>0</v>
      </c>
      <c r="AM27" s="58">
        <f>'INTERMEDIATE CALCS'!AM45</f>
        <v>0</v>
      </c>
      <c r="AN27" s="58">
        <f>'INTERMEDIATE CALCS'!AN45</f>
        <v>0</v>
      </c>
      <c r="AO27" s="58">
        <f>'INTERMEDIATE CALCS'!AO45</f>
        <v>0</v>
      </c>
      <c r="AP27" s="58">
        <f>'INTERMEDIATE CALCS'!AP45</f>
        <v>0</v>
      </c>
      <c r="AQ27" s="58">
        <f>'INTERMEDIATE CALCS'!AQ45</f>
        <v>0</v>
      </c>
      <c r="AR27" s="58">
        <f>'INTERMEDIATE CALCS'!AR45</f>
        <v>0</v>
      </c>
      <c r="AS27" s="58">
        <f>'INTERMEDIATE CALCS'!AS45</f>
        <v>0</v>
      </c>
      <c r="AT27" s="58">
        <f>'INTERMEDIATE CALCS'!AT45</f>
        <v>0</v>
      </c>
      <c r="AU27" s="58">
        <f>'INTERMEDIATE CALCS'!AU45</f>
        <v>0</v>
      </c>
      <c r="AV27" s="58">
        <f>'INTERMEDIATE CALCS'!AV45</f>
        <v>0</v>
      </c>
      <c r="AW27" s="58">
        <f>'INTERMEDIATE CALCS'!AW45</f>
        <v>0</v>
      </c>
      <c r="AX27" s="58">
        <f>'INTERMEDIATE CALCS'!AX45</f>
        <v>0</v>
      </c>
      <c r="AY27" s="58">
        <f>'INTERMEDIATE CALCS'!AY45</f>
        <v>0</v>
      </c>
      <c r="AZ27" s="58">
        <f>'INTERMEDIATE CALCS'!AZ45</f>
        <v>0</v>
      </c>
      <c r="BA27" s="58">
        <f>'INTERMEDIATE CALCS'!BA45</f>
        <v>0</v>
      </c>
    </row>
    <row r="28" spans="2:53" ht="14.5" x14ac:dyDescent="0.35">
      <c r="B28" s="53"/>
      <c r="C28" s="54"/>
      <c r="D28" s="53"/>
      <c r="E28" s="49"/>
      <c r="F28" s="56"/>
      <c r="G28" s="57"/>
      <c r="H28" s="57"/>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row>
    <row r="29" spans="2:53" ht="14.5" x14ac:dyDescent="0.35">
      <c r="B29" s="53"/>
      <c r="C29" s="49" t="str">
        <f>'INTERMEDIATE CALCS'!C47</f>
        <v>O&amp;M Costs</v>
      </c>
      <c r="D29" s="53"/>
      <c r="E29" s="49"/>
      <c r="F29" s="56"/>
      <c r="G29" s="57"/>
      <c r="H29" s="57"/>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row>
    <row r="30" spans="2:53" ht="14.5" x14ac:dyDescent="0.35">
      <c r="B30" s="53"/>
      <c r="C30" s="54"/>
      <c r="D30" s="53"/>
      <c r="E30" s="49" t="str">
        <f>'INTERMEDIATE CALCS'!E48</f>
        <v>O&amp;M Costs</v>
      </c>
      <c r="F30" s="56" t="str">
        <f>'INTERMEDIATE CALCS'!F48</f>
        <v>User Input</v>
      </c>
      <c r="G30" s="57" t="str">
        <f>'INTERMEDIATE CALCS'!G48</f>
        <v>2024$</v>
      </c>
      <c r="H30" s="57"/>
      <c r="I30" s="58">
        <f>'INTERMEDIATE CALCS'!I48</f>
        <v>0</v>
      </c>
      <c r="J30" s="58">
        <f>'INTERMEDIATE CALCS'!J48</f>
        <v>0</v>
      </c>
      <c r="K30" s="58">
        <f>'INTERMEDIATE CALCS'!K48</f>
        <v>0</v>
      </c>
      <c r="L30" s="58">
        <f>'INTERMEDIATE CALCS'!L48</f>
        <v>0</v>
      </c>
      <c r="M30" s="58">
        <f>'INTERMEDIATE CALCS'!M48</f>
        <v>0</v>
      </c>
      <c r="N30" s="58">
        <f>'INTERMEDIATE CALCS'!N48</f>
        <v>0</v>
      </c>
      <c r="O30" s="58">
        <f>'INTERMEDIATE CALCS'!O48</f>
        <v>0</v>
      </c>
      <c r="P30" s="58">
        <f>'INTERMEDIATE CALCS'!P48</f>
        <v>0</v>
      </c>
      <c r="Q30" s="58">
        <f>'INTERMEDIATE CALCS'!Q48</f>
        <v>0</v>
      </c>
      <c r="R30" s="58">
        <f>'INTERMEDIATE CALCS'!R48</f>
        <v>0</v>
      </c>
      <c r="S30" s="58">
        <f>'INTERMEDIATE CALCS'!S48</f>
        <v>0</v>
      </c>
      <c r="T30" s="58">
        <f>'INTERMEDIATE CALCS'!T48</f>
        <v>0</v>
      </c>
      <c r="U30" s="58">
        <f>'INTERMEDIATE CALCS'!U48</f>
        <v>0</v>
      </c>
      <c r="V30" s="58">
        <f>'INTERMEDIATE CALCS'!V48</f>
        <v>0</v>
      </c>
      <c r="W30" s="58">
        <f>'INTERMEDIATE CALCS'!W48</f>
        <v>0</v>
      </c>
      <c r="X30" s="58">
        <f>'INTERMEDIATE CALCS'!X48</f>
        <v>0</v>
      </c>
      <c r="Y30" s="58">
        <f>'INTERMEDIATE CALCS'!Y48</f>
        <v>0</v>
      </c>
      <c r="Z30" s="58">
        <f>'INTERMEDIATE CALCS'!Z48</f>
        <v>0</v>
      </c>
      <c r="AA30" s="58">
        <f>'INTERMEDIATE CALCS'!AA48</f>
        <v>0</v>
      </c>
      <c r="AB30" s="58">
        <f>'INTERMEDIATE CALCS'!AB48</f>
        <v>0</v>
      </c>
      <c r="AC30" s="58">
        <f>'INTERMEDIATE CALCS'!AC48</f>
        <v>0</v>
      </c>
      <c r="AD30" s="58">
        <f>'INTERMEDIATE CALCS'!AD48</f>
        <v>0</v>
      </c>
      <c r="AE30" s="58">
        <f>'INTERMEDIATE CALCS'!AE48</f>
        <v>0</v>
      </c>
      <c r="AF30" s="58">
        <f>'INTERMEDIATE CALCS'!AF48</f>
        <v>0</v>
      </c>
      <c r="AG30" s="58">
        <f>'INTERMEDIATE CALCS'!AG48</f>
        <v>0</v>
      </c>
      <c r="AH30" s="58">
        <f>'INTERMEDIATE CALCS'!AH48</f>
        <v>0</v>
      </c>
      <c r="AI30" s="58">
        <f>'INTERMEDIATE CALCS'!AI48</f>
        <v>0</v>
      </c>
      <c r="AJ30" s="58">
        <f>'INTERMEDIATE CALCS'!AJ48</f>
        <v>0</v>
      </c>
      <c r="AK30" s="58">
        <f>'INTERMEDIATE CALCS'!AK48</f>
        <v>0</v>
      </c>
      <c r="AL30" s="58">
        <f>'INTERMEDIATE CALCS'!AL48</f>
        <v>0</v>
      </c>
      <c r="AM30" s="58">
        <f>'INTERMEDIATE CALCS'!AM48</f>
        <v>0</v>
      </c>
      <c r="AN30" s="58">
        <f>'INTERMEDIATE CALCS'!AN48</f>
        <v>0</v>
      </c>
      <c r="AO30" s="58">
        <f>'INTERMEDIATE CALCS'!AO48</f>
        <v>0</v>
      </c>
      <c r="AP30" s="58">
        <f>'INTERMEDIATE CALCS'!AP48</f>
        <v>0</v>
      </c>
      <c r="AQ30" s="58">
        <f>'INTERMEDIATE CALCS'!AQ48</f>
        <v>0</v>
      </c>
      <c r="AR30" s="58">
        <f>'INTERMEDIATE CALCS'!AR48</f>
        <v>0</v>
      </c>
      <c r="AS30" s="58">
        <f>'INTERMEDIATE CALCS'!AS48</f>
        <v>0</v>
      </c>
      <c r="AT30" s="58">
        <f>'INTERMEDIATE CALCS'!AT48</f>
        <v>0</v>
      </c>
      <c r="AU30" s="58">
        <f>'INTERMEDIATE CALCS'!AU48</f>
        <v>0</v>
      </c>
      <c r="AV30" s="58">
        <f>'INTERMEDIATE CALCS'!AV48</f>
        <v>0</v>
      </c>
      <c r="AW30" s="58">
        <f>'INTERMEDIATE CALCS'!AW48</f>
        <v>0</v>
      </c>
      <c r="AX30" s="58">
        <f>'INTERMEDIATE CALCS'!AX48</f>
        <v>0</v>
      </c>
      <c r="AY30" s="58">
        <f>'INTERMEDIATE CALCS'!AY48</f>
        <v>0</v>
      </c>
      <c r="AZ30" s="58">
        <f>'INTERMEDIATE CALCS'!AZ48</f>
        <v>0</v>
      </c>
      <c r="BA30" s="58">
        <f>'INTERMEDIATE CALCS'!BA48</f>
        <v>0</v>
      </c>
    </row>
    <row r="32" spans="2:53" ht="14.5" x14ac:dyDescent="0.35">
      <c r="B32" s="53"/>
      <c r="C32" s="49" t="str">
        <f>'INTERMEDIATE CALCS'!C50</f>
        <v>R&amp;R Costs</v>
      </c>
      <c r="D32" s="49"/>
      <c r="E32" s="49"/>
      <c r="F32" s="56"/>
      <c r="G32" s="57"/>
      <c r="H32" s="57"/>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row>
    <row r="33" spans="1:54" ht="14.5" x14ac:dyDescent="0.35">
      <c r="B33" s="53"/>
      <c r="C33" s="54"/>
      <c r="D33" s="53"/>
      <c r="E33" s="49" t="str">
        <f>'INTERMEDIATE CALCS'!E51</f>
        <v>R&amp;R Costs</v>
      </c>
      <c r="F33" s="56" t="str">
        <f>'INTERMEDIATE CALCS'!F51</f>
        <v>User Input</v>
      </c>
      <c r="G33" s="57" t="str">
        <f>'INTERMEDIATE CALCS'!G51</f>
        <v>2024$</v>
      </c>
      <c r="H33" s="57"/>
      <c r="I33" s="58">
        <f>'INTERMEDIATE CALCS'!I51</f>
        <v>0</v>
      </c>
      <c r="J33" s="58">
        <f>'INTERMEDIATE CALCS'!J51</f>
        <v>0</v>
      </c>
      <c r="K33" s="58">
        <f>'INTERMEDIATE CALCS'!K51</f>
        <v>0</v>
      </c>
      <c r="L33" s="58">
        <f>'INTERMEDIATE CALCS'!L51</f>
        <v>1955817.2404907115</v>
      </c>
      <c r="M33" s="58">
        <f>'INTERMEDIATE CALCS'!M51</f>
        <v>0</v>
      </c>
      <c r="N33" s="58">
        <f>'INTERMEDIATE CALCS'!N51</f>
        <v>0</v>
      </c>
      <c r="O33" s="58">
        <f>'INTERMEDIATE CALCS'!O51</f>
        <v>0</v>
      </c>
      <c r="P33" s="58">
        <f>'INTERMEDIATE CALCS'!P51</f>
        <v>0</v>
      </c>
      <c r="Q33" s="58">
        <f>'INTERMEDIATE CALCS'!Q51</f>
        <v>0</v>
      </c>
      <c r="R33" s="58">
        <f>'INTERMEDIATE CALCS'!R51</f>
        <v>0</v>
      </c>
      <c r="S33" s="58">
        <f>'INTERMEDIATE CALCS'!S51</f>
        <v>0</v>
      </c>
      <c r="T33" s="58">
        <f>'INTERMEDIATE CALCS'!T51</f>
        <v>1955817.2404907115</v>
      </c>
      <c r="U33" s="58">
        <f>'INTERMEDIATE CALCS'!U51</f>
        <v>0</v>
      </c>
      <c r="V33" s="58">
        <f>'INTERMEDIATE CALCS'!V51</f>
        <v>0</v>
      </c>
      <c r="W33" s="58">
        <f>'INTERMEDIATE CALCS'!W51</f>
        <v>0</v>
      </c>
      <c r="X33" s="58">
        <f>'INTERMEDIATE CALCS'!X51</f>
        <v>0</v>
      </c>
      <c r="Y33" s="58">
        <f>'INTERMEDIATE CALCS'!Y51</f>
        <v>0</v>
      </c>
      <c r="Z33" s="58">
        <f>'INTERMEDIATE CALCS'!Z51</f>
        <v>0</v>
      </c>
      <c r="AA33" s="58">
        <f>'INTERMEDIATE CALCS'!AA51</f>
        <v>0</v>
      </c>
      <c r="AB33" s="58">
        <f>'INTERMEDIATE CALCS'!AB51</f>
        <v>1955817.2404907115</v>
      </c>
      <c r="AC33" s="58">
        <f>'INTERMEDIATE CALCS'!AC51</f>
        <v>0</v>
      </c>
      <c r="AD33" s="58">
        <f>'INTERMEDIATE CALCS'!AD51</f>
        <v>0</v>
      </c>
      <c r="AE33" s="58">
        <f>'INTERMEDIATE CALCS'!AE51</f>
        <v>0</v>
      </c>
      <c r="AF33" s="58">
        <f>'INTERMEDIATE CALCS'!AF51</f>
        <v>0</v>
      </c>
      <c r="AG33" s="58">
        <f>'INTERMEDIATE CALCS'!AG51</f>
        <v>0</v>
      </c>
      <c r="AH33" s="58">
        <f>'INTERMEDIATE CALCS'!AH51</f>
        <v>0</v>
      </c>
      <c r="AI33" s="58">
        <f>'INTERMEDIATE CALCS'!AI51</f>
        <v>0</v>
      </c>
      <c r="AJ33" s="58">
        <f>'INTERMEDIATE CALCS'!AJ51</f>
        <v>0</v>
      </c>
      <c r="AK33" s="58">
        <f>'INTERMEDIATE CALCS'!AK51</f>
        <v>0</v>
      </c>
      <c r="AL33" s="58">
        <f>'INTERMEDIATE CALCS'!AL51</f>
        <v>0</v>
      </c>
      <c r="AM33" s="58">
        <f>'INTERMEDIATE CALCS'!AM51</f>
        <v>0</v>
      </c>
      <c r="AN33" s="58">
        <f>'INTERMEDIATE CALCS'!AN51</f>
        <v>0</v>
      </c>
      <c r="AO33" s="58">
        <f>'INTERMEDIATE CALCS'!AO51</f>
        <v>0</v>
      </c>
      <c r="AP33" s="58">
        <f>'INTERMEDIATE CALCS'!AP51</f>
        <v>0</v>
      </c>
      <c r="AQ33" s="58">
        <f>'INTERMEDIATE CALCS'!AQ51</f>
        <v>0</v>
      </c>
      <c r="AR33" s="58">
        <f>'INTERMEDIATE CALCS'!AR51</f>
        <v>0</v>
      </c>
      <c r="AS33" s="58">
        <f>'INTERMEDIATE CALCS'!AS51</f>
        <v>0</v>
      </c>
      <c r="AT33" s="58">
        <f>'INTERMEDIATE CALCS'!AT51</f>
        <v>0</v>
      </c>
      <c r="AU33" s="58">
        <f>'INTERMEDIATE CALCS'!AU51</f>
        <v>0</v>
      </c>
      <c r="AV33" s="58">
        <f>'INTERMEDIATE CALCS'!AV51</f>
        <v>0</v>
      </c>
      <c r="AW33" s="58">
        <f>'INTERMEDIATE CALCS'!AW51</f>
        <v>0</v>
      </c>
      <c r="AX33" s="58">
        <f>'INTERMEDIATE CALCS'!AX51</f>
        <v>0</v>
      </c>
      <c r="AY33" s="58">
        <f>'INTERMEDIATE CALCS'!AY51</f>
        <v>0</v>
      </c>
      <c r="AZ33" s="58">
        <f>'INTERMEDIATE CALCS'!AZ51</f>
        <v>0</v>
      </c>
      <c r="BA33" s="58">
        <f>'INTERMEDIATE CALCS'!BA51</f>
        <v>0</v>
      </c>
    </row>
    <row r="34" spans="1:54" ht="14.5" x14ac:dyDescent="0.35">
      <c r="B34" s="53"/>
      <c r="C34" s="54"/>
      <c r="D34" s="53"/>
      <c r="E34" s="49"/>
      <c r="F34" s="56"/>
      <c r="G34" s="57"/>
      <c r="H34" s="57"/>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row>
    <row r="35" spans="1:54" ht="14.5" x14ac:dyDescent="0.35">
      <c r="B35" s="2" t="s">
        <v>1058</v>
      </c>
      <c r="C35" s="4"/>
      <c r="E35" s="1"/>
      <c r="F35" s="1"/>
      <c r="G35" s="8"/>
      <c r="H35" s="8"/>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4" ht="14.5" x14ac:dyDescent="0.35">
      <c r="C36" s="2" t="s">
        <v>752</v>
      </c>
      <c r="D36" s="53"/>
      <c r="F36" s="53"/>
      <c r="G36" s="43"/>
      <c r="H36" s="43"/>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55"/>
      <c r="AM36" s="55"/>
      <c r="AN36" s="55"/>
      <c r="AO36" s="55"/>
      <c r="AP36" s="55"/>
      <c r="AQ36" s="55"/>
      <c r="AR36" s="55"/>
      <c r="AS36" s="55"/>
      <c r="AT36" s="55"/>
      <c r="AU36" s="55"/>
      <c r="AV36" s="55"/>
      <c r="AW36" s="55"/>
      <c r="AX36" s="55"/>
      <c r="AY36" s="55"/>
      <c r="AZ36" s="55"/>
      <c r="BA36" s="55"/>
    </row>
    <row r="37" spans="1:54" ht="14.5" x14ac:dyDescent="0.35">
      <c r="D37" s="53"/>
      <c r="E37" s="4" t="s">
        <v>896</v>
      </c>
      <c r="F37" s="26" t="s">
        <v>219</v>
      </c>
      <c r="G37" s="43" t="str">
        <f>G10</f>
        <v>2024$</v>
      </c>
      <c r="H37" s="43"/>
      <c r="I37" s="138">
        <f>I10-I24</f>
        <v>327709.29052218742</v>
      </c>
      <c r="J37" s="138">
        <f t="shared" ref="J37:BA37" si="1">J10-J24</f>
        <v>377521.10268155992</v>
      </c>
      <c r="K37" s="138">
        <f t="shared" si="1"/>
        <v>362420.25857429748</v>
      </c>
      <c r="L37" s="138">
        <f t="shared" si="1"/>
        <v>348481.01785990136</v>
      </c>
      <c r="M37" s="138">
        <f t="shared" si="1"/>
        <v>27923.158482363891</v>
      </c>
      <c r="N37" s="138">
        <f t="shared" si="1"/>
        <v>0</v>
      </c>
      <c r="O37" s="138">
        <f t="shared" si="1"/>
        <v>0</v>
      </c>
      <c r="P37" s="138">
        <f t="shared" si="1"/>
        <v>0</v>
      </c>
      <c r="Q37" s="138">
        <f t="shared" si="1"/>
        <v>0</v>
      </c>
      <c r="R37" s="138">
        <f t="shared" si="1"/>
        <v>0</v>
      </c>
      <c r="S37" s="138">
        <f t="shared" si="1"/>
        <v>0</v>
      </c>
      <c r="T37" s="138">
        <f t="shared" si="1"/>
        <v>0</v>
      </c>
      <c r="U37" s="138">
        <f t="shared" si="1"/>
        <v>0</v>
      </c>
      <c r="V37" s="138">
        <f t="shared" si="1"/>
        <v>0</v>
      </c>
      <c r="W37" s="138">
        <f t="shared" si="1"/>
        <v>0</v>
      </c>
      <c r="X37" s="138">
        <f t="shared" si="1"/>
        <v>0</v>
      </c>
      <c r="Y37" s="138">
        <f t="shared" si="1"/>
        <v>0</v>
      </c>
      <c r="Z37" s="138">
        <f t="shared" si="1"/>
        <v>0</v>
      </c>
      <c r="AA37" s="138">
        <f t="shared" si="1"/>
        <v>0</v>
      </c>
      <c r="AB37" s="138">
        <f t="shared" si="1"/>
        <v>0</v>
      </c>
      <c r="AC37" s="138">
        <f t="shared" si="1"/>
        <v>0</v>
      </c>
      <c r="AD37" s="138">
        <f t="shared" si="1"/>
        <v>0</v>
      </c>
      <c r="AE37" s="138">
        <f t="shared" si="1"/>
        <v>0</v>
      </c>
      <c r="AF37" s="138">
        <f t="shared" si="1"/>
        <v>0</v>
      </c>
      <c r="AG37" s="138">
        <f t="shared" si="1"/>
        <v>0</v>
      </c>
      <c r="AH37" s="138">
        <f t="shared" si="1"/>
        <v>0</v>
      </c>
      <c r="AI37" s="138">
        <f t="shared" si="1"/>
        <v>0</v>
      </c>
      <c r="AJ37" s="138">
        <f t="shared" si="1"/>
        <v>0</v>
      </c>
      <c r="AK37" s="138">
        <f t="shared" si="1"/>
        <v>0</v>
      </c>
      <c r="AL37" s="138">
        <f t="shared" si="1"/>
        <v>0</v>
      </c>
      <c r="AM37" s="138">
        <f t="shared" si="1"/>
        <v>0</v>
      </c>
      <c r="AN37" s="138">
        <f t="shared" si="1"/>
        <v>0</v>
      </c>
      <c r="AO37" s="138">
        <f t="shared" si="1"/>
        <v>0</v>
      </c>
      <c r="AP37" s="138">
        <f t="shared" si="1"/>
        <v>0</v>
      </c>
      <c r="AQ37" s="138">
        <f t="shared" si="1"/>
        <v>0</v>
      </c>
      <c r="AR37" s="138">
        <f t="shared" si="1"/>
        <v>0</v>
      </c>
      <c r="AS37" s="138">
        <f t="shared" si="1"/>
        <v>0</v>
      </c>
      <c r="AT37" s="138">
        <f t="shared" si="1"/>
        <v>0</v>
      </c>
      <c r="AU37" s="138">
        <f t="shared" si="1"/>
        <v>0</v>
      </c>
      <c r="AV37" s="138">
        <f t="shared" si="1"/>
        <v>0</v>
      </c>
      <c r="AW37" s="138">
        <f t="shared" si="1"/>
        <v>0</v>
      </c>
      <c r="AX37" s="138">
        <f t="shared" si="1"/>
        <v>0</v>
      </c>
      <c r="AY37" s="138">
        <f t="shared" si="1"/>
        <v>0</v>
      </c>
      <c r="AZ37" s="138">
        <f t="shared" si="1"/>
        <v>0</v>
      </c>
      <c r="BA37" s="138">
        <f t="shared" si="1"/>
        <v>0</v>
      </c>
    </row>
    <row r="38" spans="1:54" ht="14.5" x14ac:dyDescent="0.35">
      <c r="D38" s="53"/>
      <c r="E38" s="4" t="s">
        <v>897</v>
      </c>
      <c r="F38" s="26" t="s">
        <v>219</v>
      </c>
      <c r="G38" s="43" t="str">
        <f>G11</f>
        <v>2024$</v>
      </c>
      <c r="H38" s="43"/>
      <c r="I38" s="138">
        <f t="shared" ref="I38:BA38" si="2">I11-I25</f>
        <v>0</v>
      </c>
      <c r="J38" s="138">
        <f t="shared" si="2"/>
        <v>0</v>
      </c>
      <c r="K38" s="138">
        <f t="shared" si="2"/>
        <v>0</v>
      </c>
      <c r="L38" s="138">
        <f t="shared" si="2"/>
        <v>0</v>
      </c>
      <c r="M38" s="138">
        <f t="shared" si="2"/>
        <v>0</v>
      </c>
      <c r="N38" s="138">
        <f t="shared" si="2"/>
        <v>0</v>
      </c>
      <c r="O38" s="138">
        <f t="shared" si="2"/>
        <v>0</v>
      </c>
      <c r="P38" s="138">
        <f t="shared" si="2"/>
        <v>0</v>
      </c>
      <c r="Q38" s="138">
        <f t="shared" si="2"/>
        <v>0</v>
      </c>
      <c r="R38" s="138">
        <f t="shared" si="2"/>
        <v>0</v>
      </c>
      <c r="S38" s="138">
        <f t="shared" si="2"/>
        <v>0</v>
      </c>
      <c r="T38" s="138">
        <f t="shared" si="2"/>
        <v>0</v>
      </c>
      <c r="U38" s="138">
        <f t="shared" si="2"/>
        <v>0</v>
      </c>
      <c r="V38" s="138">
        <f t="shared" si="2"/>
        <v>0</v>
      </c>
      <c r="W38" s="138">
        <f t="shared" si="2"/>
        <v>0</v>
      </c>
      <c r="X38" s="138">
        <f t="shared" si="2"/>
        <v>0</v>
      </c>
      <c r="Y38" s="138">
        <f t="shared" si="2"/>
        <v>0</v>
      </c>
      <c r="Z38" s="138">
        <f t="shared" si="2"/>
        <v>0</v>
      </c>
      <c r="AA38" s="138">
        <f t="shared" si="2"/>
        <v>0</v>
      </c>
      <c r="AB38" s="138">
        <f t="shared" si="2"/>
        <v>0</v>
      </c>
      <c r="AC38" s="138">
        <f t="shared" si="2"/>
        <v>0</v>
      </c>
      <c r="AD38" s="138">
        <f t="shared" si="2"/>
        <v>0</v>
      </c>
      <c r="AE38" s="138">
        <f t="shared" si="2"/>
        <v>0</v>
      </c>
      <c r="AF38" s="138">
        <f t="shared" si="2"/>
        <v>0</v>
      </c>
      <c r="AG38" s="138">
        <f t="shared" si="2"/>
        <v>0</v>
      </c>
      <c r="AH38" s="138">
        <f t="shared" si="2"/>
        <v>0</v>
      </c>
      <c r="AI38" s="138">
        <f t="shared" si="2"/>
        <v>0</v>
      </c>
      <c r="AJ38" s="138">
        <f t="shared" si="2"/>
        <v>0</v>
      </c>
      <c r="AK38" s="138">
        <f t="shared" si="2"/>
        <v>0</v>
      </c>
      <c r="AL38" s="138">
        <f t="shared" si="2"/>
        <v>0</v>
      </c>
      <c r="AM38" s="138">
        <f t="shared" si="2"/>
        <v>0</v>
      </c>
      <c r="AN38" s="138">
        <f t="shared" si="2"/>
        <v>0</v>
      </c>
      <c r="AO38" s="138">
        <f t="shared" si="2"/>
        <v>0</v>
      </c>
      <c r="AP38" s="138">
        <f t="shared" si="2"/>
        <v>0</v>
      </c>
      <c r="AQ38" s="138">
        <f t="shared" si="2"/>
        <v>0</v>
      </c>
      <c r="AR38" s="138">
        <f t="shared" si="2"/>
        <v>0</v>
      </c>
      <c r="AS38" s="138">
        <f t="shared" si="2"/>
        <v>0</v>
      </c>
      <c r="AT38" s="138">
        <f t="shared" si="2"/>
        <v>0</v>
      </c>
      <c r="AU38" s="138">
        <f t="shared" si="2"/>
        <v>0</v>
      </c>
      <c r="AV38" s="138">
        <f t="shared" si="2"/>
        <v>0</v>
      </c>
      <c r="AW38" s="138">
        <f t="shared" si="2"/>
        <v>0</v>
      </c>
      <c r="AX38" s="138">
        <f t="shared" si="2"/>
        <v>0</v>
      </c>
      <c r="AY38" s="138">
        <f t="shared" si="2"/>
        <v>0</v>
      </c>
      <c r="AZ38" s="138">
        <f t="shared" si="2"/>
        <v>0</v>
      </c>
      <c r="BA38" s="138">
        <f t="shared" si="2"/>
        <v>0</v>
      </c>
    </row>
    <row r="39" spans="1:54" ht="14.5" x14ac:dyDescent="0.35">
      <c r="D39" s="53"/>
      <c r="E39" s="4" t="s">
        <v>764</v>
      </c>
      <c r="F39" s="26" t="s">
        <v>219</v>
      </c>
      <c r="G39" s="43" t="str">
        <f>G12</f>
        <v>2024$</v>
      </c>
      <c r="H39" s="43"/>
      <c r="I39" s="138">
        <f t="shared" ref="I39:BA39" si="3">I12-I26</f>
        <v>0</v>
      </c>
      <c r="J39" s="138">
        <f t="shared" si="3"/>
        <v>0</v>
      </c>
      <c r="K39" s="138">
        <f t="shared" si="3"/>
        <v>0</v>
      </c>
      <c r="L39" s="138">
        <f t="shared" si="3"/>
        <v>0</v>
      </c>
      <c r="M39" s="138">
        <f t="shared" si="3"/>
        <v>27502205.514585167</v>
      </c>
      <c r="N39" s="138">
        <f t="shared" si="3"/>
        <v>7933328.5138226459</v>
      </c>
      <c r="O39" s="138">
        <f t="shared" si="3"/>
        <v>0</v>
      </c>
      <c r="P39" s="138">
        <f t="shared" si="3"/>
        <v>0</v>
      </c>
      <c r="Q39" s="138">
        <f t="shared" si="3"/>
        <v>0</v>
      </c>
      <c r="R39" s="138">
        <f t="shared" si="3"/>
        <v>0</v>
      </c>
      <c r="S39" s="138">
        <f t="shared" si="3"/>
        <v>0</v>
      </c>
      <c r="T39" s="138">
        <f t="shared" si="3"/>
        <v>0</v>
      </c>
      <c r="U39" s="138">
        <f t="shared" si="3"/>
        <v>0</v>
      </c>
      <c r="V39" s="138">
        <f t="shared" si="3"/>
        <v>0</v>
      </c>
      <c r="W39" s="138">
        <f t="shared" si="3"/>
        <v>0</v>
      </c>
      <c r="X39" s="138">
        <f t="shared" si="3"/>
        <v>0</v>
      </c>
      <c r="Y39" s="138">
        <f t="shared" si="3"/>
        <v>0</v>
      </c>
      <c r="Z39" s="138">
        <f t="shared" si="3"/>
        <v>0</v>
      </c>
      <c r="AA39" s="138">
        <f t="shared" si="3"/>
        <v>0</v>
      </c>
      <c r="AB39" s="138">
        <f t="shared" si="3"/>
        <v>0</v>
      </c>
      <c r="AC39" s="138">
        <f t="shared" si="3"/>
        <v>0</v>
      </c>
      <c r="AD39" s="138">
        <f t="shared" si="3"/>
        <v>0</v>
      </c>
      <c r="AE39" s="138">
        <f t="shared" si="3"/>
        <v>0</v>
      </c>
      <c r="AF39" s="138">
        <f t="shared" si="3"/>
        <v>0</v>
      </c>
      <c r="AG39" s="138">
        <f t="shared" si="3"/>
        <v>0</v>
      </c>
      <c r="AH39" s="138">
        <f t="shared" si="3"/>
        <v>0</v>
      </c>
      <c r="AI39" s="138">
        <f t="shared" si="3"/>
        <v>0</v>
      </c>
      <c r="AJ39" s="138">
        <f t="shared" si="3"/>
        <v>0</v>
      </c>
      <c r="AK39" s="138">
        <f t="shared" si="3"/>
        <v>0</v>
      </c>
      <c r="AL39" s="138">
        <f t="shared" si="3"/>
        <v>0</v>
      </c>
      <c r="AM39" s="138">
        <f t="shared" si="3"/>
        <v>0</v>
      </c>
      <c r="AN39" s="138">
        <f t="shared" si="3"/>
        <v>0</v>
      </c>
      <c r="AO39" s="138">
        <f t="shared" si="3"/>
        <v>0</v>
      </c>
      <c r="AP39" s="138">
        <f t="shared" si="3"/>
        <v>0</v>
      </c>
      <c r="AQ39" s="138">
        <f t="shared" si="3"/>
        <v>0</v>
      </c>
      <c r="AR39" s="138">
        <f t="shared" si="3"/>
        <v>0</v>
      </c>
      <c r="AS39" s="138">
        <f t="shared" si="3"/>
        <v>0</v>
      </c>
      <c r="AT39" s="138">
        <f t="shared" si="3"/>
        <v>0</v>
      </c>
      <c r="AU39" s="138">
        <f t="shared" si="3"/>
        <v>0</v>
      </c>
      <c r="AV39" s="138">
        <f t="shared" si="3"/>
        <v>0</v>
      </c>
      <c r="AW39" s="138">
        <f t="shared" si="3"/>
        <v>0</v>
      </c>
      <c r="AX39" s="138">
        <f t="shared" si="3"/>
        <v>0</v>
      </c>
      <c r="AY39" s="138">
        <f t="shared" si="3"/>
        <v>0</v>
      </c>
      <c r="AZ39" s="138">
        <f t="shared" si="3"/>
        <v>0</v>
      </c>
      <c r="BA39" s="138">
        <f t="shared" si="3"/>
        <v>0</v>
      </c>
    </row>
    <row r="40" spans="1:54" ht="14.5" x14ac:dyDescent="0.35">
      <c r="D40" s="53"/>
      <c r="E40" s="4" t="s">
        <v>898</v>
      </c>
      <c r="F40" s="26" t="s">
        <v>219</v>
      </c>
      <c r="G40" s="43" t="str">
        <f>G13</f>
        <v>2024$</v>
      </c>
      <c r="H40" s="43"/>
      <c r="I40" s="138">
        <f t="shared" ref="I40:BA40" si="4">I13-I27</f>
        <v>0</v>
      </c>
      <c r="J40" s="138">
        <f t="shared" si="4"/>
        <v>0</v>
      </c>
      <c r="K40" s="138">
        <f t="shared" si="4"/>
        <v>0</v>
      </c>
      <c r="L40" s="138">
        <f t="shared" si="4"/>
        <v>0</v>
      </c>
      <c r="M40" s="138">
        <f t="shared" si="4"/>
        <v>0</v>
      </c>
      <c r="N40" s="138">
        <f t="shared" si="4"/>
        <v>0</v>
      </c>
      <c r="O40" s="138">
        <f t="shared" si="4"/>
        <v>0</v>
      </c>
      <c r="P40" s="138">
        <f t="shared" si="4"/>
        <v>0</v>
      </c>
      <c r="Q40" s="138">
        <f t="shared" si="4"/>
        <v>0</v>
      </c>
      <c r="R40" s="138">
        <f t="shared" si="4"/>
        <v>0</v>
      </c>
      <c r="S40" s="138">
        <f t="shared" si="4"/>
        <v>0</v>
      </c>
      <c r="T40" s="138">
        <f t="shared" si="4"/>
        <v>0</v>
      </c>
      <c r="U40" s="138">
        <f t="shared" si="4"/>
        <v>0</v>
      </c>
      <c r="V40" s="138">
        <f t="shared" si="4"/>
        <v>0</v>
      </c>
      <c r="W40" s="138">
        <f t="shared" si="4"/>
        <v>0</v>
      </c>
      <c r="X40" s="138">
        <f t="shared" si="4"/>
        <v>0</v>
      </c>
      <c r="Y40" s="138">
        <f t="shared" si="4"/>
        <v>0</v>
      </c>
      <c r="Z40" s="138">
        <f t="shared" si="4"/>
        <v>0</v>
      </c>
      <c r="AA40" s="138">
        <f t="shared" si="4"/>
        <v>0</v>
      </c>
      <c r="AB40" s="138">
        <f t="shared" si="4"/>
        <v>0</v>
      </c>
      <c r="AC40" s="138">
        <f t="shared" si="4"/>
        <v>0</v>
      </c>
      <c r="AD40" s="138">
        <f t="shared" si="4"/>
        <v>0</v>
      </c>
      <c r="AE40" s="138">
        <f t="shared" si="4"/>
        <v>0</v>
      </c>
      <c r="AF40" s="138">
        <f t="shared" si="4"/>
        <v>0</v>
      </c>
      <c r="AG40" s="138">
        <f t="shared" si="4"/>
        <v>0</v>
      </c>
      <c r="AH40" s="138">
        <f t="shared" si="4"/>
        <v>0</v>
      </c>
      <c r="AI40" s="138">
        <f t="shared" si="4"/>
        <v>0</v>
      </c>
      <c r="AJ40" s="138">
        <f t="shared" si="4"/>
        <v>0</v>
      </c>
      <c r="AK40" s="138">
        <f t="shared" si="4"/>
        <v>0</v>
      </c>
      <c r="AL40" s="138">
        <f t="shared" si="4"/>
        <v>0</v>
      </c>
      <c r="AM40" s="138">
        <f t="shared" si="4"/>
        <v>0</v>
      </c>
      <c r="AN40" s="138">
        <f t="shared" si="4"/>
        <v>0</v>
      </c>
      <c r="AO40" s="138">
        <f t="shared" si="4"/>
        <v>0</v>
      </c>
      <c r="AP40" s="138">
        <f t="shared" si="4"/>
        <v>0</v>
      </c>
      <c r="AQ40" s="138">
        <f t="shared" si="4"/>
        <v>0</v>
      </c>
      <c r="AR40" s="138">
        <f t="shared" si="4"/>
        <v>0</v>
      </c>
      <c r="AS40" s="138">
        <f t="shared" si="4"/>
        <v>0</v>
      </c>
      <c r="AT40" s="138">
        <f t="shared" si="4"/>
        <v>0</v>
      </c>
      <c r="AU40" s="138">
        <f t="shared" si="4"/>
        <v>0</v>
      </c>
      <c r="AV40" s="138">
        <f t="shared" si="4"/>
        <v>0</v>
      </c>
      <c r="AW40" s="138">
        <f t="shared" si="4"/>
        <v>0</v>
      </c>
      <c r="AX40" s="138">
        <f t="shared" si="4"/>
        <v>0</v>
      </c>
      <c r="AY40" s="138">
        <f t="shared" si="4"/>
        <v>0</v>
      </c>
      <c r="AZ40" s="138">
        <f t="shared" si="4"/>
        <v>0</v>
      </c>
      <c r="BA40" s="138">
        <f t="shared" si="4"/>
        <v>0</v>
      </c>
    </row>
    <row r="41" spans="1:54" ht="15" customHeight="1" x14ac:dyDescent="0.35">
      <c r="D41" s="53"/>
      <c r="E41" s="49"/>
      <c r="F41" s="53"/>
      <c r="G41" s="57"/>
      <c r="H41" s="57"/>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row>
    <row r="42" spans="1:54" ht="15" customHeight="1" x14ac:dyDescent="0.35">
      <c r="C42" s="2" t="s">
        <v>899</v>
      </c>
      <c r="D42" s="53"/>
      <c r="E42" s="49"/>
      <c r="F42" s="61"/>
      <c r="G42" s="57"/>
      <c r="H42" s="57"/>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row>
    <row r="43" spans="1:54" ht="15" customHeight="1" x14ac:dyDescent="0.35">
      <c r="D43" s="53"/>
      <c r="E43" s="26" t="s">
        <v>899</v>
      </c>
      <c r="F43" s="26" t="s">
        <v>219</v>
      </c>
      <c r="G43" s="43" t="str">
        <f>G30</f>
        <v>2024$</v>
      </c>
      <c r="H43" s="43"/>
      <c r="I43" s="138">
        <f>I16-I30</f>
        <v>0</v>
      </c>
      <c r="J43" s="138">
        <f t="shared" ref="J43:BA43" si="5">J16-J30</f>
        <v>0</v>
      </c>
      <c r="K43" s="138">
        <f t="shared" si="5"/>
        <v>0</v>
      </c>
      <c r="L43" s="138">
        <f t="shared" si="5"/>
        <v>0</v>
      </c>
      <c r="M43" s="138">
        <f t="shared" si="5"/>
        <v>0</v>
      </c>
      <c r="N43" s="138">
        <f t="shared" si="5"/>
        <v>0</v>
      </c>
      <c r="O43" s="138">
        <f t="shared" si="5"/>
        <v>0</v>
      </c>
      <c r="P43" s="138">
        <f t="shared" si="5"/>
        <v>0</v>
      </c>
      <c r="Q43" s="138">
        <f t="shared" si="5"/>
        <v>0</v>
      </c>
      <c r="R43" s="138">
        <f t="shared" si="5"/>
        <v>0</v>
      </c>
      <c r="S43" s="138">
        <f t="shared" si="5"/>
        <v>0</v>
      </c>
      <c r="T43" s="138">
        <f t="shared" si="5"/>
        <v>0</v>
      </c>
      <c r="U43" s="138">
        <f t="shared" si="5"/>
        <v>0</v>
      </c>
      <c r="V43" s="138">
        <f t="shared" si="5"/>
        <v>0</v>
      </c>
      <c r="W43" s="138">
        <f t="shared" si="5"/>
        <v>0</v>
      </c>
      <c r="X43" s="138">
        <f t="shared" si="5"/>
        <v>0</v>
      </c>
      <c r="Y43" s="138">
        <f t="shared" si="5"/>
        <v>0</v>
      </c>
      <c r="Z43" s="138">
        <f t="shared" si="5"/>
        <v>0</v>
      </c>
      <c r="AA43" s="138">
        <f t="shared" si="5"/>
        <v>0</v>
      </c>
      <c r="AB43" s="138">
        <f t="shared" si="5"/>
        <v>0</v>
      </c>
      <c r="AC43" s="138">
        <f t="shared" si="5"/>
        <v>0</v>
      </c>
      <c r="AD43" s="138">
        <f t="shared" si="5"/>
        <v>0</v>
      </c>
      <c r="AE43" s="138">
        <f t="shared" si="5"/>
        <v>0</v>
      </c>
      <c r="AF43" s="138">
        <f t="shared" si="5"/>
        <v>0</v>
      </c>
      <c r="AG43" s="138">
        <f t="shared" si="5"/>
        <v>0</v>
      </c>
      <c r="AH43" s="138">
        <f t="shared" si="5"/>
        <v>0</v>
      </c>
      <c r="AI43" s="138">
        <f t="shared" si="5"/>
        <v>0</v>
      </c>
      <c r="AJ43" s="138">
        <f t="shared" si="5"/>
        <v>0</v>
      </c>
      <c r="AK43" s="138">
        <f t="shared" si="5"/>
        <v>0</v>
      </c>
      <c r="AL43" s="138">
        <f t="shared" si="5"/>
        <v>0</v>
      </c>
      <c r="AM43" s="138">
        <f t="shared" si="5"/>
        <v>0</v>
      </c>
      <c r="AN43" s="138">
        <f t="shared" si="5"/>
        <v>0</v>
      </c>
      <c r="AO43" s="138">
        <f t="shared" si="5"/>
        <v>0</v>
      </c>
      <c r="AP43" s="138">
        <f t="shared" si="5"/>
        <v>0</v>
      </c>
      <c r="AQ43" s="138">
        <f t="shared" si="5"/>
        <v>0</v>
      </c>
      <c r="AR43" s="138">
        <f t="shared" si="5"/>
        <v>0</v>
      </c>
      <c r="AS43" s="138">
        <f t="shared" si="5"/>
        <v>0</v>
      </c>
      <c r="AT43" s="138">
        <f t="shared" si="5"/>
        <v>0</v>
      </c>
      <c r="AU43" s="138">
        <f t="shared" si="5"/>
        <v>0</v>
      </c>
      <c r="AV43" s="138">
        <f t="shared" si="5"/>
        <v>0</v>
      </c>
      <c r="AW43" s="138">
        <f t="shared" si="5"/>
        <v>0</v>
      </c>
      <c r="AX43" s="138">
        <f t="shared" si="5"/>
        <v>0</v>
      </c>
      <c r="AY43" s="138">
        <f t="shared" si="5"/>
        <v>0</v>
      </c>
      <c r="AZ43" s="138">
        <f t="shared" si="5"/>
        <v>0</v>
      </c>
      <c r="BA43" s="138">
        <f t="shared" si="5"/>
        <v>0</v>
      </c>
    </row>
    <row r="44" spans="1:54" ht="15" customHeight="1" x14ac:dyDescent="0.35">
      <c r="D44" s="53"/>
      <c r="F44" s="53"/>
      <c r="G44" s="43"/>
      <c r="H44" s="43"/>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row>
    <row r="45" spans="1:54" ht="14.5" x14ac:dyDescent="0.35">
      <c r="C45" s="2" t="s">
        <v>900</v>
      </c>
      <c r="D45" s="53"/>
      <c r="F45" s="53"/>
      <c r="G45" s="43"/>
      <c r="H45" s="43"/>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row>
    <row r="46" spans="1:54" ht="15" customHeight="1" x14ac:dyDescent="0.35">
      <c r="A46" s="26"/>
      <c r="B46" s="2"/>
      <c r="C46" s="62"/>
      <c r="D46" s="63"/>
      <c r="E46" s="26" t="s">
        <v>900</v>
      </c>
      <c r="F46" s="26" t="s">
        <v>219</v>
      </c>
      <c r="G46" s="43" t="str">
        <f>G33</f>
        <v>2024$</v>
      </c>
      <c r="H46" s="43"/>
      <c r="I46" s="138">
        <f t="shared" ref="I46:BA46" si="6">I19-I33</f>
        <v>0</v>
      </c>
      <c r="J46" s="138">
        <f t="shared" si="6"/>
        <v>0</v>
      </c>
      <c r="K46" s="138">
        <f t="shared" si="6"/>
        <v>0</v>
      </c>
      <c r="L46" s="138">
        <f t="shared" si="6"/>
        <v>-1955817.2404907115</v>
      </c>
      <c r="M46" s="138">
        <f t="shared" si="6"/>
        <v>0</v>
      </c>
      <c r="N46" s="138">
        <f t="shared" si="6"/>
        <v>0</v>
      </c>
      <c r="O46" s="138">
        <f t="shared" si="6"/>
        <v>0</v>
      </c>
      <c r="P46" s="138">
        <f t="shared" si="6"/>
        <v>0</v>
      </c>
      <c r="Q46" s="138">
        <f t="shared" si="6"/>
        <v>0</v>
      </c>
      <c r="R46" s="138">
        <f t="shared" si="6"/>
        <v>0</v>
      </c>
      <c r="S46" s="138">
        <f t="shared" si="6"/>
        <v>0</v>
      </c>
      <c r="T46" s="138">
        <f t="shared" si="6"/>
        <v>-1955817.2404907115</v>
      </c>
      <c r="U46" s="138">
        <f t="shared" si="6"/>
        <v>0</v>
      </c>
      <c r="V46" s="138">
        <f t="shared" si="6"/>
        <v>0</v>
      </c>
      <c r="W46" s="138">
        <f t="shared" si="6"/>
        <v>0</v>
      </c>
      <c r="X46" s="138">
        <f t="shared" si="6"/>
        <v>0</v>
      </c>
      <c r="Y46" s="138">
        <f t="shared" si="6"/>
        <v>0</v>
      </c>
      <c r="Z46" s="138">
        <f t="shared" si="6"/>
        <v>0</v>
      </c>
      <c r="AA46" s="138">
        <f t="shared" si="6"/>
        <v>0</v>
      </c>
      <c r="AB46" s="138">
        <f t="shared" si="6"/>
        <v>0</v>
      </c>
      <c r="AC46" s="138">
        <f t="shared" si="6"/>
        <v>0</v>
      </c>
      <c r="AD46" s="138">
        <f t="shared" si="6"/>
        <v>0</v>
      </c>
      <c r="AE46" s="138">
        <f t="shared" si="6"/>
        <v>0</v>
      </c>
      <c r="AF46" s="138">
        <f t="shared" si="6"/>
        <v>0</v>
      </c>
      <c r="AG46" s="138">
        <f t="shared" si="6"/>
        <v>0</v>
      </c>
      <c r="AH46" s="138">
        <f t="shared" si="6"/>
        <v>0</v>
      </c>
      <c r="AI46" s="138">
        <f t="shared" si="6"/>
        <v>0</v>
      </c>
      <c r="AJ46" s="138">
        <f t="shared" si="6"/>
        <v>0</v>
      </c>
      <c r="AK46" s="138">
        <f t="shared" si="6"/>
        <v>0</v>
      </c>
      <c r="AL46" s="138">
        <f t="shared" si="6"/>
        <v>0</v>
      </c>
      <c r="AM46" s="138">
        <f t="shared" si="6"/>
        <v>0</v>
      </c>
      <c r="AN46" s="138">
        <f t="shared" si="6"/>
        <v>0</v>
      </c>
      <c r="AO46" s="138">
        <f t="shared" si="6"/>
        <v>0</v>
      </c>
      <c r="AP46" s="138">
        <f t="shared" si="6"/>
        <v>0</v>
      </c>
      <c r="AQ46" s="138">
        <f t="shared" si="6"/>
        <v>0</v>
      </c>
      <c r="AR46" s="138">
        <f t="shared" si="6"/>
        <v>0</v>
      </c>
      <c r="AS46" s="138">
        <f t="shared" si="6"/>
        <v>0</v>
      </c>
      <c r="AT46" s="138">
        <f t="shared" si="6"/>
        <v>0</v>
      </c>
      <c r="AU46" s="138">
        <f t="shared" si="6"/>
        <v>0</v>
      </c>
      <c r="AV46" s="138">
        <f t="shared" si="6"/>
        <v>0</v>
      </c>
      <c r="AW46" s="138">
        <f t="shared" si="6"/>
        <v>0</v>
      </c>
      <c r="AX46" s="138">
        <f t="shared" si="6"/>
        <v>0</v>
      </c>
      <c r="AY46" s="138">
        <f t="shared" si="6"/>
        <v>0</v>
      </c>
      <c r="AZ46" s="138">
        <f t="shared" si="6"/>
        <v>0</v>
      </c>
      <c r="BA46" s="138">
        <f t="shared" si="6"/>
        <v>0</v>
      </c>
      <c r="BB46" s="26"/>
    </row>
    <row r="48" spans="1:54" ht="14.5" x14ac:dyDescent="0.35">
      <c r="A48" s="1" t="s">
        <v>1057</v>
      </c>
      <c r="B48" s="63"/>
      <c r="C48" s="64"/>
      <c r="D48" s="63"/>
      <c r="E48" s="26"/>
      <c r="F48" s="63"/>
      <c r="G48" s="60"/>
      <c r="H48" s="60"/>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26"/>
    </row>
    <row r="49" spans="1:54" ht="14.5" x14ac:dyDescent="0.35">
      <c r="A49" s="62"/>
      <c r="B49" s="63"/>
      <c r="C49" s="64"/>
      <c r="D49" s="63"/>
      <c r="E49" s="26"/>
      <c r="F49" s="63"/>
      <c r="G49" s="60"/>
      <c r="H49" s="60"/>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26"/>
    </row>
    <row r="50" spans="1:54" ht="14.5" x14ac:dyDescent="0.35">
      <c r="A50" s="62"/>
      <c r="B50" s="63"/>
      <c r="C50" s="64"/>
      <c r="D50" s="63"/>
      <c r="E50" s="51" t="s">
        <v>1059</v>
      </c>
      <c r="F50" s="51" t="s">
        <v>219</v>
      </c>
      <c r="G50" s="65" t="str">
        <f>G37</f>
        <v>2024$</v>
      </c>
      <c r="H50" s="65"/>
      <c r="I50" s="143">
        <f>IF(SUM(I37:I39)=0,I40,SUM(I37:I39))</f>
        <v>327709.29052218742</v>
      </c>
      <c r="J50" s="143">
        <f t="shared" ref="J50:BA50" si="7">IF(SUM(J37:J39)=0,J40,SUM(J37:J39))</f>
        <v>377521.10268155992</v>
      </c>
      <c r="K50" s="143">
        <f t="shared" si="7"/>
        <v>362420.25857429748</v>
      </c>
      <c r="L50" s="143">
        <f t="shared" si="7"/>
        <v>348481.01785990136</v>
      </c>
      <c r="M50" s="143">
        <f t="shared" si="7"/>
        <v>27530128.673067532</v>
      </c>
      <c r="N50" s="143">
        <f t="shared" si="7"/>
        <v>7933328.5138226459</v>
      </c>
      <c r="O50" s="143">
        <f t="shared" si="7"/>
        <v>0</v>
      </c>
      <c r="P50" s="143">
        <f t="shared" si="7"/>
        <v>0</v>
      </c>
      <c r="Q50" s="143">
        <f t="shared" si="7"/>
        <v>0</v>
      </c>
      <c r="R50" s="143">
        <f t="shared" si="7"/>
        <v>0</v>
      </c>
      <c r="S50" s="143">
        <f t="shared" si="7"/>
        <v>0</v>
      </c>
      <c r="T50" s="143">
        <f t="shared" si="7"/>
        <v>0</v>
      </c>
      <c r="U50" s="143">
        <f t="shared" si="7"/>
        <v>0</v>
      </c>
      <c r="V50" s="143">
        <f t="shared" si="7"/>
        <v>0</v>
      </c>
      <c r="W50" s="143">
        <f t="shared" si="7"/>
        <v>0</v>
      </c>
      <c r="X50" s="143">
        <f t="shared" si="7"/>
        <v>0</v>
      </c>
      <c r="Y50" s="143">
        <f t="shared" si="7"/>
        <v>0</v>
      </c>
      <c r="Z50" s="143">
        <f t="shared" si="7"/>
        <v>0</v>
      </c>
      <c r="AA50" s="143">
        <f t="shared" si="7"/>
        <v>0</v>
      </c>
      <c r="AB50" s="143">
        <f t="shared" si="7"/>
        <v>0</v>
      </c>
      <c r="AC50" s="143">
        <f t="shared" si="7"/>
        <v>0</v>
      </c>
      <c r="AD50" s="143">
        <f t="shared" si="7"/>
        <v>0</v>
      </c>
      <c r="AE50" s="143">
        <f t="shared" si="7"/>
        <v>0</v>
      </c>
      <c r="AF50" s="143">
        <f t="shared" si="7"/>
        <v>0</v>
      </c>
      <c r="AG50" s="143">
        <f t="shared" si="7"/>
        <v>0</v>
      </c>
      <c r="AH50" s="143">
        <f t="shared" si="7"/>
        <v>0</v>
      </c>
      <c r="AI50" s="143">
        <f t="shared" si="7"/>
        <v>0</v>
      </c>
      <c r="AJ50" s="143">
        <f t="shared" si="7"/>
        <v>0</v>
      </c>
      <c r="AK50" s="143">
        <f t="shared" si="7"/>
        <v>0</v>
      </c>
      <c r="AL50" s="143">
        <f t="shared" si="7"/>
        <v>0</v>
      </c>
      <c r="AM50" s="143">
        <f t="shared" si="7"/>
        <v>0</v>
      </c>
      <c r="AN50" s="143">
        <f t="shared" si="7"/>
        <v>0</v>
      </c>
      <c r="AO50" s="143">
        <f t="shared" si="7"/>
        <v>0</v>
      </c>
      <c r="AP50" s="143">
        <f t="shared" si="7"/>
        <v>0</v>
      </c>
      <c r="AQ50" s="143">
        <f t="shared" si="7"/>
        <v>0</v>
      </c>
      <c r="AR50" s="143">
        <f t="shared" si="7"/>
        <v>0</v>
      </c>
      <c r="AS50" s="143">
        <f t="shared" si="7"/>
        <v>0</v>
      </c>
      <c r="AT50" s="143">
        <f t="shared" si="7"/>
        <v>0</v>
      </c>
      <c r="AU50" s="143">
        <f t="shared" si="7"/>
        <v>0</v>
      </c>
      <c r="AV50" s="143">
        <f t="shared" si="7"/>
        <v>0</v>
      </c>
      <c r="AW50" s="143">
        <f t="shared" si="7"/>
        <v>0</v>
      </c>
      <c r="AX50" s="143">
        <f t="shared" si="7"/>
        <v>0</v>
      </c>
      <c r="AY50" s="143">
        <f t="shared" si="7"/>
        <v>0</v>
      </c>
      <c r="AZ50" s="143">
        <f t="shared" si="7"/>
        <v>0</v>
      </c>
      <c r="BA50" s="143">
        <f t="shared" si="7"/>
        <v>0</v>
      </c>
      <c r="BB50" s="26"/>
    </row>
    <row r="51" spans="1:54" ht="14.5" x14ac:dyDescent="0.35">
      <c r="A51" s="7"/>
      <c r="B51" s="53"/>
      <c r="C51" s="54"/>
      <c r="D51" s="53"/>
      <c r="F51" s="53"/>
      <c r="G51" s="43"/>
      <c r="H51" s="43"/>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59"/>
      <c r="AL51" s="59"/>
      <c r="AM51" s="59"/>
      <c r="AN51" s="59"/>
      <c r="AO51" s="59"/>
      <c r="AP51" s="59"/>
      <c r="AQ51" s="59"/>
      <c r="AR51" s="55"/>
      <c r="AS51" s="55"/>
      <c r="AT51" s="55"/>
      <c r="AU51" s="55"/>
      <c r="AV51" s="55"/>
      <c r="AW51" s="55"/>
      <c r="AX51" s="55"/>
      <c r="AY51" s="55"/>
      <c r="AZ51" s="55"/>
      <c r="BA51" s="55"/>
    </row>
    <row r="52" spans="1:54" ht="14.5" x14ac:dyDescent="0.35">
      <c r="A52" s="66"/>
      <c r="B52" s="67"/>
      <c r="C52" s="68"/>
      <c r="D52" s="67"/>
      <c r="E52" s="51" t="s">
        <v>76</v>
      </c>
      <c r="F52" s="51" t="s">
        <v>1060</v>
      </c>
      <c r="G52" s="65" t="str">
        <f>G43</f>
        <v>2024$</v>
      </c>
      <c r="H52" s="65"/>
      <c r="I52" s="143">
        <f>-I43</f>
        <v>0</v>
      </c>
      <c r="J52" s="143">
        <f t="shared" ref="J52:BA52" si="8">-J43</f>
        <v>0</v>
      </c>
      <c r="K52" s="143">
        <f t="shared" si="8"/>
        <v>0</v>
      </c>
      <c r="L52" s="143">
        <f t="shared" si="8"/>
        <v>0</v>
      </c>
      <c r="M52" s="143">
        <f t="shared" si="8"/>
        <v>0</v>
      </c>
      <c r="N52" s="143">
        <f t="shared" si="8"/>
        <v>0</v>
      </c>
      <c r="O52" s="143">
        <f t="shared" si="8"/>
        <v>0</v>
      </c>
      <c r="P52" s="143">
        <f t="shared" si="8"/>
        <v>0</v>
      </c>
      <c r="Q52" s="143">
        <f t="shared" si="8"/>
        <v>0</v>
      </c>
      <c r="R52" s="143">
        <f t="shared" si="8"/>
        <v>0</v>
      </c>
      <c r="S52" s="143">
        <f t="shared" si="8"/>
        <v>0</v>
      </c>
      <c r="T52" s="143">
        <f t="shared" si="8"/>
        <v>0</v>
      </c>
      <c r="U52" s="143">
        <f t="shared" si="8"/>
        <v>0</v>
      </c>
      <c r="V52" s="143">
        <f t="shared" si="8"/>
        <v>0</v>
      </c>
      <c r="W52" s="143">
        <f t="shared" si="8"/>
        <v>0</v>
      </c>
      <c r="X52" s="143">
        <f t="shared" si="8"/>
        <v>0</v>
      </c>
      <c r="Y52" s="143">
        <f t="shared" si="8"/>
        <v>0</v>
      </c>
      <c r="Z52" s="143">
        <f t="shared" si="8"/>
        <v>0</v>
      </c>
      <c r="AA52" s="143">
        <f t="shared" si="8"/>
        <v>0</v>
      </c>
      <c r="AB52" s="143">
        <f t="shared" si="8"/>
        <v>0</v>
      </c>
      <c r="AC52" s="143">
        <f t="shared" si="8"/>
        <v>0</v>
      </c>
      <c r="AD52" s="143">
        <f t="shared" si="8"/>
        <v>0</v>
      </c>
      <c r="AE52" s="143">
        <f t="shared" si="8"/>
        <v>0</v>
      </c>
      <c r="AF52" s="143">
        <f t="shared" si="8"/>
        <v>0</v>
      </c>
      <c r="AG52" s="143">
        <f t="shared" si="8"/>
        <v>0</v>
      </c>
      <c r="AH52" s="143">
        <f t="shared" si="8"/>
        <v>0</v>
      </c>
      <c r="AI52" s="143">
        <f t="shared" si="8"/>
        <v>0</v>
      </c>
      <c r="AJ52" s="143">
        <f t="shared" si="8"/>
        <v>0</v>
      </c>
      <c r="AK52" s="143">
        <f t="shared" si="8"/>
        <v>0</v>
      </c>
      <c r="AL52" s="143">
        <f t="shared" si="8"/>
        <v>0</v>
      </c>
      <c r="AM52" s="143">
        <f t="shared" si="8"/>
        <v>0</v>
      </c>
      <c r="AN52" s="143">
        <f t="shared" si="8"/>
        <v>0</v>
      </c>
      <c r="AO52" s="143">
        <f t="shared" si="8"/>
        <v>0</v>
      </c>
      <c r="AP52" s="143">
        <f t="shared" si="8"/>
        <v>0</v>
      </c>
      <c r="AQ52" s="143">
        <f t="shared" si="8"/>
        <v>0</v>
      </c>
      <c r="AR52" s="143">
        <f t="shared" si="8"/>
        <v>0</v>
      </c>
      <c r="AS52" s="143">
        <f t="shared" si="8"/>
        <v>0</v>
      </c>
      <c r="AT52" s="143">
        <f t="shared" si="8"/>
        <v>0</v>
      </c>
      <c r="AU52" s="143">
        <f t="shared" si="8"/>
        <v>0</v>
      </c>
      <c r="AV52" s="143">
        <f t="shared" si="8"/>
        <v>0</v>
      </c>
      <c r="AW52" s="143">
        <f t="shared" si="8"/>
        <v>0</v>
      </c>
      <c r="AX52" s="143">
        <f t="shared" si="8"/>
        <v>0</v>
      </c>
      <c r="AY52" s="143">
        <f t="shared" si="8"/>
        <v>0</v>
      </c>
      <c r="AZ52" s="143">
        <f t="shared" si="8"/>
        <v>0</v>
      </c>
      <c r="BA52" s="143">
        <f t="shared" si="8"/>
        <v>0</v>
      </c>
      <c r="BB52" s="51"/>
    </row>
    <row r="53" spans="1:54" ht="14.5" x14ac:dyDescent="0.35">
      <c r="A53" s="66"/>
      <c r="B53" s="67"/>
      <c r="C53" s="68"/>
      <c r="D53" s="67"/>
      <c r="E53" s="51" t="s">
        <v>1061</v>
      </c>
      <c r="F53" s="51" t="s">
        <v>1062</v>
      </c>
      <c r="G53" s="65" t="str">
        <f>G46</f>
        <v>2024$</v>
      </c>
      <c r="H53" s="65"/>
      <c r="I53" s="143">
        <f>-I46</f>
        <v>0</v>
      </c>
      <c r="J53" s="143">
        <f t="shared" ref="J53:BA53" si="9">-J46</f>
        <v>0</v>
      </c>
      <c r="K53" s="143">
        <f t="shared" si="9"/>
        <v>0</v>
      </c>
      <c r="L53" s="143">
        <f t="shared" si="9"/>
        <v>1955817.2404907115</v>
      </c>
      <c r="M53" s="143">
        <f t="shared" si="9"/>
        <v>0</v>
      </c>
      <c r="N53" s="143">
        <f t="shared" si="9"/>
        <v>0</v>
      </c>
      <c r="O53" s="143">
        <f t="shared" si="9"/>
        <v>0</v>
      </c>
      <c r="P53" s="143">
        <f t="shared" si="9"/>
        <v>0</v>
      </c>
      <c r="Q53" s="143">
        <f t="shared" si="9"/>
        <v>0</v>
      </c>
      <c r="R53" s="143">
        <f t="shared" si="9"/>
        <v>0</v>
      </c>
      <c r="S53" s="143">
        <f t="shared" si="9"/>
        <v>0</v>
      </c>
      <c r="T53" s="143">
        <f t="shared" si="9"/>
        <v>1955817.2404907115</v>
      </c>
      <c r="U53" s="143">
        <f t="shared" si="9"/>
        <v>0</v>
      </c>
      <c r="V53" s="143">
        <f t="shared" si="9"/>
        <v>0</v>
      </c>
      <c r="W53" s="143">
        <f t="shared" si="9"/>
        <v>0</v>
      </c>
      <c r="X53" s="143">
        <f t="shared" si="9"/>
        <v>0</v>
      </c>
      <c r="Y53" s="143">
        <f t="shared" si="9"/>
        <v>0</v>
      </c>
      <c r="Z53" s="143">
        <f t="shared" si="9"/>
        <v>0</v>
      </c>
      <c r="AA53" s="143">
        <f t="shared" si="9"/>
        <v>0</v>
      </c>
      <c r="AB53" s="143">
        <f t="shared" si="9"/>
        <v>0</v>
      </c>
      <c r="AC53" s="143">
        <f t="shared" si="9"/>
        <v>0</v>
      </c>
      <c r="AD53" s="143">
        <f t="shared" si="9"/>
        <v>0</v>
      </c>
      <c r="AE53" s="143">
        <f t="shared" si="9"/>
        <v>0</v>
      </c>
      <c r="AF53" s="143">
        <f t="shared" si="9"/>
        <v>0</v>
      </c>
      <c r="AG53" s="143">
        <f t="shared" si="9"/>
        <v>0</v>
      </c>
      <c r="AH53" s="143">
        <f t="shared" si="9"/>
        <v>0</v>
      </c>
      <c r="AI53" s="143">
        <f t="shared" si="9"/>
        <v>0</v>
      </c>
      <c r="AJ53" s="143">
        <f t="shared" si="9"/>
        <v>0</v>
      </c>
      <c r="AK53" s="143">
        <f t="shared" si="9"/>
        <v>0</v>
      </c>
      <c r="AL53" s="143">
        <f t="shared" si="9"/>
        <v>0</v>
      </c>
      <c r="AM53" s="143">
        <f t="shared" si="9"/>
        <v>0</v>
      </c>
      <c r="AN53" s="143">
        <f t="shared" si="9"/>
        <v>0</v>
      </c>
      <c r="AO53" s="143">
        <f t="shared" si="9"/>
        <v>0</v>
      </c>
      <c r="AP53" s="143">
        <f t="shared" si="9"/>
        <v>0</v>
      </c>
      <c r="AQ53" s="143">
        <f t="shared" si="9"/>
        <v>0</v>
      </c>
      <c r="AR53" s="143">
        <f t="shared" si="9"/>
        <v>0</v>
      </c>
      <c r="AS53" s="143">
        <f t="shared" si="9"/>
        <v>0</v>
      </c>
      <c r="AT53" s="143">
        <f t="shared" si="9"/>
        <v>0</v>
      </c>
      <c r="AU53" s="143">
        <f t="shared" si="9"/>
        <v>0</v>
      </c>
      <c r="AV53" s="143">
        <f t="shared" si="9"/>
        <v>0</v>
      </c>
      <c r="AW53" s="143">
        <f t="shared" si="9"/>
        <v>0</v>
      </c>
      <c r="AX53" s="143">
        <f t="shared" si="9"/>
        <v>0</v>
      </c>
      <c r="AY53" s="143">
        <f t="shared" si="9"/>
        <v>0</v>
      </c>
      <c r="AZ53" s="143">
        <f t="shared" si="9"/>
        <v>0</v>
      </c>
      <c r="BA53" s="143">
        <f t="shared" si="9"/>
        <v>0</v>
      </c>
      <c r="BB53" s="51"/>
    </row>
    <row r="54" spans="1:54" ht="15" customHeight="1" x14ac:dyDescent="0.35"/>
  </sheetData>
  <pageMargins left="0.7" right="0.7" top="0.75" bottom="0.75" header="0.3" footer="0.3"/>
  <pageSetup orientation="portrait"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45EC-F97A-430A-A7BD-620AA5A0BFB9}">
  <sheetPr>
    <tabColor theme="9" tint="-0.249977111117893"/>
  </sheetPr>
  <dimension ref="A1:BA434"/>
  <sheetViews>
    <sheetView topLeftCell="A245" zoomScale="110" zoomScaleNormal="110" workbookViewId="0">
      <selection activeCell="D154" sqref="D154"/>
    </sheetView>
  </sheetViews>
  <sheetFormatPr defaultColWidth="9.1796875" defaultRowHeight="14.5" zeroHeight="1" x14ac:dyDescent="0.35"/>
  <cols>
    <col min="1" max="1" width="2.1796875" customWidth="1"/>
    <col min="2" max="2" width="14.81640625" customWidth="1"/>
    <col min="3" max="3" width="19" bestFit="1" customWidth="1"/>
    <col min="4" max="4" width="24.54296875" bestFit="1" customWidth="1"/>
    <col min="5" max="5" width="24.54296875" customWidth="1"/>
    <col min="6" max="10" width="24.453125" customWidth="1"/>
    <col min="11" max="15" width="24.1796875" customWidth="1"/>
    <col min="16" max="18" width="24.453125" customWidth="1"/>
    <col min="19" max="42" width="24.1796875" customWidth="1"/>
  </cols>
  <sheetData>
    <row r="1" spans="1:53" ht="15" customHeight="1" x14ac:dyDescent="0.35">
      <c r="A1" s="380" t="s">
        <v>933</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2"/>
    </row>
    <row r="2" spans="1:53" ht="5.25" customHeight="1" x14ac:dyDescent="0.35">
      <c r="A2" s="4"/>
      <c r="B2" s="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row>
    <row r="3" spans="1:53" s="178" customFormat="1" x14ac:dyDescent="0.35"/>
    <row r="4" spans="1:53" x14ac:dyDescent="0.35">
      <c r="A4" s="178"/>
      <c r="B4" s="251" t="s">
        <v>1063</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row>
    <row r="5" spans="1:53" x14ac:dyDescent="0.35">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35">
      <c r="A6" s="178"/>
      <c r="B6" s="178"/>
      <c r="C6" s="694" t="s">
        <v>1064</v>
      </c>
      <c r="D6" s="695"/>
      <c r="E6" s="696"/>
      <c r="F6" s="424">
        <f>'SegmentTraffic Inputs'!H$29</f>
        <v>2023</v>
      </c>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35">
      <c r="A7" s="178"/>
      <c r="B7" s="178"/>
      <c r="C7" s="694" t="s">
        <v>1065</v>
      </c>
      <c r="D7" s="695"/>
      <c r="E7" s="696"/>
      <c r="F7" s="424">
        <f>'SegmentTraffic Inputs'!H$30</f>
        <v>2029</v>
      </c>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35">
      <c r="A8" s="178"/>
      <c r="B8" s="178"/>
      <c r="C8" s="694" t="s">
        <v>1066</v>
      </c>
      <c r="D8" s="695"/>
      <c r="E8" s="696"/>
      <c r="F8" s="424">
        <f>'SegmentTraffic Inputs'!H$31</f>
        <v>2048</v>
      </c>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35">
      <c r="A9" s="178"/>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35">
      <c r="A10" s="178"/>
      <c r="B10" s="178"/>
      <c r="C10" s="178"/>
      <c r="D10" s="178"/>
      <c r="E10" s="178"/>
      <c r="F10" s="419" t="str">
        <f>'SegmentTraffic Inputs'!$H$11</f>
        <v>I-35 Segment</v>
      </c>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35">
      <c r="A11" s="178"/>
      <c r="B11" s="178"/>
      <c r="C11" s="680" t="str">
        <f>"Daily Vehicle-Trips - "&amp;$F$6&amp;" (Base/Current)"</f>
        <v>Daily Vehicle-Trips - 2023 (Base/Current)</v>
      </c>
      <c r="D11" s="680"/>
      <c r="E11" s="702"/>
      <c r="F11" s="425">
        <f>'SegmentTraffic Inputs'!$H$49</f>
        <v>57300</v>
      </c>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35">
      <c r="A12" s="178"/>
      <c r="B12" s="178"/>
      <c r="C12" s="680" t="str">
        <f>"Daily Vehicle-Trips - "&amp;$F$7&amp;" (No Build)"</f>
        <v>Daily Vehicle-Trips - 2029 (No Build)</v>
      </c>
      <c r="D12" s="680"/>
      <c r="E12" s="702"/>
      <c r="F12" s="425">
        <f>'SegmentTraffic Inputs'!$H$51</f>
        <v>66840.360969389934</v>
      </c>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35">
      <c r="A13" s="178"/>
      <c r="B13" s="178"/>
      <c r="C13" s="680" t="str">
        <f>"Daily Vehicle-Trips - "&amp;$F$8&amp;" (No Build)"</f>
        <v>Daily Vehicle-Trips - 2048 (No Build)</v>
      </c>
      <c r="D13" s="680"/>
      <c r="E13" s="702"/>
      <c r="F13" s="425">
        <f>'SegmentTraffic Inputs'!$H$52</f>
        <v>108852.55852260484</v>
      </c>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35">
      <c r="A14" s="178"/>
      <c r="B14" s="178"/>
      <c r="C14" s="680" t="str">
        <f>"Daily Vehicle-Trips - "&amp;$F$7&amp;" (Build)"</f>
        <v>Daily Vehicle-Trips - 2029 (Build)</v>
      </c>
      <c r="D14" s="680"/>
      <c r="E14" s="702"/>
      <c r="F14" s="425">
        <f>'SegmentTraffic Inputs'!$H$54</f>
        <v>66840.360969389934</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35">
      <c r="A15" s="178"/>
      <c r="B15" s="178"/>
      <c r="C15" s="680" t="str">
        <f>"Daily Vehicle-Trips - "&amp;$F$8&amp;" (Build)"</f>
        <v>Daily Vehicle-Trips - 2048 (Build)</v>
      </c>
      <c r="D15" s="680"/>
      <c r="E15" s="702"/>
      <c r="F15" s="425">
        <f>'SegmentTraffic Inputs'!$H$55</f>
        <v>108852.55852260484</v>
      </c>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x14ac:dyDescent="0.35">
      <c r="A16" s="178"/>
      <c r="B16" s="178"/>
      <c r="C16" s="420"/>
      <c r="D16" s="420"/>
      <c r="E16" s="420"/>
      <c r="F16" s="421"/>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row>
    <row r="17" spans="1:51" x14ac:dyDescent="0.35">
      <c r="A17" s="178"/>
      <c r="B17" s="178"/>
      <c r="C17" s="694" t="str">
        <f>"Annual Growth Rate in Segment Traffic between "&amp;$F$6&amp;" and "&amp;$F$7&amp;" (No Build)"</f>
        <v>Annual Growth Rate in Segment Traffic between 2023 and 2029 (No Build)</v>
      </c>
      <c r="D17" s="695"/>
      <c r="E17" s="696"/>
      <c r="F17" s="418">
        <f>((F$12/F$11)^(1/($F$7-$F$6)))-1</f>
        <v>2.6000000000000023E-2</v>
      </c>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row>
    <row r="18" spans="1:51" x14ac:dyDescent="0.35">
      <c r="A18" s="178"/>
      <c r="B18" s="178"/>
      <c r="C18" s="694" t="str">
        <f>"Annual Growth Rate in Segment Traffic between "&amp;$F$7&amp;" and "&amp;$F$8&amp;" (No Build)"</f>
        <v>Annual Growth Rate in Segment Traffic between 2029 and 2048 (No Build)</v>
      </c>
      <c r="D18" s="695"/>
      <c r="E18" s="696"/>
      <c r="F18" s="417">
        <f>((F$13/F$12)^(1/($F$8-$F$7)))-1</f>
        <v>2.6000000000000023E-2</v>
      </c>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row>
    <row r="19" spans="1:51" x14ac:dyDescent="0.35">
      <c r="A19" s="178"/>
      <c r="B19" s="178"/>
      <c r="C19" s="694" t="str">
        <f>"Annual Growth Rate in Segment Traffic after "&amp;$F$8&amp;" (No Build)"</f>
        <v>Annual Growth Rate in Segment Traffic after 2048 (No Build)</v>
      </c>
      <c r="D19" s="695"/>
      <c r="E19" s="696"/>
      <c r="F19" s="426">
        <f>'SegmentTraffic Inputs'!$H$35</f>
        <v>0</v>
      </c>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row>
    <row r="20" spans="1:51" x14ac:dyDescent="0.35">
      <c r="A20" s="178"/>
      <c r="B20" s="178"/>
      <c r="C20" s="694" t="str">
        <f>"Annual Growth Rate in Segment Traffic between "&amp;$F$6&amp;" and "&amp;$F$7&amp;" (Build)"</f>
        <v>Annual Growth Rate in Segment Traffic between 2023 and 2029 (Build)</v>
      </c>
      <c r="D20" s="695"/>
      <c r="E20" s="696"/>
      <c r="F20" s="418">
        <f>((F$14/F$11)^(1/($F$7-$F$6)))-1</f>
        <v>2.6000000000000023E-2</v>
      </c>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row>
    <row r="21" spans="1:51" x14ac:dyDescent="0.35">
      <c r="A21" s="178"/>
      <c r="B21" s="178"/>
      <c r="C21" s="694" t="str">
        <f>"Annual Growth Rate in Segment Traffic between "&amp;$F$7&amp;" and "&amp;$F$8&amp;" (Build)"</f>
        <v>Annual Growth Rate in Segment Traffic between 2029 and 2048 (Build)</v>
      </c>
      <c r="D21" s="695"/>
      <c r="E21" s="696"/>
      <c r="F21" s="417">
        <f>((F$15/F$14)^(1/($F$8-$F$7)))-1</f>
        <v>2.6000000000000023E-2</v>
      </c>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row>
    <row r="22" spans="1:51" x14ac:dyDescent="0.35">
      <c r="A22" s="178"/>
      <c r="B22" s="178"/>
      <c r="C22" s="694" t="str">
        <f>"Annual Growth Rate in Segment Traffic after "&amp;$F$8&amp;" (Build)"</f>
        <v>Annual Growth Rate in Segment Traffic after 2048 (Build)</v>
      </c>
      <c r="D22" s="695"/>
      <c r="E22" s="696"/>
      <c r="F22" s="426">
        <f>'SegmentTraffic Inputs'!$H$35</f>
        <v>0</v>
      </c>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row>
    <row r="23" spans="1:51" x14ac:dyDescent="0.35">
      <c r="A23" s="178"/>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row>
    <row r="24" spans="1:51" x14ac:dyDescent="0.35">
      <c r="A24" s="178"/>
      <c r="B24" s="178"/>
      <c r="C24" s="178"/>
      <c r="D24" s="697" t="str">
        <f>"Vehicle ADTs ("&amp;'SegmentTraffic Inputs'!$H$11&amp;")"</f>
        <v>Vehicle ADTs (I-35 Segment)</v>
      </c>
      <c r="E24" s="699"/>
      <c r="F24" s="178"/>
      <c r="G24" s="178"/>
      <c r="H24" s="178"/>
      <c r="I24" s="178"/>
      <c r="J24" s="178"/>
      <c r="K24" s="697" t="str">
        <f>D24</f>
        <v>Vehicle ADTs (I-35 Segment)</v>
      </c>
      <c r="L24" s="698"/>
      <c r="M24" s="699"/>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row>
    <row r="25" spans="1:51" x14ac:dyDescent="0.35">
      <c r="A25" s="178"/>
      <c r="B25" s="178"/>
      <c r="C25" s="283" t="s">
        <v>1067</v>
      </c>
      <c r="D25" s="391" t="s">
        <v>1068</v>
      </c>
      <c r="E25" s="391" t="s">
        <v>1069</v>
      </c>
      <c r="F25" s="178"/>
      <c r="G25" s="178"/>
      <c r="H25" s="178"/>
      <c r="I25" s="178"/>
      <c r="J25" s="178"/>
      <c r="K25" s="391" t="s">
        <v>1070</v>
      </c>
      <c r="L25" s="391" t="s">
        <v>1071</v>
      </c>
      <c r="M25" s="391" t="s">
        <v>1072</v>
      </c>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row>
    <row r="26" spans="1:51" x14ac:dyDescent="0.35">
      <c r="A26" s="178"/>
      <c r="B26" s="178"/>
      <c r="C26" s="486">
        <f>$F$6</f>
        <v>2023</v>
      </c>
      <c r="D26" s="396">
        <f>IF($C26=$F$6,$F$11,IF($C26=$F$7,$F$12,IF($C26=$F$8,$F$13,IF($C26&lt;$F$6,0,IF(AND($C26&gt;$F$6,$C26&lt;$F$7),D25*(1+$F$17),IF(AND($C26&gt;$F$7,$C26&lt;$F$8),D25*(1+$F$18),IF($C26&gt;$F$8,D25*(1+$F$19))))))))</f>
        <v>57300</v>
      </c>
      <c r="E26" s="396">
        <f>IF($C26=$F$6,$F$11,IF($C26=$F$7,$F$14,IF($C26=$F$8,$F$15,IF($C26&lt;$F$6,0,IF(AND($C26&gt;$F$6,$C26&lt;$F$7),E25*(1+$F$20),IF(AND($C26&gt;$F$7,$C26&lt;$F$8),E25*(1+$F$21),IF($C26&gt;$F$8,E25*(1+$F$22))))))))</f>
        <v>57300</v>
      </c>
      <c r="F26" s="178"/>
      <c r="G26" s="178"/>
      <c r="H26" s="178"/>
      <c r="I26" s="178"/>
      <c r="J26" s="178"/>
      <c r="K26" s="396">
        <f>D26</f>
        <v>57300</v>
      </c>
      <c r="L26" s="396">
        <f>K26</f>
        <v>57300</v>
      </c>
      <c r="M26" s="396">
        <f t="shared" ref="M26:M71" si="0">E26-L26</f>
        <v>0</v>
      </c>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row>
    <row r="27" spans="1:51" x14ac:dyDescent="0.35">
      <c r="A27" s="178"/>
      <c r="B27" s="178"/>
      <c r="C27" s="395">
        <f>C26+1</f>
        <v>2024</v>
      </c>
      <c r="D27" s="396">
        <f t="shared" ref="D27:D71" si="1">IF($C27=$F$6,$F$11,IF($C27=$F$7,$F$12,IF($C27=$F$8,$F$13,IF($C27&lt;$F$6,0,IF(AND($C27&gt;$F$6,$C27&lt;$F$7),D26*(1+$F$17),IF(AND($C27&gt;$F$7,$C27&lt;$F$8),D26*(1+$F$18),IF($C27&gt;$F$8,D26*(1+$F$19))))))))</f>
        <v>58789.8</v>
      </c>
      <c r="E27" s="396">
        <f t="shared" ref="E27:E71" si="2">IF($C27=$F$6,$F$11,IF($C27=$F$7,$F$14,IF($C27=$F$8,$F$15,IF($C27&lt;$F$6,0,IF(AND($C27&gt;$F$6,$C27&lt;$F$7),E26*(1+$F$20),IF(AND($C27&gt;$F$7,$C27&lt;$F$8),E26*(1+$F$21),IF($C27&gt;$F$8,E26*(1+$F$22))))))))</f>
        <v>58789.8</v>
      </c>
      <c r="F27" s="178"/>
      <c r="G27" s="178"/>
      <c r="H27" s="178"/>
      <c r="I27" s="178"/>
      <c r="J27" s="178"/>
      <c r="K27" s="396">
        <f>D27</f>
        <v>58789.8</v>
      </c>
      <c r="L27" s="396">
        <f t="shared" ref="L27:L71" si="3">K27</f>
        <v>58789.8</v>
      </c>
      <c r="M27" s="396">
        <f t="shared" si="0"/>
        <v>0</v>
      </c>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row>
    <row r="28" spans="1:51" x14ac:dyDescent="0.35">
      <c r="A28" s="178"/>
      <c r="B28" s="178"/>
      <c r="C28" s="395">
        <f t="shared" ref="C28:C71" si="4">C27+1</f>
        <v>2025</v>
      </c>
      <c r="D28" s="396">
        <f t="shared" si="1"/>
        <v>60318.334800000004</v>
      </c>
      <c r="E28" s="396">
        <f t="shared" si="2"/>
        <v>60318.334800000004</v>
      </c>
      <c r="F28" s="178"/>
      <c r="G28" s="178"/>
      <c r="H28" s="178"/>
      <c r="I28" s="178"/>
      <c r="J28" s="178"/>
      <c r="K28" s="396">
        <f t="shared" ref="K28:K71" si="5">D28</f>
        <v>60318.334800000004</v>
      </c>
      <c r="L28" s="396">
        <f t="shared" si="3"/>
        <v>60318.334800000004</v>
      </c>
      <c r="M28" s="396">
        <f t="shared" si="0"/>
        <v>0</v>
      </c>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row>
    <row r="29" spans="1:51" x14ac:dyDescent="0.35">
      <c r="A29" s="178"/>
      <c r="B29" s="178"/>
      <c r="C29" s="395">
        <f t="shared" si="4"/>
        <v>2026</v>
      </c>
      <c r="D29" s="396">
        <f t="shared" si="1"/>
        <v>61886.611504800007</v>
      </c>
      <c r="E29" s="396">
        <f t="shared" si="2"/>
        <v>61886.611504800007</v>
      </c>
      <c r="F29" s="178"/>
      <c r="G29" s="178"/>
      <c r="H29" s="178"/>
      <c r="I29" s="178"/>
      <c r="J29" s="178"/>
      <c r="K29" s="396">
        <f t="shared" si="5"/>
        <v>61886.611504800007</v>
      </c>
      <c r="L29" s="396">
        <f t="shared" si="3"/>
        <v>61886.611504800007</v>
      </c>
      <c r="M29" s="396">
        <f t="shared" si="0"/>
        <v>0</v>
      </c>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row>
    <row r="30" spans="1:51" x14ac:dyDescent="0.35">
      <c r="A30" s="178"/>
      <c r="B30" s="178"/>
      <c r="C30" s="395">
        <f t="shared" si="4"/>
        <v>2027</v>
      </c>
      <c r="D30" s="396">
        <f t="shared" si="1"/>
        <v>63495.663403924809</v>
      </c>
      <c r="E30" s="396">
        <f t="shared" si="2"/>
        <v>63495.663403924809</v>
      </c>
      <c r="F30" s="178"/>
      <c r="G30" s="178"/>
      <c r="H30" s="178"/>
      <c r="I30" s="178"/>
      <c r="J30" s="178"/>
      <c r="K30" s="396">
        <f t="shared" si="5"/>
        <v>63495.663403924809</v>
      </c>
      <c r="L30" s="396">
        <f t="shared" si="3"/>
        <v>63495.663403924809</v>
      </c>
      <c r="M30" s="396">
        <f t="shared" si="0"/>
        <v>0</v>
      </c>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row>
    <row r="31" spans="1:51" x14ac:dyDescent="0.35">
      <c r="A31" s="178"/>
      <c r="B31" s="178"/>
      <c r="C31" s="395">
        <f t="shared" si="4"/>
        <v>2028</v>
      </c>
      <c r="D31" s="396">
        <f t="shared" si="1"/>
        <v>65146.550652426857</v>
      </c>
      <c r="E31" s="396">
        <f t="shared" si="2"/>
        <v>65146.550652426857</v>
      </c>
      <c r="F31" s="178"/>
      <c r="G31" s="178"/>
      <c r="H31" s="178"/>
      <c r="I31" s="178"/>
      <c r="J31" s="178"/>
      <c r="K31" s="396">
        <f t="shared" si="5"/>
        <v>65146.550652426857</v>
      </c>
      <c r="L31" s="396">
        <f t="shared" si="3"/>
        <v>65146.550652426857</v>
      </c>
      <c r="M31" s="396">
        <f t="shared" si="0"/>
        <v>0</v>
      </c>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row>
    <row r="32" spans="1:51" x14ac:dyDescent="0.35">
      <c r="A32" s="178"/>
      <c r="B32" s="178"/>
      <c r="C32" s="395">
        <f t="shared" si="4"/>
        <v>2029</v>
      </c>
      <c r="D32" s="396">
        <f t="shared" si="1"/>
        <v>66840.360969389934</v>
      </c>
      <c r="E32" s="396">
        <f t="shared" si="2"/>
        <v>66840.360969389934</v>
      </c>
      <c r="F32" s="178"/>
      <c r="G32" s="178"/>
      <c r="H32" s="178"/>
      <c r="I32" s="178"/>
      <c r="J32" s="178"/>
      <c r="K32" s="396">
        <f t="shared" si="5"/>
        <v>66840.360969389934</v>
      </c>
      <c r="L32" s="396">
        <f t="shared" si="3"/>
        <v>66840.360969389934</v>
      </c>
      <c r="M32" s="396">
        <f t="shared" si="0"/>
        <v>0</v>
      </c>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row>
    <row r="33" spans="1:51" x14ac:dyDescent="0.35">
      <c r="A33" s="178"/>
      <c r="B33" s="178"/>
      <c r="C33" s="395">
        <f t="shared" si="4"/>
        <v>2030</v>
      </c>
      <c r="D33" s="396">
        <f>IF($C33=$F$6,$F$11,IF($C33=$F$7,$F$12,IF($C33=$F$8,$F$13,IF($C33&lt;$F$6,0,IF(AND($C33&gt;$F$6,$C33&lt;$F$7),D32*(1+$F$17),IF(AND($C33&gt;$F$7,$C33&lt;$F$8),D32*(1+$F$18),IF($C33&gt;$F$8,D32*(1+$F$19))))))))</f>
        <v>68578.210354594077</v>
      </c>
      <c r="E33" s="396">
        <f t="shared" si="2"/>
        <v>68578.210354594077</v>
      </c>
      <c r="F33" s="178"/>
      <c r="G33" s="178"/>
      <c r="H33" s="178"/>
      <c r="I33" s="178"/>
      <c r="J33" s="178"/>
      <c r="K33" s="396">
        <f t="shared" si="5"/>
        <v>68578.210354594077</v>
      </c>
      <c r="L33" s="396">
        <f t="shared" si="3"/>
        <v>68578.210354594077</v>
      </c>
      <c r="M33" s="396">
        <f t="shared" si="0"/>
        <v>0</v>
      </c>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row>
    <row r="34" spans="1:51" x14ac:dyDescent="0.35">
      <c r="A34" s="178"/>
      <c r="B34" s="178"/>
      <c r="C34" s="395">
        <f t="shared" si="4"/>
        <v>2031</v>
      </c>
      <c r="D34" s="396">
        <f t="shared" si="1"/>
        <v>70361.243823813522</v>
      </c>
      <c r="E34" s="396">
        <f t="shared" si="2"/>
        <v>70361.243823813522</v>
      </c>
      <c r="F34" s="178"/>
      <c r="G34" s="178"/>
      <c r="H34" s="178"/>
      <c r="I34" s="178"/>
      <c r="J34" s="178"/>
      <c r="K34" s="396">
        <f t="shared" si="5"/>
        <v>70361.243823813522</v>
      </c>
      <c r="L34" s="396">
        <f t="shared" si="3"/>
        <v>70361.243823813522</v>
      </c>
      <c r="M34" s="396">
        <f t="shared" si="0"/>
        <v>0</v>
      </c>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row>
    <row r="35" spans="1:51" x14ac:dyDescent="0.35">
      <c r="A35" s="178"/>
      <c r="B35" s="178"/>
      <c r="C35" s="395">
        <f t="shared" si="4"/>
        <v>2032</v>
      </c>
      <c r="D35" s="396">
        <f t="shared" si="1"/>
        <v>72190.636163232673</v>
      </c>
      <c r="E35" s="396">
        <f t="shared" si="2"/>
        <v>72190.636163232673</v>
      </c>
      <c r="F35" s="178"/>
      <c r="G35" s="178"/>
      <c r="H35" s="178"/>
      <c r="I35" s="178"/>
      <c r="J35" s="178"/>
      <c r="K35" s="396">
        <f t="shared" si="5"/>
        <v>72190.636163232673</v>
      </c>
      <c r="L35" s="396">
        <f t="shared" si="3"/>
        <v>72190.636163232673</v>
      </c>
      <c r="M35" s="396">
        <f t="shared" si="0"/>
        <v>0</v>
      </c>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row>
    <row r="36" spans="1:51" x14ac:dyDescent="0.35">
      <c r="A36" s="178"/>
      <c r="B36" s="178"/>
      <c r="C36" s="395">
        <f t="shared" si="4"/>
        <v>2033</v>
      </c>
      <c r="D36" s="396">
        <f t="shared" si="1"/>
        <v>74067.592703476723</v>
      </c>
      <c r="E36" s="396">
        <f t="shared" si="2"/>
        <v>74067.592703476723</v>
      </c>
      <c r="F36" s="178"/>
      <c r="G36" s="178"/>
      <c r="H36" s="178"/>
      <c r="I36" s="178"/>
      <c r="J36" s="178"/>
      <c r="K36" s="396">
        <f t="shared" si="5"/>
        <v>74067.592703476723</v>
      </c>
      <c r="L36" s="396">
        <f t="shared" si="3"/>
        <v>74067.592703476723</v>
      </c>
      <c r="M36" s="396">
        <f t="shared" si="0"/>
        <v>0</v>
      </c>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row>
    <row r="37" spans="1:51" x14ac:dyDescent="0.35">
      <c r="A37" s="178"/>
      <c r="B37" s="178"/>
      <c r="C37" s="395">
        <f t="shared" si="4"/>
        <v>2034</v>
      </c>
      <c r="D37" s="396">
        <f t="shared" si="1"/>
        <v>75993.350113767126</v>
      </c>
      <c r="E37" s="396">
        <f t="shared" si="2"/>
        <v>75993.350113767126</v>
      </c>
      <c r="F37" s="178"/>
      <c r="G37" s="178"/>
      <c r="H37" s="178"/>
      <c r="I37" s="178"/>
      <c r="J37" s="178"/>
      <c r="K37" s="396">
        <f t="shared" si="5"/>
        <v>75993.350113767126</v>
      </c>
      <c r="L37" s="396">
        <f t="shared" si="3"/>
        <v>75993.350113767126</v>
      </c>
      <c r="M37" s="396">
        <f t="shared" si="0"/>
        <v>0</v>
      </c>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row>
    <row r="38" spans="1:51" x14ac:dyDescent="0.35">
      <c r="A38" s="178"/>
      <c r="B38" s="178"/>
      <c r="C38" s="395">
        <f t="shared" si="4"/>
        <v>2035</v>
      </c>
      <c r="D38" s="396">
        <f t="shared" si="1"/>
        <v>77969.177216725075</v>
      </c>
      <c r="E38" s="396">
        <f t="shared" si="2"/>
        <v>77969.177216725075</v>
      </c>
      <c r="F38" s="178"/>
      <c r="G38" s="178"/>
      <c r="H38" s="178"/>
      <c r="I38" s="178"/>
      <c r="J38" s="178"/>
      <c r="K38" s="396">
        <f t="shared" si="5"/>
        <v>77969.177216725075</v>
      </c>
      <c r="L38" s="396">
        <f t="shared" si="3"/>
        <v>77969.177216725075</v>
      </c>
      <c r="M38" s="396">
        <f t="shared" si="0"/>
        <v>0</v>
      </c>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row>
    <row r="39" spans="1:51" x14ac:dyDescent="0.35">
      <c r="A39" s="178"/>
      <c r="B39" s="178"/>
      <c r="C39" s="395">
        <f t="shared" si="4"/>
        <v>2036</v>
      </c>
      <c r="D39" s="396">
        <f t="shared" si="1"/>
        <v>79996.37582435993</v>
      </c>
      <c r="E39" s="396">
        <f t="shared" si="2"/>
        <v>79996.37582435993</v>
      </c>
      <c r="F39" s="178"/>
      <c r="G39" s="178"/>
      <c r="H39" s="178"/>
      <c r="I39" s="178"/>
      <c r="J39" s="178"/>
      <c r="K39" s="396">
        <f t="shared" si="5"/>
        <v>79996.37582435993</v>
      </c>
      <c r="L39" s="396">
        <f t="shared" si="3"/>
        <v>79996.37582435993</v>
      </c>
      <c r="M39" s="396">
        <f t="shared" si="0"/>
        <v>0</v>
      </c>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row>
    <row r="40" spans="1:51" x14ac:dyDescent="0.35">
      <c r="A40" s="178"/>
      <c r="B40" s="178"/>
      <c r="C40" s="395">
        <f t="shared" si="4"/>
        <v>2037</v>
      </c>
      <c r="D40" s="396">
        <f t="shared" si="1"/>
        <v>82076.281595793291</v>
      </c>
      <c r="E40" s="396">
        <f t="shared" si="2"/>
        <v>82076.281595793291</v>
      </c>
      <c r="F40" s="178"/>
      <c r="G40" s="178"/>
      <c r="H40" s="178"/>
      <c r="I40" s="178"/>
      <c r="J40" s="178"/>
      <c r="K40" s="396">
        <f t="shared" si="5"/>
        <v>82076.281595793291</v>
      </c>
      <c r="L40" s="396">
        <f t="shared" si="3"/>
        <v>82076.281595793291</v>
      </c>
      <c r="M40" s="396">
        <f t="shared" si="0"/>
        <v>0</v>
      </c>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row>
    <row r="41" spans="1:51" x14ac:dyDescent="0.35">
      <c r="A41" s="178"/>
      <c r="B41" s="178"/>
      <c r="C41" s="395">
        <f t="shared" si="4"/>
        <v>2038</v>
      </c>
      <c r="D41" s="396">
        <f t="shared" si="1"/>
        <v>84210.264917283916</v>
      </c>
      <c r="E41" s="396">
        <f t="shared" si="2"/>
        <v>84210.264917283916</v>
      </c>
      <c r="F41" s="178"/>
      <c r="G41" s="178"/>
      <c r="H41" s="178"/>
      <c r="I41" s="178"/>
      <c r="J41" s="178"/>
      <c r="K41" s="396">
        <f t="shared" si="5"/>
        <v>84210.264917283916</v>
      </c>
      <c r="L41" s="396">
        <f t="shared" si="3"/>
        <v>84210.264917283916</v>
      </c>
      <c r="M41" s="396">
        <f t="shared" si="0"/>
        <v>0</v>
      </c>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row>
    <row r="42" spans="1:51" x14ac:dyDescent="0.35">
      <c r="A42" s="178"/>
      <c r="B42" s="178"/>
      <c r="C42" s="395">
        <f t="shared" si="4"/>
        <v>2039</v>
      </c>
      <c r="D42" s="396">
        <f t="shared" si="1"/>
        <v>86399.731805133299</v>
      </c>
      <c r="E42" s="396">
        <f t="shared" si="2"/>
        <v>86399.731805133299</v>
      </c>
      <c r="F42" s="178"/>
      <c r="G42" s="178"/>
      <c r="H42" s="178"/>
      <c r="I42" s="178"/>
      <c r="J42" s="178"/>
      <c r="K42" s="396">
        <f t="shared" si="5"/>
        <v>86399.731805133299</v>
      </c>
      <c r="L42" s="396">
        <f t="shared" si="3"/>
        <v>86399.731805133299</v>
      </c>
      <c r="M42" s="396">
        <f t="shared" si="0"/>
        <v>0</v>
      </c>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row>
    <row r="43" spans="1:51" x14ac:dyDescent="0.35">
      <c r="A43" s="178"/>
      <c r="B43" s="178"/>
      <c r="C43" s="395">
        <f t="shared" si="4"/>
        <v>2040</v>
      </c>
      <c r="D43" s="396">
        <f t="shared" si="1"/>
        <v>88646.124832066766</v>
      </c>
      <c r="E43" s="396">
        <f t="shared" si="2"/>
        <v>88646.124832066766</v>
      </c>
      <c r="F43" s="178"/>
      <c r="G43" s="178"/>
      <c r="H43" s="178"/>
      <c r="I43" s="178"/>
      <c r="J43" s="178"/>
      <c r="K43" s="396">
        <f t="shared" si="5"/>
        <v>88646.124832066766</v>
      </c>
      <c r="L43" s="396">
        <f t="shared" si="3"/>
        <v>88646.124832066766</v>
      </c>
      <c r="M43" s="396">
        <f t="shared" si="0"/>
        <v>0</v>
      </c>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row>
    <row r="44" spans="1:51" x14ac:dyDescent="0.35">
      <c r="A44" s="178"/>
      <c r="B44" s="178"/>
      <c r="C44" s="395">
        <f t="shared" si="4"/>
        <v>2041</v>
      </c>
      <c r="D44" s="396">
        <f t="shared" si="1"/>
        <v>90950.924077700503</v>
      </c>
      <c r="E44" s="396">
        <f t="shared" si="2"/>
        <v>90950.924077700503</v>
      </c>
      <c r="F44" s="178"/>
      <c r="G44" s="178"/>
      <c r="H44" s="178"/>
      <c r="I44" s="178"/>
      <c r="J44" s="178"/>
      <c r="K44" s="396">
        <f t="shared" si="5"/>
        <v>90950.924077700503</v>
      </c>
      <c r="L44" s="396">
        <f t="shared" si="3"/>
        <v>90950.924077700503</v>
      </c>
      <c r="M44" s="396">
        <f t="shared" si="0"/>
        <v>0</v>
      </c>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row>
    <row r="45" spans="1:51" x14ac:dyDescent="0.35">
      <c r="A45" s="178"/>
      <c r="B45" s="178"/>
      <c r="C45" s="395">
        <f t="shared" si="4"/>
        <v>2042</v>
      </c>
      <c r="D45" s="396">
        <f t="shared" si="1"/>
        <v>93315.648103720712</v>
      </c>
      <c r="E45" s="396">
        <f t="shared" si="2"/>
        <v>93315.648103720712</v>
      </c>
      <c r="F45" s="178"/>
      <c r="G45" s="178"/>
      <c r="H45" s="178"/>
      <c r="I45" s="178"/>
      <c r="J45" s="178"/>
      <c r="K45" s="396">
        <f t="shared" si="5"/>
        <v>93315.648103720712</v>
      </c>
      <c r="L45" s="396">
        <f t="shared" si="3"/>
        <v>93315.648103720712</v>
      </c>
      <c r="M45" s="396">
        <f t="shared" si="0"/>
        <v>0</v>
      </c>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row>
    <row r="46" spans="1:51" x14ac:dyDescent="0.35">
      <c r="A46" s="178"/>
      <c r="B46" s="178"/>
      <c r="C46" s="395">
        <f t="shared" si="4"/>
        <v>2043</v>
      </c>
      <c r="D46" s="396">
        <f t="shared" si="1"/>
        <v>95741.854954417446</v>
      </c>
      <c r="E46" s="396">
        <f t="shared" si="2"/>
        <v>95741.854954417446</v>
      </c>
      <c r="F46" s="178"/>
      <c r="G46" s="178"/>
      <c r="H46" s="178"/>
      <c r="I46" s="178"/>
      <c r="J46" s="178"/>
      <c r="K46" s="396">
        <f t="shared" si="5"/>
        <v>95741.854954417446</v>
      </c>
      <c r="L46" s="396">
        <f t="shared" si="3"/>
        <v>95741.854954417446</v>
      </c>
      <c r="M46" s="396">
        <f t="shared" si="0"/>
        <v>0</v>
      </c>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row>
    <row r="47" spans="1:51" x14ac:dyDescent="0.35">
      <c r="A47" s="178"/>
      <c r="B47" s="178"/>
      <c r="C47" s="395">
        <f t="shared" si="4"/>
        <v>2044</v>
      </c>
      <c r="D47" s="396">
        <f t="shared" si="1"/>
        <v>98231.1431832323</v>
      </c>
      <c r="E47" s="396">
        <f t="shared" si="2"/>
        <v>98231.1431832323</v>
      </c>
      <c r="F47" s="178"/>
      <c r="G47" s="178"/>
      <c r="H47" s="178"/>
      <c r="I47" s="178"/>
      <c r="J47" s="178"/>
      <c r="K47" s="396">
        <f t="shared" si="5"/>
        <v>98231.1431832323</v>
      </c>
      <c r="L47" s="396">
        <f t="shared" si="3"/>
        <v>98231.1431832323</v>
      </c>
      <c r="M47" s="396">
        <f t="shared" si="0"/>
        <v>0</v>
      </c>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row>
    <row r="48" spans="1:51" x14ac:dyDescent="0.35">
      <c r="A48" s="178"/>
      <c r="B48" s="178"/>
      <c r="C48" s="395">
        <f t="shared" si="4"/>
        <v>2045</v>
      </c>
      <c r="D48" s="396">
        <f t="shared" si="1"/>
        <v>100785.15290599634</v>
      </c>
      <c r="E48" s="396">
        <f t="shared" si="2"/>
        <v>100785.15290599634</v>
      </c>
      <c r="F48" s="178"/>
      <c r="G48" s="178"/>
      <c r="H48" s="178"/>
      <c r="I48" s="178"/>
      <c r="J48" s="178"/>
      <c r="K48" s="396">
        <f t="shared" si="5"/>
        <v>100785.15290599634</v>
      </c>
      <c r="L48" s="396">
        <f t="shared" si="3"/>
        <v>100785.15290599634</v>
      </c>
      <c r="M48" s="396">
        <f t="shared" si="0"/>
        <v>0</v>
      </c>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row>
    <row r="49" spans="1:51" x14ac:dyDescent="0.35">
      <c r="A49" s="178"/>
      <c r="B49" s="178"/>
      <c r="C49" s="395">
        <f t="shared" si="4"/>
        <v>2046</v>
      </c>
      <c r="D49" s="396">
        <f t="shared" si="1"/>
        <v>103405.56688155224</v>
      </c>
      <c r="E49" s="396">
        <f t="shared" si="2"/>
        <v>103405.56688155224</v>
      </c>
      <c r="F49" s="178"/>
      <c r="G49" s="178"/>
      <c r="H49" s="178"/>
      <c r="I49" s="178"/>
      <c r="J49" s="178"/>
      <c r="K49" s="396">
        <f t="shared" si="5"/>
        <v>103405.56688155224</v>
      </c>
      <c r="L49" s="396">
        <f t="shared" si="3"/>
        <v>103405.56688155224</v>
      </c>
      <c r="M49" s="396">
        <f t="shared" si="0"/>
        <v>0</v>
      </c>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row>
    <row r="50" spans="1:51" x14ac:dyDescent="0.35">
      <c r="A50" s="178"/>
      <c r="B50" s="178"/>
      <c r="C50" s="395">
        <f t="shared" si="4"/>
        <v>2047</v>
      </c>
      <c r="D50" s="396">
        <f t="shared" si="1"/>
        <v>106094.1116204726</v>
      </c>
      <c r="E50" s="396">
        <f t="shared" si="2"/>
        <v>106094.1116204726</v>
      </c>
      <c r="F50" s="178"/>
      <c r="G50" s="178"/>
      <c r="H50" s="178"/>
      <c r="I50" s="178"/>
      <c r="J50" s="178"/>
      <c r="K50" s="396">
        <f t="shared" si="5"/>
        <v>106094.1116204726</v>
      </c>
      <c r="L50" s="396">
        <f t="shared" si="3"/>
        <v>106094.1116204726</v>
      </c>
      <c r="M50" s="396">
        <f t="shared" si="0"/>
        <v>0</v>
      </c>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row>
    <row r="51" spans="1:51" x14ac:dyDescent="0.35">
      <c r="A51" s="178"/>
      <c r="B51" s="178"/>
      <c r="C51" s="395">
        <f t="shared" si="4"/>
        <v>2048</v>
      </c>
      <c r="D51" s="396">
        <f t="shared" si="1"/>
        <v>108852.55852260484</v>
      </c>
      <c r="E51" s="396">
        <f t="shared" si="2"/>
        <v>108852.55852260484</v>
      </c>
      <c r="F51" s="178"/>
      <c r="G51" s="178"/>
      <c r="H51" s="178"/>
      <c r="I51" s="178"/>
      <c r="J51" s="178"/>
      <c r="K51" s="396">
        <f t="shared" si="5"/>
        <v>108852.55852260484</v>
      </c>
      <c r="L51" s="396">
        <f t="shared" si="3"/>
        <v>108852.55852260484</v>
      </c>
      <c r="M51" s="396">
        <f t="shared" si="0"/>
        <v>0</v>
      </c>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row>
    <row r="52" spans="1:51" x14ac:dyDescent="0.35">
      <c r="A52" s="178"/>
      <c r="B52" s="178"/>
      <c r="C52" s="395">
        <f t="shared" si="4"/>
        <v>2049</v>
      </c>
      <c r="D52" s="396">
        <f t="shared" si="1"/>
        <v>108852.55852260484</v>
      </c>
      <c r="E52" s="396">
        <f t="shared" si="2"/>
        <v>108852.55852260484</v>
      </c>
      <c r="F52" s="178"/>
      <c r="G52" s="178"/>
      <c r="H52" s="178"/>
      <c r="I52" s="178"/>
      <c r="J52" s="178"/>
      <c r="K52" s="396">
        <f t="shared" si="5"/>
        <v>108852.55852260484</v>
      </c>
      <c r="L52" s="396">
        <f t="shared" si="3"/>
        <v>108852.55852260484</v>
      </c>
      <c r="M52" s="396">
        <f t="shared" si="0"/>
        <v>0</v>
      </c>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row>
    <row r="53" spans="1:51" x14ac:dyDescent="0.35">
      <c r="A53" s="178"/>
      <c r="B53" s="178"/>
      <c r="C53" s="395">
        <f t="shared" si="4"/>
        <v>2050</v>
      </c>
      <c r="D53" s="396">
        <f t="shared" si="1"/>
        <v>108852.55852260484</v>
      </c>
      <c r="E53" s="396">
        <f t="shared" si="2"/>
        <v>108852.55852260484</v>
      </c>
      <c r="F53" s="178"/>
      <c r="G53" s="178"/>
      <c r="H53" s="178"/>
      <c r="I53" s="178"/>
      <c r="J53" s="178"/>
      <c r="K53" s="396">
        <f t="shared" si="5"/>
        <v>108852.55852260484</v>
      </c>
      <c r="L53" s="396">
        <f t="shared" si="3"/>
        <v>108852.55852260484</v>
      </c>
      <c r="M53" s="396">
        <f t="shared" si="0"/>
        <v>0</v>
      </c>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row>
    <row r="54" spans="1:51" x14ac:dyDescent="0.35">
      <c r="A54" s="178"/>
      <c r="B54" s="178"/>
      <c r="C54" s="395">
        <f t="shared" si="4"/>
        <v>2051</v>
      </c>
      <c r="D54" s="396">
        <f t="shared" si="1"/>
        <v>108852.55852260484</v>
      </c>
      <c r="E54" s="396">
        <f t="shared" si="2"/>
        <v>108852.55852260484</v>
      </c>
      <c r="F54" s="178"/>
      <c r="G54" s="178"/>
      <c r="H54" s="178"/>
      <c r="I54" s="178"/>
      <c r="J54" s="178"/>
      <c r="K54" s="396">
        <f t="shared" si="5"/>
        <v>108852.55852260484</v>
      </c>
      <c r="L54" s="396">
        <f t="shared" si="3"/>
        <v>108852.55852260484</v>
      </c>
      <c r="M54" s="396">
        <f t="shared" si="0"/>
        <v>0</v>
      </c>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row>
    <row r="55" spans="1:51" x14ac:dyDescent="0.35">
      <c r="A55" s="178"/>
      <c r="B55" s="178"/>
      <c r="C55" s="395">
        <f t="shared" si="4"/>
        <v>2052</v>
      </c>
      <c r="D55" s="396">
        <f t="shared" si="1"/>
        <v>108852.55852260484</v>
      </c>
      <c r="E55" s="396">
        <f t="shared" si="2"/>
        <v>108852.55852260484</v>
      </c>
      <c r="F55" s="178"/>
      <c r="G55" s="178"/>
      <c r="H55" s="178"/>
      <c r="I55" s="178"/>
      <c r="J55" s="178"/>
      <c r="K55" s="396">
        <f t="shared" si="5"/>
        <v>108852.55852260484</v>
      </c>
      <c r="L55" s="396">
        <f t="shared" si="3"/>
        <v>108852.55852260484</v>
      </c>
      <c r="M55" s="396">
        <f t="shared" si="0"/>
        <v>0</v>
      </c>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row>
    <row r="56" spans="1:51" x14ac:dyDescent="0.35">
      <c r="A56" s="178"/>
      <c r="B56" s="178"/>
      <c r="C56" s="395">
        <f t="shared" si="4"/>
        <v>2053</v>
      </c>
      <c r="D56" s="396">
        <f t="shared" si="1"/>
        <v>108852.55852260484</v>
      </c>
      <c r="E56" s="396">
        <f t="shared" si="2"/>
        <v>108852.55852260484</v>
      </c>
      <c r="F56" s="178"/>
      <c r="G56" s="178"/>
      <c r="H56" s="178"/>
      <c r="I56" s="178"/>
      <c r="J56" s="178"/>
      <c r="K56" s="396">
        <f t="shared" si="5"/>
        <v>108852.55852260484</v>
      </c>
      <c r="L56" s="396">
        <f t="shared" si="3"/>
        <v>108852.55852260484</v>
      </c>
      <c r="M56" s="396">
        <f t="shared" si="0"/>
        <v>0</v>
      </c>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row>
    <row r="57" spans="1:51" x14ac:dyDescent="0.35">
      <c r="A57" s="178"/>
      <c r="B57" s="178"/>
      <c r="C57" s="395">
        <f t="shared" si="4"/>
        <v>2054</v>
      </c>
      <c r="D57" s="396">
        <f t="shared" si="1"/>
        <v>108852.55852260484</v>
      </c>
      <c r="E57" s="396">
        <f t="shared" si="2"/>
        <v>108852.55852260484</v>
      </c>
      <c r="F57" s="178"/>
      <c r="G57" s="178"/>
      <c r="H57" s="178"/>
      <c r="I57" s="178"/>
      <c r="J57" s="178"/>
      <c r="K57" s="396">
        <f t="shared" si="5"/>
        <v>108852.55852260484</v>
      </c>
      <c r="L57" s="396">
        <f t="shared" si="3"/>
        <v>108852.55852260484</v>
      </c>
      <c r="M57" s="396">
        <f t="shared" si="0"/>
        <v>0</v>
      </c>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row>
    <row r="58" spans="1:51" x14ac:dyDescent="0.35">
      <c r="A58" s="178"/>
      <c r="B58" s="178"/>
      <c r="C58" s="395">
        <f t="shared" si="4"/>
        <v>2055</v>
      </c>
      <c r="D58" s="396">
        <f t="shared" si="1"/>
        <v>108852.55852260484</v>
      </c>
      <c r="E58" s="396">
        <f t="shared" si="2"/>
        <v>108852.55852260484</v>
      </c>
      <c r="F58" s="178"/>
      <c r="G58" s="178"/>
      <c r="H58" s="178"/>
      <c r="I58" s="178"/>
      <c r="J58" s="178"/>
      <c r="K58" s="396">
        <f t="shared" si="5"/>
        <v>108852.55852260484</v>
      </c>
      <c r="L58" s="396">
        <f t="shared" si="3"/>
        <v>108852.55852260484</v>
      </c>
      <c r="M58" s="396">
        <f t="shared" si="0"/>
        <v>0</v>
      </c>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row>
    <row r="59" spans="1:51" x14ac:dyDescent="0.35">
      <c r="A59" s="178"/>
      <c r="B59" s="178"/>
      <c r="C59" s="395">
        <f t="shared" si="4"/>
        <v>2056</v>
      </c>
      <c r="D59" s="396">
        <f t="shared" si="1"/>
        <v>108852.55852260484</v>
      </c>
      <c r="E59" s="396">
        <f t="shared" si="2"/>
        <v>108852.55852260484</v>
      </c>
      <c r="F59" s="178"/>
      <c r="G59" s="178"/>
      <c r="H59" s="178"/>
      <c r="I59" s="178"/>
      <c r="J59" s="178"/>
      <c r="K59" s="396">
        <f t="shared" si="5"/>
        <v>108852.55852260484</v>
      </c>
      <c r="L59" s="396">
        <f t="shared" si="3"/>
        <v>108852.55852260484</v>
      </c>
      <c r="M59" s="396">
        <f t="shared" si="0"/>
        <v>0</v>
      </c>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row>
    <row r="60" spans="1:51" x14ac:dyDescent="0.35">
      <c r="A60" s="178"/>
      <c r="B60" s="178"/>
      <c r="C60" s="395">
        <f t="shared" si="4"/>
        <v>2057</v>
      </c>
      <c r="D60" s="396">
        <f t="shared" si="1"/>
        <v>108852.55852260484</v>
      </c>
      <c r="E60" s="396">
        <f t="shared" si="2"/>
        <v>108852.55852260484</v>
      </c>
      <c r="F60" s="178"/>
      <c r="G60" s="178"/>
      <c r="H60" s="178"/>
      <c r="I60" s="178"/>
      <c r="J60" s="178"/>
      <c r="K60" s="396">
        <f t="shared" si="5"/>
        <v>108852.55852260484</v>
      </c>
      <c r="L60" s="396">
        <f t="shared" si="3"/>
        <v>108852.55852260484</v>
      </c>
      <c r="M60" s="396">
        <f t="shared" si="0"/>
        <v>0</v>
      </c>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row>
    <row r="61" spans="1:51" x14ac:dyDescent="0.35">
      <c r="A61" s="178"/>
      <c r="B61" s="178"/>
      <c r="C61" s="395">
        <f t="shared" si="4"/>
        <v>2058</v>
      </c>
      <c r="D61" s="396">
        <f t="shared" si="1"/>
        <v>108852.55852260484</v>
      </c>
      <c r="E61" s="396">
        <f t="shared" si="2"/>
        <v>108852.55852260484</v>
      </c>
      <c r="F61" s="178"/>
      <c r="G61" s="178"/>
      <c r="H61" s="178"/>
      <c r="I61" s="178"/>
      <c r="J61" s="178"/>
      <c r="K61" s="396">
        <f t="shared" si="5"/>
        <v>108852.55852260484</v>
      </c>
      <c r="L61" s="396">
        <f t="shared" si="3"/>
        <v>108852.55852260484</v>
      </c>
      <c r="M61" s="396">
        <f t="shared" si="0"/>
        <v>0</v>
      </c>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row>
    <row r="62" spans="1:51" x14ac:dyDescent="0.35">
      <c r="A62" s="178"/>
      <c r="B62" s="178"/>
      <c r="C62" s="395">
        <f t="shared" si="4"/>
        <v>2059</v>
      </c>
      <c r="D62" s="396">
        <f t="shared" si="1"/>
        <v>108852.55852260484</v>
      </c>
      <c r="E62" s="396">
        <f t="shared" si="2"/>
        <v>108852.55852260484</v>
      </c>
      <c r="F62" s="178"/>
      <c r="G62" s="178"/>
      <c r="H62" s="178"/>
      <c r="I62" s="178"/>
      <c r="J62" s="178"/>
      <c r="K62" s="396">
        <f t="shared" si="5"/>
        <v>108852.55852260484</v>
      </c>
      <c r="L62" s="396">
        <f t="shared" si="3"/>
        <v>108852.55852260484</v>
      </c>
      <c r="M62" s="396">
        <f t="shared" si="0"/>
        <v>0</v>
      </c>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row>
    <row r="63" spans="1:51" x14ac:dyDescent="0.35">
      <c r="A63" s="178"/>
      <c r="B63" s="178"/>
      <c r="C63" s="395">
        <f t="shared" si="4"/>
        <v>2060</v>
      </c>
      <c r="D63" s="396">
        <f t="shared" si="1"/>
        <v>108852.55852260484</v>
      </c>
      <c r="E63" s="396">
        <f t="shared" si="2"/>
        <v>108852.55852260484</v>
      </c>
      <c r="F63" s="178"/>
      <c r="G63" s="178"/>
      <c r="H63" s="178"/>
      <c r="I63" s="178"/>
      <c r="J63" s="178"/>
      <c r="K63" s="396">
        <f t="shared" si="5"/>
        <v>108852.55852260484</v>
      </c>
      <c r="L63" s="396">
        <f t="shared" si="3"/>
        <v>108852.55852260484</v>
      </c>
      <c r="M63" s="396">
        <f t="shared" si="0"/>
        <v>0</v>
      </c>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row>
    <row r="64" spans="1:51" x14ac:dyDescent="0.35">
      <c r="A64" s="178"/>
      <c r="B64" s="178"/>
      <c r="C64" s="395">
        <f t="shared" si="4"/>
        <v>2061</v>
      </c>
      <c r="D64" s="396">
        <f t="shared" si="1"/>
        <v>108852.55852260484</v>
      </c>
      <c r="E64" s="396">
        <f t="shared" si="2"/>
        <v>108852.55852260484</v>
      </c>
      <c r="F64" s="178"/>
      <c r="G64" s="178"/>
      <c r="H64" s="178"/>
      <c r="I64" s="178"/>
      <c r="J64" s="178"/>
      <c r="K64" s="396">
        <f t="shared" si="5"/>
        <v>108852.55852260484</v>
      </c>
      <c r="L64" s="396">
        <f t="shared" si="3"/>
        <v>108852.55852260484</v>
      </c>
      <c r="M64" s="396">
        <f t="shared" si="0"/>
        <v>0</v>
      </c>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row>
    <row r="65" spans="1:51" x14ac:dyDescent="0.35">
      <c r="A65" s="178"/>
      <c r="B65" s="178"/>
      <c r="C65" s="395">
        <f t="shared" si="4"/>
        <v>2062</v>
      </c>
      <c r="D65" s="396">
        <f t="shared" si="1"/>
        <v>108852.55852260484</v>
      </c>
      <c r="E65" s="396">
        <f t="shared" si="2"/>
        <v>108852.55852260484</v>
      </c>
      <c r="F65" s="178"/>
      <c r="G65" s="178"/>
      <c r="H65" s="178"/>
      <c r="I65" s="178"/>
      <c r="J65" s="178"/>
      <c r="K65" s="396">
        <f t="shared" si="5"/>
        <v>108852.55852260484</v>
      </c>
      <c r="L65" s="396">
        <f t="shared" si="3"/>
        <v>108852.55852260484</v>
      </c>
      <c r="M65" s="396">
        <f t="shared" si="0"/>
        <v>0</v>
      </c>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row>
    <row r="66" spans="1:51" x14ac:dyDescent="0.35">
      <c r="A66" s="178"/>
      <c r="B66" s="178"/>
      <c r="C66" s="395">
        <f t="shared" si="4"/>
        <v>2063</v>
      </c>
      <c r="D66" s="396">
        <f t="shared" si="1"/>
        <v>108852.55852260484</v>
      </c>
      <c r="E66" s="396">
        <f t="shared" si="2"/>
        <v>108852.55852260484</v>
      </c>
      <c r="F66" s="178"/>
      <c r="G66" s="178"/>
      <c r="H66" s="178"/>
      <c r="I66" s="178"/>
      <c r="J66" s="178"/>
      <c r="K66" s="396">
        <f t="shared" si="5"/>
        <v>108852.55852260484</v>
      </c>
      <c r="L66" s="396">
        <f t="shared" si="3"/>
        <v>108852.55852260484</v>
      </c>
      <c r="M66" s="396">
        <f t="shared" si="0"/>
        <v>0</v>
      </c>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row>
    <row r="67" spans="1:51" x14ac:dyDescent="0.35">
      <c r="A67" s="178"/>
      <c r="B67" s="178"/>
      <c r="C67" s="395">
        <f t="shared" si="4"/>
        <v>2064</v>
      </c>
      <c r="D67" s="396">
        <f t="shared" si="1"/>
        <v>108852.55852260484</v>
      </c>
      <c r="E67" s="396">
        <f t="shared" si="2"/>
        <v>108852.55852260484</v>
      </c>
      <c r="F67" s="178"/>
      <c r="G67" s="178"/>
      <c r="H67" s="178"/>
      <c r="I67" s="178"/>
      <c r="J67" s="178"/>
      <c r="K67" s="396">
        <f t="shared" si="5"/>
        <v>108852.55852260484</v>
      </c>
      <c r="L67" s="396">
        <f t="shared" si="3"/>
        <v>108852.55852260484</v>
      </c>
      <c r="M67" s="396">
        <f t="shared" si="0"/>
        <v>0</v>
      </c>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row>
    <row r="68" spans="1:51" x14ac:dyDescent="0.35">
      <c r="A68" s="178"/>
      <c r="B68" s="178"/>
      <c r="C68" s="395">
        <f t="shared" si="4"/>
        <v>2065</v>
      </c>
      <c r="D68" s="396">
        <f t="shared" si="1"/>
        <v>108852.55852260484</v>
      </c>
      <c r="E68" s="396">
        <f t="shared" si="2"/>
        <v>108852.55852260484</v>
      </c>
      <c r="F68" s="178"/>
      <c r="G68" s="178"/>
      <c r="H68" s="178"/>
      <c r="I68" s="178"/>
      <c r="J68" s="178"/>
      <c r="K68" s="396">
        <f t="shared" si="5"/>
        <v>108852.55852260484</v>
      </c>
      <c r="L68" s="396">
        <f t="shared" si="3"/>
        <v>108852.55852260484</v>
      </c>
      <c r="M68" s="396">
        <f t="shared" si="0"/>
        <v>0</v>
      </c>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row>
    <row r="69" spans="1:51" x14ac:dyDescent="0.35">
      <c r="A69" s="178"/>
      <c r="B69" s="178"/>
      <c r="C69" s="395">
        <f t="shared" si="4"/>
        <v>2066</v>
      </c>
      <c r="D69" s="396">
        <f t="shared" si="1"/>
        <v>108852.55852260484</v>
      </c>
      <c r="E69" s="396">
        <f t="shared" si="2"/>
        <v>108852.55852260484</v>
      </c>
      <c r="F69" s="178"/>
      <c r="G69" s="178"/>
      <c r="H69" s="178"/>
      <c r="I69" s="178"/>
      <c r="J69" s="178"/>
      <c r="K69" s="396">
        <f t="shared" si="5"/>
        <v>108852.55852260484</v>
      </c>
      <c r="L69" s="396">
        <f t="shared" si="3"/>
        <v>108852.55852260484</v>
      </c>
      <c r="M69" s="396">
        <f t="shared" si="0"/>
        <v>0</v>
      </c>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row>
    <row r="70" spans="1:51" x14ac:dyDescent="0.35">
      <c r="A70" s="178"/>
      <c r="B70" s="178"/>
      <c r="C70" s="395">
        <f t="shared" si="4"/>
        <v>2067</v>
      </c>
      <c r="D70" s="396">
        <f t="shared" si="1"/>
        <v>108852.55852260484</v>
      </c>
      <c r="E70" s="396">
        <f t="shared" si="2"/>
        <v>108852.55852260484</v>
      </c>
      <c r="F70" s="178"/>
      <c r="G70" s="178"/>
      <c r="H70" s="178"/>
      <c r="I70" s="178"/>
      <c r="J70" s="178"/>
      <c r="K70" s="396">
        <f t="shared" si="5"/>
        <v>108852.55852260484</v>
      </c>
      <c r="L70" s="396">
        <f t="shared" si="3"/>
        <v>108852.55852260484</v>
      </c>
      <c r="M70" s="396">
        <f t="shared" si="0"/>
        <v>0</v>
      </c>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row>
    <row r="71" spans="1:51" x14ac:dyDescent="0.35">
      <c r="A71" s="178"/>
      <c r="B71" s="178"/>
      <c r="C71" s="398">
        <f t="shared" si="4"/>
        <v>2068</v>
      </c>
      <c r="D71" s="400">
        <f t="shared" si="1"/>
        <v>108852.55852260484</v>
      </c>
      <c r="E71" s="400">
        <f t="shared" si="2"/>
        <v>108852.55852260484</v>
      </c>
      <c r="F71" s="178"/>
      <c r="G71" s="178"/>
      <c r="H71" s="178"/>
      <c r="I71" s="178"/>
      <c r="J71" s="178"/>
      <c r="K71" s="400">
        <f t="shared" si="5"/>
        <v>108852.55852260484</v>
      </c>
      <c r="L71" s="400">
        <f t="shared" si="3"/>
        <v>108852.55852260484</v>
      </c>
      <c r="M71" s="400">
        <f t="shared" si="0"/>
        <v>0</v>
      </c>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row>
    <row r="72" spans="1:51" x14ac:dyDescent="0.35">
      <c r="A72" s="178"/>
      <c r="B72" s="178"/>
      <c r="C72" s="178"/>
      <c r="D72" s="401"/>
      <c r="E72" s="401"/>
      <c r="F72" s="401"/>
      <c r="G72" s="401"/>
      <c r="H72" s="401"/>
      <c r="I72" s="401"/>
      <c r="J72" s="178"/>
      <c r="K72" s="401"/>
      <c r="L72" s="401"/>
      <c r="M72" s="401"/>
      <c r="N72" s="401"/>
      <c r="O72" s="401"/>
      <c r="P72" s="401"/>
      <c r="Q72" s="401"/>
      <c r="R72" s="401"/>
      <c r="S72" s="401"/>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row>
    <row r="73" spans="1:51" x14ac:dyDescent="0.35">
      <c r="A73" s="178"/>
      <c r="B73" s="178"/>
      <c r="C73" s="178"/>
      <c r="D73" s="401"/>
      <c r="E73" s="401"/>
      <c r="F73" s="401"/>
      <c r="G73" s="401"/>
      <c r="H73" s="401"/>
      <c r="I73" s="401"/>
      <c r="J73" s="178"/>
      <c r="K73" s="401"/>
      <c r="L73" s="401"/>
      <c r="M73" s="401"/>
      <c r="N73" s="401"/>
      <c r="O73" s="401"/>
      <c r="P73" s="401"/>
      <c r="Q73" s="401"/>
      <c r="R73" s="401"/>
      <c r="S73" s="401"/>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row>
    <row r="74" spans="1:51" x14ac:dyDescent="0.35">
      <c r="A74" s="178"/>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row>
    <row r="75" spans="1:51" x14ac:dyDescent="0.35">
      <c r="A75" s="178"/>
      <c r="B75" s="685" t="s">
        <v>1073</v>
      </c>
      <c r="C75" s="690" t="s">
        <v>882</v>
      </c>
      <c r="D75" s="685" t="s">
        <v>1074</v>
      </c>
      <c r="E75" s="697" t="str">
        <f>"Vehicle ADTs By Hour ("&amp;'SegmentTraffic Inputs'!$H$11&amp;")"</f>
        <v>Vehicle ADTs By Hour (I-35 Segment)</v>
      </c>
      <c r="F75" s="698"/>
      <c r="G75" s="698"/>
      <c r="H75" s="698"/>
      <c r="I75" s="699"/>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row>
    <row r="76" spans="1:51" x14ac:dyDescent="0.35">
      <c r="A76" s="178"/>
      <c r="B76" s="685"/>
      <c r="C76" s="707"/>
      <c r="D76" s="685"/>
      <c r="E76" s="391" t="str">
        <f>"Base Year, "&amp;$F$6</f>
        <v>Base Year, 2023</v>
      </c>
      <c r="F76" s="391" t="str">
        <f>"No Build, "&amp;$F$7</f>
        <v>No Build, 2029</v>
      </c>
      <c r="G76" s="391" t="str">
        <f>"Build, "&amp;$F$7</f>
        <v>Build, 2029</v>
      </c>
      <c r="H76" s="391" t="str">
        <f>"No Build, "&amp;$F$8</f>
        <v>No Build, 2048</v>
      </c>
      <c r="I76" s="391" t="str">
        <f>"Build, "&amp;$F$8</f>
        <v>Build, 2048</v>
      </c>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row>
    <row r="77" spans="1:51" x14ac:dyDescent="0.35">
      <c r="A77" s="178"/>
      <c r="B77" s="392">
        <v>0</v>
      </c>
      <c r="C77" s="572">
        <f>'Daily Traffic Profile'!E4</f>
        <v>545.5</v>
      </c>
      <c r="D77" s="393">
        <f>C77/SUM($C$77:$C$100)</f>
        <v>1.2409008189262966E-2</v>
      </c>
      <c r="E77" s="404">
        <f>INDEX($D$26:$D$71,MATCH($F$6,$C$26:$C$71,0))*$D77</f>
        <v>711.03616924476796</v>
      </c>
      <c r="F77" s="402">
        <f>INDEX($D$26:$D$71,MATCH($F$7,$C$26:$C$71,0))*$D77</f>
        <v>829.42258664245242</v>
      </c>
      <c r="G77" s="402">
        <f>INDEX($E$26:$E$71,MATCH($F$7,$C$26:$C$71,0))*$D77</f>
        <v>829.42258664245242</v>
      </c>
      <c r="H77" s="402">
        <f>INDEX($D$26:$D$71,MATCH($F$8,$C$26:$C$71,0))*$D77</f>
        <v>1350.7522901292298</v>
      </c>
      <c r="I77" s="403">
        <f>INDEX($E$26:$E$71,MATCH($F$8,$C$26:$C$71,0))*$D77</f>
        <v>1350.7522901292298</v>
      </c>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row>
    <row r="78" spans="1:51" x14ac:dyDescent="0.35">
      <c r="A78" s="178"/>
      <c r="B78" s="392">
        <v>4.1666666666666664E-2</v>
      </c>
      <c r="C78" s="572">
        <f>'Daily Traffic Profile'!E5</f>
        <v>451</v>
      </c>
      <c r="D78" s="393">
        <f t="shared" ref="D78:D100" si="6">C78/SUM($C$77:$C$100)</f>
        <v>1.0259326660600546E-2</v>
      </c>
      <c r="E78" s="404">
        <f>INDEX($D$26:$D$71,MATCH($F$6,$C$26:$C$71,0))*$D78</f>
        <v>587.85941765241125</v>
      </c>
      <c r="F78" s="406">
        <f t="shared" ref="F78:F100" si="7">INDEX($D$26:$D$71,MATCH($F$7,$C$26:$C$71,0))*$D78</f>
        <v>685.73709729742632</v>
      </c>
      <c r="G78" s="406">
        <f t="shared" ref="G78:G100" si="8">INDEX($E$26:$E$71,MATCH($F$7,$C$26:$C$71,0))*$D78</f>
        <v>685.73709729742632</v>
      </c>
      <c r="H78" s="406">
        <f t="shared" ref="H78:H100" si="9">INDEX($D$26:$D$71,MATCH($F$8,$C$26:$C$71,0))*$D78</f>
        <v>1116.7539557255409</v>
      </c>
      <c r="I78" s="407">
        <f t="shared" ref="I78:I100" si="10">INDEX($E$26:$E$71,MATCH($F$8,$C$26:$C$71,0))*$D78</f>
        <v>1116.7539557255409</v>
      </c>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row>
    <row r="79" spans="1:51" x14ac:dyDescent="0.35">
      <c r="A79" s="178"/>
      <c r="B79" s="392">
        <v>8.3333333333333329E-2</v>
      </c>
      <c r="C79" s="572">
        <f>'Daily Traffic Profile'!E6</f>
        <v>392</v>
      </c>
      <c r="D79" s="393">
        <f t="shared" si="6"/>
        <v>8.9171974522292991E-3</v>
      </c>
      <c r="E79" s="404">
        <f t="shared" ref="E79:E100" si="11">INDEX($D$26:$D$71,MATCH($F$6,$C$26:$C$71,0))*$D79</f>
        <v>510.95541401273886</v>
      </c>
      <c r="F79" s="406">
        <f t="shared" si="7"/>
        <v>596.02869654233064</v>
      </c>
      <c r="G79" s="406">
        <f t="shared" si="8"/>
        <v>596.02869654233064</v>
      </c>
      <c r="H79" s="406">
        <f t="shared" si="9"/>
        <v>970.65975752641259</v>
      </c>
      <c r="I79" s="407">
        <f t="shared" si="10"/>
        <v>970.65975752641259</v>
      </c>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row>
    <row r="80" spans="1:51" x14ac:dyDescent="0.35">
      <c r="A80" s="178"/>
      <c r="B80" s="392">
        <v>0.125</v>
      </c>
      <c r="C80" s="572">
        <f>'Daily Traffic Profile'!E7</f>
        <v>487.5</v>
      </c>
      <c r="D80" s="393">
        <f t="shared" si="6"/>
        <v>1.1089626933575979E-2</v>
      </c>
      <c r="E80" s="404">
        <f t="shared" si="11"/>
        <v>635.43562329390363</v>
      </c>
      <c r="F80" s="406">
        <f t="shared" si="7"/>
        <v>741.23466725608728</v>
      </c>
      <c r="G80" s="406">
        <f t="shared" si="8"/>
        <v>741.23466725608728</v>
      </c>
      <c r="H80" s="406">
        <f t="shared" si="9"/>
        <v>1207.134264780934</v>
      </c>
      <c r="I80" s="407">
        <f t="shared" si="10"/>
        <v>1207.134264780934</v>
      </c>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row>
    <row r="81" spans="1:51" x14ac:dyDescent="0.35">
      <c r="A81" s="178"/>
      <c r="B81" s="392">
        <v>0.16666666666666666</v>
      </c>
      <c r="C81" s="572">
        <f>'Daily Traffic Profile'!E8</f>
        <v>626</v>
      </c>
      <c r="D81" s="393">
        <f t="shared" si="6"/>
        <v>1.4240218380345769E-2</v>
      </c>
      <c r="E81" s="404">
        <f t="shared" si="11"/>
        <v>815.96451319381254</v>
      </c>
      <c r="F81" s="406">
        <f t="shared" si="7"/>
        <v>951.8213368252525</v>
      </c>
      <c r="G81" s="406">
        <f t="shared" si="8"/>
        <v>951.8213368252525</v>
      </c>
      <c r="H81" s="406">
        <f t="shared" si="9"/>
        <v>1550.0842046212611</v>
      </c>
      <c r="I81" s="407">
        <f t="shared" si="10"/>
        <v>1550.0842046212611</v>
      </c>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row>
    <row r="82" spans="1:51" x14ac:dyDescent="0.35">
      <c r="A82" s="178"/>
      <c r="B82" s="392">
        <v>0.20833333333333334</v>
      </c>
      <c r="C82" s="572">
        <f>'Daily Traffic Profile'!E9</f>
        <v>1117.5</v>
      </c>
      <c r="D82" s="393">
        <f t="shared" si="6"/>
        <v>2.5420837124658782E-2</v>
      </c>
      <c r="E82" s="404">
        <f t="shared" si="11"/>
        <v>1456.6139672429481</v>
      </c>
      <c r="F82" s="406">
        <f t="shared" si="7"/>
        <v>1699.1379295562615</v>
      </c>
      <c r="G82" s="406">
        <f t="shared" si="8"/>
        <v>1699.1379295562615</v>
      </c>
      <c r="H82" s="406">
        <f t="shared" si="9"/>
        <v>2767.1231608055259</v>
      </c>
      <c r="I82" s="407">
        <f t="shared" si="10"/>
        <v>2767.1231608055259</v>
      </c>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row>
    <row r="83" spans="1:51" x14ac:dyDescent="0.35">
      <c r="A83" s="178"/>
      <c r="B83" s="392">
        <v>0.25</v>
      </c>
      <c r="C83" s="572">
        <f>'Daily Traffic Profile'!E10</f>
        <v>1879</v>
      </c>
      <c r="D83" s="393">
        <f t="shared" si="6"/>
        <v>4.2743403093721564E-2</v>
      </c>
      <c r="E83" s="404">
        <f t="shared" si="11"/>
        <v>2449.1969972702454</v>
      </c>
      <c r="F83" s="406">
        <f t="shared" si="7"/>
        <v>2856.9844918444878</v>
      </c>
      <c r="G83" s="406">
        <f t="shared" si="8"/>
        <v>2856.9844918444878</v>
      </c>
      <c r="H83" s="406">
        <f t="shared" si="9"/>
        <v>4652.7287867146151</v>
      </c>
      <c r="I83" s="407">
        <f t="shared" si="10"/>
        <v>4652.7287867146151</v>
      </c>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row>
    <row r="84" spans="1:51" x14ac:dyDescent="0.35">
      <c r="A84" s="178"/>
      <c r="B84" s="392">
        <v>0.29166666666666669</v>
      </c>
      <c r="C84" s="572">
        <f>'Daily Traffic Profile'!E11</f>
        <v>2468.5</v>
      </c>
      <c r="D84" s="393">
        <f t="shared" si="6"/>
        <v>5.6153321201091899E-2</v>
      </c>
      <c r="E84" s="404">
        <f t="shared" si="11"/>
        <v>3217.5853048225658</v>
      </c>
      <c r="F84" s="406">
        <f t="shared" si="7"/>
        <v>3753.3082587110794</v>
      </c>
      <c r="G84" s="406">
        <f t="shared" si="8"/>
        <v>3753.3082587110794</v>
      </c>
      <c r="H84" s="406">
        <f t="shared" si="9"/>
        <v>6112.4326822804833</v>
      </c>
      <c r="I84" s="407">
        <f t="shared" si="10"/>
        <v>6112.4326822804833</v>
      </c>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row>
    <row r="85" spans="1:51" x14ac:dyDescent="0.35">
      <c r="A85" s="178"/>
      <c r="B85" s="392">
        <v>0.33333333333333331</v>
      </c>
      <c r="C85" s="572">
        <f>'Daily Traffic Profile'!E12</f>
        <v>2498</v>
      </c>
      <c r="D85" s="393">
        <f t="shared" si="6"/>
        <v>5.6824385805277523E-2</v>
      </c>
      <c r="E85" s="404">
        <f t="shared" si="11"/>
        <v>3256.0373066424022</v>
      </c>
      <c r="F85" s="406">
        <f t="shared" si="7"/>
        <v>3798.1624590886272</v>
      </c>
      <c r="G85" s="406">
        <f t="shared" si="8"/>
        <v>3798.1624590886272</v>
      </c>
      <c r="H85" s="406">
        <f t="shared" si="9"/>
        <v>6185.4797813800478</v>
      </c>
      <c r="I85" s="407">
        <f t="shared" si="10"/>
        <v>6185.4797813800478</v>
      </c>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row>
    <row r="86" spans="1:51" x14ac:dyDescent="0.35">
      <c r="A86" s="178"/>
      <c r="B86" s="392">
        <v>0.375</v>
      </c>
      <c r="C86" s="572">
        <f>'Daily Traffic Profile'!E13</f>
        <v>2518.5</v>
      </c>
      <c r="D86" s="393">
        <f t="shared" si="6"/>
        <v>5.7290718835304823E-2</v>
      </c>
      <c r="E86" s="404">
        <f t="shared" si="11"/>
        <v>3282.7581892629664</v>
      </c>
      <c r="F86" s="406">
        <f t="shared" si="7"/>
        <v>3829.3323271476011</v>
      </c>
      <c r="G86" s="406">
        <f t="shared" si="8"/>
        <v>3829.3323271476011</v>
      </c>
      <c r="H86" s="406">
        <f t="shared" si="9"/>
        <v>6236.2413248221173</v>
      </c>
      <c r="I86" s="407">
        <f t="shared" si="10"/>
        <v>6236.2413248221173</v>
      </c>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8"/>
      <c r="AY86" s="178"/>
    </row>
    <row r="87" spans="1:51" x14ac:dyDescent="0.35">
      <c r="A87" s="178"/>
      <c r="B87" s="392">
        <v>0.41666666666666669</v>
      </c>
      <c r="C87" s="572">
        <f>'Daily Traffic Profile'!E14</f>
        <v>2586.5</v>
      </c>
      <c r="D87" s="393">
        <f t="shared" si="6"/>
        <v>5.8837579617834396E-2</v>
      </c>
      <c r="E87" s="404">
        <f t="shared" si="11"/>
        <v>3371.3933121019109</v>
      </c>
      <c r="F87" s="406">
        <f t="shared" si="7"/>
        <v>3932.7250602212707</v>
      </c>
      <c r="G87" s="406">
        <f t="shared" si="8"/>
        <v>3932.7250602212707</v>
      </c>
      <c r="H87" s="406">
        <f t="shared" si="9"/>
        <v>6404.6210786787406</v>
      </c>
      <c r="I87" s="407">
        <f t="shared" si="10"/>
        <v>6404.6210786787406</v>
      </c>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8"/>
      <c r="AY87" s="178"/>
    </row>
    <row r="88" spans="1:51" x14ac:dyDescent="0.35">
      <c r="A88" s="178"/>
      <c r="B88" s="392">
        <v>0.45833333333333331</v>
      </c>
      <c r="C88" s="572">
        <f>'Daily Traffic Profile'!E15</f>
        <v>2752.5</v>
      </c>
      <c r="D88" s="393">
        <f t="shared" si="6"/>
        <v>6.2613739763421286E-2</v>
      </c>
      <c r="E88" s="404">
        <f t="shared" si="11"/>
        <v>3587.7672884440399</v>
      </c>
      <c r="F88" s="406">
        <f t="shared" si="7"/>
        <v>4185.1249674305227</v>
      </c>
      <c r="G88" s="406">
        <f t="shared" si="8"/>
        <v>4185.1249674305227</v>
      </c>
      <c r="H88" s="406">
        <f t="shared" si="9"/>
        <v>6815.6657719169652</v>
      </c>
      <c r="I88" s="407">
        <f t="shared" si="10"/>
        <v>6815.6657719169652</v>
      </c>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row>
    <row r="89" spans="1:51" x14ac:dyDescent="0.35">
      <c r="A89" s="178"/>
      <c r="B89" s="392">
        <v>0.5</v>
      </c>
      <c r="C89" s="572">
        <f>'Daily Traffic Profile'!E16</f>
        <v>2748.5</v>
      </c>
      <c r="D89" s="393">
        <f t="shared" si="6"/>
        <v>6.2522747952684254E-2</v>
      </c>
      <c r="E89" s="404">
        <f t="shared" si="11"/>
        <v>3582.5534576888076</v>
      </c>
      <c r="F89" s="406">
        <f t="shared" si="7"/>
        <v>4179.0430419556014</v>
      </c>
      <c r="G89" s="406">
        <f t="shared" si="8"/>
        <v>4179.0430419556014</v>
      </c>
      <c r="H89" s="406">
        <f t="shared" si="9"/>
        <v>6805.7610805136346</v>
      </c>
      <c r="I89" s="407">
        <f t="shared" si="10"/>
        <v>6805.7610805136346</v>
      </c>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row>
    <row r="90" spans="1:51" x14ac:dyDescent="0.35">
      <c r="A90" s="178"/>
      <c r="B90" s="392">
        <v>0.54166666666666663</v>
      </c>
      <c r="C90" s="572">
        <f>'Daily Traffic Profile'!E17</f>
        <v>2806</v>
      </c>
      <c r="D90" s="393">
        <f t="shared" si="6"/>
        <v>6.3830755232029121E-2</v>
      </c>
      <c r="E90" s="404">
        <f t="shared" si="11"/>
        <v>3657.5022747952685</v>
      </c>
      <c r="F90" s="406">
        <f t="shared" si="7"/>
        <v>4266.4707206576013</v>
      </c>
      <c r="G90" s="406">
        <f t="shared" si="8"/>
        <v>4266.4707206576013</v>
      </c>
      <c r="H90" s="406">
        <f t="shared" si="9"/>
        <v>6948.1410194365153</v>
      </c>
      <c r="I90" s="407">
        <f t="shared" si="10"/>
        <v>6948.1410194365153</v>
      </c>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row>
    <row r="91" spans="1:51" x14ac:dyDescent="0.35">
      <c r="A91" s="178"/>
      <c r="B91" s="392">
        <v>0.58333333333333337</v>
      </c>
      <c r="C91" s="572">
        <f>'Daily Traffic Profile'!E18</f>
        <v>2833</v>
      </c>
      <c r="D91" s="393">
        <f t="shared" si="6"/>
        <v>6.4444949954504088E-2</v>
      </c>
      <c r="E91" s="404">
        <f t="shared" si="11"/>
        <v>3692.6956323930845</v>
      </c>
      <c r="F91" s="406">
        <f t="shared" si="7"/>
        <v>4307.5237176133223</v>
      </c>
      <c r="G91" s="406">
        <f t="shared" si="8"/>
        <v>4307.5237176133223</v>
      </c>
      <c r="H91" s="406">
        <f t="shared" si="9"/>
        <v>7014.9976864089967</v>
      </c>
      <c r="I91" s="407">
        <f t="shared" si="10"/>
        <v>7014.9976864089967</v>
      </c>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row>
    <row r="92" spans="1:51" x14ac:dyDescent="0.35">
      <c r="A92" s="178"/>
      <c r="B92" s="392">
        <v>0.625</v>
      </c>
      <c r="C92" s="572">
        <f>'Daily Traffic Profile'!E19</f>
        <v>2966</v>
      </c>
      <c r="D92" s="393">
        <f t="shared" si="6"/>
        <v>6.7470427661510471E-2</v>
      </c>
      <c r="E92" s="404">
        <f t="shared" si="11"/>
        <v>3866.05550500455</v>
      </c>
      <c r="F92" s="406">
        <f t="shared" si="7"/>
        <v>4509.7477396544718</v>
      </c>
      <c r="G92" s="406">
        <f t="shared" si="8"/>
        <v>4509.7477396544718</v>
      </c>
      <c r="H92" s="406">
        <f t="shared" si="9"/>
        <v>7344.3286755697454</v>
      </c>
      <c r="I92" s="407">
        <f t="shared" si="10"/>
        <v>7344.3286755697454</v>
      </c>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row>
    <row r="93" spans="1:51" x14ac:dyDescent="0.35">
      <c r="A93" s="178"/>
      <c r="B93" s="392">
        <v>0.66666666666666663</v>
      </c>
      <c r="C93" s="572">
        <f>'Daily Traffic Profile'!E20</f>
        <v>3052</v>
      </c>
      <c r="D93" s="393">
        <f t="shared" si="6"/>
        <v>6.9426751592356686E-2</v>
      </c>
      <c r="E93" s="404">
        <f t="shared" si="11"/>
        <v>3978.1528662420383</v>
      </c>
      <c r="F93" s="406">
        <f t="shared" si="7"/>
        <v>4640.5091373652886</v>
      </c>
      <c r="G93" s="406">
        <f t="shared" si="8"/>
        <v>4640.5091373652886</v>
      </c>
      <c r="H93" s="406">
        <f t="shared" si="9"/>
        <v>7557.279540741355</v>
      </c>
      <c r="I93" s="407">
        <f t="shared" si="10"/>
        <v>7557.279540741355</v>
      </c>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row>
    <row r="94" spans="1:51" x14ac:dyDescent="0.35">
      <c r="A94" s="178"/>
      <c r="B94" s="392">
        <v>0.70833333333333337</v>
      </c>
      <c r="C94" s="572">
        <f>'Daily Traffic Profile'!E21</f>
        <v>3022</v>
      </c>
      <c r="D94" s="393">
        <f t="shared" si="6"/>
        <v>6.8744313011828942E-2</v>
      </c>
      <c r="E94" s="404">
        <f t="shared" si="11"/>
        <v>3939.0491355777986</v>
      </c>
      <c r="F94" s="406">
        <f t="shared" si="7"/>
        <v>4594.8946963033759</v>
      </c>
      <c r="G94" s="406">
        <f t="shared" si="8"/>
        <v>4594.8946963033759</v>
      </c>
      <c r="H94" s="406">
        <f t="shared" si="9"/>
        <v>7482.9943552163759</v>
      </c>
      <c r="I94" s="407">
        <f t="shared" si="10"/>
        <v>7482.9943552163759</v>
      </c>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row>
    <row r="95" spans="1:51" x14ac:dyDescent="0.35">
      <c r="A95" s="178"/>
      <c r="B95" s="392">
        <v>0.75</v>
      </c>
      <c r="C95" s="572">
        <f>'Daily Traffic Profile'!E22</f>
        <v>2355</v>
      </c>
      <c r="D95" s="393">
        <f t="shared" si="6"/>
        <v>5.3571428571428568E-2</v>
      </c>
      <c r="E95" s="404">
        <f t="shared" si="11"/>
        <v>3069.6428571428569</v>
      </c>
      <c r="F95" s="406">
        <f t="shared" si="7"/>
        <v>3580.733623360175</v>
      </c>
      <c r="G95" s="406">
        <f t="shared" si="8"/>
        <v>3580.733623360175</v>
      </c>
      <c r="H95" s="406">
        <f t="shared" si="9"/>
        <v>5831.3870637109731</v>
      </c>
      <c r="I95" s="407">
        <f t="shared" si="10"/>
        <v>5831.3870637109731</v>
      </c>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row>
    <row r="96" spans="1:51" x14ac:dyDescent="0.35">
      <c r="A96" s="178"/>
      <c r="B96" s="392">
        <v>0.79166666666666663</v>
      </c>
      <c r="C96" s="572">
        <f>'Daily Traffic Profile'!E23</f>
        <v>1700</v>
      </c>
      <c r="D96" s="393">
        <f t="shared" si="6"/>
        <v>3.8671519563239311E-2</v>
      </c>
      <c r="E96" s="404">
        <f t="shared" si="11"/>
        <v>2215.8780709736125</v>
      </c>
      <c r="F96" s="406">
        <f t="shared" si="7"/>
        <v>2584.8183268417401</v>
      </c>
      <c r="G96" s="406">
        <f t="shared" si="8"/>
        <v>2584.8183268417401</v>
      </c>
      <c r="H96" s="406">
        <f t="shared" si="9"/>
        <v>4209.4938464155648</v>
      </c>
      <c r="I96" s="407">
        <f t="shared" si="10"/>
        <v>4209.4938464155648</v>
      </c>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row>
    <row r="97" spans="1:51" x14ac:dyDescent="0.35">
      <c r="A97" s="178"/>
      <c r="B97" s="392">
        <v>0.83333333333333337</v>
      </c>
      <c r="C97" s="572">
        <f>'Daily Traffic Profile'!E24</f>
        <v>1443</v>
      </c>
      <c r="D97" s="393">
        <f t="shared" si="6"/>
        <v>3.2825295723384898E-2</v>
      </c>
      <c r="E97" s="404">
        <f t="shared" si="11"/>
        <v>1880.8894449499546</v>
      </c>
      <c r="F97" s="406">
        <f t="shared" si="7"/>
        <v>2194.0546150780183</v>
      </c>
      <c r="G97" s="406">
        <f t="shared" si="8"/>
        <v>2194.0546150780183</v>
      </c>
      <c r="H97" s="406">
        <f t="shared" si="9"/>
        <v>3573.1174237515652</v>
      </c>
      <c r="I97" s="407">
        <f t="shared" si="10"/>
        <v>3573.1174237515652</v>
      </c>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row>
    <row r="98" spans="1:51" x14ac:dyDescent="0.35">
      <c r="A98" s="178"/>
      <c r="B98" s="392">
        <v>0.875</v>
      </c>
      <c r="C98" s="572">
        <f>'Daily Traffic Profile'!E25</f>
        <v>1116.5</v>
      </c>
      <c r="D98" s="393">
        <f t="shared" si="6"/>
        <v>2.5398089171974524E-2</v>
      </c>
      <c r="E98" s="404">
        <f>INDEX($D$26:$D$71,MATCH($F$6,$C$26:$C$71,0))*$D98</f>
        <v>1455.3105095541403</v>
      </c>
      <c r="F98" s="406">
        <f t="shared" si="7"/>
        <v>1697.617448187531</v>
      </c>
      <c r="G98" s="406">
        <f t="shared" si="8"/>
        <v>1697.617448187531</v>
      </c>
      <c r="H98" s="406">
        <f t="shared" si="9"/>
        <v>2764.646987954693</v>
      </c>
      <c r="I98" s="407">
        <f t="shared" si="10"/>
        <v>2764.646987954693</v>
      </c>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178"/>
    </row>
    <row r="99" spans="1:51" x14ac:dyDescent="0.35">
      <c r="A99" s="178"/>
      <c r="B99" s="392">
        <v>0.91666666666666663</v>
      </c>
      <c r="C99" s="572">
        <f>'Daily Traffic Profile'!E26</f>
        <v>864.5</v>
      </c>
      <c r="D99" s="393">
        <f t="shared" si="6"/>
        <v>1.96656050955414E-2</v>
      </c>
      <c r="E99" s="404">
        <f t="shared" si="11"/>
        <v>1126.8391719745223</v>
      </c>
      <c r="F99" s="406">
        <f t="shared" si="7"/>
        <v>1314.4561432674611</v>
      </c>
      <c r="G99" s="406">
        <f t="shared" si="8"/>
        <v>1314.4561432674611</v>
      </c>
      <c r="H99" s="406">
        <f t="shared" si="9"/>
        <v>2140.6514295448565</v>
      </c>
      <c r="I99" s="407">
        <f t="shared" si="10"/>
        <v>2140.6514295448565</v>
      </c>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178"/>
    </row>
    <row r="100" spans="1:51" x14ac:dyDescent="0.35">
      <c r="A100" s="178"/>
      <c r="B100" s="392">
        <v>0.95833333333333337</v>
      </c>
      <c r="C100" s="572">
        <f>'Daily Traffic Profile'!E27</f>
        <v>731</v>
      </c>
      <c r="D100" s="393">
        <f t="shared" si="6"/>
        <v>1.6628753412192901E-2</v>
      </c>
      <c r="E100" s="408">
        <f t="shared" si="11"/>
        <v>952.82757051865326</v>
      </c>
      <c r="F100" s="409">
        <f t="shared" si="7"/>
        <v>1111.4718805419482</v>
      </c>
      <c r="G100" s="409">
        <f t="shared" si="8"/>
        <v>1111.4718805419482</v>
      </c>
      <c r="H100" s="409">
        <f t="shared" si="9"/>
        <v>1810.0823539586927</v>
      </c>
      <c r="I100" s="410">
        <f t="shared" si="10"/>
        <v>1810.0823539586927</v>
      </c>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8"/>
    </row>
    <row r="101" spans="1:51" x14ac:dyDescent="0.35">
      <c r="A101" s="178"/>
      <c r="B101" s="178"/>
      <c r="C101" s="178"/>
      <c r="D101" s="178"/>
      <c r="E101" s="262"/>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8"/>
      <c r="AY101" s="178"/>
    </row>
    <row r="102" spans="1:51" x14ac:dyDescent="0.35">
      <c r="A102" s="178"/>
      <c r="B102" s="178"/>
      <c r="C102" s="700" t="s">
        <v>1075</v>
      </c>
      <c r="D102" s="701"/>
      <c r="E102" s="411">
        <f>SUMPRODUCT($D77:$D100,E77:E100)</f>
        <v>3046.6657238288835</v>
      </c>
      <c r="F102" s="411">
        <f>SUMPRODUCT($D77:$D100,F77:F100)</f>
        <v>3553.9308330504409</v>
      </c>
      <c r="G102" s="411">
        <f>SUMPRODUCT($D77:$D100,G77:G100)</f>
        <v>3553.9308330504409</v>
      </c>
      <c r="H102" s="411">
        <f>SUMPRODUCT($D77:$D100,H77:H100)</f>
        <v>5787.7375043961219</v>
      </c>
      <c r="I102" s="411">
        <f>SUMPRODUCT($D77:$D100,I77:I100)</f>
        <v>5787.7375043961219</v>
      </c>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row>
    <row r="103" spans="1:51" x14ac:dyDescent="0.35">
      <c r="A103" s="178"/>
      <c r="B103" s="178"/>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row>
    <row r="104" spans="1:51" hidden="1" x14ac:dyDescent="0.35">
      <c r="A104" s="178"/>
      <c r="B104" s="685" t="s">
        <v>1073</v>
      </c>
      <c r="C104" s="690" t="s">
        <v>882</v>
      </c>
      <c r="D104" s="685" t="s">
        <v>1074</v>
      </c>
      <c r="E104" s="697" t="str">
        <f>"Vehicle ADTs By Hour ("&amp;'SegmentTraffic Inputs'!$H$11&amp;")"</f>
        <v>Vehicle ADTs By Hour (I-35 Segment)</v>
      </c>
      <c r="F104" s="698"/>
      <c r="G104" s="698"/>
      <c r="H104" s="698"/>
      <c r="I104" s="699"/>
      <c r="J104" s="697" t="s">
        <v>1076</v>
      </c>
      <c r="K104" s="698"/>
      <c r="L104" s="698"/>
      <c r="M104" s="698"/>
      <c r="N104" s="699"/>
      <c r="O104" s="697" t="s">
        <v>1077</v>
      </c>
      <c r="P104" s="698"/>
      <c r="Q104" s="698"/>
      <c r="R104" s="698"/>
      <c r="S104" s="699"/>
      <c r="T104" s="697" t="s">
        <v>1078</v>
      </c>
      <c r="U104" s="698"/>
      <c r="V104" s="698"/>
      <c r="W104" s="698"/>
      <c r="X104" s="699"/>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row>
    <row r="105" spans="1:51" hidden="1" x14ac:dyDescent="0.35">
      <c r="A105" s="178"/>
      <c r="B105" s="685"/>
      <c r="C105" s="707"/>
      <c r="D105" s="685"/>
      <c r="E105" s="391" t="str">
        <f>"Base Year, "&amp;$F$6</f>
        <v>Base Year, 2023</v>
      </c>
      <c r="F105" s="391" t="str">
        <f>"No Build, "&amp;$F$7</f>
        <v>No Build, 2029</v>
      </c>
      <c r="G105" s="391" t="str">
        <f>"Build, "&amp;$F$7</f>
        <v>Build, 2029</v>
      </c>
      <c r="H105" s="391" t="str">
        <f>"No Build, "&amp;$F$8</f>
        <v>No Build, 2048</v>
      </c>
      <c r="I105" s="391" t="str">
        <f>"Build, "&amp;$F$8</f>
        <v>Build, 2048</v>
      </c>
      <c r="J105" s="391" t="str">
        <f>"Base Year, "&amp;$F$6</f>
        <v>Base Year, 2023</v>
      </c>
      <c r="K105" s="391" t="str">
        <f>"No Build, "&amp;$F$7</f>
        <v>No Build, 2029</v>
      </c>
      <c r="L105" s="391" t="str">
        <f>"Build, "&amp;$F$7</f>
        <v>Build, 2029</v>
      </c>
      <c r="M105" s="391" t="str">
        <f>"No Build, "&amp;$F$8</f>
        <v>No Build, 2048</v>
      </c>
      <c r="N105" s="391" t="str">
        <f>"Build, "&amp;$F$8</f>
        <v>Build, 2048</v>
      </c>
      <c r="O105" s="391" t="str">
        <f>"Base Year, "&amp;$F$6</f>
        <v>Base Year, 2023</v>
      </c>
      <c r="P105" s="391" t="str">
        <f>"No Build, "&amp;$F$7</f>
        <v>No Build, 2029</v>
      </c>
      <c r="Q105" s="391" t="str">
        <f>"Build, "&amp;$F$7</f>
        <v>Build, 2029</v>
      </c>
      <c r="R105" s="391" t="str">
        <f>"No Build, "&amp;$F$8</f>
        <v>No Build, 2048</v>
      </c>
      <c r="S105" s="391" t="str">
        <f>"Build, "&amp;$F$8</f>
        <v>Build, 2048</v>
      </c>
      <c r="T105" s="391" t="str">
        <f>"Base Year, "&amp;$F$6</f>
        <v>Base Year, 2023</v>
      </c>
      <c r="U105" s="391" t="str">
        <f>"No Build, "&amp;$F$7</f>
        <v>No Build, 2029</v>
      </c>
      <c r="V105" s="391" t="str">
        <f>"Build, "&amp;$F$7</f>
        <v>Build, 2029</v>
      </c>
      <c r="W105" s="391" t="str">
        <f>"No Build, "&amp;$F$8</f>
        <v>No Build, 2048</v>
      </c>
      <c r="X105" s="391" t="str">
        <f>"Build, "&amp;$F$8</f>
        <v>Build, 2048</v>
      </c>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row>
    <row r="106" spans="1:51" hidden="1" x14ac:dyDescent="0.35">
      <c r="A106" s="178"/>
      <c r="B106" s="392">
        <v>0.58333333333333337</v>
      </c>
      <c r="C106" s="572">
        <f>C91</f>
        <v>2833</v>
      </c>
      <c r="D106" s="393">
        <f t="shared" ref="D106:D109" si="12">C106/SUM($C$77:$C$100)</f>
        <v>6.4444949954504088E-2</v>
      </c>
      <c r="E106" s="404">
        <f t="shared" ref="E106:E109" si="13">INDEX($D$26:$D$71,MATCH($F$6,$C$26:$C$71,0))*$D106</f>
        <v>3692.6956323930845</v>
      </c>
      <c r="F106" s="406">
        <f t="shared" ref="F106:F109" si="14">INDEX($D$26:$D$71,MATCH($F$7,$C$26:$C$71,0))*$D106</f>
        <v>4307.5237176133223</v>
      </c>
      <c r="G106" s="406">
        <f t="shared" ref="G106:G109" si="15">INDEX($E$26:$E$71,MATCH($F$7,$C$26:$C$71,0))*$D106</f>
        <v>4307.5237176133223</v>
      </c>
      <c r="H106" s="406">
        <f t="shared" ref="H106:H109" si="16">INDEX($D$26:$D$71,MATCH($F$8,$C$26:$C$71,0))*$D106</f>
        <v>7014.9976864089967</v>
      </c>
      <c r="I106" s="407">
        <f t="shared" ref="I106:I109" si="17">INDEX($E$26:$E$71,MATCH($F$8,$C$26:$C$71,0))*$D106</f>
        <v>7014.9976864089967</v>
      </c>
      <c r="J106" s="404">
        <v>7353</v>
      </c>
      <c r="K106" s="404">
        <v>7353</v>
      </c>
      <c r="L106" s="405">
        <v>11029.787234042555</v>
      </c>
      <c r="M106" s="404">
        <v>7353</v>
      </c>
      <c r="N106" s="405">
        <v>11029.787234042555</v>
      </c>
      <c r="O106" s="573">
        <f>E106/J106</f>
        <v>0.5022025883847524</v>
      </c>
      <c r="P106" s="573">
        <f t="shared" ref="P106:S106" si="18">F106/K106</f>
        <v>0.58581853904709946</v>
      </c>
      <c r="Q106" s="573">
        <f t="shared" si="18"/>
        <v>0.39053552223731891</v>
      </c>
      <c r="R106" s="573">
        <f t="shared" si="18"/>
        <v>0.95403205309519878</v>
      </c>
      <c r="S106" s="573">
        <f t="shared" si="18"/>
        <v>0.63600480567365514</v>
      </c>
      <c r="T106" s="573">
        <f>J106/O106</f>
        <v>14641.501597292938</v>
      </c>
      <c r="U106" s="573">
        <f t="shared" ref="U106:U109" si="19">K106/P106</f>
        <v>12551.668323710772</v>
      </c>
      <c r="V106" s="573">
        <f t="shared" ref="V106:V109" si="20">L106/Q106</f>
        <v>28242.724684439901</v>
      </c>
      <c r="W106" s="573">
        <f t="shared" ref="W106:W109" si="21">M106/R106</f>
        <v>7707.288215468664</v>
      </c>
      <c r="X106" s="573">
        <f t="shared" ref="X106:X109" si="22">N106/S106</f>
        <v>17342.301717924638</v>
      </c>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row>
    <row r="107" spans="1:51" hidden="1" x14ac:dyDescent="0.35">
      <c r="A107" s="178"/>
      <c r="B107" s="392">
        <v>0.625</v>
      </c>
      <c r="C107" s="572">
        <f>C92</f>
        <v>2966</v>
      </c>
      <c r="D107" s="393">
        <f t="shared" si="12"/>
        <v>6.7470427661510471E-2</v>
      </c>
      <c r="E107" s="404">
        <f t="shared" si="13"/>
        <v>3866.05550500455</v>
      </c>
      <c r="F107" s="406">
        <f t="shared" si="14"/>
        <v>4509.7477396544718</v>
      </c>
      <c r="G107" s="406">
        <f t="shared" si="15"/>
        <v>4509.7477396544718</v>
      </c>
      <c r="H107" s="406">
        <f t="shared" si="16"/>
        <v>7344.3286755697454</v>
      </c>
      <c r="I107" s="407">
        <f t="shared" si="17"/>
        <v>7344.3286755697454</v>
      </c>
      <c r="J107" s="404">
        <v>7353</v>
      </c>
      <c r="K107" s="404">
        <v>7353</v>
      </c>
      <c r="L107" s="405">
        <v>11029.787234042555</v>
      </c>
      <c r="M107" s="404">
        <v>7353</v>
      </c>
      <c r="N107" s="405">
        <v>11029.787234042555</v>
      </c>
      <c r="O107" s="573">
        <f t="shared" ref="O107:O109" si="23">E107/J107</f>
        <v>0.52577934244587921</v>
      </c>
      <c r="P107" s="573">
        <f t="shared" ref="P107:P109" si="24">F107/K107</f>
        <v>0.61332078602671991</v>
      </c>
      <c r="Q107" s="573">
        <f t="shared" ref="Q107:Q109" si="25">G107/L107</f>
        <v>0.40886987608750031</v>
      </c>
      <c r="R107" s="573">
        <f t="shared" ref="R107:R109" si="26">H107/M107</f>
        <v>0.99882070931181088</v>
      </c>
      <c r="S107" s="573">
        <f t="shared" ref="S107:S109" si="27">I107/N107</f>
        <v>0.66586313223722604</v>
      </c>
      <c r="T107" s="573">
        <f t="shared" ref="T107:T109" si="28">J107/O107</f>
        <v>13984.954155472316</v>
      </c>
      <c r="U107" s="573">
        <f t="shared" si="19"/>
        <v>11988.832218837695</v>
      </c>
      <c r="V107" s="573">
        <f t="shared" si="20"/>
        <v>26976.277488542888</v>
      </c>
      <c r="W107" s="573">
        <f t="shared" si="21"/>
        <v>7361.6815625160889</v>
      </c>
      <c r="X107" s="573">
        <f t="shared" si="22"/>
        <v>16564.646246419587</v>
      </c>
      <c r="Y107" s="178"/>
      <c r="Z107" s="178"/>
      <c r="AA107" s="178"/>
      <c r="AB107" s="178"/>
      <c r="AC107" s="178"/>
      <c r="AD107" s="178"/>
      <c r="AE107" s="178"/>
      <c r="AF107" s="178"/>
      <c r="AG107" s="178"/>
      <c r="AH107" s="178"/>
      <c r="AI107" s="178"/>
      <c r="AJ107" s="178"/>
      <c r="AK107" s="178"/>
      <c r="AL107" s="178"/>
      <c r="AM107" s="178"/>
      <c r="AN107" s="178"/>
      <c r="AO107" s="178"/>
      <c r="AP107" s="178"/>
      <c r="AQ107" s="178"/>
      <c r="AR107" s="178"/>
      <c r="AS107" s="178"/>
      <c r="AT107" s="178"/>
      <c r="AU107" s="178"/>
      <c r="AV107" s="178"/>
      <c r="AW107" s="178"/>
      <c r="AX107" s="178"/>
      <c r="AY107" s="178"/>
    </row>
    <row r="108" spans="1:51" hidden="1" x14ac:dyDescent="0.35">
      <c r="A108" s="178"/>
      <c r="B108" s="392">
        <v>0.66666666666666663</v>
      </c>
      <c r="C108" s="572">
        <f>C93</f>
        <v>3052</v>
      </c>
      <c r="D108" s="393">
        <f t="shared" si="12"/>
        <v>6.9426751592356686E-2</v>
      </c>
      <c r="E108" s="404">
        <f t="shared" si="13"/>
        <v>3978.1528662420383</v>
      </c>
      <c r="F108" s="406">
        <f t="shared" si="14"/>
        <v>4640.5091373652886</v>
      </c>
      <c r="G108" s="406">
        <f t="shared" si="15"/>
        <v>4640.5091373652886</v>
      </c>
      <c r="H108" s="406">
        <f t="shared" si="16"/>
        <v>7557.279540741355</v>
      </c>
      <c r="I108" s="407">
        <f t="shared" si="17"/>
        <v>7557.279540741355</v>
      </c>
      <c r="J108" s="404">
        <v>7353</v>
      </c>
      <c r="K108" s="404">
        <v>7353</v>
      </c>
      <c r="L108" s="405">
        <v>11029.787234042555</v>
      </c>
      <c r="M108" s="404">
        <v>7353</v>
      </c>
      <c r="N108" s="405">
        <v>11029.787234042555</v>
      </c>
      <c r="O108" s="573">
        <f t="shared" si="23"/>
        <v>0.54102446161322426</v>
      </c>
      <c r="P108" s="573">
        <f t="shared" si="24"/>
        <v>0.63110419384812844</v>
      </c>
      <c r="Q108" s="573">
        <f t="shared" si="25"/>
        <v>0.4207251725620535</v>
      </c>
      <c r="R108" s="573">
        <f t="shared" si="26"/>
        <v>1.0277817952864621</v>
      </c>
      <c r="S108" s="573">
        <f t="shared" si="27"/>
        <v>0.68517002009036199</v>
      </c>
      <c r="T108" s="573">
        <f t="shared" si="28"/>
        <v>13590.882708103176</v>
      </c>
      <c r="U108" s="573">
        <f t="shared" si="19"/>
        <v>11651.00798200282</v>
      </c>
      <c r="V108" s="573">
        <f t="shared" si="20"/>
        <v>26216.133365340178</v>
      </c>
      <c r="W108" s="573">
        <f t="shared" si="21"/>
        <v>7154.2423048567243</v>
      </c>
      <c r="X108" s="573">
        <f t="shared" si="22"/>
        <v>16097.883606448393</v>
      </c>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row>
    <row r="109" spans="1:51" hidden="1" x14ac:dyDescent="0.35">
      <c r="A109" s="178"/>
      <c r="B109" s="392">
        <v>0.70833333333333337</v>
      </c>
      <c r="C109" s="572">
        <f>C94</f>
        <v>3022</v>
      </c>
      <c r="D109" s="393">
        <f t="shared" si="12"/>
        <v>6.8744313011828942E-2</v>
      </c>
      <c r="E109" s="404">
        <f t="shared" si="13"/>
        <v>3939.0491355777986</v>
      </c>
      <c r="F109" s="406">
        <f t="shared" si="14"/>
        <v>4594.8946963033759</v>
      </c>
      <c r="G109" s="406">
        <f t="shared" si="15"/>
        <v>4594.8946963033759</v>
      </c>
      <c r="H109" s="406">
        <f t="shared" si="16"/>
        <v>7482.9943552163759</v>
      </c>
      <c r="I109" s="407">
        <f t="shared" si="17"/>
        <v>7482.9943552163759</v>
      </c>
      <c r="J109" s="404">
        <v>7353</v>
      </c>
      <c r="K109" s="404">
        <v>7353</v>
      </c>
      <c r="L109" s="405">
        <v>11029.787234042555</v>
      </c>
      <c r="M109" s="404">
        <v>7353</v>
      </c>
      <c r="N109" s="405">
        <v>11029.787234042555</v>
      </c>
      <c r="O109" s="573">
        <f t="shared" si="23"/>
        <v>0.53570639678740628</v>
      </c>
      <c r="P109" s="573">
        <f t="shared" si="24"/>
        <v>0.62490067949182315</v>
      </c>
      <c r="Q109" s="573">
        <f t="shared" si="25"/>
        <v>0.41658960402441869</v>
      </c>
      <c r="R109" s="573">
        <f t="shared" si="26"/>
        <v>1.0176790908767002</v>
      </c>
      <c r="S109" s="573">
        <f t="shared" si="27"/>
        <v>0.67843505921136116</v>
      </c>
      <c r="T109" s="573">
        <f t="shared" si="28"/>
        <v>13725.802126118759</v>
      </c>
      <c r="U109" s="573">
        <f t="shared" si="19"/>
        <v>11766.669874610392</v>
      </c>
      <c r="V109" s="573">
        <f t="shared" si="20"/>
        <v>26476.38617836473</v>
      </c>
      <c r="W109" s="573">
        <f t="shared" si="21"/>
        <v>7225.2639028533149</v>
      </c>
      <c r="X109" s="573">
        <f t="shared" si="22"/>
        <v>16257.690525109361</v>
      </c>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row>
    <row r="110" spans="1:51" hidden="1" x14ac:dyDescent="0.35">
      <c r="A110" s="178"/>
      <c r="B110" s="178"/>
      <c r="C110" s="178"/>
      <c r="D110" s="178"/>
      <c r="E110" s="262"/>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8"/>
    </row>
    <row r="111" spans="1:51" hidden="1" x14ac:dyDescent="0.35">
      <c r="A111" s="178"/>
      <c r="B111" s="178"/>
      <c r="C111" s="700" t="s">
        <v>1075</v>
      </c>
      <c r="D111" s="701"/>
      <c r="E111" s="411">
        <f>AVERAGE(E106:E109)</f>
        <v>3868.988284804368</v>
      </c>
      <c r="F111" s="411">
        <f t="shared" ref="F111:I111" si="29">AVERAGE(F106:F109)</f>
        <v>4513.1688227341147</v>
      </c>
      <c r="G111" s="411">
        <f t="shared" si="29"/>
        <v>4513.1688227341147</v>
      </c>
      <c r="H111" s="411">
        <f t="shared" si="29"/>
        <v>7349.900064484118</v>
      </c>
      <c r="I111" s="411">
        <f t="shared" si="29"/>
        <v>7349.900064484118</v>
      </c>
      <c r="J111" s="411">
        <f t="shared" ref="J111:X111" si="30">SUMPRODUCT($D106:$D109,J106:J109)</f>
        <v>1985.945609645132</v>
      </c>
      <c r="K111" s="411">
        <f t="shared" si="30"/>
        <v>1985.945609645132</v>
      </c>
      <c r="L111" s="411">
        <f t="shared" si="30"/>
        <v>2978.9959924883365</v>
      </c>
      <c r="M111" s="411">
        <f t="shared" si="30"/>
        <v>1985.945609645132</v>
      </c>
      <c r="N111" s="411">
        <f t="shared" si="30"/>
        <v>2978.9959924883365</v>
      </c>
      <c r="O111" s="411">
        <f t="shared" si="30"/>
        <v>0.14222731689089135</v>
      </c>
      <c r="P111" s="411">
        <f t="shared" si="30"/>
        <v>0.16590794416570659</v>
      </c>
      <c r="Q111" s="411">
        <f t="shared" si="30"/>
        <v>0.11060241576421818</v>
      </c>
      <c r="R111" s="411">
        <f t="shared" si="30"/>
        <v>0.27018860969247493</v>
      </c>
      <c r="S111" s="411">
        <f t="shared" si="30"/>
        <v>0.18012104902050946</v>
      </c>
      <c r="T111" s="411">
        <f t="shared" si="30"/>
        <v>3774.2833507853406</v>
      </c>
      <c r="U111" s="411">
        <f t="shared" si="30"/>
        <v>3235.566547868299</v>
      </c>
      <c r="V111" s="411">
        <f t="shared" si="30"/>
        <v>7280.4039154702659</v>
      </c>
      <c r="W111" s="411">
        <f t="shared" si="30"/>
        <v>1986.7832133232687</v>
      </c>
      <c r="X111" s="411">
        <f t="shared" si="30"/>
        <v>4470.4950652302541</v>
      </c>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row>
    <row r="112" spans="1:51" x14ac:dyDescent="0.35">
      <c r="A112" s="178"/>
      <c r="B112" s="178"/>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row>
    <row r="113" spans="1:51" x14ac:dyDescent="0.35">
      <c r="A113" s="178"/>
      <c r="B113" s="251" t="s">
        <v>1079</v>
      </c>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c r="AX113" s="178"/>
      <c r="AY113" s="178"/>
    </row>
    <row r="114" spans="1:51" x14ac:dyDescent="0.35">
      <c r="A114" s="178"/>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row>
    <row r="115" spans="1:51" x14ac:dyDescent="0.35">
      <c r="A115" s="178"/>
      <c r="B115" s="178"/>
      <c r="C115" s="678" t="str">
        <f>$F$10</f>
        <v>I-35 Segment</v>
      </c>
      <c r="D115" s="678"/>
      <c r="E115" s="678"/>
      <c r="F115" s="678"/>
      <c r="G115" s="678"/>
      <c r="H115" s="6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8"/>
      <c r="AO115" s="178"/>
      <c r="AP115" s="178"/>
      <c r="AQ115" s="178"/>
      <c r="AR115" s="178"/>
      <c r="AS115" s="178"/>
      <c r="AT115" s="178"/>
      <c r="AU115" s="178"/>
      <c r="AV115" s="178"/>
      <c r="AW115" s="178"/>
      <c r="AX115" s="178"/>
      <c r="AY115" s="178"/>
    </row>
    <row r="116" spans="1:51" x14ac:dyDescent="0.35">
      <c r="A116" s="178"/>
      <c r="B116" s="178"/>
      <c r="C116" s="679" t="s">
        <v>1080</v>
      </c>
      <c r="D116" s="679"/>
      <c r="E116" s="680" t="s">
        <v>1081</v>
      </c>
      <c r="F116" s="680"/>
      <c r="G116" s="680"/>
      <c r="H116" s="680"/>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row>
    <row r="117" spans="1:51" x14ac:dyDescent="0.35">
      <c r="A117" s="178"/>
      <c r="B117" s="178"/>
      <c r="C117" s="679" t="s">
        <v>1082</v>
      </c>
      <c r="D117" s="679"/>
      <c r="E117" s="680" t="s">
        <v>1083</v>
      </c>
      <c r="F117" s="680"/>
      <c r="G117" s="680"/>
      <c r="H117" s="680"/>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row>
    <row r="118" spans="1:51" x14ac:dyDescent="0.35">
      <c r="A118" s="178"/>
      <c r="B118" s="178"/>
      <c r="C118" s="679" t="s">
        <v>1084</v>
      </c>
      <c r="D118" s="679"/>
      <c r="E118" s="706">
        <v>4</v>
      </c>
      <c r="F118" s="706"/>
      <c r="G118" s="706"/>
      <c r="H118" s="706"/>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c r="AL118" s="178"/>
      <c r="AM118" s="178"/>
      <c r="AN118" s="178"/>
      <c r="AO118" s="178"/>
      <c r="AP118" s="178"/>
      <c r="AQ118" s="178"/>
      <c r="AR118" s="178"/>
      <c r="AS118" s="178"/>
      <c r="AT118" s="178"/>
      <c r="AU118" s="178"/>
      <c r="AV118" s="178"/>
      <c r="AW118" s="178"/>
      <c r="AX118" s="178"/>
      <c r="AY118" s="178"/>
    </row>
    <row r="119" spans="1:51" x14ac:dyDescent="0.35">
      <c r="A119" s="178"/>
      <c r="B119" s="178"/>
      <c r="C119" s="679" t="s">
        <v>1085</v>
      </c>
      <c r="D119" s="679"/>
      <c r="E119" s="706">
        <v>6</v>
      </c>
      <c r="F119" s="706"/>
      <c r="G119" s="706"/>
      <c r="H119" s="706"/>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row>
    <row r="120" spans="1:51" x14ac:dyDescent="0.35">
      <c r="A120" s="178"/>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row>
    <row r="121" spans="1:51" x14ac:dyDescent="0.35">
      <c r="A121" s="178"/>
      <c r="B121" s="178"/>
      <c r="C121" s="178"/>
      <c r="D121" s="178"/>
      <c r="E121" s="178"/>
      <c r="F121" s="419" t="str">
        <f>$F$10</f>
        <v>I-35 Segment</v>
      </c>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row>
    <row r="122" spans="1:51" x14ac:dyDescent="0.35">
      <c r="A122" s="178"/>
      <c r="B122" s="178"/>
      <c r="C122" s="684" t="s">
        <v>1086</v>
      </c>
      <c r="D122" s="684"/>
      <c r="E122" s="684"/>
      <c r="F122" s="651">
        <f>'AADT Report'!J21</f>
        <v>6857.1428571428569</v>
      </c>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row>
    <row r="123" spans="1:51" x14ac:dyDescent="0.35">
      <c r="A123" s="178"/>
      <c r="B123" s="178"/>
      <c r="C123" s="684" t="s">
        <v>1087</v>
      </c>
      <c r="D123" s="684"/>
      <c r="E123" s="684"/>
      <c r="F123" s="651">
        <f>'AADT Report'!J21</f>
        <v>6857.1428571428569</v>
      </c>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8"/>
    </row>
    <row r="124" spans="1:51" x14ac:dyDescent="0.35">
      <c r="A124" s="178"/>
      <c r="B124" s="178"/>
      <c r="C124" s="684" t="s">
        <v>1088</v>
      </c>
      <c r="D124" s="684"/>
      <c r="E124" s="684"/>
      <c r="F124" s="651">
        <f>'AADT Report'!J26</f>
        <v>10285.714285714284</v>
      </c>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row>
    <row r="125" spans="1:51" x14ac:dyDescent="0.35">
      <c r="A125" s="178"/>
      <c r="B125" s="178"/>
      <c r="C125" s="496"/>
      <c r="D125" s="496"/>
      <c r="E125" s="496"/>
      <c r="F125" s="522"/>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row>
    <row r="126" spans="1:51" x14ac:dyDescent="0.35">
      <c r="A126" s="178"/>
      <c r="B126" s="178"/>
      <c r="C126" s="694" t="s">
        <v>1089</v>
      </c>
      <c r="D126" s="695"/>
      <c r="E126" s="696"/>
      <c r="F126" s="523">
        <f>E102</f>
        <v>3046.6657238288835</v>
      </c>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row>
    <row r="127" spans="1:51" x14ac:dyDescent="0.35">
      <c r="A127" s="178"/>
      <c r="B127" s="178"/>
      <c r="C127" s="694" t="str">
        <f>"Average Hourly ADTs (Vehicles per Hour) [No Build, "&amp;$F$7&amp;"]"</f>
        <v>Average Hourly ADTs (Vehicles per Hour) [No Build, 2029]</v>
      </c>
      <c r="D127" s="695"/>
      <c r="E127" s="696"/>
      <c r="F127" s="523">
        <f>F102</f>
        <v>3553.9308330504409</v>
      </c>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row>
    <row r="128" spans="1:51" x14ac:dyDescent="0.35">
      <c r="A128" s="178"/>
      <c r="B128" s="178"/>
      <c r="C128" s="694" t="str">
        <f>"Average Hourly ADTs (Vehicles per Hour) [Build, "&amp;$F$7&amp;"]"</f>
        <v>Average Hourly ADTs (Vehicles per Hour) [Build, 2029]</v>
      </c>
      <c r="D128" s="695"/>
      <c r="E128" s="696"/>
      <c r="F128" s="523">
        <f>G102</f>
        <v>3553.9308330504409</v>
      </c>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row>
    <row r="129" spans="1:51" x14ac:dyDescent="0.35">
      <c r="A129" s="178"/>
      <c r="B129" s="178"/>
      <c r="C129" s="694" t="str">
        <f>"Average Hourly ADTs (Vehicles per Hour) [No Build, "&amp;$F$8&amp;"]"</f>
        <v>Average Hourly ADTs (Vehicles per Hour) [No Build, 2048]</v>
      </c>
      <c r="D129" s="695"/>
      <c r="E129" s="696"/>
      <c r="F129" s="523">
        <f>H102</f>
        <v>5787.7375043961219</v>
      </c>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row>
    <row r="130" spans="1:51" x14ac:dyDescent="0.35">
      <c r="A130" s="178"/>
      <c r="B130" s="178"/>
      <c r="C130" s="691" t="str">
        <f>"Average Hourly ADTs (Vehicles per Hour) [Build, "&amp;$F$8&amp;"]"</f>
        <v>Average Hourly ADTs (Vehicles per Hour) [Build, 2048]</v>
      </c>
      <c r="D130" s="692"/>
      <c r="E130" s="693"/>
      <c r="F130" s="524">
        <f>I102</f>
        <v>5787.7375043961219</v>
      </c>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row>
    <row r="131" spans="1:51" x14ac:dyDescent="0.35">
      <c r="A131" s="178"/>
      <c r="B131" s="178"/>
      <c r="C131" s="496"/>
      <c r="D131" s="496"/>
      <c r="E131" s="496"/>
      <c r="F131" s="522"/>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row>
    <row r="132" spans="1:51" x14ac:dyDescent="0.35">
      <c r="A132" s="178"/>
      <c r="B132" s="178"/>
      <c r="C132" s="703" t="s">
        <v>1090</v>
      </c>
      <c r="D132" s="704"/>
      <c r="E132" s="705"/>
      <c r="F132" s="399">
        <f>F126/F$122</f>
        <v>0.44430541805837886</v>
      </c>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row>
    <row r="133" spans="1:51" x14ac:dyDescent="0.35">
      <c r="A133" s="178"/>
      <c r="B133" s="178"/>
      <c r="C133" s="694" t="str">
        <f>"Volume/Capacity Ratio (Vehicles per Hour) [No Build, "&amp;$F$7&amp;"]"</f>
        <v>Volume/Capacity Ratio (Vehicles per Hour) [No Build, 2029]</v>
      </c>
      <c r="D133" s="695"/>
      <c r="E133" s="696"/>
      <c r="F133" s="394">
        <f>F127/F$123</f>
        <v>0.51828157981985601</v>
      </c>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row>
    <row r="134" spans="1:51" x14ac:dyDescent="0.35">
      <c r="A134" s="178"/>
      <c r="B134" s="178"/>
      <c r="C134" s="694" t="str">
        <f>"Volume/Capacity Ratio (Vehicles per Hour) [Build, "&amp;$F$7&amp;"]"</f>
        <v>Volume/Capacity Ratio (Vehicles per Hour) [Build, 2029]</v>
      </c>
      <c r="D134" s="695"/>
      <c r="E134" s="696"/>
      <c r="F134" s="394">
        <f>F128/F$124</f>
        <v>0.34552105321323734</v>
      </c>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row>
    <row r="135" spans="1:51" x14ac:dyDescent="0.35">
      <c r="A135" s="178"/>
      <c r="B135" s="178"/>
      <c r="C135" s="694" t="str">
        <f>"Volume/Capacity Ratio (Vehicles per Hour) [No Build, "&amp;$F$8&amp;"]"</f>
        <v>Volume/Capacity Ratio (Vehicles per Hour) [No Build, 2048]</v>
      </c>
      <c r="D135" s="695"/>
      <c r="E135" s="696"/>
      <c r="F135" s="394">
        <f>F129/F$123</f>
        <v>0.84404505272443453</v>
      </c>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row>
    <row r="136" spans="1:51" x14ac:dyDescent="0.35">
      <c r="A136" s="178"/>
      <c r="B136" s="178"/>
      <c r="C136" s="694" t="str">
        <f>"Volume/Capacity Ratio (Vehicles per Hour) [Build, "&amp;$F$8&amp;"]"</f>
        <v>Volume/Capacity Ratio (Vehicles per Hour) [Build, 2048]</v>
      </c>
      <c r="D136" s="695"/>
      <c r="E136" s="696"/>
      <c r="F136" s="394">
        <f>F130/F$124</f>
        <v>0.56269670181628972</v>
      </c>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8"/>
    </row>
    <row r="137" spans="1:51" x14ac:dyDescent="0.35">
      <c r="A137" s="178"/>
      <c r="B137" s="178"/>
      <c r="C137" s="496"/>
      <c r="D137" s="496"/>
      <c r="E137" s="496"/>
      <c r="F137" s="522"/>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row>
    <row r="138" spans="1:51" x14ac:dyDescent="0.35">
      <c r="A138" s="178"/>
      <c r="B138" s="178"/>
      <c r="C138" s="684" t="str">
        <f>"Annual Growth Rate in V/C Ratio between "&amp;$F$6&amp;" and "&amp;$F$7&amp;" (No Build)"</f>
        <v>Annual Growth Rate in V/C Ratio between 2023 and 2029 (No Build)</v>
      </c>
      <c r="D138" s="684"/>
      <c r="E138" s="684"/>
      <c r="F138" s="422">
        <f>(F133/F132)^(1/($F$7-$F$6))-1</f>
        <v>2.6000000000000023E-2</v>
      </c>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row>
    <row r="139" spans="1:51" x14ac:dyDescent="0.35">
      <c r="A139" s="178"/>
      <c r="B139" s="178"/>
      <c r="C139" s="684" t="str">
        <f>"Annual Growth Rate in V/C Ratio between "&amp;$F$7&amp;" and "&amp;$F$8&amp;" (No Build)"</f>
        <v>Annual Growth Rate in V/C Ratio between 2029 and 2048 (No Build)</v>
      </c>
      <c r="D139" s="684"/>
      <c r="E139" s="684"/>
      <c r="F139" s="422">
        <f>(F135/F133)^(1/($F$8-$F$7))-1</f>
        <v>2.6000000000000023E-2</v>
      </c>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row>
    <row r="140" spans="1:51" x14ac:dyDescent="0.35">
      <c r="A140" s="178"/>
      <c r="B140" s="178"/>
      <c r="C140" s="684" t="str">
        <f>"Annual Growth Rate in V/C Ratio after "&amp;$F$8&amp;" (No Build)"</f>
        <v>Annual Growth Rate in V/C Ratio after 2048 (No Build)</v>
      </c>
      <c r="D140" s="684"/>
      <c r="E140" s="684"/>
      <c r="F140" s="422">
        <f>'SegmentTraffic Inputs'!$H$35</f>
        <v>0</v>
      </c>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row>
    <row r="141" spans="1:51" x14ac:dyDescent="0.35">
      <c r="A141" s="178"/>
      <c r="B141" s="178"/>
      <c r="C141" s="684" t="str">
        <f>"Annual Growth Rate in V/C Ratio between "&amp;$F$6&amp;" and "&amp;$F$7&amp;" (Build)"</f>
        <v>Annual Growth Rate in V/C Ratio between 2023 and 2029 (Build)</v>
      </c>
      <c r="D141" s="684"/>
      <c r="E141" s="684"/>
      <c r="F141" s="422">
        <f>(F134/F132)^(1/($F$7-$F$6))-1</f>
        <v>-4.1043697921147149E-2</v>
      </c>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row>
    <row r="142" spans="1:51" x14ac:dyDescent="0.35">
      <c r="A142" s="178"/>
      <c r="B142" s="178"/>
      <c r="C142" s="684" t="str">
        <f>"Annual Growth Rate in V/C Ratio between "&amp;$F$7&amp;" and "&amp;$F$8&amp;" (Build)"</f>
        <v>Annual Growth Rate in V/C Ratio between 2029 and 2048 (Build)</v>
      </c>
      <c r="D142" s="684"/>
      <c r="E142" s="684"/>
      <c r="F142" s="422">
        <f>(F136/F134)^(1/($F$8-$F$7))-1</f>
        <v>2.6000000000000023E-2</v>
      </c>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row>
    <row r="143" spans="1:51" x14ac:dyDescent="0.35">
      <c r="A143" s="178"/>
      <c r="B143" s="178"/>
      <c r="C143" s="684" t="str">
        <f>"Annual Growth Rate in V/C Ratio after "&amp;$F$8&amp;" (Build)"</f>
        <v>Annual Growth Rate in V/C Ratio after 2048 (Build)</v>
      </c>
      <c r="D143" s="684"/>
      <c r="E143" s="684"/>
      <c r="F143" s="422">
        <f>'SegmentTraffic Inputs'!$H$35</f>
        <v>0</v>
      </c>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row>
    <row r="144" spans="1:51" x14ac:dyDescent="0.35">
      <c r="A144" s="178"/>
      <c r="B144" s="178"/>
      <c r="C144" s="178"/>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row>
    <row r="145" spans="1:51" x14ac:dyDescent="0.35">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row>
    <row r="146" spans="1:51" x14ac:dyDescent="0.35">
      <c r="A146" s="178"/>
      <c r="B146" s="178"/>
      <c r="C146" s="178"/>
      <c r="D146" s="690" t="str">
        <f>"V/C Ratio ("&amp;'SegmentTraffic Inputs'!$H$11&amp;")"</f>
        <v>V/C Ratio (I-35 Segment)</v>
      </c>
      <c r="E146" s="690"/>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row>
    <row r="147" spans="1:51" x14ac:dyDescent="0.35">
      <c r="A147" s="178"/>
      <c r="B147" s="178"/>
      <c r="C147" s="283" t="s">
        <v>1067</v>
      </c>
      <c r="D147" s="391" t="s">
        <v>1068</v>
      </c>
      <c r="E147" s="391" t="s">
        <v>1069</v>
      </c>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row>
    <row r="148" spans="1:51" x14ac:dyDescent="0.35">
      <c r="A148" s="178"/>
      <c r="B148" s="178"/>
      <c r="C148" s="487">
        <f>$F$6</f>
        <v>2023</v>
      </c>
      <c r="D148" s="397">
        <f t="shared" ref="D148:D193" si="31">IF($C148&lt;$F$6,0,IF($C148=$F$6,$F$132,IF($C148=$F$7,$F$133,IF($C148=$F$8,$F$135,IF(AND($C148&gt;$F$6,$C148&lt;$F$7),D147*(1+$F$138),IF(AND($C148&gt;$F$7,$C148&lt;$F$8),D147*(1+$F$139),IF($C148&gt;$F$8,D147*(1+$F$140))))))))</f>
        <v>0.44430541805837886</v>
      </c>
      <c r="E148" s="397">
        <f t="shared" ref="E148:E193" si="32">IF($C148&lt;$F$6,0,IF($C148=$F$6,$F$132,IF($C148=$F$7,$F$134,IF($C148=$F$8,$F$136,IF(AND($C148&gt;$F$6,$C148&lt;$F$7),E147*(1+$F$141),IF(AND($C148&gt;$F$7,$C148&lt;$F$8),E147*(1+$F$142),IF($C148&gt;$F$8,E147*(1+$F$143))))))))</f>
        <v>0.44430541805837886</v>
      </c>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row>
    <row r="149" spans="1:51" x14ac:dyDescent="0.35">
      <c r="A149" s="178"/>
      <c r="B149" s="178"/>
      <c r="C149" s="395">
        <f>C148+1</f>
        <v>2024</v>
      </c>
      <c r="D149" s="397">
        <f t="shared" si="31"/>
        <v>0.45585735892789675</v>
      </c>
      <c r="E149" s="397">
        <f t="shared" si="32"/>
        <v>0.42606948069486178</v>
      </c>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row>
    <row r="150" spans="1:51" x14ac:dyDescent="0.35">
      <c r="A150" s="178"/>
      <c r="B150" s="178"/>
      <c r="C150" s="395">
        <f t="shared" ref="C150:C191" si="33">C149+1</f>
        <v>2025</v>
      </c>
      <c r="D150" s="397">
        <f t="shared" si="31"/>
        <v>0.46770965026002209</v>
      </c>
      <c r="E150" s="397">
        <f t="shared" si="32"/>
        <v>0.40858201363580182</v>
      </c>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c r="AK150" s="178"/>
      <c r="AL150" s="178"/>
      <c r="AM150" s="178"/>
      <c r="AN150" s="178"/>
      <c r="AO150" s="178"/>
      <c r="AP150" s="178"/>
      <c r="AQ150" s="178"/>
      <c r="AR150" s="178"/>
      <c r="AS150" s="178"/>
      <c r="AT150" s="178"/>
      <c r="AU150" s="178"/>
      <c r="AV150" s="178"/>
      <c r="AW150" s="178"/>
      <c r="AX150" s="178"/>
      <c r="AY150" s="178"/>
    </row>
    <row r="151" spans="1:51" x14ac:dyDescent="0.35">
      <c r="A151" s="178"/>
      <c r="B151" s="178"/>
      <c r="C151" s="395">
        <f t="shared" si="33"/>
        <v>2026</v>
      </c>
      <c r="D151" s="397">
        <f t="shared" si="31"/>
        <v>0.47987010116678269</v>
      </c>
      <c r="E151" s="397">
        <f t="shared" si="32"/>
        <v>0.39181229689211994</v>
      </c>
      <c r="F151" s="178"/>
      <c r="G151" s="178"/>
      <c r="H151" s="178"/>
      <c r="I151" s="178"/>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row>
    <row r="152" spans="1:51" x14ac:dyDescent="0.35">
      <c r="A152" s="178"/>
      <c r="B152" s="178"/>
      <c r="C152" s="395">
        <f t="shared" si="33"/>
        <v>2027</v>
      </c>
      <c r="D152" s="397">
        <f>IF($C152&lt;$F$6,0,IF($C152=$F$6,$F$132,IF($C152=$F$7,$F$133,IF($C152=$F$8,$F$135,IF(AND($C152&gt;$F$6,$C152&lt;$F$7),D151*(1+$F$138),IF(AND($C152&gt;$F$7,$C152&lt;$F$8),D151*(1+$F$139),IF($C152&gt;$F$8,D151*(1+$F$140))))))))</f>
        <v>0.49234672379711908</v>
      </c>
      <c r="E152" s="397">
        <f t="shared" si="32"/>
        <v>0.37573087133668892</v>
      </c>
      <c r="F152" s="178"/>
      <c r="G152" s="178"/>
      <c r="H152" s="178"/>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J152" s="178"/>
      <c r="AK152" s="178"/>
      <c r="AL152" s="178"/>
      <c r="AM152" s="178"/>
      <c r="AN152" s="178"/>
      <c r="AO152" s="178"/>
      <c r="AP152" s="178"/>
      <c r="AQ152" s="178"/>
      <c r="AR152" s="178"/>
      <c r="AS152" s="178"/>
      <c r="AT152" s="178"/>
      <c r="AU152" s="178"/>
      <c r="AV152" s="178"/>
      <c r="AW152" s="178"/>
      <c r="AX152" s="178"/>
      <c r="AY152" s="178"/>
    </row>
    <row r="153" spans="1:51" ht="14.5" hidden="1" customHeight="1" x14ac:dyDescent="0.35">
      <c r="A153" s="178"/>
      <c r="B153" s="178"/>
      <c r="C153" s="395">
        <f>C152+1</f>
        <v>2028</v>
      </c>
      <c r="D153" s="397">
        <f t="shared" si="31"/>
        <v>0.50514773861584417</v>
      </c>
      <c r="E153" s="397">
        <f t="shared" si="32"/>
        <v>0.36030948695389647</v>
      </c>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Q153" s="178"/>
      <c r="AR153" s="178"/>
      <c r="AS153" s="178"/>
      <c r="AT153" s="178"/>
      <c r="AU153" s="178"/>
      <c r="AV153" s="178"/>
      <c r="AW153" s="178"/>
      <c r="AX153" s="178"/>
      <c r="AY153" s="178"/>
    </row>
    <row r="154" spans="1:51" x14ac:dyDescent="0.35">
      <c r="A154" s="178"/>
      <c r="B154" s="178"/>
      <c r="C154" s="395">
        <f t="shared" si="33"/>
        <v>2029</v>
      </c>
      <c r="D154" s="397">
        <f t="shared" si="31"/>
        <v>0.51828157981985601</v>
      </c>
      <c r="E154" s="397">
        <f t="shared" si="32"/>
        <v>0.34552105321323734</v>
      </c>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c r="AI154" s="178"/>
      <c r="AJ154" s="178"/>
      <c r="AK154" s="178"/>
      <c r="AL154" s="178"/>
      <c r="AM154" s="178"/>
      <c r="AN154" s="178"/>
      <c r="AO154" s="178"/>
      <c r="AP154" s="178"/>
      <c r="AQ154" s="178"/>
      <c r="AR154" s="178"/>
      <c r="AS154" s="178"/>
      <c r="AT154" s="178"/>
      <c r="AU154" s="178"/>
      <c r="AV154" s="178"/>
      <c r="AW154" s="178"/>
      <c r="AX154" s="178"/>
      <c r="AY154" s="178"/>
    </row>
    <row r="155" spans="1:51" x14ac:dyDescent="0.35">
      <c r="A155" s="178"/>
      <c r="B155" s="178"/>
      <c r="C155" s="395">
        <f t="shared" si="33"/>
        <v>2030</v>
      </c>
      <c r="D155" s="397">
        <f t="shared" si="31"/>
        <v>0.53175690089517225</v>
      </c>
      <c r="E155" s="397">
        <f t="shared" si="32"/>
        <v>0.35450460059678152</v>
      </c>
      <c r="F155" s="178"/>
      <c r="G155" s="178"/>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AH155" s="178"/>
      <c r="AI155" s="178"/>
      <c r="AJ155" s="178"/>
      <c r="AK155" s="178"/>
      <c r="AL155" s="178"/>
      <c r="AM155" s="178"/>
      <c r="AN155" s="178"/>
      <c r="AO155" s="178"/>
      <c r="AP155" s="178"/>
      <c r="AQ155" s="178"/>
      <c r="AR155" s="178"/>
      <c r="AS155" s="178"/>
      <c r="AT155" s="178"/>
      <c r="AU155" s="178"/>
      <c r="AV155" s="178"/>
      <c r="AW155" s="178"/>
      <c r="AX155" s="178"/>
      <c r="AY155" s="178"/>
    </row>
    <row r="156" spans="1:51" x14ac:dyDescent="0.35">
      <c r="A156" s="178"/>
      <c r="B156" s="178"/>
      <c r="C156" s="395">
        <f t="shared" si="33"/>
        <v>2031</v>
      </c>
      <c r="D156" s="397">
        <f t="shared" si="31"/>
        <v>0.54558258031844675</v>
      </c>
      <c r="E156" s="397">
        <f t="shared" si="32"/>
        <v>0.36372172021229782</v>
      </c>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row>
    <row r="157" spans="1:51" x14ac:dyDescent="0.35">
      <c r="A157" s="178"/>
      <c r="B157" s="178"/>
      <c r="C157" s="395">
        <f t="shared" si="33"/>
        <v>2032</v>
      </c>
      <c r="D157" s="397">
        <f t="shared" si="31"/>
        <v>0.55976772740672642</v>
      </c>
      <c r="E157" s="397">
        <f t="shared" si="32"/>
        <v>0.37317848493781758</v>
      </c>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row>
    <row r="158" spans="1:51" x14ac:dyDescent="0.35">
      <c r="A158" s="178"/>
      <c r="B158" s="178"/>
      <c r="C158" s="395">
        <f t="shared" si="33"/>
        <v>2033</v>
      </c>
      <c r="D158" s="397">
        <f t="shared" si="31"/>
        <v>0.5743216883193013</v>
      </c>
      <c r="E158" s="397">
        <f t="shared" si="32"/>
        <v>0.38288112554620085</v>
      </c>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row>
    <row r="159" spans="1:51" x14ac:dyDescent="0.35">
      <c r="A159" s="178"/>
      <c r="B159" s="178"/>
      <c r="C159" s="395">
        <f t="shared" si="33"/>
        <v>2034</v>
      </c>
      <c r="D159" s="397">
        <f t="shared" si="31"/>
        <v>0.58925405221560312</v>
      </c>
      <c r="E159" s="397">
        <f t="shared" si="32"/>
        <v>0.39283603481040208</v>
      </c>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8"/>
      <c r="AM159" s="178"/>
      <c r="AN159" s="178"/>
      <c r="AO159" s="178"/>
      <c r="AP159" s="178"/>
      <c r="AQ159" s="178"/>
      <c r="AR159" s="178"/>
      <c r="AS159" s="178"/>
      <c r="AT159" s="178"/>
      <c r="AU159" s="178"/>
      <c r="AV159" s="178"/>
      <c r="AW159" s="178"/>
      <c r="AX159" s="178"/>
      <c r="AY159" s="178"/>
    </row>
    <row r="160" spans="1:51" x14ac:dyDescent="0.35">
      <c r="A160" s="178"/>
      <c r="B160" s="178"/>
      <c r="C160" s="395">
        <f t="shared" si="33"/>
        <v>2035</v>
      </c>
      <c r="D160" s="397">
        <f t="shared" si="31"/>
        <v>0.60457465757320883</v>
      </c>
      <c r="E160" s="397">
        <f t="shared" si="32"/>
        <v>0.40304977171547252</v>
      </c>
      <c r="F160" s="178"/>
      <c r="G160" s="178"/>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c r="AH160" s="178"/>
      <c r="AI160" s="178"/>
      <c r="AJ160" s="178"/>
      <c r="AK160" s="178"/>
      <c r="AL160" s="178"/>
      <c r="AM160" s="178"/>
      <c r="AN160" s="178"/>
      <c r="AO160" s="178"/>
      <c r="AP160" s="178"/>
      <c r="AQ160" s="178"/>
      <c r="AR160" s="178"/>
      <c r="AS160" s="178"/>
      <c r="AT160" s="178"/>
      <c r="AU160" s="178"/>
      <c r="AV160" s="178"/>
      <c r="AW160" s="178"/>
      <c r="AX160" s="178"/>
      <c r="AY160" s="178"/>
    </row>
    <row r="161" spans="1:51" x14ac:dyDescent="0.35">
      <c r="A161" s="178"/>
      <c r="B161" s="178"/>
      <c r="C161" s="395">
        <f t="shared" si="33"/>
        <v>2036</v>
      </c>
      <c r="D161" s="397">
        <f t="shared" si="31"/>
        <v>0.62029359867011225</v>
      </c>
      <c r="E161" s="397">
        <f t="shared" si="32"/>
        <v>0.41352906578007481</v>
      </c>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8"/>
      <c r="AN161" s="178"/>
      <c r="AO161" s="178"/>
      <c r="AP161" s="178"/>
      <c r="AQ161" s="178"/>
      <c r="AR161" s="178"/>
      <c r="AS161" s="178"/>
      <c r="AT161" s="178"/>
      <c r="AU161" s="178"/>
      <c r="AV161" s="178"/>
      <c r="AW161" s="178"/>
      <c r="AX161" s="178"/>
      <c r="AY161" s="178"/>
    </row>
    <row r="162" spans="1:51" x14ac:dyDescent="0.35">
      <c r="A162" s="178"/>
      <c r="B162" s="178"/>
      <c r="C162" s="395">
        <f t="shared" si="33"/>
        <v>2037</v>
      </c>
      <c r="D162" s="397">
        <f t="shared" si="31"/>
        <v>0.63642123223553515</v>
      </c>
      <c r="E162" s="397">
        <f t="shared" si="32"/>
        <v>0.42428082149035679</v>
      </c>
      <c r="F162" s="178"/>
      <c r="G162" s="178"/>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8"/>
      <c r="AH162" s="178"/>
      <c r="AI162" s="178"/>
      <c r="AJ162" s="178"/>
      <c r="AK162" s="178"/>
      <c r="AL162" s="178"/>
      <c r="AM162" s="178"/>
      <c r="AN162" s="178"/>
      <c r="AO162" s="178"/>
      <c r="AP162" s="178"/>
      <c r="AQ162" s="178"/>
      <c r="AR162" s="178"/>
      <c r="AS162" s="178"/>
      <c r="AT162" s="178"/>
      <c r="AU162" s="178"/>
      <c r="AV162" s="178"/>
      <c r="AW162" s="178"/>
      <c r="AX162" s="178"/>
      <c r="AY162" s="178"/>
    </row>
    <row r="163" spans="1:51" ht="14.5" hidden="1" customHeight="1" x14ac:dyDescent="0.35">
      <c r="A163" s="178"/>
      <c r="B163" s="178"/>
      <c r="C163" s="395">
        <f t="shared" si="33"/>
        <v>2038</v>
      </c>
      <c r="D163" s="397">
        <f t="shared" si="31"/>
        <v>0.6529681842736591</v>
      </c>
      <c r="E163" s="397">
        <f t="shared" si="32"/>
        <v>0.43531212284910609</v>
      </c>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178"/>
      <c r="AH163" s="178"/>
      <c r="AI163" s="178"/>
      <c r="AJ163" s="178"/>
      <c r="AK163" s="178"/>
      <c r="AL163" s="178"/>
      <c r="AM163" s="178"/>
      <c r="AN163" s="178"/>
      <c r="AO163" s="178"/>
      <c r="AP163" s="178"/>
      <c r="AQ163" s="178"/>
      <c r="AR163" s="178"/>
      <c r="AS163" s="178"/>
      <c r="AT163" s="178"/>
      <c r="AU163" s="178"/>
      <c r="AV163" s="178"/>
      <c r="AW163" s="178"/>
      <c r="AX163" s="178"/>
      <c r="AY163" s="178"/>
    </row>
    <row r="164" spans="1:51" x14ac:dyDescent="0.35">
      <c r="A164" s="178"/>
      <c r="B164" s="178"/>
      <c r="C164" s="395">
        <f t="shared" si="33"/>
        <v>2039</v>
      </c>
      <c r="D164" s="397">
        <f t="shared" si="31"/>
        <v>0.66994535706477421</v>
      </c>
      <c r="E164" s="397">
        <f t="shared" si="32"/>
        <v>0.44663023804318286</v>
      </c>
      <c r="F164" s="178"/>
      <c r="G164" s="178"/>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178"/>
      <c r="AH164" s="178"/>
      <c r="AI164" s="178"/>
      <c r="AJ164" s="178"/>
      <c r="AK164" s="178"/>
      <c r="AL164" s="178"/>
      <c r="AM164" s="178"/>
      <c r="AN164" s="178"/>
      <c r="AO164" s="178"/>
      <c r="AP164" s="178"/>
      <c r="AQ164" s="178"/>
      <c r="AR164" s="178"/>
      <c r="AS164" s="178"/>
      <c r="AT164" s="178"/>
      <c r="AU164" s="178"/>
      <c r="AV164" s="178"/>
      <c r="AW164" s="178"/>
      <c r="AX164" s="178"/>
      <c r="AY164" s="178"/>
    </row>
    <row r="165" spans="1:51" x14ac:dyDescent="0.35">
      <c r="A165" s="178"/>
      <c r="B165" s="178"/>
      <c r="C165" s="395">
        <f t="shared" si="33"/>
        <v>2040</v>
      </c>
      <c r="D165" s="397">
        <f t="shared" si="31"/>
        <v>0.68736393634845838</v>
      </c>
      <c r="E165" s="397">
        <f t="shared" si="32"/>
        <v>0.45824262423230561</v>
      </c>
      <c r="F165" s="178"/>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78"/>
      <c r="AL165" s="178"/>
      <c r="AM165" s="178"/>
      <c r="AN165" s="178"/>
      <c r="AO165" s="178"/>
      <c r="AP165" s="178"/>
      <c r="AQ165" s="178"/>
      <c r="AR165" s="178"/>
      <c r="AS165" s="178"/>
      <c r="AT165" s="178"/>
      <c r="AU165" s="178"/>
      <c r="AV165" s="178"/>
      <c r="AW165" s="178"/>
      <c r="AX165" s="178"/>
      <c r="AY165" s="178"/>
    </row>
    <row r="166" spans="1:51" x14ac:dyDescent="0.35">
      <c r="A166" s="178"/>
      <c r="B166" s="178"/>
      <c r="C166" s="395">
        <f t="shared" si="33"/>
        <v>2041</v>
      </c>
      <c r="D166" s="397">
        <f t="shared" si="31"/>
        <v>0.70523539869351837</v>
      </c>
      <c r="E166" s="397">
        <f t="shared" si="32"/>
        <v>0.47015693246234558</v>
      </c>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78"/>
      <c r="AL166" s="178"/>
      <c r="AM166" s="178"/>
      <c r="AN166" s="178"/>
      <c r="AO166" s="178"/>
      <c r="AP166" s="178"/>
      <c r="AQ166" s="178"/>
      <c r="AR166" s="178"/>
      <c r="AS166" s="178"/>
      <c r="AT166" s="178"/>
      <c r="AU166" s="178"/>
      <c r="AV166" s="178"/>
      <c r="AW166" s="178"/>
      <c r="AX166" s="178"/>
      <c r="AY166" s="178"/>
    </row>
    <row r="167" spans="1:51" x14ac:dyDescent="0.35">
      <c r="A167" s="178"/>
      <c r="B167" s="178"/>
      <c r="C167" s="395">
        <f t="shared" si="33"/>
        <v>2042</v>
      </c>
      <c r="D167" s="397">
        <f t="shared" si="31"/>
        <v>0.72357151905954986</v>
      </c>
      <c r="E167" s="397">
        <f t="shared" si="32"/>
        <v>0.48238101270636657</v>
      </c>
      <c r="F167" s="178"/>
      <c r="G167" s="178"/>
      <c r="H167" s="178"/>
      <c r="I167" s="178"/>
      <c r="J167" s="178"/>
      <c r="K167" s="178"/>
      <c r="L167" s="178"/>
      <c r="M167" s="178"/>
      <c r="N167" s="178"/>
      <c r="O167" s="178"/>
      <c r="P167" s="178"/>
      <c r="Q167" s="178"/>
      <c r="R167" s="178"/>
      <c r="S167" s="178"/>
      <c r="T167" s="178"/>
      <c r="U167" s="178"/>
      <c r="V167" s="178"/>
      <c r="W167" s="178"/>
      <c r="X167" s="178"/>
      <c r="Y167" s="178"/>
      <c r="Z167" s="178"/>
      <c r="AA167" s="178"/>
      <c r="AB167" s="178"/>
      <c r="AC167" s="178"/>
      <c r="AD167" s="178"/>
      <c r="AE167" s="178"/>
      <c r="AF167" s="178"/>
      <c r="AG167" s="178"/>
      <c r="AH167" s="178"/>
      <c r="AI167" s="178"/>
      <c r="AJ167" s="178"/>
      <c r="AK167" s="178"/>
      <c r="AL167" s="178"/>
      <c r="AM167" s="178"/>
      <c r="AN167" s="178"/>
      <c r="AO167" s="178"/>
      <c r="AP167" s="178"/>
      <c r="AQ167" s="178"/>
      <c r="AR167" s="178"/>
      <c r="AS167" s="178"/>
      <c r="AT167" s="178"/>
      <c r="AU167" s="178"/>
      <c r="AV167" s="178"/>
      <c r="AW167" s="178"/>
      <c r="AX167" s="178"/>
      <c r="AY167" s="178"/>
    </row>
    <row r="168" spans="1:51" x14ac:dyDescent="0.35">
      <c r="A168" s="178"/>
      <c r="B168" s="178"/>
      <c r="C168" s="395">
        <f t="shared" si="33"/>
        <v>2043</v>
      </c>
      <c r="D168" s="397">
        <f t="shared" si="31"/>
        <v>0.7423843785550982</v>
      </c>
      <c r="E168" s="397">
        <f t="shared" si="32"/>
        <v>0.49492291903673213</v>
      </c>
      <c r="F168" s="178"/>
      <c r="G168" s="178"/>
      <c r="H168" s="178"/>
      <c r="I168" s="178"/>
      <c r="J168" s="178"/>
      <c r="K168" s="178"/>
      <c r="L168" s="178"/>
      <c r="M168" s="178"/>
      <c r="N168" s="178"/>
      <c r="O168" s="178"/>
      <c r="P168" s="178"/>
      <c r="Q168" s="178"/>
      <c r="R168" s="178"/>
      <c r="S168" s="178"/>
      <c r="T168" s="178"/>
      <c r="U168" s="178"/>
      <c r="V168" s="178"/>
      <c r="W168" s="178"/>
      <c r="X168" s="178"/>
      <c r="Y168" s="178"/>
      <c r="Z168" s="178"/>
      <c r="AA168" s="178"/>
      <c r="AB168" s="178"/>
      <c r="AC168" s="178"/>
      <c r="AD168" s="178"/>
      <c r="AE168" s="178"/>
      <c r="AF168" s="178"/>
      <c r="AG168" s="178"/>
      <c r="AH168" s="178"/>
      <c r="AI168" s="178"/>
      <c r="AJ168" s="178"/>
      <c r="AK168" s="178"/>
      <c r="AL168" s="178"/>
      <c r="AM168" s="178"/>
      <c r="AN168" s="178"/>
      <c r="AO168" s="178"/>
      <c r="AP168" s="178"/>
      <c r="AQ168" s="178"/>
      <c r="AR168" s="178"/>
      <c r="AS168" s="178"/>
      <c r="AT168" s="178"/>
      <c r="AU168" s="178"/>
      <c r="AV168" s="178"/>
      <c r="AW168" s="178"/>
      <c r="AX168" s="178"/>
      <c r="AY168" s="178"/>
    </row>
    <row r="169" spans="1:51" x14ac:dyDescent="0.35">
      <c r="A169" s="178"/>
      <c r="B169" s="178"/>
      <c r="C169" s="395">
        <f t="shared" si="33"/>
        <v>2044</v>
      </c>
      <c r="D169" s="397">
        <f t="shared" si="31"/>
        <v>0.76168637239753079</v>
      </c>
      <c r="E169" s="397">
        <f t="shared" si="32"/>
        <v>0.50779091493168715</v>
      </c>
      <c r="F169" s="178"/>
      <c r="G169" s="178"/>
      <c r="H169" s="178"/>
      <c r="I169" s="178"/>
      <c r="J169" s="178"/>
      <c r="K169" s="178"/>
      <c r="L169" s="178"/>
      <c r="M169" s="178"/>
      <c r="N169" s="178"/>
      <c r="O169" s="178"/>
      <c r="P169" s="178"/>
      <c r="Q169" s="178"/>
      <c r="R169" s="178"/>
      <c r="S169" s="178"/>
      <c r="T169" s="178"/>
      <c r="U169" s="178"/>
      <c r="V169" s="178"/>
      <c r="W169" s="178"/>
      <c r="X169" s="178"/>
      <c r="Y169" s="178"/>
      <c r="Z169" s="178"/>
      <c r="AA169" s="178"/>
      <c r="AB169" s="178"/>
      <c r="AC169" s="178"/>
      <c r="AD169" s="178"/>
      <c r="AE169" s="178"/>
      <c r="AF169" s="178"/>
      <c r="AG169" s="178"/>
      <c r="AH169" s="178"/>
      <c r="AI169" s="178"/>
      <c r="AJ169" s="178"/>
      <c r="AK169" s="178"/>
      <c r="AL169" s="178"/>
      <c r="AM169" s="178"/>
      <c r="AN169" s="178"/>
      <c r="AO169" s="178"/>
      <c r="AP169" s="178"/>
      <c r="AQ169" s="178"/>
      <c r="AR169" s="178"/>
      <c r="AS169" s="178"/>
      <c r="AT169" s="178"/>
      <c r="AU169" s="178"/>
      <c r="AV169" s="178"/>
      <c r="AW169" s="178"/>
      <c r="AX169" s="178"/>
      <c r="AY169" s="178"/>
    </row>
    <row r="170" spans="1:51" x14ac:dyDescent="0.35">
      <c r="A170" s="178"/>
      <c r="B170" s="178"/>
      <c r="C170" s="395">
        <f t="shared" si="33"/>
        <v>2045</v>
      </c>
      <c r="D170" s="397">
        <f t="shared" si="31"/>
        <v>0.78149021807986663</v>
      </c>
      <c r="E170" s="397">
        <f t="shared" si="32"/>
        <v>0.52099347871991109</v>
      </c>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c r="AK170" s="178"/>
      <c r="AL170" s="178"/>
      <c r="AM170" s="178"/>
      <c r="AN170" s="178"/>
      <c r="AO170" s="178"/>
      <c r="AP170" s="178"/>
      <c r="AQ170" s="178"/>
      <c r="AR170" s="178"/>
      <c r="AS170" s="178"/>
      <c r="AT170" s="178"/>
      <c r="AU170" s="178"/>
      <c r="AV170" s="178"/>
      <c r="AW170" s="178"/>
      <c r="AX170" s="178"/>
      <c r="AY170" s="178"/>
    </row>
    <row r="171" spans="1:51" x14ac:dyDescent="0.35">
      <c r="A171" s="178"/>
      <c r="B171" s="178"/>
      <c r="C171" s="395">
        <f t="shared" si="33"/>
        <v>2046</v>
      </c>
      <c r="D171" s="397">
        <f t="shared" si="31"/>
        <v>0.80180896374994315</v>
      </c>
      <c r="E171" s="397">
        <f t="shared" si="32"/>
        <v>0.53453930916662884</v>
      </c>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row>
    <row r="172" spans="1:51" x14ac:dyDescent="0.35">
      <c r="A172" s="178"/>
      <c r="B172" s="178"/>
      <c r="C172" s="395">
        <f t="shared" si="33"/>
        <v>2047</v>
      </c>
      <c r="D172" s="397">
        <f t="shared" si="31"/>
        <v>0.82265599680744173</v>
      </c>
      <c r="E172" s="397">
        <f t="shared" si="32"/>
        <v>0.54843733120496119</v>
      </c>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8"/>
      <c r="AM172" s="178"/>
      <c r="AN172" s="178"/>
      <c r="AO172" s="178"/>
      <c r="AP172" s="178"/>
      <c r="AQ172" s="178"/>
      <c r="AR172" s="178"/>
      <c r="AS172" s="178"/>
      <c r="AT172" s="178"/>
      <c r="AU172" s="178"/>
      <c r="AV172" s="178"/>
      <c r="AW172" s="178"/>
      <c r="AX172" s="178"/>
      <c r="AY172" s="178"/>
    </row>
    <row r="173" spans="1:51" x14ac:dyDescent="0.35">
      <c r="A173" s="178"/>
      <c r="B173" s="178"/>
      <c r="C173" s="395">
        <f t="shared" si="33"/>
        <v>2048</v>
      </c>
      <c r="D173" s="397">
        <f t="shared" si="31"/>
        <v>0.84404505272443453</v>
      </c>
      <c r="E173" s="397">
        <f t="shared" si="32"/>
        <v>0.56269670181628972</v>
      </c>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c r="AK173" s="178"/>
      <c r="AL173" s="178"/>
      <c r="AM173" s="178"/>
      <c r="AN173" s="178"/>
      <c r="AO173" s="178"/>
      <c r="AP173" s="178"/>
      <c r="AQ173" s="178"/>
      <c r="AR173" s="178"/>
      <c r="AS173" s="178"/>
      <c r="AT173" s="178"/>
      <c r="AU173" s="178"/>
      <c r="AV173" s="178"/>
      <c r="AW173" s="178"/>
      <c r="AX173" s="178"/>
      <c r="AY173" s="178"/>
    </row>
    <row r="174" spans="1:51" x14ac:dyDescent="0.35">
      <c r="A174" s="178"/>
      <c r="B174" s="178"/>
      <c r="C174" s="395">
        <f t="shared" si="33"/>
        <v>2049</v>
      </c>
      <c r="D174" s="397">
        <f t="shared" si="31"/>
        <v>0.84404505272443453</v>
      </c>
      <c r="E174" s="397">
        <f t="shared" si="32"/>
        <v>0.56269670181628972</v>
      </c>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8"/>
      <c r="AK174" s="178"/>
      <c r="AL174" s="178"/>
      <c r="AM174" s="178"/>
      <c r="AN174" s="178"/>
      <c r="AO174" s="178"/>
      <c r="AP174" s="178"/>
      <c r="AQ174" s="178"/>
      <c r="AR174" s="178"/>
      <c r="AS174" s="178"/>
      <c r="AT174" s="178"/>
      <c r="AU174" s="178"/>
      <c r="AV174" s="178"/>
      <c r="AW174" s="178"/>
      <c r="AX174" s="178"/>
      <c r="AY174" s="178"/>
    </row>
    <row r="175" spans="1:51" x14ac:dyDescent="0.35">
      <c r="A175" s="178"/>
      <c r="B175" s="178"/>
      <c r="C175" s="395">
        <f t="shared" si="33"/>
        <v>2050</v>
      </c>
      <c r="D175" s="397">
        <f t="shared" si="31"/>
        <v>0.84404505272443453</v>
      </c>
      <c r="E175" s="397">
        <f t="shared" si="32"/>
        <v>0.56269670181628972</v>
      </c>
      <c r="F175" s="178"/>
      <c r="G175" s="178"/>
      <c r="H175" s="178"/>
      <c r="I175" s="178"/>
      <c r="J175" s="178"/>
      <c r="K175" s="178"/>
      <c r="L175" s="178"/>
      <c r="M175" s="178"/>
      <c r="N175" s="178"/>
      <c r="O175" s="178"/>
      <c r="P175" s="178"/>
      <c r="Q175" s="178"/>
      <c r="R175" s="178"/>
      <c r="S175" s="178"/>
      <c r="T175" s="178"/>
      <c r="U175" s="178"/>
      <c r="V175" s="178"/>
      <c r="W175" s="178"/>
      <c r="X175" s="178"/>
      <c r="Y175" s="178"/>
      <c r="Z175" s="178"/>
      <c r="AA175" s="178"/>
      <c r="AB175" s="178"/>
      <c r="AC175" s="178"/>
      <c r="AD175" s="178"/>
      <c r="AE175" s="178"/>
      <c r="AF175" s="178"/>
      <c r="AG175" s="178"/>
      <c r="AH175" s="178"/>
      <c r="AI175" s="178"/>
      <c r="AJ175" s="178"/>
      <c r="AK175" s="178"/>
      <c r="AL175" s="178"/>
      <c r="AM175" s="178"/>
      <c r="AN175" s="178"/>
      <c r="AO175" s="178"/>
      <c r="AP175" s="178"/>
      <c r="AQ175" s="178"/>
      <c r="AR175" s="178"/>
      <c r="AS175" s="178"/>
      <c r="AT175" s="178"/>
      <c r="AU175" s="178"/>
      <c r="AV175" s="178"/>
      <c r="AW175" s="178"/>
      <c r="AX175" s="178"/>
      <c r="AY175" s="178"/>
    </row>
    <row r="176" spans="1:51" x14ac:dyDescent="0.35">
      <c r="A176" s="178"/>
      <c r="B176" s="178"/>
      <c r="C176" s="395">
        <f t="shared" si="33"/>
        <v>2051</v>
      </c>
      <c r="D176" s="397">
        <f t="shared" si="31"/>
        <v>0.84404505272443453</v>
      </c>
      <c r="E176" s="397">
        <f t="shared" si="32"/>
        <v>0.56269670181628972</v>
      </c>
      <c r="F176" s="178"/>
      <c r="G176" s="178"/>
      <c r="H176" s="178"/>
      <c r="I176" s="178"/>
      <c r="J176" s="178"/>
      <c r="K176" s="178"/>
      <c r="L176" s="178"/>
      <c r="M176" s="178"/>
      <c r="N176" s="178"/>
      <c r="O176" s="178"/>
      <c r="P176" s="178"/>
      <c r="Q176" s="178"/>
      <c r="R176" s="178"/>
      <c r="S176" s="178"/>
      <c r="T176" s="178"/>
      <c r="U176" s="178"/>
      <c r="V176" s="178"/>
      <c r="W176" s="178"/>
      <c r="X176" s="178"/>
      <c r="Y176" s="178"/>
      <c r="Z176" s="178"/>
      <c r="AA176" s="178"/>
      <c r="AB176" s="178"/>
      <c r="AC176" s="178"/>
      <c r="AD176" s="178"/>
      <c r="AE176" s="178"/>
      <c r="AF176" s="178"/>
      <c r="AG176" s="178"/>
      <c r="AH176" s="178"/>
      <c r="AI176" s="178"/>
      <c r="AJ176" s="178"/>
      <c r="AK176" s="178"/>
      <c r="AL176" s="178"/>
      <c r="AM176" s="178"/>
      <c r="AN176" s="178"/>
      <c r="AO176" s="178"/>
      <c r="AP176" s="178"/>
      <c r="AQ176" s="178"/>
      <c r="AR176" s="178"/>
      <c r="AS176" s="178"/>
      <c r="AT176" s="178"/>
      <c r="AU176" s="178"/>
      <c r="AV176" s="178"/>
      <c r="AW176" s="178"/>
      <c r="AX176" s="178"/>
      <c r="AY176" s="178"/>
    </row>
    <row r="177" spans="1:51" x14ac:dyDescent="0.35">
      <c r="A177" s="178"/>
      <c r="B177" s="178"/>
      <c r="C177" s="395">
        <f t="shared" si="33"/>
        <v>2052</v>
      </c>
      <c r="D177" s="397">
        <f t="shared" si="31"/>
        <v>0.84404505272443453</v>
      </c>
      <c r="E177" s="397">
        <f t="shared" si="32"/>
        <v>0.56269670181628972</v>
      </c>
      <c r="F177" s="178"/>
      <c r="G177" s="178"/>
      <c r="H177" s="178"/>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G177" s="178"/>
      <c r="AH177" s="178"/>
      <c r="AI177" s="178"/>
      <c r="AJ177" s="178"/>
      <c r="AK177" s="178"/>
      <c r="AL177" s="178"/>
      <c r="AM177" s="178"/>
      <c r="AN177" s="178"/>
      <c r="AO177" s="178"/>
      <c r="AP177" s="178"/>
      <c r="AQ177" s="178"/>
      <c r="AR177" s="178"/>
      <c r="AS177" s="178"/>
      <c r="AT177" s="178"/>
      <c r="AU177" s="178"/>
      <c r="AV177" s="178"/>
      <c r="AW177" s="178"/>
      <c r="AX177" s="178"/>
      <c r="AY177" s="178"/>
    </row>
    <row r="178" spans="1:51" x14ac:dyDescent="0.35">
      <c r="A178" s="178"/>
      <c r="B178" s="178"/>
      <c r="C178" s="395">
        <f t="shared" si="33"/>
        <v>2053</v>
      </c>
      <c r="D178" s="397">
        <f t="shared" si="31"/>
        <v>0.84404505272443453</v>
      </c>
      <c r="E178" s="397">
        <f t="shared" si="32"/>
        <v>0.56269670181628972</v>
      </c>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8"/>
      <c r="AM178" s="178"/>
      <c r="AN178" s="178"/>
      <c r="AO178" s="178"/>
      <c r="AP178" s="178"/>
      <c r="AQ178" s="178"/>
      <c r="AR178" s="178"/>
      <c r="AS178" s="178"/>
      <c r="AT178" s="178"/>
      <c r="AU178" s="178"/>
      <c r="AV178" s="178"/>
      <c r="AW178" s="178"/>
      <c r="AX178" s="178"/>
      <c r="AY178" s="178"/>
    </row>
    <row r="179" spans="1:51" x14ac:dyDescent="0.35">
      <c r="A179" s="178"/>
      <c r="B179" s="178"/>
      <c r="C179" s="395">
        <f t="shared" si="33"/>
        <v>2054</v>
      </c>
      <c r="D179" s="397">
        <f t="shared" si="31"/>
        <v>0.84404505272443453</v>
      </c>
      <c r="E179" s="397">
        <f t="shared" si="32"/>
        <v>0.56269670181628972</v>
      </c>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c r="AI179" s="178"/>
      <c r="AJ179" s="178"/>
      <c r="AK179" s="178"/>
      <c r="AL179" s="178"/>
      <c r="AM179" s="178"/>
      <c r="AN179" s="178"/>
      <c r="AO179" s="178"/>
      <c r="AP179" s="178"/>
      <c r="AQ179" s="178"/>
      <c r="AR179" s="178"/>
      <c r="AS179" s="178"/>
      <c r="AT179" s="178"/>
      <c r="AU179" s="178"/>
      <c r="AV179" s="178"/>
      <c r="AW179" s="178"/>
      <c r="AX179" s="178"/>
      <c r="AY179" s="178"/>
    </row>
    <row r="180" spans="1:51" x14ac:dyDescent="0.35">
      <c r="A180" s="178"/>
      <c r="B180" s="178"/>
      <c r="C180" s="395">
        <f t="shared" si="33"/>
        <v>2055</v>
      </c>
      <c r="D180" s="397">
        <f t="shared" si="31"/>
        <v>0.84404505272443453</v>
      </c>
      <c r="E180" s="397">
        <f t="shared" si="32"/>
        <v>0.56269670181628972</v>
      </c>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178"/>
      <c r="AJ180" s="178"/>
      <c r="AK180" s="178"/>
      <c r="AL180" s="178"/>
      <c r="AM180" s="178"/>
      <c r="AN180" s="178"/>
      <c r="AO180" s="178"/>
      <c r="AP180" s="178"/>
      <c r="AQ180" s="178"/>
      <c r="AR180" s="178"/>
      <c r="AS180" s="178"/>
      <c r="AT180" s="178"/>
      <c r="AU180" s="178"/>
      <c r="AV180" s="178"/>
      <c r="AW180" s="178"/>
      <c r="AX180" s="178"/>
      <c r="AY180" s="178"/>
    </row>
    <row r="181" spans="1:51" x14ac:dyDescent="0.35">
      <c r="A181" s="178"/>
      <c r="B181" s="178"/>
      <c r="C181" s="395">
        <f t="shared" si="33"/>
        <v>2056</v>
      </c>
      <c r="D181" s="397">
        <f t="shared" si="31"/>
        <v>0.84404505272443453</v>
      </c>
      <c r="E181" s="397">
        <f t="shared" si="32"/>
        <v>0.56269670181628972</v>
      </c>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c r="AI181" s="178"/>
      <c r="AJ181" s="178"/>
      <c r="AK181" s="178"/>
      <c r="AL181" s="178"/>
      <c r="AM181" s="178"/>
      <c r="AN181" s="178"/>
      <c r="AO181" s="178"/>
      <c r="AP181" s="178"/>
      <c r="AQ181" s="178"/>
      <c r="AR181" s="178"/>
      <c r="AS181" s="178"/>
      <c r="AT181" s="178"/>
      <c r="AU181" s="178"/>
      <c r="AV181" s="178"/>
      <c r="AW181" s="178"/>
      <c r="AX181" s="178"/>
      <c r="AY181" s="178"/>
    </row>
    <row r="182" spans="1:51" x14ac:dyDescent="0.35">
      <c r="A182" s="178"/>
      <c r="B182" s="178"/>
      <c r="C182" s="395">
        <f t="shared" si="33"/>
        <v>2057</v>
      </c>
      <c r="D182" s="397">
        <f t="shared" si="31"/>
        <v>0.84404505272443453</v>
      </c>
      <c r="E182" s="397">
        <f t="shared" si="32"/>
        <v>0.56269670181628972</v>
      </c>
      <c r="F182" s="178"/>
      <c r="G182" s="178"/>
      <c r="H182" s="178"/>
      <c r="I182" s="178"/>
      <c r="J182" s="178"/>
      <c r="K182" s="178"/>
      <c r="L182" s="178"/>
      <c r="M182" s="178"/>
      <c r="N182" s="178"/>
      <c r="O182" s="178"/>
      <c r="P182" s="178"/>
      <c r="Q182" s="178"/>
      <c r="R182" s="178"/>
      <c r="S182" s="178"/>
      <c r="T182" s="178"/>
      <c r="U182" s="178"/>
      <c r="V182" s="178"/>
      <c r="W182" s="178"/>
      <c r="X182" s="178"/>
      <c r="Y182" s="178"/>
      <c r="Z182" s="178"/>
      <c r="AA182" s="178"/>
      <c r="AB182" s="178"/>
      <c r="AC182" s="178"/>
      <c r="AD182" s="178"/>
      <c r="AE182" s="178"/>
      <c r="AF182" s="178"/>
      <c r="AG182" s="178"/>
      <c r="AH182" s="178"/>
      <c r="AI182" s="178"/>
      <c r="AJ182" s="178"/>
      <c r="AK182" s="178"/>
      <c r="AL182" s="178"/>
      <c r="AM182" s="178"/>
      <c r="AN182" s="178"/>
      <c r="AO182" s="178"/>
      <c r="AP182" s="178"/>
      <c r="AQ182" s="178"/>
      <c r="AR182" s="178"/>
      <c r="AS182" s="178"/>
      <c r="AT182" s="178"/>
      <c r="AU182" s="178"/>
      <c r="AV182" s="178"/>
      <c r="AW182" s="178"/>
      <c r="AX182" s="178"/>
      <c r="AY182" s="178"/>
    </row>
    <row r="183" spans="1:51" x14ac:dyDescent="0.35">
      <c r="A183" s="178"/>
      <c r="B183" s="178"/>
      <c r="C183" s="395">
        <f t="shared" si="33"/>
        <v>2058</v>
      </c>
      <c r="D183" s="397">
        <f t="shared" si="31"/>
        <v>0.84404505272443453</v>
      </c>
      <c r="E183" s="397">
        <f t="shared" si="32"/>
        <v>0.56269670181628972</v>
      </c>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8"/>
      <c r="AE183" s="178"/>
      <c r="AF183" s="178"/>
      <c r="AG183" s="178"/>
      <c r="AH183" s="178"/>
      <c r="AI183" s="178"/>
      <c r="AJ183" s="178"/>
      <c r="AK183" s="178"/>
      <c r="AL183" s="178"/>
      <c r="AM183" s="178"/>
      <c r="AN183" s="178"/>
      <c r="AO183" s="178"/>
      <c r="AP183" s="178"/>
      <c r="AQ183" s="178"/>
      <c r="AR183" s="178"/>
      <c r="AS183" s="178"/>
      <c r="AT183" s="178"/>
      <c r="AU183" s="178"/>
      <c r="AV183" s="178"/>
      <c r="AW183" s="178"/>
      <c r="AX183" s="178"/>
      <c r="AY183" s="178"/>
    </row>
    <row r="184" spans="1:51" x14ac:dyDescent="0.35">
      <c r="A184" s="178"/>
      <c r="B184" s="178"/>
      <c r="C184" s="395">
        <f t="shared" si="33"/>
        <v>2059</v>
      </c>
      <c r="D184" s="397">
        <f t="shared" si="31"/>
        <v>0.84404505272443453</v>
      </c>
      <c r="E184" s="397">
        <f t="shared" si="32"/>
        <v>0.56269670181628972</v>
      </c>
      <c r="F184" s="178"/>
      <c r="G184" s="178"/>
      <c r="H184" s="178"/>
      <c r="I184" s="178"/>
      <c r="J184" s="178"/>
      <c r="K184" s="178"/>
      <c r="L184" s="178"/>
      <c r="M184" s="178"/>
      <c r="N184" s="178"/>
      <c r="O184" s="178"/>
      <c r="P184" s="178"/>
      <c r="Q184" s="178"/>
      <c r="R184" s="178"/>
      <c r="S184" s="178"/>
      <c r="T184" s="178"/>
      <c r="U184" s="178"/>
      <c r="V184" s="178"/>
      <c r="W184" s="178"/>
      <c r="X184" s="178"/>
      <c r="Y184" s="178"/>
      <c r="Z184" s="178"/>
      <c r="AA184" s="178"/>
      <c r="AB184" s="178"/>
      <c r="AC184" s="178"/>
      <c r="AD184" s="178"/>
      <c r="AE184" s="178"/>
      <c r="AF184" s="178"/>
      <c r="AG184" s="178"/>
      <c r="AH184" s="178"/>
      <c r="AI184" s="178"/>
      <c r="AJ184" s="178"/>
      <c r="AK184" s="178"/>
      <c r="AL184" s="178"/>
      <c r="AM184" s="178"/>
      <c r="AN184" s="178"/>
      <c r="AO184" s="178"/>
      <c r="AP184" s="178"/>
      <c r="AQ184" s="178"/>
      <c r="AR184" s="178"/>
      <c r="AS184" s="178"/>
      <c r="AT184" s="178"/>
      <c r="AU184" s="178"/>
      <c r="AV184" s="178"/>
      <c r="AW184" s="178"/>
      <c r="AX184" s="178"/>
      <c r="AY184" s="178"/>
    </row>
    <row r="185" spans="1:51" x14ac:dyDescent="0.35">
      <c r="A185" s="178"/>
      <c r="B185" s="178"/>
      <c r="C185" s="395">
        <f t="shared" si="33"/>
        <v>2060</v>
      </c>
      <c r="D185" s="397">
        <f t="shared" si="31"/>
        <v>0.84404505272443453</v>
      </c>
      <c r="E185" s="397">
        <f t="shared" si="32"/>
        <v>0.56269670181628972</v>
      </c>
      <c r="F185" s="178"/>
      <c r="G185" s="178"/>
      <c r="H185" s="178"/>
      <c r="I185" s="178"/>
      <c r="J185" s="178"/>
      <c r="K185" s="178"/>
      <c r="L185" s="178"/>
      <c r="M185" s="178"/>
      <c r="N185" s="178"/>
      <c r="O185" s="178"/>
      <c r="P185" s="178"/>
      <c r="Q185" s="178"/>
      <c r="R185" s="178"/>
      <c r="S185" s="178"/>
      <c r="T185" s="178"/>
      <c r="U185" s="178"/>
      <c r="V185" s="178"/>
      <c r="W185" s="178"/>
      <c r="X185" s="178"/>
      <c r="Y185" s="178"/>
      <c r="Z185" s="178"/>
      <c r="AA185" s="178"/>
      <c r="AB185" s="178"/>
      <c r="AC185" s="178"/>
      <c r="AD185" s="178"/>
      <c r="AE185" s="178"/>
      <c r="AF185" s="178"/>
      <c r="AG185" s="178"/>
      <c r="AH185" s="178"/>
      <c r="AI185" s="178"/>
      <c r="AJ185" s="178"/>
      <c r="AK185" s="178"/>
      <c r="AL185" s="178"/>
      <c r="AM185" s="178"/>
      <c r="AN185" s="178"/>
      <c r="AO185" s="178"/>
      <c r="AP185" s="178"/>
      <c r="AQ185" s="178"/>
      <c r="AR185" s="178"/>
      <c r="AS185" s="178"/>
      <c r="AT185" s="178"/>
      <c r="AU185" s="178"/>
      <c r="AV185" s="178"/>
      <c r="AW185" s="178"/>
      <c r="AX185" s="178"/>
      <c r="AY185" s="178"/>
    </row>
    <row r="186" spans="1:51" x14ac:dyDescent="0.35">
      <c r="A186" s="178"/>
      <c r="B186" s="178"/>
      <c r="C186" s="395">
        <f t="shared" si="33"/>
        <v>2061</v>
      </c>
      <c r="D186" s="397">
        <f t="shared" si="31"/>
        <v>0.84404505272443453</v>
      </c>
      <c r="E186" s="397">
        <f t="shared" si="32"/>
        <v>0.56269670181628972</v>
      </c>
      <c r="F186" s="178"/>
      <c r="G186" s="178"/>
      <c r="H186" s="178"/>
      <c r="I186" s="178"/>
      <c r="J186" s="178"/>
      <c r="K186" s="178"/>
      <c r="L186" s="178"/>
      <c r="M186" s="178"/>
      <c r="N186" s="178"/>
      <c r="O186" s="178"/>
      <c r="P186" s="178"/>
      <c r="Q186" s="178"/>
      <c r="R186" s="178"/>
      <c r="S186" s="178"/>
      <c r="T186" s="178"/>
      <c r="U186" s="178"/>
      <c r="V186" s="178"/>
      <c r="W186" s="178"/>
      <c r="X186" s="178"/>
      <c r="Y186" s="178"/>
      <c r="Z186" s="178"/>
      <c r="AA186" s="178"/>
      <c r="AB186" s="178"/>
      <c r="AC186" s="178"/>
      <c r="AD186" s="178"/>
      <c r="AE186" s="178"/>
      <c r="AF186" s="178"/>
      <c r="AG186" s="178"/>
      <c r="AH186" s="178"/>
      <c r="AI186" s="178"/>
      <c r="AJ186" s="178"/>
      <c r="AK186" s="178"/>
      <c r="AL186" s="178"/>
      <c r="AM186" s="178"/>
      <c r="AN186" s="178"/>
      <c r="AO186" s="178"/>
      <c r="AP186" s="178"/>
      <c r="AQ186" s="178"/>
      <c r="AR186" s="178"/>
      <c r="AS186" s="178"/>
      <c r="AT186" s="178"/>
      <c r="AU186" s="178"/>
      <c r="AV186" s="178"/>
      <c r="AW186" s="178"/>
      <c r="AX186" s="178"/>
      <c r="AY186" s="178"/>
    </row>
    <row r="187" spans="1:51" x14ac:dyDescent="0.35">
      <c r="A187" s="178"/>
      <c r="B187" s="178"/>
      <c r="C187" s="395">
        <f t="shared" si="33"/>
        <v>2062</v>
      </c>
      <c r="D187" s="397">
        <f t="shared" si="31"/>
        <v>0.84404505272443453</v>
      </c>
      <c r="E187" s="397">
        <f t="shared" si="32"/>
        <v>0.56269670181628972</v>
      </c>
      <c r="F187" s="178"/>
      <c r="G187" s="178"/>
      <c r="H187" s="178"/>
      <c r="I187" s="178"/>
      <c r="J187" s="178"/>
      <c r="K187" s="178"/>
      <c r="L187" s="178"/>
      <c r="M187" s="178"/>
      <c r="N187" s="178"/>
      <c r="O187" s="178"/>
      <c r="P187" s="178"/>
      <c r="Q187" s="178"/>
      <c r="R187" s="178"/>
      <c r="S187" s="178"/>
      <c r="T187" s="178"/>
      <c r="U187" s="178"/>
      <c r="V187" s="178"/>
      <c r="W187" s="178"/>
      <c r="X187" s="178"/>
      <c r="Y187" s="178"/>
      <c r="Z187" s="178"/>
      <c r="AA187" s="178"/>
      <c r="AB187" s="178"/>
      <c r="AC187" s="178"/>
      <c r="AD187" s="178"/>
      <c r="AE187" s="178"/>
      <c r="AF187" s="178"/>
      <c r="AG187" s="178"/>
      <c r="AH187" s="178"/>
      <c r="AI187" s="178"/>
      <c r="AJ187" s="178"/>
      <c r="AK187" s="178"/>
      <c r="AL187" s="178"/>
      <c r="AM187" s="178"/>
      <c r="AN187" s="178"/>
      <c r="AO187" s="178"/>
      <c r="AP187" s="178"/>
      <c r="AQ187" s="178"/>
      <c r="AR187" s="178"/>
      <c r="AS187" s="178"/>
      <c r="AT187" s="178"/>
      <c r="AU187" s="178"/>
      <c r="AV187" s="178"/>
      <c r="AW187" s="178"/>
      <c r="AX187" s="178"/>
      <c r="AY187" s="178"/>
    </row>
    <row r="188" spans="1:51" x14ac:dyDescent="0.35">
      <c r="A188" s="178"/>
      <c r="B188" s="178"/>
      <c r="C188" s="395">
        <f t="shared" si="33"/>
        <v>2063</v>
      </c>
      <c r="D188" s="397">
        <f t="shared" si="31"/>
        <v>0.84404505272443453</v>
      </c>
      <c r="E188" s="397">
        <f t="shared" si="32"/>
        <v>0.56269670181628972</v>
      </c>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G188" s="178"/>
      <c r="AH188" s="178"/>
      <c r="AI188" s="178"/>
      <c r="AJ188" s="178"/>
      <c r="AK188" s="178"/>
      <c r="AL188" s="178"/>
      <c r="AM188" s="178"/>
      <c r="AN188" s="178"/>
      <c r="AO188" s="178"/>
      <c r="AP188" s="178"/>
      <c r="AQ188" s="178"/>
      <c r="AR188" s="178"/>
      <c r="AS188" s="178"/>
      <c r="AT188" s="178"/>
      <c r="AU188" s="178"/>
      <c r="AV188" s="178"/>
      <c r="AW188" s="178"/>
      <c r="AX188" s="178"/>
      <c r="AY188" s="178"/>
    </row>
    <row r="189" spans="1:51" x14ac:dyDescent="0.35">
      <c r="A189" s="178"/>
      <c r="B189" s="178"/>
      <c r="C189" s="395">
        <f t="shared" si="33"/>
        <v>2064</v>
      </c>
      <c r="D189" s="397">
        <f t="shared" si="31"/>
        <v>0.84404505272443453</v>
      </c>
      <c r="E189" s="397">
        <f t="shared" si="32"/>
        <v>0.56269670181628972</v>
      </c>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c r="AI189" s="178"/>
      <c r="AJ189" s="178"/>
      <c r="AK189" s="178"/>
      <c r="AL189" s="178"/>
      <c r="AM189" s="178"/>
      <c r="AN189" s="178"/>
      <c r="AO189" s="178"/>
      <c r="AP189" s="178"/>
      <c r="AQ189" s="178"/>
      <c r="AR189" s="178"/>
      <c r="AS189" s="178"/>
      <c r="AT189" s="178"/>
      <c r="AU189" s="178"/>
      <c r="AV189" s="178"/>
      <c r="AW189" s="178"/>
      <c r="AX189" s="178"/>
      <c r="AY189" s="178"/>
    </row>
    <row r="190" spans="1:51" x14ac:dyDescent="0.35">
      <c r="A190" s="178"/>
      <c r="B190" s="178"/>
      <c r="C190" s="395">
        <f t="shared" si="33"/>
        <v>2065</v>
      </c>
      <c r="D190" s="397">
        <f t="shared" si="31"/>
        <v>0.84404505272443453</v>
      </c>
      <c r="E190" s="397">
        <f t="shared" si="32"/>
        <v>0.56269670181628972</v>
      </c>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c r="AH190" s="178"/>
      <c r="AI190" s="178"/>
      <c r="AJ190" s="178"/>
      <c r="AK190" s="178"/>
      <c r="AL190" s="178"/>
      <c r="AM190" s="178"/>
      <c r="AN190" s="178"/>
      <c r="AO190" s="178"/>
      <c r="AP190" s="178"/>
      <c r="AQ190" s="178"/>
      <c r="AR190" s="178"/>
      <c r="AS190" s="178"/>
      <c r="AT190" s="178"/>
      <c r="AU190" s="178"/>
      <c r="AV190" s="178"/>
      <c r="AW190" s="178"/>
      <c r="AX190" s="178"/>
      <c r="AY190" s="178"/>
    </row>
    <row r="191" spans="1:51" x14ac:dyDescent="0.35">
      <c r="A191" s="178"/>
      <c r="B191" s="178"/>
      <c r="C191" s="395">
        <f t="shared" si="33"/>
        <v>2066</v>
      </c>
      <c r="D191" s="397">
        <f t="shared" si="31"/>
        <v>0.84404505272443453</v>
      </c>
      <c r="E191" s="397">
        <f t="shared" si="32"/>
        <v>0.56269670181628972</v>
      </c>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c r="AH191" s="178"/>
      <c r="AI191" s="178"/>
      <c r="AJ191" s="178"/>
      <c r="AK191" s="178"/>
      <c r="AL191" s="178"/>
      <c r="AM191" s="178"/>
      <c r="AN191" s="178"/>
      <c r="AO191" s="178"/>
      <c r="AP191" s="178"/>
      <c r="AQ191" s="178"/>
      <c r="AR191" s="178"/>
      <c r="AS191" s="178"/>
      <c r="AT191" s="178"/>
      <c r="AU191" s="178"/>
      <c r="AV191" s="178"/>
      <c r="AW191" s="178"/>
      <c r="AX191" s="178"/>
      <c r="AY191" s="178"/>
    </row>
    <row r="192" spans="1:51" x14ac:dyDescent="0.35">
      <c r="A192" s="178"/>
      <c r="B192" s="178"/>
      <c r="C192" s="395">
        <f>C191+1</f>
        <v>2067</v>
      </c>
      <c r="D192" s="397">
        <f t="shared" si="31"/>
        <v>0.84404505272443453</v>
      </c>
      <c r="E192" s="397">
        <f t="shared" si="32"/>
        <v>0.56269670181628972</v>
      </c>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8"/>
      <c r="AY192" s="178"/>
    </row>
    <row r="193" spans="1:51" x14ac:dyDescent="0.35">
      <c r="A193" s="178"/>
      <c r="B193" s="178"/>
      <c r="C193" s="398">
        <f>C192+1</f>
        <v>2068</v>
      </c>
      <c r="D193" s="399">
        <f t="shared" si="31"/>
        <v>0.84404505272443453</v>
      </c>
      <c r="E193" s="399">
        <f t="shared" si="32"/>
        <v>0.56269670181628972</v>
      </c>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c r="AQ193" s="178"/>
      <c r="AR193" s="178"/>
      <c r="AS193" s="178"/>
      <c r="AT193" s="178"/>
      <c r="AU193" s="178"/>
      <c r="AV193" s="178"/>
      <c r="AW193" s="178"/>
      <c r="AX193" s="178"/>
      <c r="AY193" s="178"/>
    </row>
    <row r="194" spans="1:51" x14ac:dyDescent="0.35">
      <c r="A194" s="178"/>
      <c r="B194" s="178"/>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c r="AQ194" s="178"/>
      <c r="AR194" s="178"/>
      <c r="AS194" s="178"/>
      <c r="AT194" s="178"/>
      <c r="AU194" s="178"/>
      <c r="AV194" s="178"/>
      <c r="AW194" s="178"/>
      <c r="AX194" s="178"/>
      <c r="AY194" s="178"/>
    </row>
    <row r="195" spans="1:51" x14ac:dyDescent="0.35">
      <c r="A195" s="178"/>
      <c r="B195" s="251" t="s">
        <v>1091</v>
      </c>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c r="AQ195" s="178"/>
      <c r="AR195" s="178"/>
      <c r="AS195" s="178"/>
      <c r="AT195" s="178"/>
      <c r="AU195" s="178"/>
      <c r="AV195" s="178"/>
      <c r="AW195" s="178"/>
      <c r="AX195" s="178"/>
      <c r="AY195" s="178"/>
    </row>
    <row r="196" spans="1:51" x14ac:dyDescent="0.35">
      <c r="A196" s="178"/>
      <c r="B196" s="178"/>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c r="AQ196" s="178"/>
      <c r="AR196" s="178"/>
      <c r="AS196" s="178"/>
      <c r="AT196" s="178"/>
      <c r="AU196" s="178"/>
      <c r="AV196" s="178"/>
      <c r="AW196" s="178"/>
      <c r="AX196" s="178"/>
      <c r="AY196" s="178"/>
    </row>
    <row r="197" spans="1:51" x14ac:dyDescent="0.35">
      <c r="A197" s="178"/>
      <c r="B197" s="412" t="str">
        <f>"Average Travel Speed by V/C Ratio for "&amp;E116&amp;" (No Build)"</f>
        <v>Average Travel Speed by V/C Ratio for Four-Lane Freeway with 70 MPH Free-Flow Speed (No Build)</v>
      </c>
      <c r="C197" s="178"/>
      <c r="D197" s="178"/>
      <c r="E197" s="413"/>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c r="AQ197" s="178"/>
      <c r="AR197" s="178"/>
      <c r="AS197" s="178"/>
      <c r="AT197" s="178"/>
      <c r="AU197" s="178"/>
      <c r="AV197" s="178"/>
      <c r="AW197" s="178"/>
      <c r="AX197" s="178"/>
      <c r="AY197" s="178"/>
    </row>
    <row r="198" spans="1:51" ht="15" thickBot="1" x14ac:dyDescent="0.4">
      <c r="A198" s="178"/>
      <c r="B198" s="178"/>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c r="AQ198" s="178"/>
      <c r="AR198" s="178"/>
      <c r="AS198" s="178"/>
      <c r="AT198" s="178"/>
      <c r="AU198" s="178"/>
      <c r="AV198" s="178"/>
      <c r="AW198" s="178"/>
      <c r="AX198" s="178"/>
      <c r="AY198" s="178"/>
    </row>
    <row r="199" spans="1:51" x14ac:dyDescent="0.35">
      <c r="A199" s="178"/>
      <c r="B199" s="685" t="s">
        <v>1092</v>
      </c>
      <c r="C199" s="687" t="str">
        <f>$F$10</f>
        <v>I-35 Segment</v>
      </c>
      <c r="D199" s="687"/>
      <c r="E199" s="68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c r="AQ199" s="178"/>
      <c r="AR199" s="178"/>
      <c r="AS199" s="178"/>
      <c r="AT199" s="178"/>
      <c r="AU199" s="178"/>
      <c r="AV199" s="178"/>
      <c r="AW199" s="178"/>
      <c r="AX199" s="178"/>
      <c r="AY199" s="178"/>
    </row>
    <row r="200" spans="1:51" x14ac:dyDescent="0.35">
      <c r="A200" s="178"/>
      <c r="B200" s="685"/>
      <c r="C200" s="683" t="s">
        <v>1093</v>
      </c>
      <c r="D200" s="682"/>
      <c r="E200" s="481" t="s">
        <v>1094</v>
      </c>
      <c r="F200" s="178"/>
      <c r="G200" s="178"/>
      <c r="H200" s="178"/>
      <c r="I200" s="178"/>
      <c r="J200" s="178"/>
      <c r="K200" s="178"/>
      <c r="L200" s="178"/>
      <c r="M200" s="178"/>
      <c r="N200" s="178"/>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c r="AL200" s="178"/>
      <c r="AM200" s="178"/>
      <c r="AN200" s="178"/>
      <c r="AO200" s="178"/>
      <c r="AP200" s="178"/>
      <c r="AQ200" s="178"/>
      <c r="AR200" s="178"/>
      <c r="AS200" s="178"/>
      <c r="AT200" s="178"/>
      <c r="AU200" s="178"/>
      <c r="AV200" s="178"/>
      <c r="AW200" s="178"/>
      <c r="AX200" s="178"/>
      <c r="AY200" s="178"/>
    </row>
    <row r="201" spans="1:51" x14ac:dyDescent="0.35">
      <c r="A201" s="178"/>
      <c r="B201" s="480" t="s">
        <v>1095</v>
      </c>
      <c r="C201" s="529">
        <f t="shared" ref="C201:E206" si="34">IF($E$116=$C$269,D272,IF($E$116=$C$279,D282,IF($E$116=$C$289,D292,IF($E$116=$C$299,D302,IF($E$116=$C$309,D312,IF($E$116=$C$319,D322,IF($E$116=$C$329,D332,IF($E$116=$C$339,D342,IF($E$116=$C$349,D352,IF($E$116=$C$359,D362,IF($E$116=$C$369,D372,IF($E$116=$C$379,D382,IF($E$116=$C$389,D392,IF($E$116=$C$399,D402,IF($E$116=$C$409,D412,0)))))))))))))))</f>
        <v>0</v>
      </c>
      <c r="D201" s="530">
        <f t="shared" si="34"/>
        <v>0.318</v>
      </c>
      <c r="E201" s="531">
        <f t="shared" si="34"/>
        <v>70</v>
      </c>
      <c r="F201" s="178"/>
      <c r="G201" s="178"/>
      <c r="H201" s="178"/>
      <c r="I201" s="178"/>
      <c r="J201" s="178"/>
      <c r="K201" s="178"/>
      <c r="L201" s="178"/>
      <c r="M201" s="178"/>
      <c r="N201" s="178"/>
      <c r="O201" s="178"/>
      <c r="P201" s="178"/>
      <c r="Q201" s="178"/>
      <c r="R201" s="178"/>
      <c r="S201" s="178"/>
      <c r="T201" s="178"/>
      <c r="U201" s="178"/>
      <c r="V201" s="178"/>
      <c r="W201" s="178"/>
      <c r="X201" s="178"/>
      <c r="Y201" s="178"/>
      <c r="Z201" s="178"/>
      <c r="AA201" s="178"/>
      <c r="AB201" s="178"/>
      <c r="AC201" s="178"/>
      <c r="AD201" s="178"/>
      <c r="AE201" s="178"/>
      <c r="AF201" s="178"/>
      <c r="AG201" s="178"/>
      <c r="AH201" s="178"/>
      <c r="AI201" s="178"/>
      <c r="AJ201" s="178"/>
      <c r="AK201" s="178"/>
      <c r="AL201" s="178"/>
      <c r="AM201" s="178"/>
      <c r="AN201" s="178"/>
      <c r="AO201" s="178"/>
      <c r="AP201" s="178"/>
      <c r="AQ201" s="178"/>
      <c r="AR201" s="178"/>
      <c r="AS201" s="178"/>
      <c r="AT201" s="178"/>
      <c r="AU201" s="178"/>
      <c r="AV201" s="178"/>
      <c r="AW201" s="178"/>
      <c r="AX201" s="178"/>
      <c r="AY201" s="178"/>
    </row>
    <row r="202" spans="1:51" x14ac:dyDescent="0.35">
      <c r="A202" s="178"/>
      <c r="B202" s="480" t="s">
        <v>1096</v>
      </c>
      <c r="C202" s="529">
        <f t="shared" si="34"/>
        <v>0.318</v>
      </c>
      <c r="D202" s="530">
        <f t="shared" si="34"/>
        <v>0.50900000000000001</v>
      </c>
      <c r="E202" s="531">
        <f t="shared" si="34"/>
        <v>70</v>
      </c>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c r="AH202" s="178"/>
      <c r="AI202" s="178"/>
      <c r="AJ202" s="178"/>
      <c r="AK202" s="178"/>
      <c r="AL202" s="178"/>
      <c r="AM202" s="178"/>
      <c r="AN202" s="178"/>
      <c r="AO202" s="178"/>
      <c r="AP202" s="178"/>
      <c r="AQ202" s="178"/>
      <c r="AR202" s="178"/>
      <c r="AS202" s="178"/>
      <c r="AT202" s="178"/>
      <c r="AU202" s="178"/>
      <c r="AV202" s="178"/>
      <c r="AW202" s="178"/>
      <c r="AX202" s="178"/>
      <c r="AY202" s="178"/>
    </row>
    <row r="203" spans="1:51" x14ac:dyDescent="0.35">
      <c r="A203" s="178"/>
      <c r="B203" s="480" t="s">
        <v>1036</v>
      </c>
      <c r="C203" s="533">
        <f t="shared" si="34"/>
        <v>0.50900000000000001</v>
      </c>
      <c r="D203" s="530">
        <f t="shared" si="34"/>
        <v>0.747</v>
      </c>
      <c r="E203" s="531">
        <f t="shared" si="34"/>
        <v>68.5</v>
      </c>
      <c r="F203" s="178"/>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c r="AQ203" s="178"/>
      <c r="AR203" s="178"/>
      <c r="AS203" s="178"/>
      <c r="AT203" s="178"/>
      <c r="AU203" s="178"/>
      <c r="AV203" s="178"/>
      <c r="AW203" s="178"/>
      <c r="AX203" s="178"/>
      <c r="AY203" s="178"/>
    </row>
    <row r="204" spans="1:51" x14ac:dyDescent="0.35">
      <c r="A204" s="178"/>
      <c r="B204" s="480" t="s">
        <v>1006</v>
      </c>
      <c r="C204" s="533">
        <f t="shared" si="34"/>
        <v>0.747</v>
      </c>
      <c r="D204" s="530">
        <f t="shared" si="34"/>
        <v>0.91600000000000004</v>
      </c>
      <c r="E204" s="531">
        <f t="shared" si="34"/>
        <v>63</v>
      </c>
      <c r="F204" s="178"/>
      <c r="G204" s="178"/>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178"/>
      <c r="AE204" s="178"/>
      <c r="AF204" s="178"/>
      <c r="AG204" s="178"/>
      <c r="AH204" s="178"/>
      <c r="AI204" s="178"/>
      <c r="AJ204" s="178"/>
      <c r="AK204" s="178"/>
      <c r="AL204" s="178"/>
      <c r="AM204" s="178"/>
      <c r="AN204" s="178"/>
      <c r="AO204" s="178"/>
      <c r="AP204" s="178"/>
      <c r="AQ204" s="178"/>
      <c r="AR204" s="178"/>
      <c r="AS204" s="178"/>
      <c r="AT204" s="178"/>
      <c r="AU204" s="178"/>
      <c r="AV204" s="178"/>
      <c r="AW204" s="178"/>
      <c r="AX204" s="178"/>
      <c r="AY204" s="178"/>
    </row>
    <row r="205" spans="1:51" x14ac:dyDescent="0.35">
      <c r="A205" s="178"/>
      <c r="B205" s="480" t="s">
        <v>1097</v>
      </c>
      <c r="C205" s="533">
        <f t="shared" si="34"/>
        <v>0.91600000000000004</v>
      </c>
      <c r="D205" s="530">
        <f t="shared" si="34"/>
        <v>1</v>
      </c>
      <c r="E205" s="531">
        <f t="shared" si="34"/>
        <v>60</v>
      </c>
      <c r="F205" s="178"/>
      <c r="G205" s="178"/>
      <c r="H205" s="178"/>
      <c r="I205" s="178"/>
      <c r="J205" s="178"/>
      <c r="K205" s="178"/>
      <c r="L205" s="178"/>
      <c r="M205" s="178"/>
      <c r="N205" s="178"/>
      <c r="O205" s="178"/>
      <c r="P205" s="178"/>
      <c r="Q205" s="178"/>
      <c r="R205" s="178"/>
      <c r="S205" s="178"/>
      <c r="T205" s="178"/>
      <c r="U205" s="178"/>
      <c r="V205" s="178"/>
      <c r="W205" s="178"/>
      <c r="X205" s="178"/>
      <c r="Y205" s="178"/>
      <c r="Z205" s="178"/>
      <c r="AA205" s="178"/>
      <c r="AB205" s="178"/>
      <c r="AC205" s="178"/>
      <c r="AD205" s="178"/>
      <c r="AE205" s="178"/>
      <c r="AF205" s="178"/>
      <c r="AG205" s="178"/>
      <c r="AH205" s="178"/>
      <c r="AI205" s="178"/>
      <c r="AJ205" s="178"/>
      <c r="AK205" s="178"/>
      <c r="AL205" s="178"/>
      <c r="AM205" s="178"/>
      <c r="AN205" s="178"/>
      <c r="AO205" s="178"/>
      <c r="AP205" s="178"/>
      <c r="AQ205" s="178"/>
      <c r="AR205" s="178"/>
      <c r="AS205" s="178"/>
      <c r="AT205" s="178"/>
      <c r="AU205" s="178"/>
      <c r="AV205" s="178"/>
      <c r="AW205" s="178"/>
      <c r="AX205" s="178"/>
      <c r="AY205" s="178"/>
    </row>
    <row r="206" spans="1:51" ht="15" thickBot="1" x14ac:dyDescent="0.4">
      <c r="A206" s="178"/>
      <c r="B206" s="480" t="s">
        <v>1007</v>
      </c>
      <c r="C206" s="535">
        <f t="shared" si="34"/>
        <v>1</v>
      </c>
      <c r="D206" s="536">
        <f t="shared" si="34"/>
        <v>0</v>
      </c>
      <c r="E206" s="537">
        <f t="shared" si="34"/>
        <v>55</v>
      </c>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c r="AQ206" s="178"/>
      <c r="AR206" s="178"/>
      <c r="AS206" s="178"/>
      <c r="AT206" s="178"/>
      <c r="AU206" s="178"/>
      <c r="AV206" s="178"/>
      <c r="AW206" s="178"/>
      <c r="AX206" s="178"/>
      <c r="AY206" s="178"/>
    </row>
    <row r="207" spans="1:51" ht="14.5" hidden="1" customHeight="1" x14ac:dyDescent="0.35">
      <c r="A207" s="178"/>
      <c r="B207" s="178"/>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c r="AQ207" s="178"/>
      <c r="AR207" s="178"/>
      <c r="AS207" s="178"/>
      <c r="AT207" s="178"/>
      <c r="AU207" s="178"/>
      <c r="AV207" s="178"/>
      <c r="AW207" s="178"/>
      <c r="AX207" s="178"/>
      <c r="AY207" s="178"/>
    </row>
    <row r="208" spans="1:51" x14ac:dyDescent="0.35">
      <c r="A208" s="178"/>
      <c r="B208" s="412" t="str">
        <f>"Average Travel Speed by V/C Ratio for "&amp;E117&amp;" (Build)"</f>
        <v>Average Travel Speed by V/C Ratio for Six- to Eight-Lane Freeway with 70 MPH Free-Flow Speed (Build)</v>
      </c>
      <c r="C208" s="178"/>
      <c r="D208" s="178"/>
      <c r="E208" s="178"/>
      <c r="F208" s="178"/>
      <c r="G208" s="178"/>
      <c r="H208" s="178"/>
      <c r="I208" s="178"/>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G208" s="178"/>
      <c r="AH208" s="178"/>
      <c r="AI208" s="178"/>
      <c r="AJ208" s="178"/>
      <c r="AK208" s="178"/>
      <c r="AL208" s="178"/>
      <c r="AM208" s="178"/>
      <c r="AN208" s="178"/>
      <c r="AO208" s="178"/>
      <c r="AP208" s="178"/>
      <c r="AQ208" s="178"/>
      <c r="AR208" s="178"/>
      <c r="AS208" s="178"/>
      <c r="AT208" s="178"/>
      <c r="AU208" s="178"/>
      <c r="AV208" s="178"/>
      <c r="AW208" s="178"/>
      <c r="AX208" s="178"/>
      <c r="AY208" s="178"/>
    </row>
    <row r="209" spans="1:51" ht="15" thickBot="1" x14ac:dyDescent="0.4">
      <c r="A209" s="178"/>
      <c r="B209" s="178"/>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c r="AL209" s="178"/>
      <c r="AM209" s="178"/>
      <c r="AN209" s="178"/>
      <c r="AO209" s="178"/>
      <c r="AP209" s="178"/>
      <c r="AQ209" s="178"/>
      <c r="AR209" s="178"/>
      <c r="AS209" s="178"/>
      <c r="AT209" s="178"/>
      <c r="AU209" s="178"/>
      <c r="AV209" s="178"/>
      <c r="AW209" s="178"/>
      <c r="AX209" s="178"/>
      <c r="AY209" s="178"/>
    </row>
    <row r="210" spans="1:51" x14ac:dyDescent="0.35">
      <c r="A210" s="178"/>
      <c r="B210" s="685" t="s">
        <v>1092</v>
      </c>
      <c r="C210" s="686" t="str">
        <f>$F$10</f>
        <v>I-35 Segment</v>
      </c>
      <c r="D210" s="687"/>
      <c r="E210" s="68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c r="AL210" s="178"/>
      <c r="AM210" s="178"/>
      <c r="AN210" s="178"/>
      <c r="AO210" s="178"/>
      <c r="AP210" s="178"/>
      <c r="AQ210" s="178"/>
      <c r="AR210" s="178"/>
      <c r="AS210" s="178"/>
      <c r="AT210" s="178"/>
      <c r="AU210" s="178"/>
      <c r="AV210" s="178"/>
      <c r="AW210" s="178"/>
      <c r="AX210" s="178"/>
      <c r="AY210" s="178"/>
    </row>
    <row r="211" spans="1:51" x14ac:dyDescent="0.35">
      <c r="A211" s="178"/>
      <c r="B211" s="685"/>
      <c r="C211" s="689" t="s">
        <v>1093</v>
      </c>
      <c r="D211" s="682"/>
      <c r="E211" s="481" t="s">
        <v>1094</v>
      </c>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c r="AQ211" s="178"/>
      <c r="AR211" s="178"/>
      <c r="AS211" s="178"/>
      <c r="AT211" s="178"/>
      <c r="AU211" s="178"/>
      <c r="AV211" s="178"/>
      <c r="AW211" s="178"/>
      <c r="AX211" s="178"/>
      <c r="AY211" s="178"/>
    </row>
    <row r="212" spans="1:51" x14ac:dyDescent="0.35">
      <c r="A212" s="178"/>
      <c r="B212" s="480" t="s">
        <v>1095</v>
      </c>
      <c r="C212" s="532">
        <f t="shared" ref="C212:E217" si="35">IF($E$117=$C$269,D272,IF($E$117=$C$279,D282,IF($E$117=$C$289,D292,IF($E$117=$C$299,D302,IF($E$117=$C$309,D312,IF($E$117=$C$319,D322,IF($E$117=$C$329,D332,IF($E$117=$C$339,D342,IF($E$117=$C$349,D352,IF($E$117=$C$359,D362,IF($E$117=$C$369,D372,IF($E$117=$C$379,D382,IF($E$117=$C$389,D392,IF($E$117=$C$399,D402,IF($E$117=$C$409,D412,0)))))))))))))))</f>
        <v>0</v>
      </c>
      <c r="D212" s="530">
        <f t="shared" si="35"/>
        <v>0.30399999999999999</v>
      </c>
      <c r="E212" s="531">
        <f t="shared" si="35"/>
        <v>70</v>
      </c>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c r="AL212" s="178"/>
      <c r="AM212" s="178"/>
      <c r="AN212" s="178"/>
      <c r="AO212" s="178"/>
      <c r="AP212" s="178"/>
      <c r="AQ212" s="178"/>
      <c r="AR212" s="178"/>
      <c r="AS212" s="178"/>
      <c r="AT212" s="178"/>
      <c r="AU212" s="178"/>
      <c r="AV212" s="178"/>
      <c r="AW212" s="178"/>
      <c r="AX212" s="178"/>
      <c r="AY212" s="178"/>
    </row>
    <row r="213" spans="1:51" x14ac:dyDescent="0.35">
      <c r="A213" s="178"/>
      <c r="B213" s="480" t="s">
        <v>1096</v>
      </c>
      <c r="C213" s="532">
        <f t="shared" si="35"/>
        <v>0.30399999999999999</v>
      </c>
      <c r="D213" s="530">
        <f t="shared" si="35"/>
        <v>0.48699999999999999</v>
      </c>
      <c r="E213" s="531">
        <f t="shared" si="35"/>
        <v>70</v>
      </c>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c r="AL213" s="178"/>
      <c r="AM213" s="178"/>
      <c r="AN213" s="178"/>
      <c r="AO213" s="178"/>
      <c r="AP213" s="178"/>
      <c r="AQ213" s="178"/>
      <c r="AR213" s="178"/>
      <c r="AS213" s="178"/>
      <c r="AT213" s="178"/>
      <c r="AU213" s="178"/>
      <c r="AV213" s="178"/>
      <c r="AW213" s="178"/>
      <c r="AX213" s="178"/>
      <c r="AY213" s="178"/>
    </row>
    <row r="214" spans="1:51" x14ac:dyDescent="0.35">
      <c r="A214" s="178"/>
      <c r="B214" s="480" t="s">
        <v>1036</v>
      </c>
      <c r="C214" s="534">
        <f t="shared" si="35"/>
        <v>0.48699999999999999</v>
      </c>
      <c r="D214" s="530">
        <f t="shared" si="35"/>
        <v>0.71499999999999997</v>
      </c>
      <c r="E214" s="531">
        <f t="shared" si="35"/>
        <v>68.5</v>
      </c>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c r="AL214" s="178"/>
      <c r="AM214" s="178"/>
      <c r="AN214" s="178"/>
      <c r="AO214" s="178"/>
      <c r="AP214" s="178"/>
      <c r="AQ214" s="178"/>
      <c r="AR214" s="178"/>
      <c r="AS214" s="178"/>
      <c r="AT214" s="178"/>
      <c r="AU214" s="178"/>
      <c r="AV214" s="178"/>
      <c r="AW214" s="178"/>
      <c r="AX214" s="178"/>
      <c r="AY214" s="178"/>
    </row>
    <row r="215" spans="1:51" x14ac:dyDescent="0.35">
      <c r="A215" s="178"/>
      <c r="B215" s="480" t="s">
        <v>1006</v>
      </c>
      <c r="C215" s="534">
        <f t="shared" si="35"/>
        <v>0.71499999999999997</v>
      </c>
      <c r="D215" s="530">
        <f t="shared" si="35"/>
        <v>0.876</v>
      </c>
      <c r="E215" s="531">
        <f t="shared" si="35"/>
        <v>63</v>
      </c>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c r="AL215" s="178"/>
      <c r="AM215" s="178"/>
      <c r="AN215" s="178"/>
      <c r="AO215" s="178"/>
      <c r="AP215" s="178"/>
      <c r="AQ215" s="178"/>
      <c r="AR215" s="178"/>
      <c r="AS215" s="178"/>
      <c r="AT215" s="178"/>
      <c r="AU215" s="178"/>
      <c r="AV215" s="178"/>
      <c r="AW215" s="178"/>
      <c r="AX215" s="178"/>
      <c r="AY215" s="178"/>
    </row>
    <row r="216" spans="1:51" x14ac:dyDescent="0.35">
      <c r="A216" s="178"/>
      <c r="B216" s="480" t="s">
        <v>1097</v>
      </c>
      <c r="C216" s="534">
        <f t="shared" si="35"/>
        <v>0.876</v>
      </c>
      <c r="D216" s="530">
        <f t="shared" si="35"/>
        <v>1</v>
      </c>
      <c r="E216" s="531">
        <f t="shared" si="35"/>
        <v>58</v>
      </c>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c r="AL216" s="178"/>
      <c r="AM216" s="178"/>
      <c r="AN216" s="178"/>
      <c r="AO216" s="178"/>
      <c r="AP216" s="178"/>
      <c r="AQ216" s="178"/>
      <c r="AR216" s="178"/>
      <c r="AS216" s="178"/>
      <c r="AT216" s="178"/>
      <c r="AU216" s="178"/>
      <c r="AV216" s="178"/>
      <c r="AW216" s="178"/>
      <c r="AX216" s="178"/>
      <c r="AY216" s="178"/>
    </row>
    <row r="217" spans="1:51" ht="15" thickBot="1" x14ac:dyDescent="0.4">
      <c r="A217" s="178"/>
      <c r="B217" s="480" t="s">
        <v>1007</v>
      </c>
      <c r="C217" s="538">
        <f t="shared" si="35"/>
        <v>1</v>
      </c>
      <c r="D217" s="536">
        <f t="shared" si="35"/>
        <v>0</v>
      </c>
      <c r="E217" s="537">
        <f t="shared" si="35"/>
        <v>52</v>
      </c>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c r="AL217" s="178"/>
      <c r="AM217" s="178"/>
      <c r="AN217" s="178"/>
      <c r="AO217" s="178"/>
      <c r="AP217" s="178"/>
      <c r="AQ217" s="178"/>
      <c r="AR217" s="178"/>
      <c r="AS217" s="178"/>
      <c r="AT217" s="178"/>
      <c r="AU217" s="178"/>
      <c r="AV217" s="178"/>
      <c r="AW217" s="178"/>
      <c r="AX217" s="178"/>
      <c r="AY217" s="178"/>
    </row>
    <row r="218" spans="1:51" x14ac:dyDescent="0.35">
      <c r="A218" s="178"/>
      <c r="B218" s="178"/>
      <c r="C218" s="178"/>
      <c r="D218" s="178"/>
      <c r="E218" s="178"/>
      <c r="F218" s="178"/>
      <c r="G218" s="178"/>
      <c r="H218" s="178"/>
      <c r="I218" s="178"/>
      <c r="J218" s="178"/>
      <c r="K218" s="178"/>
      <c r="L218" s="178"/>
      <c r="M218" s="178"/>
      <c r="N218" s="178"/>
      <c r="O218" s="178"/>
      <c r="P218" s="178"/>
      <c r="Q218" s="178"/>
      <c r="R218" s="178"/>
      <c r="S218" s="178"/>
      <c r="T218" s="178"/>
      <c r="U218" s="178"/>
      <c r="V218" s="178"/>
      <c r="W218" s="178"/>
      <c r="X218" s="178"/>
      <c r="Y218" s="178"/>
      <c r="Z218" s="178"/>
      <c r="AA218" s="178"/>
      <c r="AB218" s="178"/>
      <c r="AC218" s="178"/>
      <c r="AD218" s="178"/>
      <c r="AE218" s="178"/>
      <c r="AF218" s="178"/>
      <c r="AG218" s="178"/>
      <c r="AH218" s="178"/>
      <c r="AI218" s="178"/>
      <c r="AJ218" s="178"/>
      <c r="AK218" s="178"/>
      <c r="AL218" s="178"/>
      <c r="AM218" s="178"/>
      <c r="AN218" s="178"/>
      <c r="AO218" s="178"/>
      <c r="AP218" s="178"/>
      <c r="AQ218" s="178"/>
      <c r="AR218" s="178"/>
      <c r="AS218" s="178"/>
      <c r="AT218" s="178"/>
      <c r="AU218" s="178"/>
      <c r="AV218" s="178"/>
      <c r="AW218" s="178"/>
      <c r="AX218" s="178"/>
      <c r="AY218" s="178"/>
    </row>
    <row r="219" spans="1:51" x14ac:dyDescent="0.35">
      <c r="A219" s="178"/>
      <c r="B219" s="178"/>
      <c r="C219" s="178"/>
      <c r="D219" s="690" t="str">
        <f>"Average Travel Speed ("&amp;'SegmentTraffic Inputs'!$H$11&amp;")"</f>
        <v>Average Travel Speed (I-35 Segment)</v>
      </c>
      <c r="E219" s="690"/>
      <c r="F219" s="178"/>
      <c r="G219" s="178"/>
      <c r="H219" s="178"/>
      <c r="I219" s="178"/>
      <c r="J219" s="178"/>
      <c r="K219" s="178"/>
      <c r="L219" s="178"/>
      <c r="M219" s="178"/>
      <c r="N219" s="178"/>
      <c r="O219" s="178"/>
      <c r="P219" s="178"/>
      <c r="Q219" s="178"/>
      <c r="R219" s="178"/>
      <c r="S219" s="178"/>
      <c r="T219" s="178"/>
      <c r="U219" s="178"/>
      <c r="V219" s="178"/>
      <c r="W219" s="178"/>
      <c r="X219" s="178"/>
      <c r="Y219" s="178"/>
      <c r="Z219" s="178"/>
      <c r="AA219" s="178"/>
      <c r="AB219" s="178"/>
      <c r="AC219" s="178"/>
      <c r="AD219" s="178"/>
      <c r="AE219" s="178"/>
      <c r="AF219" s="178"/>
      <c r="AG219" s="178"/>
      <c r="AH219" s="178"/>
      <c r="AI219" s="178"/>
      <c r="AJ219" s="178"/>
      <c r="AK219" s="178"/>
      <c r="AL219" s="178"/>
      <c r="AM219" s="178"/>
      <c r="AN219" s="178"/>
      <c r="AO219" s="178"/>
      <c r="AP219" s="178"/>
      <c r="AQ219" s="178"/>
      <c r="AR219" s="178"/>
      <c r="AS219" s="178"/>
      <c r="AT219" s="178"/>
      <c r="AU219" s="178"/>
      <c r="AV219" s="178"/>
      <c r="AW219" s="178"/>
      <c r="AX219" s="178"/>
      <c r="AY219" s="178"/>
    </row>
    <row r="220" spans="1:51" x14ac:dyDescent="0.35">
      <c r="A220" s="178"/>
      <c r="B220" s="178"/>
      <c r="C220" s="283" t="s">
        <v>1067</v>
      </c>
      <c r="D220" s="391" t="s">
        <v>1068</v>
      </c>
      <c r="E220" s="391" t="s">
        <v>1069</v>
      </c>
      <c r="F220" s="178"/>
      <c r="G220" s="178"/>
      <c r="H220" s="178"/>
      <c r="I220" s="178"/>
      <c r="J220" s="178"/>
      <c r="K220" s="178"/>
      <c r="L220" s="178"/>
      <c r="M220" s="178"/>
      <c r="N220" s="178"/>
      <c r="O220" s="178"/>
      <c r="P220" s="178"/>
      <c r="Q220" s="178"/>
      <c r="R220" s="178"/>
      <c r="S220" s="178"/>
      <c r="T220" s="178"/>
      <c r="U220" s="178"/>
      <c r="V220" s="178"/>
      <c r="W220" s="178"/>
      <c r="X220" s="178"/>
      <c r="Y220" s="178"/>
      <c r="Z220" s="178"/>
      <c r="AA220" s="178"/>
      <c r="AB220" s="178"/>
      <c r="AC220" s="178"/>
      <c r="AD220" s="178"/>
      <c r="AE220" s="178"/>
      <c r="AF220" s="178"/>
      <c r="AG220" s="178"/>
      <c r="AH220" s="178"/>
      <c r="AI220" s="178"/>
      <c r="AJ220" s="178"/>
      <c r="AK220" s="178"/>
      <c r="AL220" s="178"/>
      <c r="AM220" s="178"/>
      <c r="AN220" s="178"/>
      <c r="AO220" s="178"/>
      <c r="AP220" s="178"/>
      <c r="AQ220" s="178"/>
      <c r="AR220" s="178"/>
      <c r="AS220" s="178"/>
      <c r="AT220" s="178"/>
      <c r="AU220" s="178"/>
      <c r="AV220" s="178"/>
      <c r="AW220" s="178"/>
      <c r="AX220" s="178"/>
      <c r="AY220" s="178"/>
    </row>
    <row r="221" spans="1:51" x14ac:dyDescent="0.35">
      <c r="A221" s="178"/>
      <c r="B221" s="178"/>
      <c r="C221" s="487">
        <f>$F$6</f>
        <v>2023</v>
      </c>
      <c r="D221" s="396">
        <f>IF(D148&lt;=$D$201,$E$201,IF(AND(D148&gt;$C$202,D148&lt;=$D$202),$E$202,IF(AND(D148&gt;$C$203,D148&lt;=$D$203),$E$203,IF(AND(D148&gt;$C$204,D148&lt;=$D$204),$E$204,IF(AND(D148&gt;$C$205,D148&lt;=$D$205),$E$205,IF(D148&gt;$C$206,$E$206))))))</f>
        <v>70</v>
      </c>
      <c r="E221" s="396">
        <f>IF(E148&lt;=$D$212,$E$212,IF(AND(E148&gt;$C$213,E148&lt;=$D$213),$E$213,IF(AND(E148&gt;$C$214,E148&lt;=$D$214),$E$214,IF(AND(E148&gt;$C$215,E148&lt;=$D$215),$E$215,IF(AND(E148&gt;$C$216,E148&lt;=$D$216),$E$216,IF(E148&gt;$C$217,$E$217))))))</f>
        <v>70</v>
      </c>
      <c r="F221" s="178"/>
      <c r="G221" s="178"/>
      <c r="H221" s="178"/>
      <c r="I221" s="178"/>
      <c r="J221" s="178"/>
      <c r="K221" s="178"/>
      <c r="L221" s="178"/>
      <c r="M221" s="178"/>
      <c r="N221" s="178"/>
      <c r="O221" s="178"/>
      <c r="P221" s="178"/>
      <c r="Q221" s="178"/>
      <c r="R221" s="178"/>
      <c r="S221" s="178"/>
      <c r="T221" s="178"/>
      <c r="U221" s="178"/>
      <c r="V221" s="178"/>
      <c r="W221" s="178"/>
      <c r="X221" s="178"/>
      <c r="Y221" s="178"/>
      <c r="Z221" s="178"/>
      <c r="AA221" s="178"/>
      <c r="AB221" s="178"/>
      <c r="AC221" s="178"/>
      <c r="AD221" s="178"/>
      <c r="AE221" s="178"/>
      <c r="AF221" s="178"/>
      <c r="AG221" s="178"/>
      <c r="AH221" s="178"/>
      <c r="AI221" s="178"/>
      <c r="AJ221" s="178"/>
      <c r="AK221" s="178"/>
      <c r="AL221" s="178"/>
      <c r="AM221" s="178"/>
      <c r="AN221" s="178"/>
      <c r="AO221" s="178"/>
      <c r="AP221" s="178"/>
      <c r="AQ221" s="178"/>
      <c r="AR221" s="178"/>
      <c r="AS221" s="178"/>
      <c r="AT221" s="178"/>
      <c r="AU221" s="178"/>
      <c r="AV221" s="178"/>
      <c r="AW221" s="178"/>
      <c r="AX221" s="178"/>
      <c r="AY221" s="178"/>
    </row>
    <row r="222" spans="1:51" x14ac:dyDescent="0.35">
      <c r="A222" s="178"/>
      <c r="B222" s="178"/>
      <c r="C222" s="395">
        <f>C221+1</f>
        <v>2024</v>
      </c>
      <c r="D222" s="396">
        <f t="shared" ref="D222:D266" si="36">IF(D149&lt;=$D$201,$E$201,IF(AND(D149&gt;$C$202,D149&lt;=$D$202),$E$202,IF(AND(D149&gt;$C$203,D149&lt;=$D$203),$E$203,IF(AND(D149&gt;$C$204,D149&lt;=$D$204),$E$204,IF(AND(D149&gt;$C$205,D149&lt;=$D$205),$E$205,IF(D149&gt;$C$206,$E$206))))))</f>
        <v>70</v>
      </c>
      <c r="E222" s="396">
        <f t="shared" ref="E222:E266" si="37">IF(E149&lt;=$D$212,$E$212,IF(AND(E149&gt;$C$213,E149&lt;=$D$213),$E$213,IF(AND(E149&gt;$C$214,E149&lt;=$D$214),$E$214,IF(AND(E149&gt;$C$215,E149&lt;=$D$215),$E$215,IF(AND(E149&gt;$C$216,E149&lt;=$D$216),$E$216,IF(E149&gt;$C$217,$E$217))))))</f>
        <v>70</v>
      </c>
      <c r="F222" s="178"/>
      <c r="G222" s="178"/>
      <c r="H222" s="178"/>
      <c r="I222" s="178"/>
      <c r="J222" s="178"/>
      <c r="K222" s="178"/>
      <c r="L222" s="178"/>
      <c r="M222" s="178"/>
      <c r="N222" s="178"/>
      <c r="O222" s="178"/>
      <c r="P222" s="178"/>
      <c r="Q222" s="178"/>
      <c r="R222" s="178"/>
      <c r="S222" s="178"/>
      <c r="T222" s="178"/>
      <c r="U222" s="178"/>
      <c r="V222" s="178"/>
      <c r="W222" s="178"/>
      <c r="X222" s="178"/>
      <c r="Y222" s="178"/>
      <c r="Z222" s="178"/>
      <c r="AA222" s="178"/>
      <c r="AB222" s="178"/>
      <c r="AC222" s="178"/>
      <c r="AD222" s="178"/>
      <c r="AE222" s="178"/>
      <c r="AF222" s="178"/>
      <c r="AG222" s="178"/>
      <c r="AH222" s="178"/>
      <c r="AI222" s="178"/>
      <c r="AJ222" s="178"/>
      <c r="AK222" s="178"/>
      <c r="AL222" s="178"/>
      <c r="AM222" s="178"/>
      <c r="AN222" s="178"/>
      <c r="AO222" s="178"/>
      <c r="AP222" s="178"/>
      <c r="AQ222" s="178"/>
      <c r="AR222" s="178"/>
      <c r="AS222" s="178"/>
      <c r="AT222" s="178"/>
      <c r="AU222" s="178"/>
      <c r="AV222" s="178"/>
      <c r="AW222" s="178"/>
      <c r="AX222" s="178"/>
      <c r="AY222" s="178"/>
    </row>
    <row r="223" spans="1:51" x14ac:dyDescent="0.35">
      <c r="A223" s="178"/>
      <c r="B223" s="178"/>
      <c r="C223" s="395">
        <f>C222+1</f>
        <v>2025</v>
      </c>
      <c r="D223" s="396">
        <f t="shared" si="36"/>
        <v>70</v>
      </c>
      <c r="E223" s="396">
        <f t="shared" si="37"/>
        <v>70</v>
      </c>
      <c r="F223" s="178"/>
      <c r="G223" s="178"/>
      <c r="H223" s="178"/>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E223" s="178"/>
      <c r="AF223" s="178"/>
      <c r="AG223" s="178"/>
      <c r="AH223" s="178"/>
      <c r="AI223" s="178"/>
      <c r="AJ223" s="178"/>
      <c r="AK223" s="178"/>
      <c r="AL223" s="178"/>
      <c r="AM223" s="178"/>
      <c r="AN223" s="178"/>
      <c r="AO223" s="178"/>
      <c r="AP223" s="178"/>
      <c r="AQ223" s="178"/>
      <c r="AR223" s="178"/>
      <c r="AS223" s="178"/>
      <c r="AT223" s="178"/>
      <c r="AU223" s="178"/>
      <c r="AV223" s="178"/>
      <c r="AW223" s="178"/>
      <c r="AX223" s="178"/>
      <c r="AY223" s="178"/>
    </row>
    <row r="224" spans="1:51" x14ac:dyDescent="0.35">
      <c r="A224" s="178"/>
      <c r="B224" s="178"/>
      <c r="C224" s="395">
        <f>C223+1</f>
        <v>2026</v>
      </c>
      <c r="D224" s="396">
        <f t="shared" si="36"/>
        <v>70</v>
      </c>
      <c r="E224" s="396">
        <f t="shared" si="37"/>
        <v>70</v>
      </c>
      <c r="F224" s="178"/>
      <c r="G224" s="178"/>
      <c r="H224" s="178"/>
      <c r="I224" s="178"/>
      <c r="J224" s="178"/>
      <c r="K224" s="178"/>
      <c r="L224" s="178"/>
      <c r="M224" s="178"/>
      <c r="N224" s="178"/>
      <c r="O224" s="178"/>
      <c r="P224" s="178"/>
      <c r="Q224" s="178"/>
      <c r="R224" s="178"/>
      <c r="S224" s="178"/>
      <c r="T224" s="178"/>
      <c r="U224" s="178"/>
      <c r="V224" s="178"/>
      <c r="W224" s="178"/>
      <c r="X224" s="178"/>
      <c r="Y224" s="178"/>
      <c r="Z224" s="178"/>
      <c r="AA224" s="178"/>
      <c r="AB224" s="178"/>
      <c r="AC224" s="178"/>
      <c r="AD224" s="178"/>
      <c r="AE224" s="178"/>
      <c r="AF224" s="178"/>
      <c r="AG224" s="178"/>
      <c r="AH224" s="178"/>
      <c r="AI224" s="178"/>
      <c r="AJ224" s="178"/>
      <c r="AK224" s="178"/>
      <c r="AL224" s="178"/>
      <c r="AM224" s="178"/>
      <c r="AN224" s="178"/>
      <c r="AO224" s="178"/>
      <c r="AP224" s="178"/>
      <c r="AQ224" s="178"/>
      <c r="AR224" s="178"/>
      <c r="AS224" s="178"/>
      <c r="AT224" s="178"/>
      <c r="AU224" s="178"/>
      <c r="AV224" s="178"/>
      <c r="AW224" s="178"/>
      <c r="AX224" s="178"/>
      <c r="AY224" s="178"/>
    </row>
    <row r="225" spans="1:51" x14ac:dyDescent="0.35">
      <c r="A225" s="178"/>
      <c r="B225" s="178"/>
      <c r="C225" s="395">
        <f>C224+1</f>
        <v>2027</v>
      </c>
      <c r="D225" s="396">
        <f t="shared" si="36"/>
        <v>70</v>
      </c>
      <c r="E225" s="396">
        <f t="shared" si="37"/>
        <v>70</v>
      </c>
      <c r="F225" s="178"/>
      <c r="G225" s="178"/>
      <c r="H225" s="178"/>
      <c r="I225" s="178"/>
      <c r="J225" s="178"/>
      <c r="K225" s="178"/>
      <c r="L225" s="178"/>
      <c r="M225" s="178"/>
      <c r="N225" s="178"/>
      <c r="O225" s="178"/>
      <c r="P225" s="178"/>
      <c r="Q225" s="178"/>
      <c r="R225" s="178"/>
      <c r="S225" s="178"/>
      <c r="T225" s="178"/>
      <c r="U225" s="178"/>
      <c r="V225" s="178"/>
      <c r="W225" s="178"/>
      <c r="X225" s="178"/>
      <c r="Y225" s="178"/>
      <c r="Z225" s="178"/>
      <c r="AA225" s="178"/>
      <c r="AB225" s="178"/>
      <c r="AC225" s="178"/>
      <c r="AD225" s="178"/>
      <c r="AE225" s="178"/>
      <c r="AF225" s="178"/>
      <c r="AG225" s="178"/>
      <c r="AH225" s="178"/>
      <c r="AI225" s="178"/>
      <c r="AJ225" s="178"/>
      <c r="AK225" s="178"/>
      <c r="AL225" s="178"/>
      <c r="AM225" s="178"/>
      <c r="AN225" s="178"/>
      <c r="AO225" s="178"/>
      <c r="AP225" s="178"/>
      <c r="AQ225" s="178"/>
      <c r="AR225" s="178"/>
      <c r="AS225" s="178"/>
      <c r="AT225" s="178"/>
      <c r="AU225" s="178"/>
      <c r="AV225" s="178"/>
      <c r="AW225" s="178"/>
      <c r="AX225" s="178"/>
      <c r="AY225" s="178"/>
    </row>
    <row r="226" spans="1:51" x14ac:dyDescent="0.35">
      <c r="A226" s="178"/>
      <c r="B226" s="178"/>
      <c r="C226" s="395">
        <f>C225+1</f>
        <v>2028</v>
      </c>
      <c r="D226" s="396">
        <f t="shared" si="36"/>
        <v>70</v>
      </c>
      <c r="E226" s="396">
        <f t="shared" si="37"/>
        <v>70</v>
      </c>
      <c r="F226" s="178"/>
      <c r="G226" s="178"/>
      <c r="H226" s="178"/>
      <c r="I226" s="178"/>
      <c r="J226" s="178"/>
      <c r="K226" s="178"/>
      <c r="L226" s="178"/>
      <c r="M226" s="178"/>
      <c r="N226" s="178"/>
      <c r="O226" s="178"/>
      <c r="P226" s="178"/>
      <c r="Q226" s="178"/>
      <c r="R226" s="178"/>
      <c r="S226" s="178"/>
      <c r="T226" s="178"/>
      <c r="U226" s="178"/>
      <c r="V226" s="178"/>
      <c r="W226" s="178"/>
      <c r="X226" s="178"/>
      <c r="Y226" s="178"/>
      <c r="Z226" s="178"/>
      <c r="AA226" s="178"/>
      <c r="AB226" s="178"/>
      <c r="AC226" s="178"/>
      <c r="AD226" s="178"/>
      <c r="AE226" s="178"/>
      <c r="AF226" s="178"/>
      <c r="AG226" s="178"/>
      <c r="AH226" s="178"/>
      <c r="AI226" s="178"/>
      <c r="AJ226" s="178"/>
      <c r="AK226" s="178"/>
      <c r="AL226" s="178"/>
      <c r="AM226" s="178"/>
      <c r="AN226" s="178"/>
      <c r="AO226" s="178"/>
      <c r="AP226" s="178"/>
      <c r="AQ226" s="178"/>
      <c r="AR226" s="178"/>
      <c r="AS226" s="178"/>
      <c r="AT226" s="178"/>
      <c r="AU226" s="178"/>
      <c r="AV226" s="178"/>
      <c r="AW226" s="178"/>
      <c r="AX226" s="178"/>
      <c r="AY226" s="178"/>
    </row>
    <row r="227" spans="1:51" x14ac:dyDescent="0.35">
      <c r="A227" s="178"/>
      <c r="B227" s="178"/>
      <c r="C227" s="395">
        <f t="shared" ref="C227:C264" si="38">C226+1</f>
        <v>2029</v>
      </c>
      <c r="D227" s="396">
        <f t="shared" si="36"/>
        <v>68.5</v>
      </c>
      <c r="E227" s="396">
        <f t="shared" si="37"/>
        <v>70</v>
      </c>
      <c r="F227" s="178"/>
      <c r="G227" s="178"/>
      <c r="H227" s="178"/>
      <c r="I227" s="178"/>
      <c r="J227" s="178"/>
      <c r="K227" s="178"/>
      <c r="L227" s="178"/>
      <c r="M227" s="178"/>
      <c r="N227" s="178"/>
      <c r="O227" s="178"/>
      <c r="P227" s="178"/>
      <c r="Q227" s="178"/>
      <c r="R227" s="178"/>
      <c r="S227" s="178"/>
      <c r="T227" s="178"/>
      <c r="U227" s="178"/>
      <c r="V227" s="178"/>
      <c r="W227" s="178"/>
      <c r="X227" s="178"/>
      <c r="Y227" s="178"/>
      <c r="Z227" s="178"/>
      <c r="AA227" s="178"/>
      <c r="AB227" s="178"/>
      <c r="AC227" s="178"/>
      <c r="AD227" s="178"/>
      <c r="AE227" s="178"/>
      <c r="AF227" s="178"/>
      <c r="AG227" s="178"/>
      <c r="AH227" s="178"/>
      <c r="AI227" s="178"/>
      <c r="AJ227" s="178"/>
      <c r="AK227" s="178"/>
      <c r="AL227" s="178"/>
      <c r="AM227" s="178"/>
      <c r="AN227" s="178"/>
      <c r="AO227" s="178"/>
      <c r="AP227" s="178"/>
      <c r="AQ227" s="178"/>
      <c r="AR227" s="178"/>
      <c r="AS227" s="178"/>
      <c r="AT227" s="178"/>
      <c r="AU227" s="178"/>
      <c r="AV227" s="178"/>
      <c r="AW227" s="178"/>
      <c r="AX227" s="178"/>
      <c r="AY227" s="178"/>
    </row>
    <row r="228" spans="1:51" x14ac:dyDescent="0.35">
      <c r="A228" s="178"/>
      <c r="B228" s="178"/>
      <c r="C228" s="395">
        <f t="shared" si="38"/>
        <v>2030</v>
      </c>
      <c r="D228" s="396">
        <f t="shared" si="36"/>
        <v>68.5</v>
      </c>
      <c r="E228" s="396">
        <f t="shared" si="37"/>
        <v>70</v>
      </c>
      <c r="F228" s="178"/>
      <c r="G228" s="178"/>
      <c r="H228" s="178"/>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78"/>
      <c r="AK228" s="178"/>
      <c r="AL228" s="178"/>
      <c r="AM228" s="178"/>
      <c r="AN228" s="178"/>
      <c r="AO228" s="178"/>
      <c r="AP228" s="178"/>
      <c r="AQ228" s="178"/>
      <c r="AR228" s="178"/>
      <c r="AS228" s="178"/>
      <c r="AT228" s="178"/>
      <c r="AU228" s="178"/>
      <c r="AV228" s="178"/>
      <c r="AW228" s="178"/>
      <c r="AX228" s="178"/>
      <c r="AY228" s="178"/>
    </row>
    <row r="229" spans="1:51" x14ac:dyDescent="0.35">
      <c r="A229" s="178"/>
      <c r="B229" s="178"/>
      <c r="C229" s="395">
        <f t="shared" si="38"/>
        <v>2031</v>
      </c>
      <c r="D229" s="396">
        <f t="shared" si="36"/>
        <v>68.5</v>
      </c>
      <c r="E229" s="396">
        <f t="shared" si="37"/>
        <v>70</v>
      </c>
      <c r="F229" s="178"/>
      <c r="G229" s="178"/>
      <c r="H229" s="178"/>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78"/>
      <c r="AK229" s="178"/>
      <c r="AL229" s="178"/>
      <c r="AM229" s="178"/>
      <c r="AN229" s="178"/>
      <c r="AO229" s="178"/>
      <c r="AP229" s="178"/>
      <c r="AQ229" s="178"/>
      <c r="AR229" s="178"/>
      <c r="AS229" s="178"/>
      <c r="AT229" s="178"/>
      <c r="AU229" s="178"/>
      <c r="AV229" s="178"/>
      <c r="AW229" s="178"/>
      <c r="AX229" s="178"/>
      <c r="AY229" s="178"/>
    </row>
    <row r="230" spans="1:51" x14ac:dyDescent="0.35">
      <c r="A230" s="178"/>
      <c r="B230" s="178"/>
      <c r="C230" s="395">
        <f t="shared" si="38"/>
        <v>2032</v>
      </c>
      <c r="D230" s="396">
        <f t="shared" si="36"/>
        <v>68.5</v>
      </c>
      <c r="E230" s="396">
        <f t="shared" si="37"/>
        <v>70</v>
      </c>
      <c r="F230" s="178"/>
      <c r="G230" s="178"/>
      <c r="H230" s="178"/>
      <c r="I230" s="178"/>
      <c r="J230" s="178"/>
      <c r="K230" s="178"/>
      <c r="L230" s="178"/>
      <c r="M230" s="178"/>
      <c r="N230" s="178"/>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8"/>
      <c r="AL230" s="178"/>
      <c r="AM230" s="178"/>
      <c r="AN230" s="178"/>
      <c r="AO230" s="178"/>
      <c r="AP230" s="178"/>
      <c r="AQ230" s="178"/>
      <c r="AR230" s="178"/>
      <c r="AS230" s="178"/>
      <c r="AT230" s="178"/>
      <c r="AU230" s="178"/>
      <c r="AV230" s="178"/>
      <c r="AW230" s="178"/>
      <c r="AX230" s="178"/>
      <c r="AY230" s="178"/>
    </row>
    <row r="231" spans="1:51" x14ac:dyDescent="0.35">
      <c r="A231" s="178"/>
      <c r="B231" s="178"/>
      <c r="C231" s="395">
        <f t="shared" si="38"/>
        <v>2033</v>
      </c>
      <c r="D231" s="396">
        <f t="shared" si="36"/>
        <v>68.5</v>
      </c>
      <c r="E231" s="396">
        <f t="shared" si="37"/>
        <v>70</v>
      </c>
      <c r="F231" s="178"/>
      <c r="G231" s="178"/>
      <c r="H231" s="178"/>
      <c r="I231" s="178"/>
      <c r="J231" s="178"/>
      <c r="K231" s="178"/>
      <c r="L231" s="178"/>
      <c r="M231" s="178"/>
      <c r="N231" s="178"/>
      <c r="O231" s="178"/>
      <c r="P231" s="178"/>
      <c r="Q231" s="178"/>
      <c r="R231" s="178"/>
      <c r="S231" s="178"/>
      <c r="T231" s="178"/>
      <c r="U231" s="178"/>
      <c r="V231" s="178"/>
      <c r="W231" s="178"/>
      <c r="X231" s="178"/>
      <c r="Y231" s="178"/>
      <c r="Z231" s="178"/>
      <c r="AA231" s="178"/>
      <c r="AB231" s="178"/>
      <c r="AC231" s="178"/>
      <c r="AD231" s="178"/>
      <c r="AE231" s="178"/>
      <c r="AF231" s="178"/>
      <c r="AG231" s="178"/>
      <c r="AH231" s="178"/>
      <c r="AI231" s="178"/>
      <c r="AJ231" s="178"/>
      <c r="AK231" s="178"/>
      <c r="AL231" s="178"/>
      <c r="AM231" s="178"/>
      <c r="AN231" s="178"/>
      <c r="AO231" s="178"/>
      <c r="AP231" s="178"/>
      <c r="AQ231" s="178"/>
      <c r="AR231" s="178"/>
      <c r="AS231" s="178"/>
      <c r="AT231" s="178"/>
      <c r="AU231" s="178"/>
      <c r="AV231" s="178"/>
      <c r="AW231" s="178"/>
      <c r="AX231" s="178"/>
      <c r="AY231" s="178"/>
    </row>
    <row r="232" spans="1:51" x14ac:dyDescent="0.35">
      <c r="A232" s="178"/>
      <c r="B232" s="178"/>
      <c r="C232" s="395">
        <f t="shared" si="38"/>
        <v>2034</v>
      </c>
      <c r="D232" s="396">
        <f t="shared" si="36"/>
        <v>68.5</v>
      </c>
      <c r="E232" s="396">
        <f t="shared" si="37"/>
        <v>70</v>
      </c>
      <c r="F232" s="178"/>
      <c r="G232" s="178"/>
      <c r="H232" s="178"/>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8"/>
      <c r="AE232" s="178"/>
      <c r="AF232" s="178"/>
      <c r="AG232" s="178"/>
      <c r="AH232" s="178"/>
      <c r="AI232" s="178"/>
      <c r="AJ232" s="178"/>
      <c r="AK232" s="178"/>
      <c r="AL232" s="178"/>
      <c r="AM232" s="178"/>
      <c r="AN232" s="178"/>
      <c r="AO232" s="178"/>
      <c r="AP232" s="178"/>
      <c r="AQ232" s="178"/>
      <c r="AR232" s="178"/>
      <c r="AS232" s="178"/>
      <c r="AT232" s="178"/>
      <c r="AU232" s="178"/>
      <c r="AV232" s="178"/>
      <c r="AW232" s="178"/>
      <c r="AX232" s="178"/>
      <c r="AY232" s="178"/>
    </row>
    <row r="233" spans="1:51" x14ac:dyDescent="0.35">
      <c r="A233" s="178"/>
      <c r="B233" s="178"/>
      <c r="C233" s="395">
        <f t="shared" si="38"/>
        <v>2035</v>
      </c>
      <c r="D233" s="396">
        <f t="shared" si="36"/>
        <v>68.5</v>
      </c>
      <c r="E233" s="396">
        <f t="shared" si="37"/>
        <v>70</v>
      </c>
      <c r="F233" s="178"/>
      <c r="G233" s="178"/>
      <c r="H233" s="178"/>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E233" s="178"/>
      <c r="AF233" s="178"/>
      <c r="AG233" s="178"/>
      <c r="AH233" s="178"/>
      <c r="AI233" s="178"/>
      <c r="AJ233" s="178"/>
      <c r="AK233" s="178"/>
      <c r="AL233" s="178"/>
      <c r="AM233" s="178"/>
      <c r="AN233" s="178"/>
      <c r="AO233" s="178"/>
      <c r="AP233" s="178"/>
      <c r="AQ233" s="178"/>
      <c r="AR233" s="178"/>
      <c r="AS233" s="178"/>
      <c r="AT233" s="178"/>
      <c r="AU233" s="178"/>
      <c r="AV233" s="178"/>
      <c r="AW233" s="178"/>
      <c r="AX233" s="178"/>
      <c r="AY233" s="178"/>
    </row>
    <row r="234" spans="1:51" x14ac:dyDescent="0.35">
      <c r="A234" s="178"/>
      <c r="B234" s="178"/>
      <c r="C234" s="395">
        <f t="shared" si="38"/>
        <v>2036</v>
      </c>
      <c r="D234" s="396">
        <f t="shared" si="36"/>
        <v>68.5</v>
      </c>
      <c r="E234" s="396">
        <f t="shared" si="37"/>
        <v>70</v>
      </c>
      <c r="F234" s="178"/>
      <c r="G234" s="178"/>
      <c r="H234" s="178"/>
      <c r="I234" s="178"/>
      <c r="J234" s="178"/>
      <c r="K234" s="178"/>
      <c r="L234" s="178"/>
      <c r="M234" s="178"/>
      <c r="N234" s="178"/>
      <c r="O234" s="178"/>
      <c r="P234" s="178"/>
      <c r="Q234" s="178"/>
      <c r="R234" s="178"/>
      <c r="S234" s="178"/>
      <c r="T234" s="178"/>
      <c r="U234" s="178"/>
      <c r="V234" s="178"/>
      <c r="W234" s="178"/>
      <c r="X234" s="178"/>
      <c r="Y234" s="178"/>
      <c r="Z234" s="178"/>
      <c r="AA234" s="178"/>
      <c r="AB234" s="178"/>
      <c r="AC234" s="178"/>
      <c r="AD234" s="178"/>
      <c r="AE234" s="178"/>
      <c r="AF234" s="178"/>
      <c r="AG234" s="178"/>
      <c r="AH234" s="178"/>
      <c r="AI234" s="178"/>
      <c r="AJ234" s="178"/>
      <c r="AK234" s="178"/>
      <c r="AL234" s="178"/>
      <c r="AM234" s="178"/>
      <c r="AN234" s="178"/>
      <c r="AO234" s="178"/>
      <c r="AP234" s="178"/>
      <c r="AQ234" s="178"/>
      <c r="AR234" s="178"/>
      <c r="AS234" s="178"/>
      <c r="AT234" s="178"/>
      <c r="AU234" s="178"/>
      <c r="AV234" s="178"/>
      <c r="AW234" s="178"/>
      <c r="AX234" s="178"/>
      <c r="AY234" s="178"/>
    </row>
    <row r="235" spans="1:51" x14ac:dyDescent="0.35">
      <c r="A235" s="178"/>
      <c r="B235" s="178"/>
      <c r="C235" s="395">
        <f t="shared" si="38"/>
        <v>2037</v>
      </c>
      <c r="D235" s="396">
        <f t="shared" si="36"/>
        <v>68.5</v>
      </c>
      <c r="E235" s="396">
        <f t="shared" si="37"/>
        <v>70</v>
      </c>
      <c r="F235" s="178"/>
      <c r="G235" s="178"/>
      <c r="H235" s="178"/>
      <c r="I235" s="178"/>
      <c r="J235" s="178"/>
      <c r="K235" s="178"/>
      <c r="L235" s="178"/>
      <c r="M235" s="178"/>
      <c r="N235" s="178"/>
      <c r="O235" s="178"/>
      <c r="P235" s="178"/>
      <c r="Q235" s="178"/>
      <c r="R235" s="178"/>
      <c r="S235" s="178"/>
      <c r="T235" s="178"/>
      <c r="U235" s="178"/>
      <c r="V235" s="178"/>
      <c r="W235" s="178"/>
      <c r="X235" s="178"/>
      <c r="Y235" s="178"/>
      <c r="Z235" s="178"/>
      <c r="AA235" s="178"/>
      <c r="AB235" s="178"/>
      <c r="AC235" s="178"/>
      <c r="AD235" s="178"/>
      <c r="AE235" s="178"/>
      <c r="AF235" s="178"/>
      <c r="AG235" s="178"/>
      <c r="AH235" s="178"/>
      <c r="AI235" s="178"/>
      <c r="AJ235" s="178"/>
      <c r="AK235" s="178"/>
      <c r="AL235" s="178"/>
      <c r="AM235" s="178"/>
      <c r="AN235" s="178"/>
      <c r="AO235" s="178"/>
      <c r="AP235" s="178"/>
      <c r="AQ235" s="178"/>
      <c r="AR235" s="178"/>
      <c r="AS235" s="178"/>
      <c r="AT235" s="178"/>
      <c r="AU235" s="178"/>
      <c r="AV235" s="178"/>
      <c r="AW235" s="178"/>
      <c r="AX235" s="178"/>
      <c r="AY235" s="178"/>
    </row>
    <row r="236" spans="1:51" x14ac:dyDescent="0.35">
      <c r="A236" s="178"/>
      <c r="B236" s="178"/>
      <c r="C236" s="395">
        <f t="shared" si="38"/>
        <v>2038</v>
      </c>
      <c r="D236" s="396">
        <f t="shared" si="36"/>
        <v>68.5</v>
      </c>
      <c r="E236" s="396">
        <f t="shared" si="37"/>
        <v>70</v>
      </c>
      <c r="F236" s="178"/>
      <c r="G236" s="178"/>
      <c r="H236" s="178"/>
      <c r="I236" s="178"/>
      <c r="J236" s="178"/>
      <c r="K236" s="178"/>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c r="AQ236" s="178"/>
      <c r="AR236" s="178"/>
      <c r="AS236" s="178"/>
      <c r="AT236" s="178"/>
      <c r="AU236" s="178"/>
      <c r="AV236" s="178"/>
      <c r="AW236" s="178"/>
      <c r="AX236" s="178"/>
      <c r="AY236" s="178"/>
    </row>
    <row r="237" spans="1:51" x14ac:dyDescent="0.35">
      <c r="A237" s="178"/>
      <c r="B237" s="178"/>
      <c r="C237" s="395">
        <f t="shared" si="38"/>
        <v>2039</v>
      </c>
      <c r="D237" s="396">
        <f t="shared" si="36"/>
        <v>68.5</v>
      </c>
      <c r="E237" s="396">
        <f t="shared" si="37"/>
        <v>70</v>
      </c>
      <c r="F237" s="178"/>
      <c r="G237" s="178"/>
      <c r="H237" s="178"/>
      <c r="I237" s="178"/>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E237" s="178"/>
      <c r="AF237" s="178"/>
      <c r="AG237" s="178"/>
      <c r="AH237" s="178"/>
      <c r="AI237" s="178"/>
      <c r="AJ237" s="178"/>
      <c r="AK237" s="178"/>
      <c r="AL237" s="178"/>
      <c r="AM237" s="178"/>
      <c r="AN237" s="178"/>
      <c r="AO237" s="178"/>
      <c r="AP237" s="178"/>
      <c r="AQ237" s="178"/>
      <c r="AR237" s="178"/>
      <c r="AS237" s="178"/>
      <c r="AT237" s="178"/>
      <c r="AU237" s="178"/>
      <c r="AV237" s="178"/>
      <c r="AW237" s="178"/>
      <c r="AX237" s="178"/>
      <c r="AY237" s="178"/>
    </row>
    <row r="238" spans="1:51" x14ac:dyDescent="0.35">
      <c r="A238" s="178"/>
      <c r="B238" s="178"/>
      <c r="C238" s="395">
        <f t="shared" si="38"/>
        <v>2040</v>
      </c>
      <c r="D238" s="396">
        <f t="shared" si="36"/>
        <v>68.5</v>
      </c>
      <c r="E238" s="396">
        <f t="shared" si="37"/>
        <v>70</v>
      </c>
      <c r="F238" s="178"/>
      <c r="G238" s="178"/>
      <c r="H238" s="178"/>
      <c r="I238" s="178"/>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c r="AL238" s="178"/>
      <c r="AM238" s="178"/>
      <c r="AN238" s="178"/>
      <c r="AO238" s="178"/>
      <c r="AP238" s="178"/>
      <c r="AQ238" s="178"/>
      <c r="AR238" s="178"/>
      <c r="AS238" s="178"/>
      <c r="AT238" s="178"/>
      <c r="AU238" s="178"/>
      <c r="AV238" s="178"/>
      <c r="AW238" s="178"/>
      <c r="AX238" s="178"/>
      <c r="AY238" s="178"/>
    </row>
    <row r="239" spans="1:51" x14ac:dyDescent="0.35">
      <c r="A239" s="178"/>
      <c r="B239" s="178"/>
      <c r="C239" s="395">
        <f t="shared" si="38"/>
        <v>2041</v>
      </c>
      <c r="D239" s="396">
        <f t="shared" si="36"/>
        <v>68.5</v>
      </c>
      <c r="E239" s="396">
        <f t="shared" si="37"/>
        <v>70</v>
      </c>
      <c r="F239" s="178"/>
      <c r="G239" s="178"/>
      <c r="H239" s="178"/>
      <c r="I239" s="178"/>
      <c r="J239" s="178"/>
      <c r="K239" s="178"/>
      <c r="L239" s="178"/>
      <c r="M239" s="178"/>
      <c r="N239" s="178"/>
      <c r="O239" s="178"/>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c r="AL239" s="178"/>
      <c r="AM239" s="178"/>
      <c r="AN239" s="178"/>
      <c r="AO239" s="178"/>
      <c r="AP239" s="178"/>
      <c r="AQ239" s="178"/>
      <c r="AR239" s="178"/>
      <c r="AS239" s="178"/>
      <c r="AT239" s="178"/>
      <c r="AU239" s="178"/>
      <c r="AV239" s="178"/>
      <c r="AW239" s="178"/>
      <c r="AX239" s="178"/>
      <c r="AY239" s="178"/>
    </row>
    <row r="240" spans="1:51" x14ac:dyDescent="0.35">
      <c r="A240" s="178"/>
      <c r="B240" s="178"/>
      <c r="C240" s="395">
        <f t="shared" si="38"/>
        <v>2042</v>
      </c>
      <c r="D240" s="396">
        <f t="shared" si="36"/>
        <v>68.5</v>
      </c>
      <c r="E240" s="396">
        <f t="shared" si="37"/>
        <v>70</v>
      </c>
      <c r="F240" s="178"/>
      <c r="G240" s="178"/>
      <c r="H240" s="178"/>
      <c r="I240" s="178"/>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78"/>
      <c r="AK240" s="178"/>
      <c r="AL240" s="178"/>
      <c r="AM240" s="178"/>
      <c r="AN240" s="178"/>
      <c r="AO240" s="178"/>
      <c r="AP240" s="178"/>
      <c r="AQ240" s="178"/>
      <c r="AR240" s="178"/>
      <c r="AS240" s="178"/>
      <c r="AT240" s="178"/>
      <c r="AU240" s="178"/>
      <c r="AV240" s="178"/>
      <c r="AW240" s="178"/>
      <c r="AX240" s="178"/>
      <c r="AY240" s="178"/>
    </row>
    <row r="241" spans="1:51" x14ac:dyDescent="0.35">
      <c r="A241" s="178"/>
      <c r="B241" s="178"/>
      <c r="C241" s="395">
        <f t="shared" si="38"/>
        <v>2043</v>
      </c>
      <c r="D241" s="396">
        <f t="shared" si="36"/>
        <v>68.5</v>
      </c>
      <c r="E241" s="396">
        <f t="shared" si="37"/>
        <v>68.5</v>
      </c>
      <c r="F241" s="178"/>
      <c r="G241" s="178"/>
      <c r="H241" s="178"/>
      <c r="I241" s="178"/>
      <c r="J241" s="178"/>
      <c r="K241" s="178"/>
      <c r="L241" s="178"/>
      <c r="M241" s="178"/>
      <c r="N241" s="178"/>
      <c r="O241" s="178"/>
      <c r="P241" s="178"/>
      <c r="Q241" s="178"/>
      <c r="R241" s="178"/>
      <c r="S241" s="178"/>
      <c r="T241" s="178"/>
      <c r="U241" s="178"/>
      <c r="V241" s="178"/>
      <c r="W241" s="178"/>
      <c r="X241" s="178"/>
      <c r="Y241" s="178"/>
      <c r="Z241" s="178"/>
      <c r="AA241" s="178"/>
      <c r="AB241" s="178"/>
      <c r="AC241" s="178"/>
      <c r="AD241" s="178"/>
      <c r="AE241" s="178"/>
      <c r="AF241" s="178"/>
      <c r="AG241" s="178"/>
      <c r="AH241" s="178"/>
      <c r="AI241" s="178"/>
      <c r="AJ241" s="178"/>
      <c r="AK241" s="178"/>
      <c r="AL241" s="178"/>
      <c r="AM241" s="178"/>
      <c r="AN241" s="178"/>
      <c r="AO241" s="178"/>
      <c r="AP241" s="178"/>
      <c r="AQ241" s="178"/>
      <c r="AR241" s="178"/>
      <c r="AS241" s="178"/>
      <c r="AT241" s="178"/>
      <c r="AU241" s="178"/>
      <c r="AV241" s="178"/>
      <c r="AW241" s="178"/>
      <c r="AX241" s="178"/>
      <c r="AY241" s="178"/>
    </row>
    <row r="242" spans="1:51" x14ac:dyDescent="0.35">
      <c r="A242" s="178"/>
      <c r="B242" s="178"/>
      <c r="C242" s="395">
        <f t="shared" si="38"/>
        <v>2044</v>
      </c>
      <c r="D242" s="396">
        <f t="shared" si="36"/>
        <v>63</v>
      </c>
      <c r="E242" s="396">
        <f t="shared" si="37"/>
        <v>68.5</v>
      </c>
      <c r="F242" s="178"/>
      <c r="G242" s="178"/>
      <c r="H242" s="178"/>
      <c r="I242" s="178"/>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E242" s="178"/>
      <c r="AF242" s="178"/>
      <c r="AG242" s="178"/>
      <c r="AH242" s="178"/>
      <c r="AI242" s="178"/>
      <c r="AJ242" s="178"/>
      <c r="AK242" s="178"/>
      <c r="AL242" s="178"/>
      <c r="AM242" s="178"/>
      <c r="AN242" s="178"/>
      <c r="AO242" s="178"/>
      <c r="AP242" s="178"/>
      <c r="AQ242" s="178"/>
      <c r="AR242" s="178"/>
      <c r="AS242" s="178"/>
      <c r="AT242" s="178"/>
      <c r="AU242" s="178"/>
      <c r="AV242" s="178"/>
      <c r="AW242" s="178"/>
      <c r="AX242" s="178"/>
      <c r="AY242" s="178"/>
    </row>
    <row r="243" spans="1:51" x14ac:dyDescent="0.35">
      <c r="A243" s="178"/>
      <c r="B243" s="178"/>
      <c r="C243" s="395">
        <f t="shared" si="38"/>
        <v>2045</v>
      </c>
      <c r="D243" s="396">
        <f t="shared" si="36"/>
        <v>63</v>
      </c>
      <c r="E243" s="396">
        <f t="shared" si="37"/>
        <v>68.5</v>
      </c>
      <c r="F243" s="178"/>
      <c r="G243" s="178"/>
      <c r="H243" s="178"/>
      <c r="I243" s="178"/>
      <c r="J243" s="178"/>
      <c r="K243" s="178"/>
      <c r="L243" s="178"/>
      <c r="M243" s="178"/>
      <c r="N243" s="178"/>
      <c r="O243" s="178"/>
      <c r="P243" s="178"/>
      <c r="Q243" s="178"/>
      <c r="R243" s="178"/>
      <c r="S243" s="178"/>
      <c r="T243" s="178"/>
      <c r="U243" s="178"/>
      <c r="V243" s="178"/>
      <c r="W243" s="178"/>
      <c r="X243" s="178"/>
      <c r="Y243" s="178"/>
      <c r="Z243" s="178"/>
      <c r="AA243" s="178"/>
      <c r="AB243" s="178"/>
      <c r="AC243" s="178"/>
      <c r="AD243" s="178"/>
      <c r="AE243" s="178"/>
      <c r="AF243" s="178"/>
      <c r="AG243" s="178"/>
      <c r="AH243" s="178"/>
      <c r="AI243" s="178"/>
      <c r="AJ243" s="178"/>
      <c r="AK243" s="178"/>
      <c r="AL243" s="178"/>
      <c r="AM243" s="178"/>
      <c r="AN243" s="178"/>
      <c r="AO243" s="178"/>
      <c r="AP243" s="178"/>
      <c r="AQ243" s="178"/>
      <c r="AR243" s="178"/>
      <c r="AS243" s="178"/>
      <c r="AT243" s="178"/>
      <c r="AU243" s="178"/>
      <c r="AV243" s="178"/>
      <c r="AW243" s="178"/>
      <c r="AX243" s="178"/>
      <c r="AY243" s="178"/>
    </row>
    <row r="244" spans="1:51" x14ac:dyDescent="0.35">
      <c r="A244" s="178"/>
      <c r="B244" s="178"/>
      <c r="C244" s="395">
        <f t="shared" si="38"/>
        <v>2046</v>
      </c>
      <c r="D244" s="396">
        <f t="shared" si="36"/>
        <v>63</v>
      </c>
      <c r="E244" s="396">
        <f t="shared" si="37"/>
        <v>68.5</v>
      </c>
      <c r="F244" s="178"/>
      <c r="G244" s="178"/>
      <c r="H244" s="178"/>
      <c r="I244" s="178"/>
      <c r="J244" s="178"/>
      <c r="K244" s="178"/>
      <c r="L244" s="178"/>
      <c r="M244" s="178"/>
      <c r="N244" s="178"/>
      <c r="O244" s="178"/>
      <c r="P244" s="178"/>
      <c r="Q244" s="178"/>
      <c r="R244" s="178"/>
      <c r="S244" s="178"/>
      <c r="T244" s="178"/>
      <c r="U244" s="178"/>
      <c r="V244" s="178"/>
      <c r="W244" s="178"/>
      <c r="X244" s="178"/>
      <c r="Y244" s="178"/>
      <c r="Z244" s="178"/>
      <c r="AA244" s="178"/>
      <c r="AB244" s="178"/>
      <c r="AC244" s="178"/>
      <c r="AD244" s="178"/>
      <c r="AE244" s="178"/>
      <c r="AF244" s="178"/>
      <c r="AG244" s="178"/>
      <c r="AH244" s="178"/>
      <c r="AI244" s="178"/>
      <c r="AJ244" s="178"/>
      <c r="AK244" s="178"/>
      <c r="AL244" s="178"/>
      <c r="AM244" s="178"/>
      <c r="AN244" s="178"/>
      <c r="AO244" s="178"/>
      <c r="AP244" s="178"/>
      <c r="AQ244" s="178"/>
      <c r="AR244" s="178"/>
      <c r="AS244" s="178"/>
      <c r="AT244" s="178"/>
      <c r="AU244" s="178"/>
      <c r="AV244" s="178"/>
      <c r="AW244" s="178"/>
      <c r="AX244" s="178"/>
      <c r="AY244" s="178"/>
    </row>
    <row r="245" spans="1:51" x14ac:dyDescent="0.35">
      <c r="A245" s="178"/>
      <c r="B245" s="178"/>
      <c r="C245" s="395">
        <f t="shared" si="38"/>
        <v>2047</v>
      </c>
      <c r="D245" s="396">
        <f t="shared" si="36"/>
        <v>63</v>
      </c>
      <c r="E245" s="396">
        <f t="shared" si="37"/>
        <v>68.5</v>
      </c>
      <c r="F245" s="178"/>
      <c r="G245" s="178"/>
      <c r="H245" s="178"/>
      <c r="I245" s="178"/>
      <c r="J245" s="178"/>
      <c r="K245" s="178"/>
      <c r="L245" s="178"/>
      <c r="M245" s="178"/>
      <c r="N245" s="178"/>
      <c r="O245" s="178"/>
      <c r="P245" s="178"/>
      <c r="Q245" s="178"/>
      <c r="R245" s="178"/>
      <c r="S245" s="178"/>
      <c r="T245" s="178"/>
      <c r="U245" s="178"/>
      <c r="V245" s="178"/>
      <c r="W245" s="178"/>
      <c r="X245" s="178"/>
      <c r="Y245" s="178"/>
      <c r="Z245" s="178"/>
      <c r="AA245" s="178"/>
      <c r="AB245" s="178"/>
      <c r="AC245" s="178"/>
      <c r="AD245" s="178"/>
      <c r="AE245" s="178"/>
      <c r="AF245" s="178"/>
      <c r="AG245" s="178"/>
      <c r="AH245" s="178"/>
      <c r="AI245" s="178"/>
      <c r="AJ245" s="178"/>
      <c r="AK245" s="178"/>
      <c r="AL245" s="178"/>
      <c r="AM245" s="178"/>
      <c r="AN245" s="178"/>
      <c r="AO245" s="178"/>
      <c r="AP245" s="178"/>
      <c r="AQ245" s="178"/>
      <c r="AR245" s="178"/>
      <c r="AS245" s="178"/>
      <c r="AT245" s="178"/>
      <c r="AU245" s="178"/>
      <c r="AV245" s="178"/>
      <c r="AW245" s="178"/>
      <c r="AX245" s="178"/>
      <c r="AY245" s="178"/>
    </row>
    <row r="246" spans="1:51" x14ac:dyDescent="0.35">
      <c r="A246" s="178"/>
      <c r="B246" s="178"/>
      <c r="C246" s="395">
        <f t="shared" si="38"/>
        <v>2048</v>
      </c>
      <c r="D246" s="396">
        <f t="shared" si="36"/>
        <v>63</v>
      </c>
      <c r="E246" s="396">
        <f t="shared" si="37"/>
        <v>68.5</v>
      </c>
      <c r="F246" s="178"/>
      <c r="G246" s="178"/>
      <c r="H246" s="178"/>
      <c r="I246" s="178"/>
      <c r="J246" s="178"/>
      <c r="K246" s="178"/>
      <c r="L246" s="178"/>
      <c r="M246" s="178"/>
      <c r="N246" s="178"/>
      <c r="O246" s="178"/>
      <c r="P246" s="178"/>
      <c r="Q246" s="178"/>
      <c r="R246" s="178"/>
      <c r="S246" s="178"/>
      <c r="T246" s="178"/>
      <c r="U246" s="178"/>
      <c r="V246" s="178"/>
      <c r="W246" s="178"/>
      <c r="X246" s="178"/>
      <c r="Y246" s="178"/>
      <c r="Z246" s="178"/>
      <c r="AA246" s="178"/>
      <c r="AB246" s="178"/>
      <c r="AC246" s="178"/>
      <c r="AD246" s="178"/>
      <c r="AE246" s="178"/>
      <c r="AF246" s="178"/>
      <c r="AG246" s="178"/>
      <c r="AH246" s="178"/>
      <c r="AI246" s="178"/>
      <c r="AJ246" s="178"/>
      <c r="AK246" s="178"/>
      <c r="AL246" s="178"/>
      <c r="AM246" s="178"/>
      <c r="AN246" s="178"/>
      <c r="AO246" s="178"/>
      <c r="AP246" s="178"/>
      <c r="AQ246" s="178"/>
      <c r="AR246" s="178"/>
      <c r="AS246" s="178"/>
      <c r="AT246" s="178"/>
      <c r="AU246" s="178"/>
      <c r="AV246" s="178"/>
      <c r="AW246" s="178"/>
      <c r="AX246" s="178"/>
      <c r="AY246" s="178"/>
    </row>
    <row r="247" spans="1:51" x14ac:dyDescent="0.35">
      <c r="A247" s="178"/>
      <c r="B247" s="178"/>
      <c r="C247" s="395">
        <f t="shared" si="38"/>
        <v>2049</v>
      </c>
      <c r="D247" s="396">
        <f t="shared" si="36"/>
        <v>63</v>
      </c>
      <c r="E247" s="396">
        <f t="shared" si="37"/>
        <v>68.5</v>
      </c>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c r="AL247" s="178"/>
      <c r="AM247" s="178"/>
      <c r="AN247" s="178"/>
      <c r="AO247" s="178"/>
      <c r="AP247" s="178"/>
      <c r="AQ247" s="178"/>
      <c r="AR247" s="178"/>
      <c r="AS247" s="178"/>
      <c r="AT247" s="178"/>
      <c r="AU247" s="178"/>
      <c r="AV247" s="178"/>
      <c r="AW247" s="178"/>
      <c r="AX247" s="178"/>
      <c r="AY247" s="178"/>
    </row>
    <row r="248" spans="1:51" x14ac:dyDescent="0.35">
      <c r="A248" s="178"/>
      <c r="B248" s="178"/>
      <c r="C248" s="395">
        <f t="shared" si="38"/>
        <v>2050</v>
      </c>
      <c r="D248" s="396">
        <f t="shared" si="36"/>
        <v>63</v>
      </c>
      <c r="E248" s="396">
        <f t="shared" si="37"/>
        <v>68.5</v>
      </c>
      <c r="F248" s="178"/>
      <c r="G248" s="178"/>
      <c r="H248" s="178"/>
      <c r="I248" s="178"/>
      <c r="J248" s="178"/>
      <c r="K248" s="178"/>
      <c r="L248" s="178"/>
      <c r="M248" s="178"/>
      <c r="N248" s="178"/>
      <c r="O248" s="178"/>
      <c r="P248" s="178"/>
      <c r="Q248" s="178"/>
      <c r="R248" s="178"/>
      <c r="S248" s="178"/>
      <c r="T248" s="178"/>
      <c r="U248" s="178"/>
      <c r="V248" s="178"/>
      <c r="W248" s="178"/>
      <c r="X248" s="178"/>
      <c r="Y248" s="178"/>
      <c r="Z248" s="178"/>
      <c r="AA248" s="178"/>
      <c r="AB248" s="178"/>
      <c r="AC248" s="178"/>
      <c r="AD248" s="178"/>
      <c r="AE248" s="178"/>
      <c r="AF248" s="178"/>
      <c r="AG248" s="178"/>
      <c r="AH248" s="178"/>
      <c r="AI248" s="178"/>
      <c r="AJ248" s="178"/>
      <c r="AK248" s="178"/>
      <c r="AL248" s="178"/>
      <c r="AM248" s="178"/>
      <c r="AN248" s="178"/>
      <c r="AO248" s="178"/>
      <c r="AP248" s="178"/>
      <c r="AQ248" s="178"/>
      <c r="AR248" s="178"/>
      <c r="AS248" s="178"/>
      <c r="AT248" s="178"/>
      <c r="AU248" s="178"/>
      <c r="AV248" s="178"/>
      <c r="AW248" s="178"/>
      <c r="AX248" s="178"/>
      <c r="AY248" s="178"/>
    </row>
    <row r="249" spans="1:51" x14ac:dyDescent="0.35">
      <c r="A249" s="178"/>
      <c r="B249" s="178"/>
      <c r="C249" s="395">
        <f t="shared" si="38"/>
        <v>2051</v>
      </c>
      <c r="D249" s="396">
        <f t="shared" si="36"/>
        <v>63</v>
      </c>
      <c r="E249" s="396">
        <f t="shared" si="37"/>
        <v>68.5</v>
      </c>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c r="AK249" s="178"/>
      <c r="AL249" s="178"/>
      <c r="AM249" s="178"/>
      <c r="AN249" s="178"/>
      <c r="AO249" s="178"/>
      <c r="AP249" s="178"/>
      <c r="AQ249" s="178"/>
      <c r="AR249" s="178"/>
      <c r="AS249" s="178"/>
      <c r="AT249" s="178"/>
      <c r="AU249" s="178"/>
      <c r="AV249" s="178"/>
      <c r="AW249" s="178"/>
      <c r="AX249" s="178"/>
      <c r="AY249" s="178"/>
    </row>
    <row r="250" spans="1:51" x14ac:dyDescent="0.35">
      <c r="A250" s="178"/>
      <c r="B250" s="178"/>
      <c r="C250" s="395">
        <f t="shared" si="38"/>
        <v>2052</v>
      </c>
      <c r="D250" s="396">
        <f t="shared" si="36"/>
        <v>63</v>
      </c>
      <c r="E250" s="396">
        <f t="shared" si="37"/>
        <v>68.5</v>
      </c>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c r="AK250" s="178"/>
      <c r="AL250" s="178"/>
      <c r="AM250" s="178"/>
      <c r="AN250" s="178"/>
      <c r="AO250" s="178"/>
      <c r="AP250" s="178"/>
      <c r="AQ250" s="178"/>
      <c r="AR250" s="178"/>
      <c r="AS250" s="178"/>
      <c r="AT250" s="178"/>
      <c r="AU250" s="178"/>
      <c r="AV250" s="178"/>
      <c r="AW250" s="178"/>
      <c r="AX250" s="178"/>
      <c r="AY250" s="178"/>
    </row>
    <row r="251" spans="1:51" x14ac:dyDescent="0.35">
      <c r="A251" s="178"/>
      <c r="B251" s="178"/>
      <c r="C251" s="395">
        <f t="shared" si="38"/>
        <v>2053</v>
      </c>
      <c r="D251" s="396">
        <f t="shared" si="36"/>
        <v>63</v>
      </c>
      <c r="E251" s="396">
        <f t="shared" si="37"/>
        <v>68.5</v>
      </c>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c r="AK251" s="178"/>
      <c r="AL251" s="178"/>
      <c r="AM251" s="178"/>
      <c r="AN251" s="178"/>
      <c r="AO251" s="178"/>
      <c r="AP251" s="178"/>
      <c r="AQ251" s="178"/>
      <c r="AR251" s="178"/>
      <c r="AS251" s="178"/>
      <c r="AT251" s="178"/>
      <c r="AU251" s="178"/>
      <c r="AV251" s="178"/>
      <c r="AW251" s="178"/>
      <c r="AX251" s="178"/>
      <c r="AY251" s="178"/>
    </row>
    <row r="252" spans="1:51" x14ac:dyDescent="0.35">
      <c r="A252" s="178"/>
      <c r="B252" s="178"/>
      <c r="C252" s="395">
        <f t="shared" si="38"/>
        <v>2054</v>
      </c>
      <c r="D252" s="396">
        <f t="shared" si="36"/>
        <v>63</v>
      </c>
      <c r="E252" s="396">
        <f t="shared" si="37"/>
        <v>68.5</v>
      </c>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c r="AK252" s="178"/>
      <c r="AL252" s="178"/>
      <c r="AM252" s="178"/>
      <c r="AN252" s="178"/>
      <c r="AO252" s="178"/>
      <c r="AP252" s="178"/>
      <c r="AQ252" s="178"/>
      <c r="AR252" s="178"/>
      <c r="AS252" s="178"/>
      <c r="AT252" s="178"/>
      <c r="AU252" s="178"/>
      <c r="AV252" s="178"/>
      <c r="AW252" s="178"/>
      <c r="AX252" s="178"/>
      <c r="AY252" s="178"/>
    </row>
    <row r="253" spans="1:51" x14ac:dyDescent="0.35">
      <c r="A253" s="178"/>
      <c r="B253" s="178"/>
      <c r="C253" s="395">
        <f t="shared" si="38"/>
        <v>2055</v>
      </c>
      <c r="D253" s="396">
        <f t="shared" si="36"/>
        <v>63</v>
      </c>
      <c r="E253" s="396">
        <f t="shared" si="37"/>
        <v>68.5</v>
      </c>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c r="AK253" s="178"/>
      <c r="AL253" s="178"/>
      <c r="AM253" s="178"/>
      <c r="AN253" s="178"/>
      <c r="AO253" s="178"/>
      <c r="AP253" s="178"/>
      <c r="AQ253" s="178"/>
      <c r="AR253" s="178"/>
      <c r="AS253" s="178"/>
      <c r="AT253" s="178"/>
      <c r="AU253" s="178"/>
      <c r="AV253" s="178"/>
      <c r="AW253" s="178"/>
      <c r="AX253" s="178"/>
      <c r="AY253" s="178"/>
    </row>
    <row r="254" spans="1:51" x14ac:dyDescent="0.35">
      <c r="A254" s="178"/>
      <c r="B254" s="178"/>
      <c r="C254" s="395">
        <f t="shared" si="38"/>
        <v>2056</v>
      </c>
      <c r="D254" s="396">
        <f t="shared" si="36"/>
        <v>63</v>
      </c>
      <c r="E254" s="396">
        <f t="shared" si="37"/>
        <v>68.5</v>
      </c>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c r="AK254" s="178"/>
      <c r="AL254" s="178"/>
      <c r="AM254" s="178"/>
      <c r="AN254" s="178"/>
      <c r="AO254" s="178"/>
      <c r="AP254" s="178"/>
      <c r="AQ254" s="178"/>
      <c r="AR254" s="178"/>
      <c r="AS254" s="178"/>
      <c r="AT254" s="178"/>
      <c r="AU254" s="178"/>
      <c r="AV254" s="178"/>
      <c r="AW254" s="178"/>
      <c r="AX254" s="178"/>
      <c r="AY254" s="178"/>
    </row>
    <row r="255" spans="1:51" x14ac:dyDescent="0.35">
      <c r="A255" s="178"/>
      <c r="B255" s="178"/>
      <c r="C255" s="395">
        <f t="shared" si="38"/>
        <v>2057</v>
      </c>
      <c r="D255" s="396">
        <f t="shared" si="36"/>
        <v>63</v>
      </c>
      <c r="E255" s="396">
        <f t="shared" si="37"/>
        <v>68.5</v>
      </c>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c r="AK255" s="178"/>
      <c r="AL255" s="178"/>
      <c r="AM255" s="178"/>
      <c r="AN255" s="178"/>
      <c r="AO255" s="178"/>
      <c r="AP255" s="178"/>
      <c r="AQ255" s="178"/>
      <c r="AR255" s="178"/>
      <c r="AS255" s="178"/>
      <c r="AT255" s="178"/>
      <c r="AU255" s="178"/>
      <c r="AV255" s="178"/>
      <c r="AW255" s="178"/>
      <c r="AX255" s="178"/>
      <c r="AY255" s="178"/>
    </row>
    <row r="256" spans="1:51" x14ac:dyDescent="0.35">
      <c r="A256" s="178"/>
      <c r="B256" s="178"/>
      <c r="C256" s="395">
        <f t="shared" si="38"/>
        <v>2058</v>
      </c>
      <c r="D256" s="396">
        <f t="shared" si="36"/>
        <v>63</v>
      </c>
      <c r="E256" s="396">
        <f t="shared" si="37"/>
        <v>68.5</v>
      </c>
      <c r="F256" s="178"/>
      <c r="G256" s="178"/>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c r="AK256" s="178"/>
      <c r="AL256" s="178"/>
      <c r="AM256" s="178"/>
      <c r="AN256" s="178"/>
      <c r="AO256" s="178"/>
      <c r="AP256" s="178"/>
      <c r="AQ256" s="178"/>
      <c r="AR256" s="178"/>
      <c r="AS256" s="178"/>
      <c r="AT256" s="178"/>
      <c r="AU256" s="178"/>
      <c r="AV256" s="178"/>
      <c r="AW256" s="178"/>
      <c r="AX256" s="178"/>
      <c r="AY256" s="178"/>
    </row>
    <row r="257" spans="1:51" x14ac:dyDescent="0.35">
      <c r="A257" s="178"/>
      <c r="B257" s="178"/>
      <c r="C257" s="395">
        <f t="shared" si="38"/>
        <v>2059</v>
      </c>
      <c r="D257" s="396">
        <f t="shared" si="36"/>
        <v>63</v>
      </c>
      <c r="E257" s="396">
        <f t="shared" si="37"/>
        <v>68.5</v>
      </c>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c r="AK257" s="178"/>
      <c r="AL257" s="178"/>
      <c r="AM257" s="178"/>
      <c r="AN257" s="178"/>
      <c r="AO257" s="178"/>
      <c r="AP257" s="178"/>
      <c r="AQ257" s="178"/>
      <c r="AR257" s="178"/>
      <c r="AS257" s="178"/>
      <c r="AT257" s="178"/>
      <c r="AU257" s="178"/>
      <c r="AV257" s="178"/>
      <c r="AW257" s="178"/>
      <c r="AX257" s="178"/>
      <c r="AY257" s="178"/>
    </row>
    <row r="258" spans="1:51" x14ac:dyDescent="0.35">
      <c r="A258" s="178"/>
      <c r="B258" s="178"/>
      <c r="C258" s="395">
        <f t="shared" si="38"/>
        <v>2060</v>
      </c>
      <c r="D258" s="396">
        <f t="shared" si="36"/>
        <v>63</v>
      </c>
      <c r="E258" s="396">
        <f t="shared" si="37"/>
        <v>68.5</v>
      </c>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c r="AK258" s="178"/>
      <c r="AL258" s="178"/>
      <c r="AM258" s="178"/>
      <c r="AN258" s="178"/>
      <c r="AO258" s="178"/>
      <c r="AP258" s="178"/>
      <c r="AQ258" s="178"/>
      <c r="AR258" s="178"/>
      <c r="AS258" s="178"/>
      <c r="AT258" s="178"/>
      <c r="AU258" s="178"/>
      <c r="AV258" s="178"/>
      <c r="AW258" s="178"/>
      <c r="AX258" s="178"/>
      <c r="AY258" s="178"/>
    </row>
    <row r="259" spans="1:51" x14ac:dyDescent="0.35">
      <c r="A259" s="178"/>
      <c r="B259" s="178"/>
      <c r="C259" s="395">
        <f t="shared" si="38"/>
        <v>2061</v>
      </c>
      <c r="D259" s="396">
        <f t="shared" si="36"/>
        <v>63</v>
      </c>
      <c r="E259" s="396">
        <f t="shared" si="37"/>
        <v>68.5</v>
      </c>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c r="AK259" s="178"/>
      <c r="AL259" s="178"/>
      <c r="AM259" s="178"/>
      <c r="AN259" s="178"/>
      <c r="AO259" s="178"/>
      <c r="AP259" s="178"/>
      <c r="AQ259" s="178"/>
      <c r="AR259" s="178"/>
      <c r="AS259" s="178"/>
      <c r="AT259" s="178"/>
      <c r="AU259" s="178"/>
      <c r="AV259" s="178"/>
      <c r="AW259" s="178"/>
      <c r="AX259" s="178"/>
      <c r="AY259" s="178"/>
    </row>
    <row r="260" spans="1:51" x14ac:dyDescent="0.35">
      <c r="A260" s="178"/>
      <c r="B260" s="178"/>
      <c r="C260" s="395">
        <f t="shared" si="38"/>
        <v>2062</v>
      </c>
      <c r="D260" s="396">
        <f t="shared" si="36"/>
        <v>63</v>
      </c>
      <c r="E260" s="396">
        <f t="shared" si="37"/>
        <v>68.5</v>
      </c>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c r="AK260" s="178"/>
      <c r="AL260" s="178"/>
      <c r="AM260" s="178"/>
      <c r="AN260" s="178"/>
      <c r="AO260" s="178"/>
      <c r="AP260" s="178"/>
      <c r="AQ260" s="178"/>
      <c r="AR260" s="178"/>
      <c r="AS260" s="178"/>
      <c r="AT260" s="178"/>
      <c r="AU260" s="178"/>
      <c r="AV260" s="178"/>
      <c r="AW260" s="178"/>
      <c r="AX260" s="178"/>
      <c r="AY260" s="178"/>
    </row>
    <row r="261" spans="1:51" x14ac:dyDescent="0.35">
      <c r="A261" s="178"/>
      <c r="B261" s="178"/>
      <c r="C261" s="395">
        <f t="shared" si="38"/>
        <v>2063</v>
      </c>
      <c r="D261" s="396">
        <f t="shared" si="36"/>
        <v>63</v>
      </c>
      <c r="E261" s="396">
        <f t="shared" si="37"/>
        <v>68.5</v>
      </c>
      <c r="F261" s="178"/>
      <c r="G261" s="178"/>
      <c r="H261" s="178"/>
      <c r="I261" s="178"/>
      <c r="J261" s="178"/>
      <c r="K261" s="178"/>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c r="AK261" s="178"/>
      <c r="AL261" s="178"/>
      <c r="AM261" s="178"/>
      <c r="AN261" s="178"/>
      <c r="AO261" s="178"/>
      <c r="AP261" s="178"/>
      <c r="AQ261" s="178"/>
      <c r="AR261" s="178"/>
      <c r="AS261" s="178"/>
      <c r="AT261" s="178"/>
      <c r="AU261" s="178"/>
      <c r="AV261" s="178"/>
      <c r="AW261" s="178"/>
      <c r="AX261" s="178"/>
      <c r="AY261" s="178"/>
    </row>
    <row r="262" spans="1:51" x14ac:dyDescent="0.35">
      <c r="A262" s="178"/>
      <c r="B262" s="178"/>
      <c r="C262" s="395">
        <f t="shared" si="38"/>
        <v>2064</v>
      </c>
      <c r="D262" s="396">
        <f t="shared" si="36"/>
        <v>63</v>
      </c>
      <c r="E262" s="396">
        <f t="shared" si="37"/>
        <v>68.5</v>
      </c>
      <c r="F262" s="178"/>
      <c r="G262" s="178"/>
      <c r="H262" s="178"/>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c r="AK262" s="178"/>
      <c r="AL262" s="178"/>
      <c r="AM262" s="178"/>
      <c r="AN262" s="178"/>
      <c r="AO262" s="178"/>
      <c r="AP262" s="178"/>
      <c r="AQ262" s="178"/>
      <c r="AR262" s="178"/>
      <c r="AS262" s="178"/>
      <c r="AT262" s="178"/>
      <c r="AU262" s="178"/>
      <c r="AV262" s="178"/>
      <c r="AW262" s="178"/>
      <c r="AX262" s="178"/>
      <c r="AY262" s="178"/>
    </row>
    <row r="263" spans="1:51" x14ac:dyDescent="0.35">
      <c r="A263" s="178"/>
      <c r="B263" s="178"/>
      <c r="C263" s="395">
        <f t="shared" si="38"/>
        <v>2065</v>
      </c>
      <c r="D263" s="396">
        <f t="shared" si="36"/>
        <v>63</v>
      </c>
      <c r="E263" s="396">
        <f t="shared" si="37"/>
        <v>68.5</v>
      </c>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c r="AK263" s="178"/>
      <c r="AL263" s="178"/>
      <c r="AM263" s="178"/>
      <c r="AN263" s="178"/>
      <c r="AO263" s="178"/>
      <c r="AP263" s="178"/>
      <c r="AQ263" s="178"/>
      <c r="AR263" s="178"/>
      <c r="AS263" s="178"/>
      <c r="AT263" s="178"/>
      <c r="AU263" s="178"/>
      <c r="AV263" s="178"/>
      <c r="AW263" s="178"/>
      <c r="AX263" s="178"/>
      <c r="AY263" s="178"/>
    </row>
    <row r="264" spans="1:51" x14ac:dyDescent="0.35">
      <c r="A264" s="178"/>
      <c r="B264" s="178"/>
      <c r="C264" s="395">
        <f t="shared" si="38"/>
        <v>2066</v>
      </c>
      <c r="D264" s="396">
        <f t="shared" si="36"/>
        <v>63</v>
      </c>
      <c r="E264" s="396">
        <f t="shared" si="37"/>
        <v>68.5</v>
      </c>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c r="AK264" s="178"/>
      <c r="AL264" s="178"/>
      <c r="AM264" s="178"/>
      <c r="AN264" s="178"/>
      <c r="AO264" s="178"/>
      <c r="AP264" s="178"/>
      <c r="AQ264" s="178"/>
      <c r="AR264" s="178"/>
      <c r="AS264" s="178"/>
      <c r="AT264" s="178"/>
      <c r="AU264" s="178"/>
      <c r="AV264" s="178"/>
      <c r="AW264" s="178"/>
      <c r="AX264" s="178"/>
      <c r="AY264" s="178"/>
    </row>
    <row r="265" spans="1:51" x14ac:dyDescent="0.35">
      <c r="A265" s="178"/>
      <c r="B265" s="178"/>
      <c r="C265" s="395">
        <f>C264+1</f>
        <v>2067</v>
      </c>
      <c r="D265" s="396">
        <f t="shared" si="36"/>
        <v>63</v>
      </c>
      <c r="E265" s="396">
        <f t="shared" si="37"/>
        <v>68.5</v>
      </c>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c r="AK265" s="178"/>
      <c r="AL265" s="178"/>
      <c r="AM265" s="178"/>
      <c r="AN265" s="178"/>
      <c r="AO265" s="178"/>
      <c r="AP265" s="178"/>
      <c r="AQ265" s="178"/>
      <c r="AR265" s="178"/>
      <c r="AS265" s="178"/>
      <c r="AT265" s="178"/>
      <c r="AU265" s="178"/>
      <c r="AV265" s="178"/>
      <c r="AW265" s="178"/>
      <c r="AX265" s="178"/>
      <c r="AY265" s="178"/>
    </row>
    <row r="266" spans="1:51" x14ac:dyDescent="0.35">
      <c r="A266" s="178"/>
      <c r="B266" s="178"/>
      <c r="C266" s="398">
        <f>C265+1</f>
        <v>2068</v>
      </c>
      <c r="D266" s="400">
        <f t="shared" si="36"/>
        <v>63</v>
      </c>
      <c r="E266" s="400">
        <f t="shared" si="37"/>
        <v>68.5</v>
      </c>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c r="AK266" s="178"/>
      <c r="AL266" s="178"/>
      <c r="AM266" s="178"/>
      <c r="AN266" s="178"/>
      <c r="AO266" s="178"/>
      <c r="AP266" s="178"/>
      <c r="AQ266" s="178"/>
      <c r="AR266" s="178"/>
      <c r="AS266" s="178"/>
      <c r="AT266" s="178"/>
      <c r="AU266" s="178"/>
      <c r="AV266" s="178"/>
      <c r="AW266" s="178"/>
      <c r="AX266" s="178"/>
      <c r="AY266" s="178"/>
    </row>
    <row r="267" spans="1:51" s="178" customFormat="1" x14ac:dyDescent="0.35"/>
    <row r="269" spans="1:51" hidden="1" x14ac:dyDescent="0.35">
      <c r="C269" s="679" t="str">
        <f>C420</f>
        <v>Arterial Roadway Class I with 45 MPH to 35 MPH Free-Flow Speed</v>
      </c>
      <c r="D269" s="679"/>
      <c r="E269" s="679"/>
      <c r="F269" s="679"/>
    </row>
    <row r="270" spans="1:51" hidden="1" x14ac:dyDescent="0.35">
      <c r="C270" s="178"/>
      <c r="D270" s="178"/>
      <c r="E270" s="178"/>
      <c r="F270" s="178"/>
    </row>
    <row r="271" spans="1:51" hidden="1" x14ac:dyDescent="0.35">
      <c r="C271" s="479" t="s">
        <v>1092</v>
      </c>
      <c r="D271" s="681" t="s">
        <v>1093</v>
      </c>
      <c r="E271" s="682"/>
      <c r="F271" s="416" t="s">
        <v>1094</v>
      </c>
    </row>
    <row r="272" spans="1:51" hidden="1" x14ac:dyDescent="0.35">
      <c r="C272" s="480" t="s">
        <v>1095</v>
      </c>
      <c r="D272" s="485">
        <v>0</v>
      </c>
      <c r="E272" s="394">
        <v>0.6</v>
      </c>
      <c r="F272" s="283">
        <v>35</v>
      </c>
    </row>
    <row r="273" spans="3:6" hidden="1" x14ac:dyDescent="0.35">
      <c r="C273" s="480" t="s">
        <v>1096</v>
      </c>
      <c r="D273" s="394">
        <v>0.6</v>
      </c>
      <c r="E273" s="394">
        <v>0.7</v>
      </c>
      <c r="F273" s="283">
        <v>28</v>
      </c>
    </row>
    <row r="274" spans="3:6" hidden="1" x14ac:dyDescent="0.35">
      <c r="C274" s="480" t="s">
        <v>1036</v>
      </c>
      <c r="D274" s="394">
        <v>0.7</v>
      </c>
      <c r="E274" s="394">
        <v>0.8</v>
      </c>
      <c r="F274" s="283">
        <v>22</v>
      </c>
    </row>
    <row r="275" spans="3:6" hidden="1" x14ac:dyDescent="0.35">
      <c r="C275" s="480" t="s">
        <v>1006</v>
      </c>
      <c r="D275" s="394">
        <v>0.8</v>
      </c>
      <c r="E275" s="394">
        <v>0.9</v>
      </c>
      <c r="F275" s="283">
        <v>17</v>
      </c>
    </row>
    <row r="276" spans="3:6" hidden="1" x14ac:dyDescent="0.35">
      <c r="C276" s="480" t="s">
        <v>1097</v>
      </c>
      <c r="D276" s="394">
        <v>0.9</v>
      </c>
      <c r="E276" s="394">
        <v>1</v>
      </c>
      <c r="F276" s="283">
        <v>13</v>
      </c>
    </row>
    <row r="277" spans="3:6" hidden="1" x14ac:dyDescent="0.35">
      <c r="C277" s="480" t="s">
        <v>1007</v>
      </c>
      <c r="D277" s="394">
        <v>1</v>
      </c>
      <c r="E277" s="394"/>
      <c r="F277" s="283">
        <v>8</v>
      </c>
    </row>
    <row r="278" spans="3:6" hidden="1" x14ac:dyDescent="0.35">
      <c r="C278" s="482"/>
      <c r="D278" s="483"/>
      <c r="E278" s="484"/>
      <c r="F278" s="178"/>
    </row>
    <row r="279" spans="3:6" hidden="1" x14ac:dyDescent="0.35">
      <c r="C279" s="679" t="str">
        <f>C421</f>
        <v>Arterial Roadway Class II with 35 MPH to 30 MPH Free-Flow Speed</v>
      </c>
      <c r="D279" s="679"/>
      <c r="E279" s="679"/>
      <c r="F279" s="679"/>
    </row>
    <row r="280" spans="3:6" hidden="1" x14ac:dyDescent="0.35">
      <c r="C280" s="178"/>
      <c r="D280" s="178"/>
      <c r="E280" s="178"/>
      <c r="F280" s="178"/>
    </row>
    <row r="281" spans="3:6" hidden="1" x14ac:dyDescent="0.35">
      <c r="C281" s="479" t="s">
        <v>1092</v>
      </c>
      <c r="D281" s="681" t="s">
        <v>1093</v>
      </c>
      <c r="E281" s="682"/>
      <c r="F281" s="416" t="s">
        <v>1094</v>
      </c>
    </row>
    <row r="282" spans="3:6" hidden="1" x14ac:dyDescent="0.35">
      <c r="C282" s="480" t="s">
        <v>1095</v>
      </c>
      <c r="D282" s="485">
        <v>0</v>
      </c>
      <c r="E282" s="394">
        <v>0.03</v>
      </c>
      <c r="F282" s="283">
        <v>30</v>
      </c>
    </row>
    <row r="283" spans="3:6" hidden="1" x14ac:dyDescent="0.35">
      <c r="C283" s="480" t="s">
        <v>1096</v>
      </c>
      <c r="D283" s="394">
        <v>0.03</v>
      </c>
      <c r="E283" s="394">
        <v>0.13</v>
      </c>
      <c r="F283" s="283">
        <v>24</v>
      </c>
    </row>
    <row r="284" spans="3:6" hidden="1" x14ac:dyDescent="0.35">
      <c r="C284" s="480" t="s">
        <v>1036</v>
      </c>
      <c r="D284" s="394">
        <v>0.13</v>
      </c>
      <c r="E284" s="394">
        <v>0.28000000000000003</v>
      </c>
      <c r="F284" s="283">
        <v>18</v>
      </c>
    </row>
    <row r="285" spans="3:6" hidden="1" x14ac:dyDescent="0.35">
      <c r="C285" s="480" t="s">
        <v>1006</v>
      </c>
      <c r="D285" s="394">
        <v>0.28000000000000003</v>
      </c>
      <c r="E285" s="394">
        <v>0.43</v>
      </c>
      <c r="F285" s="283">
        <v>14</v>
      </c>
    </row>
    <row r="286" spans="3:6" hidden="1" x14ac:dyDescent="0.35">
      <c r="C286" s="480" t="s">
        <v>1097</v>
      </c>
      <c r="D286" s="394">
        <v>0.43</v>
      </c>
      <c r="E286" s="394">
        <v>0.9</v>
      </c>
      <c r="F286" s="283">
        <v>10</v>
      </c>
    </row>
    <row r="287" spans="3:6" hidden="1" x14ac:dyDescent="0.35">
      <c r="C287" s="480" t="s">
        <v>1007</v>
      </c>
      <c r="D287" s="394">
        <v>0.9</v>
      </c>
      <c r="E287" s="394"/>
      <c r="F287" s="283">
        <v>5</v>
      </c>
    </row>
    <row r="288" spans="3:6" hidden="1" x14ac:dyDescent="0.35">
      <c r="C288" s="178"/>
      <c r="D288" s="178"/>
      <c r="E288" s="178"/>
      <c r="F288" s="178"/>
    </row>
    <row r="289" spans="3:6" hidden="1" x14ac:dyDescent="0.35">
      <c r="C289" s="679" t="str">
        <f>C422</f>
        <v>Arterial Roadway Class III with 35 MPH to 25 MPH Free-Flow Speed</v>
      </c>
      <c r="D289" s="679"/>
      <c r="E289" s="679"/>
      <c r="F289" s="679"/>
    </row>
    <row r="290" spans="3:6" hidden="1" x14ac:dyDescent="0.35">
      <c r="C290" s="178"/>
      <c r="D290" s="178"/>
      <c r="E290" s="178"/>
      <c r="F290" s="178"/>
    </row>
    <row r="291" spans="3:6" hidden="1" x14ac:dyDescent="0.35">
      <c r="C291" s="479" t="s">
        <v>1092</v>
      </c>
      <c r="D291" s="681" t="s">
        <v>1093</v>
      </c>
      <c r="E291" s="682"/>
      <c r="F291" s="416" t="s">
        <v>1094</v>
      </c>
    </row>
    <row r="292" spans="3:6" hidden="1" x14ac:dyDescent="0.35">
      <c r="C292" s="480" t="s">
        <v>1095</v>
      </c>
      <c r="D292" s="485">
        <v>0</v>
      </c>
      <c r="E292" s="394">
        <v>0.01</v>
      </c>
      <c r="F292" s="283">
        <v>25</v>
      </c>
    </row>
    <row r="293" spans="3:6" hidden="1" x14ac:dyDescent="0.35">
      <c r="C293" s="480" t="s">
        <v>1096</v>
      </c>
      <c r="D293" s="394">
        <v>0.01</v>
      </c>
      <c r="E293" s="394">
        <v>0.1</v>
      </c>
      <c r="F293" s="283">
        <v>19</v>
      </c>
    </row>
    <row r="294" spans="3:6" hidden="1" x14ac:dyDescent="0.35">
      <c r="C294" s="480" t="s">
        <v>1036</v>
      </c>
      <c r="D294" s="394">
        <v>0.1</v>
      </c>
      <c r="E294" s="394">
        <v>0.16</v>
      </c>
      <c r="F294" s="283">
        <v>13</v>
      </c>
    </row>
    <row r="295" spans="3:6" hidden="1" x14ac:dyDescent="0.35">
      <c r="C295" s="480" t="s">
        <v>1006</v>
      </c>
      <c r="D295" s="394">
        <v>0.16</v>
      </c>
      <c r="E295" s="394">
        <v>0.33</v>
      </c>
      <c r="F295" s="283">
        <v>9</v>
      </c>
    </row>
    <row r="296" spans="3:6" hidden="1" x14ac:dyDescent="0.35">
      <c r="C296" s="480" t="s">
        <v>1097</v>
      </c>
      <c r="D296" s="394">
        <v>0.33</v>
      </c>
      <c r="E296" s="394">
        <v>0.78</v>
      </c>
      <c r="F296" s="283">
        <v>7</v>
      </c>
    </row>
    <row r="297" spans="3:6" hidden="1" x14ac:dyDescent="0.35">
      <c r="C297" s="480" t="s">
        <v>1007</v>
      </c>
      <c r="D297" s="394">
        <v>0.78</v>
      </c>
      <c r="E297" s="394"/>
      <c r="F297" s="283">
        <v>4</v>
      </c>
    </row>
    <row r="298" spans="3:6" hidden="1" x14ac:dyDescent="0.35">
      <c r="C298" s="178"/>
      <c r="D298" s="178"/>
      <c r="E298" s="178"/>
      <c r="F298" s="178"/>
    </row>
    <row r="299" spans="3:6" hidden="1" x14ac:dyDescent="0.35">
      <c r="C299" s="679" t="str">
        <f>C423</f>
        <v>Two-Lane Highway with 50 MPH Free-Flow Speed (Level Terrain, 60% No Pass Zone)</v>
      </c>
      <c r="D299" s="679"/>
      <c r="E299" s="679"/>
      <c r="F299" s="679"/>
    </row>
    <row r="300" spans="3:6" hidden="1" x14ac:dyDescent="0.35">
      <c r="C300" s="178"/>
      <c r="D300" s="178"/>
      <c r="E300" s="178"/>
      <c r="F300" s="178"/>
    </row>
    <row r="301" spans="3:6" hidden="1" x14ac:dyDescent="0.35">
      <c r="C301" s="479" t="s">
        <v>1092</v>
      </c>
      <c r="D301" s="681" t="s">
        <v>1093</v>
      </c>
      <c r="E301" s="682"/>
      <c r="F301" s="416" t="s">
        <v>1094</v>
      </c>
    </row>
    <row r="302" spans="3:6" hidden="1" x14ac:dyDescent="0.35">
      <c r="C302" s="480" t="s">
        <v>1095</v>
      </c>
      <c r="D302" s="485">
        <v>0</v>
      </c>
      <c r="E302" s="394">
        <v>7.0000000000000007E-2</v>
      </c>
      <c r="F302" s="283">
        <v>58</v>
      </c>
    </row>
    <row r="303" spans="3:6" hidden="1" x14ac:dyDescent="0.35">
      <c r="C303" s="480" t="s">
        <v>1096</v>
      </c>
      <c r="D303" s="394">
        <v>7.0000000000000007E-2</v>
      </c>
      <c r="E303" s="394">
        <v>0.19</v>
      </c>
      <c r="F303" s="283">
        <v>55</v>
      </c>
    </row>
    <row r="304" spans="3:6" hidden="1" x14ac:dyDescent="0.35">
      <c r="C304" s="480" t="s">
        <v>1036</v>
      </c>
      <c r="D304" s="394">
        <v>0.19</v>
      </c>
      <c r="E304" s="394">
        <v>0.34</v>
      </c>
      <c r="F304" s="283">
        <v>52</v>
      </c>
    </row>
    <row r="305" spans="3:6" hidden="1" x14ac:dyDescent="0.35">
      <c r="C305" s="480" t="s">
        <v>1006</v>
      </c>
      <c r="D305" s="394">
        <v>0.34</v>
      </c>
      <c r="E305" s="394">
        <v>0.59</v>
      </c>
      <c r="F305" s="283">
        <v>50</v>
      </c>
    </row>
    <row r="306" spans="3:6" hidden="1" x14ac:dyDescent="0.35">
      <c r="C306" s="480" t="s">
        <v>1097</v>
      </c>
      <c r="D306" s="394">
        <v>0.59</v>
      </c>
      <c r="E306" s="394">
        <v>1</v>
      </c>
      <c r="F306" s="283">
        <v>45</v>
      </c>
    </row>
    <row r="307" spans="3:6" hidden="1" x14ac:dyDescent="0.35">
      <c r="C307" s="480" t="s">
        <v>1007</v>
      </c>
      <c r="D307" s="485">
        <v>1</v>
      </c>
      <c r="E307" s="394"/>
      <c r="F307" s="283">
        <v>45</v>
      </c>
    </row>
    <row r="309" spans="3:6" hidden="1" x14ac:dyDescent="0.35">
      <c r="C309" s="679" t="str">
        <f>C424</f>
        <v>Two-Lane Highway with 50 MPH Free-Flow Speed (Rolling Terrain, 60% No Pass Zone)</v>
      </c>
      <c r="D309" s="679"/>
      <c r="E309" s="679"/>
      <c r="F309" s="679"/>
    </row>
    <row r="310" spans="3:6" hidden="1" x14ac:dyDescent="0.35">
      <c r="C310" s="178"/>
      <c r="D310" s="178"/>
      <c r="E310" s="178"/>
      <c r="F310" s="178"/>
    </row>
    <row r="311" spans="3:6" hidden="1" x14ac:dyDescent="0.35">
      <c r="C311" s="479" t="s">
        <v>1092</v>
      </c>
      <c r="D311" s="681" t="s">
        <v>1093</v>
      </c>
      <c r="E311" s="682"/>
      <c r="F311" s="416" t="s">
        <v>1094</v>
      </c>
    </row>
    <row r="312" spans="3:6" hidden="1" x14ac:dyDescent="0.35">
      <c r="C312" s="480" t="s">
        <v>1095</v>
      </c>
      <c r="D312" s="485">
        <v>0</v>
      </c>
      <c r="E312" s="394">
        <v>0.05</v>
      </c>
      <c r="F312" s="283">
        <v>57</v>
      </c>
    </row>
    <row r="313" spans="3:6" hidden="1" x14ac:dyDescent="0.35">
      <c r="C313" s="480" t="s">
        <v>1096</v>
      </c>
      <c r="D313" s="394">
        <v>0.05</v>
      </c>
      <c r="E313" s="394">
        <v>0.17</v>
      </c>
      <c r="F313" s="283">
        <v>54</v>
      </c>
    </row>
    <row r="314" spans="3:6" hidden="1" x14ac:dyDescent="0.35">
      <c r="C314" s="480" t="s">
        <v>1036</v>
      </c>
      <c r="D314" s="394">
        <v>0.17</v>
      </c>
      <c r="E314" s="394">
        <v>0.32</v>
      </c>
      <c r="F314" s="283">
        <v>51</v>
      </c>
    </row>
    <row r="315" spans="3:6" hidden="1" x14ac:dyDescent="0.35">
      <c r="C315" s="480" t="s">
        <v>1006</v>
      </c>
      <c r="D315" s="394">
        <v>0.32</v>
      </c>
      <c r="E315" s="394">
        <v>0.48</v>
      </c>
      <c r="F315" s="283">
        <v>49</v>
      </c>
    </row>
    <row r="316" spans="3:6" hidden="1" x14ac:dyDescent="0.35">
      <c r="C316" s="480" t="s">
        <v>1097</v>
      </c>
      <c r="D316" s="394">
        <v>0.48</v>
      </c>
      <c r="E316" s="394">
        <v>0.91</v>
      </c>
      <c r="F316" s="283">
        <v>40</v>
      </c>
    </row>
    <row r="317" spans="3:6" hidden="1" x14ac:dyDescent="0.35">
      <c r="C317" s="480" t="s">
        <v>1007</v>
      </c>
      <c r="D317" s="394">
        <v>0.91</v>
      </c>
      <c r="E317" s="394"/>
      <c r="F317" s="283">
        <v>40</v>
      </c>
    </row>
    <row r="318" spans="3:6" hidden="1" x14ac:dyDescent="0.35">
      <c r="C318" s="178"/>
      <c r="D318" s="178"/>
      <c r="E318" s="178"/>
      <c r="F318" s="178"/>
    </row>
    <row r="319" spans="3:6" hidden="1" x14ac:dyDescent="0.35">
      <c r="C319" s="419" t="str">
        <f>C425</f>
        <v>Two-Lane Highway with 50 MPH Free-Flow Speed (Mountainous Terrain, 60% No Pass Zone)</v>
      </c>
      <c r="D319" s="419"/>
      <c r="E319" s="419"/>
      <c r="F319" s="419"/>
    </row>
    <row r="320" spans="3:6" hidden="1" x14ac:dyDescent="0.35">
      <c r="C320" s="178"/>
      <c r="D320" s="178"/>
      <c r="E320" s="178"/>
      <c r="F320" s="178"/>
    </row>
    <row r="321" spans="3:6" hidden="1" x14ac:dyDescent="0.35">
      <c r="C321" s="479" t="s">
        <v>1092</v>
      </c>
      <c r="D321" s="681" t="s">
        <v>1093</v>
      </c>
      <c r="E321" s="682"/>
      <c r="F321" s="416" t="s">
        <v>1094</v>
      </c>
    </row>
    <row r="322" spans="3:6" hidden="1" x14ac:dyDescent="0.35">
      <c r="C322" s="480" t="s">
        <v>1095</v>
      </c>
      <c r="D322" s="485">
        <v>0</v>
      </c>
      <c r="E322" s="394">
        <v>0.04</v>
      </c>
      <c r="F322" s="283">
        <v>56</v>
      </c>
    </row>
    <row r="323" spans="3:6" hidden="1" x14ac:dyDescent="0.35">
      <c r="C323" s="480" t="s">
        <v>1096</v>
      </c>
      <c r="D323" s="394">
        <v>0.04</v>
      </c>
      <c r="E323" s="394">
        <v>0.13</v>
      </c>
      <c r="F323" s="283">
        <v>54</v>
      </c>
    </row>
    <row r="324" spans="3:6" hidden="1" x14ac:dyDescent="0.35">
      <c r="C324" s="480" t="s">
        <v>1036</v>
      </c>
      <c r="D324" s="394">
        <v>0.13</v>
      </c>
      <c r="E324" s="394">
        <v>0.23</v>
      </c>
      <c r="F324" s="283">
        <v>49</v>
      </c>
    </row>
    <row r="325" spans="3:6" hidden="1" x14ac:dyDescent="0.35">
      <c r="C325" s="480" t="s">
        <v>1006</v>
      </c>
      <c r="D325" s="394">
        <v>0.23</v>
      </c>
      <c r="E325" s="394">
        <v>0.4</v>
      </c>
      <c r="F325" s="283">
        <v>45</v>
      </c>
    </row>
    <row r="326" spans="3:6" hidden="1" x14ac:dyDescent="0.35">
      <c r="C326" s="480" t="s">
        <v>1097</v>
      </c>
      <c r="D326" s="394">
        <v>0.4</v>
      </c>
      <c r="E326" s="394">
        <v>0.82</v>
      </c>
      <c r="F326" s="283">
        <v>35</v>
      </c>
    </row>
    <row r="327" spans="3:6" hidden="1" x14ac:dyDescent="0.35">
      <c r="C327" s="480" t="s">
        <v>1007</v>
      </c>
      <c r="D327" s="394">
        <v>0.82</v>
      </c>
      <c r="E327" s="394"/>
      <c r="F327" s="283">
        <v>35</v>
      </c>
    </row>
    <row r="328" spans="3:6" hidden="1" x14ac:dyDescent="0.35">
      <c r="C328" s="178"/>
      <c r="D328" s="178"/>
      <c r="E328" s="178"/>
      <c r="F328" s="178"/>
    </row>
    <row r="329" spans="3:6" hidden="1" x14ac:dyDescent="0.35">
      <c r="C329" s="678" t="str">
        <f>C426</f>
        <v>Multilane Highway with 60 MPH Free-Flow Speed</v>
      </c>
      <c r="D329" s="678"/>
      <c r="E329" s="678"/>
      <c r="F329" s="678"/>
    </row>
    <row r="330" spans="3:6" hidden="1" x14ac:dyDescent="0.35">
      <c r="C330" s="178"/>
      <c r="D330" s="178"/>
      <c r="E330" s="178"/>
      <c r="F330" s="178"/>
    </row>
    <row r="331" spans="3:6" hidden="1" x14ac:dyDescent="0.35">
      <c r="C331" s="479" t="s">
        <v>1092</v>
      </c>
      <c r="D331" s="681" t="s">
        <v>1093</v>
      </c>
      <c r="E331" s="682"/>
      <c r="F331" s="416" t="s">
        <v>1094</v>
      </c>
    </row>
    <row r="332" spans="3:6" hidden="1" x14ac:dyDescent="0.35">
      <c r="C332" s="480" t="s">
        <v>1095</v>
      </c>
      <c r="D332" s="485">
        <v>0</v>
      </c>
      <c r="E332" s="394">
        <v>0.33</v>
      </c>
      <c r="F332" s="283">
        <v>60</v>
      </c>
    </row>
    <row r="333" spans="3:6" hidden="1" x14ac:dyDescent="0.35">
      <c r="C333" s="480" t="s">
        <v>1096</v>
      </c>
      <c r="D333" s="394">
        <v>0.33</v>
      </c>
      <c r="E333" s="394">
        <v>0.55000000000000004</v>
      </c>
      <c r="F333" s="283">
        <v>60</v>
      </c>
    </row>
    <row r="334" spans="3:6" hidden="1" x14ac:dyDescent="0.35">
      <c r="C334" s="480" t="s">
        <v>1036</v>
      </c>
      <c r="D334" s="394">
        <v>0.55000000000000004</v>
      </c>
      <c r="E334" s="394">
        <v>0.75</v>
      </c>
      <c r="F334" s="283">
        <v>59</v>
      </c>
    </row>
    <row r="335" spans="3:6" hidden="1" x14ac:dyDescent="0.35">
      <c r="C335" s="480" t="s">
        <v>1006</v>
      </c>
      <c r="D335" s="394">
        <v>0.75</v>
      </c>
      <c r="E335" s="394">
        <v>0.89</v>
      </c>
      <c r="F335" s="283">
        <v>51</v>
      </c>
    </row>
    <row r="336" spans="3:6" hidden="1" x14ac:dyDescent="0.35">
      <c r="C336" s="480" t="s">
        <v>1097</v>
      </c>
      <c r="D336" s="394">
        <v>0.89</v>
      </c>
      <c r="E336" s="394">
        <v>1</v>
      </c>
      <c r="F336" s="283">
        <v>55</v>
      </c>
    </row>
    <row r="337" spans="3:6" hidden="1" x14ac:dyDescent="0.35">
      <c r="C337" s="480" t="s">
        <v>1007</v>
      </c>
      <c r="D337" s="394">
        <v>1</v>
      </c>
      <c r="E337" s="394"/>
      <c r="F337" s="283">
        <v>50</v>
      </c>
    </row>
    <row r="338" spans="3:6" hidden="1" x14ac:dyDescent="0.35">
      <c r="C338" s="178"/>
      <c r="D338" s="178"/>
      <c r="E338" s="178"/>
      <c r="F338" s="178"/>
    </row>
    <row r="339" spans="3:6" hidden="1" x14ac:dyDescent="0.35">
      <c r="C339" s="678" t="str">
        <f>C427</f>
        <v>Multilane Highway with 55 MPH Free-Flow Speed</v>
      </c>
      <c r="D339" s="678"/>
      <c r="E339" s="678"/>
      <c r="F339" s="678"/>
    </row>
    <row r="341" spans="3:6" hidden="1" x14ac:dyDescent="0.35">
      <c r="C341" s="479" t="s">
        <v>1092</v>
      </c>
      <c r="D341" s="681" t="s">
        <v>1093</v>
      </c>
      <c r="E341" s="682"/>
      <c r="F341" s="416" t="s">
        <v>1094</v>
      </c>
    </row>
    <row r="342" spans="3:6" hidden="1" x14ac:dyDescent="0.35">
      <c r="C342" s="480" t="s">
        <v>1095</v>
      </c>
      <c r="D342" s="485">
        <v>0</v>
      </c>
      <c r="E342" s="394">
        <v>0.31</v>
      </c>
      <c r="F342" s="283">
        <v>55</v>
      </c>
    </row>
    <row r="343" spans="3:6" hidden="1" x14ac:dyDescent="0.35">
      <c r="C343" s="480" t="s">
        <v>1096</v>
      </c>
      <c r="D343" s="394">
        <v>0.31</v>
      </c>
      <c r="E343" s="394">
        <v>0.52</v>
      </c>
      <c r="F343" s="283">
        <v>55</v>
      </c>
    </row>
    <row r="344" spans="3:6" hidden="1" x14ac:dyDescent="0.35">
      <c r="C344" s="480" t="s">
        <v>1036</v>
      </c>
      <c r="D344" s="394">
        <v>0.52</v>
      </c>
      <c r="E344" s="394">
        <v>0.72</v>
      </c>
      <c r="F344" s="283">
        <v>54</v>
      </c>
    </row>
    <row r="345" spans="3:6" hidden="1" x14ac:dyDescent="0.35">
      <c r="C345" s="480" t="s">
        <v>1006</v>
      </c>
      <c r="D345" s="394">
        <v>0.72</v>
      </c>
      <c r="E345" s="394">
        <v>0.86</v>
      </c>
      <c r="F345" s="283">
        <v>53</v>
      </c>
    </row>
    <row r="346" spans="3:6" hidden="1" x14ac:dyDescent="0.35">
      <c r="C346" s="480" t="s">
        <v>1097</v>
      </c>
      <c r="D346" s="394">
        <v>0.86</v>
      </c>
      <c r="E346" s="394">
        <v>1</v>
      </c>
      <c r="F346" s="283">
        <v>51</v>
      </c>
    </row>
    <row r="347" spans="3:6" hidden="1" x14ac:dyDescent="0.35">
      <c r="C347" s="480" t="s">
        <v>1007</v>
      </c>
      <c r="D347" s="394">
        <v>1</v>
      </c>
      <c r="E347" s="394"/>
      <c r="F347" s="283">
        <v>48</v>
      </c>
    </row>
    <row r="348" spans="3:6" hidden="1" x14ac:dyDescent="0.35">
      <c r="C348" s="178"/>
      <c r="D348" s="178"/>
      <c r="E348" s="178"/>
      <c r="F348" s="178"/>
    </row>
    <row r="349" spans="3:6" hidden="1" x14ac:dyDescent="0.35">
      <c r="C349" s="678" t="str">
        <f>C428</f>
        <v>Multilane Highway with 50 MPH Free-Flow Speed</v>
      </c>
      <c r="D349" s="678"/>
      <c r="E349" s="678"/>
      <c r="F349" s="678"/>
    </row>
    <row r="350" spans="3:6" hidden="1" x14ac:dyDescent="0.35">
      <c r="C350" s="178"/>
      <c r="D350" s="178"/>
      <c r="E350" s="178"/>
      <c r="F350" s="178"/>
    </row>
    <row r="351" spans="3:6" hidden="1" x14ac:dyDescent="0.35">
      <c r="C351" s="479" t="s">
        <v>1092</v>
      </c>
      <c r="D351" s="681" t="s">
        <v>1093</v>
      </c>
      <c r="E351" s="682"/>
      <c r="F351" s="416" t="s">
        <v>1094</v>
      </c>
    </row>
    <row r="352" spans="3:6" hidden="1" x14ac:dyDescent="0.35">
      <c r="C352" s="480" t="s">
        <v>1095</v>
      </c>
      <c r="D352" s="485">
        <v>0</v>
      </c>
      <c r="E352" s="394">
        <v>0.3</v>
      </c>
      <c r="F352" s="283">
        <v>50</v>
      </c>
    </row>
    <row r="353" spans="3:6" hidden="1" x14ac:dyDescent="0.35">
      <c r="C353" s="480" t="s">
        <v>1096</v>
      </c>
      <c r="D353" s="394">
        <v>0.3</v>
      </c>
      <c r="E353" s="394">
        <v>0.5</v>
      </c>
      <c r="F353" s="283">
        <v>50</v>
      </c>
    </row>
    <row r="354" spans="3:6" hidden="1" x14ac:dyDescent="0.35">
      <c r="C354" s="480" t="s">
        <v>1036</v>
      </c>
      <c r="D354" s="394">
        <v>0.5</v>
      </c>
      <c r="E354" s="394">
        <v>0.7</v>
      </c>
      <c r="F354" s="283">
        <v>50</v>
      </c>
    </row>
    <row r="355" spans="3:6" hidden="1" x14ac:dyDescent="0.35">
      <c r="C355" s="480" t="s">
        <v>1006</v>
      </c>
      <c r="D355" s="394">
        <v>0.7</v>
      </c>
      <c r="E355" s="394">
        <v>0.84</v>
      </c>
      <c r="F355" s="283">
        <v>49</v>
      </c>
    </row>
    <row r="356" spans="3:6" hidden="1" x14ac:dyDescent="0.35">
      <c r="C356" s="480" t="s">
        <v>1097</v>
      </c>
      <c r="D356" s="394">
        <v>0.84</v>
      </c>
      <c r="E356" s="394">
        <v>1</v>
      </c>
      <c r="F356" s="283">
        <v>47</v>
      </c>
    </row>
    <row r="357" spans="3:6" hidden="1" x14ac:dyDescent="0.35">
      <c r="C357" s="480" t="s">
        <v>1007</v>
      </c>
      <c r="D357" s="394">
        <v>1</v>
      </c>
      <c r="E357" s="394"/>
      <c r="F357" s="283">
        <v>44</v>
      </c>
    </row>
    <row r="358" spans="3:6" hidden="1" x14ac:dyDescent="0.35">
      <c r="C358" s="178"/>
      <c r="D358" s="178"/>
      <c r="E358" s="178"/>
      <c r="F358" s="178"/>
    </row>
    <row r="359" spans="3:6" hidden="1" x14ac:dyDescent="0.35">
      <c r="C359" s="678" t="str">
        <f>C429</f>
        <v>Four-Lane Freeway with 70 MPH Free-Flow Speed</v>
      </c>
      <c r="D359" s="678"/>
      <c r="E359" s="678"/>
      <c r="F359" s="678"/>
    </row>
    <row r="360" spans="3:6" hidden="1" x14ac:dyDescent="0.35">
      <c r="C360" s="178"/>
      <c r="D360" s="178"/>
      <c r="E360" s="178"/>
      <c r="F360" s="178"/>
    </row>
    <row r="361" spans="3:6" hidden="1" x14ac:dyDescent="0.35">
      <c r="C361" s="479" t="s">
        <v>1092</v>
      </c>
      <c r="D361" s="681" t="s">
        <v>1093</v>
      </c>
      <c r="E361" s="682"/>
      <c r="F361" s="416" t="s">
        <v>1094</v>
      </c>
    </row>
    <row r="362" spans="3:6" hidden="1" x14ac:dyDescent="0.35">
      <c r="C362" s="480" t="s">
        <v>1095</v>
      </c>
      <c r="D362" s="485">
        <v>0</v>
      </c>
      <c r="E362" s="394">
        <v>0.318</v>
      </c>
      <c r="F362" s="283">
        <v>70</v>
      </c>
    </row>
    <row r="363" spans="3:6" hidden="1" x14ac:dyDescent="0.35">
      <c r="C363" s="480" t="s">
        <v>1096</v>
      </c>
      <c r="D363" s="394">
        <v>0.318</v>
      </c>
      <c r="E363" s="394">
        <v>0.50900000000000001</v>
      </c>
      <c r="F363" s="283">
        <v>70</v>
      </c>
    </row>
    <row r="364" spans="3:6" hidden="1" x14ac:dyDescent="0.35">
      <c r="C364" s="480" t="s">
        <v>1036</v>
      </c>
      <c r="D364" s="394">
        <v>0.50900000000000001</v>
      </c>
      <c r="E364" s="394">
        <v>0.747</v>
      </c>
      <c r="F364" s="283">
        <v>68.5</v>
      </c>
    </row>
    <row r="365" spans="3:6" hidden="1" x14ac:dyDescent="0.35">
      <c r="C365" s="480" t="s">
        <v>1006</v>
      </c>
      <c r="D365" s="394">
        <v>0.747</v>
      </c>
      <c r="E365" s="394">
        <v>0.91600000000000004</v>
      </c>
      <c r="F365" s="283">
        <v>63</v>
      </c>
    </row>
    <row r="366" spans="3:6" hidden="1" x14ac:dyDescent="0.35">
      <c r="C366" s="480" t="s">
        <v>1097</v>
      </c>
      <c r="D366" s="394">
        <v>0.91600000000000004</v>
      </c>
      <c r="E366" s="394">
        <v>1</v>
      </c>
      <c r="F366" s="283">
        <v>60</v>
      </c>
    </row>
    <row r="367" spans="3:6" hidden="1" x14ac:dyDescent="0.35">
      <c r="C367" s="480" t="s">
        <v>1007</v>
      </c>
      <c r="D367" s="394">
        <v>1</v>
      </c>
      <c r="E367" s="394"/>
      <c r="F367" s="283">
        <v>55</v>
      </c>
    </row>
    <row r="368" spans="3:6" hidden="1" x14ac:dyDescent="0.35">
      <c r="C368" s="178"/>
      <c r="D368" s="178"/>
      <c r="E368" s="178"/>
      <c r="F368" s="178"/>
    </row>
    <row r="369" spans="3:6" hidden="1" x14ac:dyDescent="0.35">
      <c r="C369" s="678" t="str">
        <f>C430</f>
        <v>Four-Lane Freeway with 65 MPH Free-Flow Speed</v>
      </c>
      <c r="D369" s="678"/>
      <c r="E369" s="678"/>
      <c r="F369" s="678"/>
    </row>
    <row r="370" spans="3:6" hidden="1" x14ac:dyDescent="0.35">
      <c r="C370" s="178"/>
      <c r="D370" s="178"/>
      <c r="E370" s="178"/>
      <c r="F370" s="178"/>
    </row>
    <row r="371" spans="3:6" hidden="1" x14ac:dyDescent="0.35">
      <c r="C371" s="479" t="s">
        <v>1092</v>
      </c>
      <c r="D371" s="681" t="s">
        <v>1093</v>
      </c>
      <c r="E371" s="682"/>
      <c r="F371" s="416" t="s">
        <v>1094</v>
      </c>
    </row>
    <row r="372" spans="3:6" hidden="1" x14ac:dyDescent="0.35">
      <c r="C372" s="480" t="s">
        <v>1095</v>
      </c>
      <c r="D372" s="485">
        <v>0</v>
      </c>
      <c r="E372" s="394">
        <v>0.29499999999999998</v>
      </c>
      <c r="F372" s="283">
        <v>65</v>
      </c>
    </row>
    <row r="373" spans="3:6" hidden="1" x14ac:dyDescent="0.35">
      <c r="C373" s="480" t="s">
        <v>1096</v>
      </c>
      <c r="D373" s="394">
        <v>0.29499999999999998</v>
      </c>
      <c r="E373" s="394">
        <v>0.47299999999999998</v>
      </c>
      <c r="F373" s="283">
        <v>65</v>
      </c>
    </row>
    <row r="374" spans="3:6" hidden="1" x14ac:dyDescent="0.35">
      <c r="C374" s="480" t="s">
        <v>1036</v>
      </c>
      <c r="D374" s="394">
        <v>0.47299999999999998</v>
      </c>
      <c r="E374" s="394">
        <v>0.70399999999999996</v>
      </c>
      <c r="F374" s="283">
        <v>64.5</v>
      </c>
    </row>
    <row r="375" spans="3:6" hidden="1" x14ac:dyDescent="0.35">
      <c r="C375" s="480" t="s">
        <v>1006</v>
      </c>
      <c r="D375" s="394">
        <v>0.70399999999999996</v>
      </c>
      <c r="E375" s="394">
        <v>0.88700000000000001</v>
      </c>
      <c r="F375" s="283">
        <v>61</v>
      </c>
    </row>
    <row r="376" spans="3:6" hidden="1" x14ac:dyDescent="0.35">
      <c r="C376" s="480" t="s">
        <v>1097</v>
      </c>
      <c r="D376" s="394">
        <v>0.88700000000000001</v>
      </c>
      <c r="E376" s="394">
        <v>1</v>
      </c>
      <c r="F376" s="283">
        <v>56</v>
      </c>
    </row>
    <row r="377" spans="3:6" hidden="1" x14ac:dyDescent="0.35">
      <c r="C377" s="480" t="s">
        <v>1007</v>
      </c>
      <c r="D377" s="394">
        <v>1</v>
      </c>
      <c r="E377" s="394"/>
      <c r="F377" s="283">
        <v>50</v>
      </c>
    </row>
    <row r="378" spans="3:6" hidden="1" x14ac:dyDescent="0.35">
      <c r="C378" s="178"/>
      <c r="D378" s="178"/>
      <c r="E378" s="178"/>
      <c r="F378" s="178"/>
    </row>
    <row r="379" spans="3:6" hidden="1" x14ac:dyDescent="0.35">
      <c r="C379" s="678" t="str">
        <f>C431</f>
        <v>Four-Lane Freeway with 60 MPH Free-Flow Speed</v>
      </c>
      <c r="D379" s="678"/>
      <c r="E379" s="678"/>
      <c r="F379" s="678"/>
    </row>
    <row r="380" spans="3:6" hidden="1" x14ac:dyDescent="0.35">
      <c r="C380" s="178"/>
      <c r="D380" s="178"/>
      <c r="E380" s="178"/>
      <c r="F380" s="178"/>
    </row>
    <row r="381" spans="3:6" hidden="1" x14ac:dyDescent="0.35">
      <c r="C381" s="479" t="s">
        <v>1092</v>
      </c>
      <c r="D381" s="681" t="s">
        <v>1093</v>
      </c>
      <c r="E381" s="682"/>
      <c r="F381" s="416" t="s">
        <v>1094</v>
      </c>
    </row>
    <row r="382" spans="3:6" hidden="1" x14ac:dyDescent="0.35">
      <c r="C382" s="480" t="s">
        <v>1095</v>
      </c>
      <c r="D382" s="485">
        <v>0</v>
      </c>
      <c r="E382" s="394">
        <v>0.27200000000000002</v>
      </c>
      <c r="F382" s="283">
        <v>60</v>
      </c>
    </row>
    <row r="383" spans="3:6" hidden="1" x14ac:dyDescent="0.35">
      <c r="C383" s="480" t="s">
        <v>1096</v>
      </c>
      <c r="D383" s="394">
        <v>0.27200000000000002</v>
      </c>
      <c r="E383" s="394">
        <v>0.436</v>
      </c>
      <c r="F383" s="283">
        <v>60</v>
      </c>
    </row>
    <row r="384" spans="3:6" hidden="1" x14ac:dyDescent="0.35">
      <c r="C384" s="480" t="s">
        <v>1036</v>
      </c>
      <c r="D384" s="394">
        <v>0.436</v>
      </c>
      <c r="E384" s="394">
        <v>0.65500000000000003</v>
      </c>
      <c r="F384" s="283">
        <v>60</v>
      </c>
    </row>
    <row r="385" spans="3:6" hidden="1" x14ac:dyDescent="0.35">
      <c r="C385" s="480" t="s">
        <v>1006</v>
      </c>
      <c r="D385" s="394">
        <v>0.65500000000000003</v>
      </c>
      <c r="E385" s="394">
        <v>0.82899999999999996</v>
      </c>
      <c r="F385" s="283">
        <v>57</v>
      </c>
    </row>
    <row r="386" spans="3:6" hidden="1" x14ac:dyDescent="0.35">
      <c r="C386" s="480" t="s">
        <v>1097</v>
      </c>
      <c r="D386" s="394">
        <v>0.82899999999999996</v>
      </c>
      <c r="E386" s="394">
        <v>1</v>
      </c>
      <c r="F386" s="283">
        <v>53</v>
      </c>
    </row>
    <row r="387" spans="3:6" hidden="1" x14ac:dyDescent="0.35">
      <c r="C387" s="480" t="s">
        <v>1007</v>
      </c>
      <c r="D387" s="394">
        <v>1</v>
      </c>
      <c r="E387" s="394"/>
      <c r="F387" s="283">
        <v>48</v>
      </c>
    </row>
    <row r="389" spans="3:6" hidden="1" x14ac:dyDescent="0.35">
      <c r="C389" s="678" t="str">
        <f>C432</f>
        <v>Six- to Eight-Lane Freeway with 70 MPH Free-Flow Speed</v>
      </c>
      <c r="D389" s="678"/>
      <c r="E389" s="678"/>
      <c r="F389" s="678"/>
    </row>
    <row r="390" spans="3:6" hidden="1" x14ac:dyDescent="0.35">
      <c r="C390" s="178"/>
      <c r="D390" s="178"/>
      <c r="E390" s="178"/>
      <c r="F390" s="178"/>
    </row>
    <row r="391" spans="3:6" hidden="1" x14ac:dyDescent="0.35">
      <c r="C391" s="479" t="s">
        <v>1092</v>
      </c>
      <c r="D391" s="681" t="s">
        <v>1093</v>
      </c>
      <c r="E391" s="682"/>
      <c r="F391" s="416" t="s">
        <v>1094</v>
      </c>
    </row>
    <row r="392" spans="3:6" hidden="1" x14ac:dyDescent="0.35">
      <c r="C392" s="480" t="s">
        <v>1095</v>
      </c>
      <c r="D392" s="485">
        <v>0</v>
      </c>
      <c r="E392" s="394">
        <v>0.30399999999999999</v>
      </c>
      <c r="F392" s="283">
        <v>70</v>
      </c>
    </row>
    <row r="393" spans="3:6" hidden="1" x14ac:dyDescent="0.35">
      <c r="C393" s="480" t="s">
        <v>1096</v>
      </c>
      <c r="D393" s="394">
        <v>0.30399999999999999</v>
      </c>
      <c r="E393" s="394">
        <v>0.48699999999999999</v>
      </c>
      <c r="F393" s="283">
        <v>70</v>
      </c>
    </row>
    <row r="394" spans="3:6" hidden="1" x14ac:dyDescent="0.35">
      <c r="C394" s="480" t="s">
        <v>1036</v>
      </c>
      <c r="D394" s="394">
        <v>0.48699999999999999</v>
      </c>
      <c r="E394" s="394">
        <v>0.71499999999999997</v>
      </c>
      <c r="F394" s="283">
        <v>68.5</v>
      </c>
    </row>
    <row r="395" spans="3:6" hidden="1" x14ac:dyDescent="0.35">
      <c r="C395" s="480" t="s">
        <v>1006</v>
      </c>
      <c r="D395" s="394">
        <v>0.71499999999999997</v>
      </c>
      <c r="E395" s="394">
        <v>0.876</v>
      </c>
      <c r="F395" s="283">
        <v>63</v>
      </c>
    </row>
    <row r="396" spans="3:6" hidden="1" x14ac:dyDescent="0.35">
      <c r="C396" s="480" t="s">
        <v>1097</v>
      </c>
      <c r="D396" s="394">
        <v>0.876</v>
      </c>
      <c r="E396" s="394">
        <v>1</v>
      </c>
      <c r="F396" s="283">
        <v>58</v>
      </c>
    </row>
    <row r="397" spans="3:6" hidden="1" x14ac:dyDescent="0.35">
      <c r="C397" s="480" t="s">
        <v>1007</v>
      </c>
      <c r="D397" s="394">
        <v>1</v>
      </c>
      <c r="E397" s="394"/>
      <c r="F397" s="283">
        <v>52</v>
      </c>
    </row>
    <row r="398" spans="3:6" hidden="1" x14ac:dyDescent="0.35">
      <c r="C398" s="178"/>
      <c r="D398" s="178"/>
      <c r="E398" s="178"/>
      <c r="F398" s="178"/>
    </row>
    <row r="399" spans="3:6" hidden="1" x14ac:dyDescent="0.35">
      <c r="C399" s="678" t="str">
        <f>C433</f>
        <v>Six- to Eight-Lane Freeway with 65 MPH Free-Flow Speed</v>
      </c>
      <c r="D399" s="678"/>
      <c r="E399" s="678"/>
      <c r="F399" s="678"/>
    </row>
    <row r="400" spans="3:6" hidden="1" x14ac:dyDescent="0.35">
      <c r="C400" s="178"/>
      <c r="D400" s="178"/>
      <c r="E400" s="178"/>
      <c r="F400" s="178"/>
    </row>
    <row r="401" spans="3:6" hidden="1" x14ac:dyDescent="0.35">
      <c r="C401" s="479" t="s">
        <v>1092</v>
      </c>
      <c r="D401" s="681" t="s">
        <v>1093</v>
      </c>
      <c r="E401" s="682"/>
      <c r="F401" s="416" t="s">
        <v>1094</v>
      </c>
    </row>
    <row r="402" spans="3:6" hidden="1" x14ac:dyDescent="0.35">
      <c r="C402" s="480" t="s">
        <v>1095</v>
      </c>
      <c r="D402" s="485">
        <v>0</v>
      </c>
      <c r="E402" s="394">
        <v>0.28299999999999997</v>
      </c>
      <c r="F402" s="283">
        <v>65</v>
      </c>
    </row>
    <row r="403" spans="3:6" hidden="1" x14ac:dyDescent="0.35">
      <c r="C403" s="480" t="s">
        <v>1096</v>
      </c>
      <c r="D403" s="394">
        <v>0.28299999999999997</v>
      </c>
      <c r="E403" s="394">
        <v>0.45700000000000002</v>
      </c>
      <c r="F403" s="283">
        <v>65</v>
      </c>
    </row>
    <row r="404" spans="3:6" hidden="1" x14ac:dyDescent="0.35">
      <c r="C404" s="480" t="s">
        <v>1036</v>
      </c>
      <c r="D404" s="394">
        <v>0.45700000000000002</v>
      </c>
      <c r="E404" s="394">
        <v>0.67300000000000004</v>
      </c>
      <c r="F404" s="283">
        <v>64.5</v>
      </c>
    </row>
    <row r="405" spans="3:6" hidden="1" x14ac:dyDescent="0.35">
      <c r="C405" s="480" t="s">
        <v>1006</v>
      </c>
      <c r="D405" s="394">
        <v>0.67300000000000004</v>
      </c>
      <c r="E405" s="394">
        <v>0.84899999999999998</v>
      </c>
      <c r="F405" s="283">
        <v>61</v>
      </c>
    </row>
    <row r="406" spans="3:6" hidden="1" x14ac:dyDescent="0.35">
      <c r="C406" s="480" t="s">
        <v>1097</v>
      </c>
      <c r="D406" s="394">
        <v>0.84899999999999998</v>
      </c>
      <c r="E406" s="394">
        <v>1</v>
      </c>
      <c r="F406" s="283">
        <v>53</v>
      </c>
    </row>
    <row r="407" spans="3:6" hidden="1" x14ac:dyDescent="0.35">
      <c r="C407" s="480" t="s">
        <v>1007</v>
      </c>
      <c r="D407" s="394">
        <v>1</v>
      </c>
      <c r="E407" s="394"/>
      <c r="F407" s="283">
        <v>44</v>
      </c>
    </row>
    <row r="408" spans="3:6" hidden="1" x14ac:dyDescent="0.35">
      <c r="C408" s="178"/>
      <c r="D408" s="178"/>
      <c r="E408" s="178"/>
      <c r="F408" s="178"/>
    </row>
    <row r="409" spans="3:6" hidden="1" x14ac:dyDescent="0.35">
      <c r="C409" s="678" t="str">
        <f>C434</f>
        <v>Six- to Eight-Lane Freeway with 60 MPH Free-Flow Speed</v>
      </c>
      <c r="D409" s="678"/>
      <c r="E409" s="678"/>
      <c r="F409" s="678"/>
    </row>
    <row r="410" spans="3:6" hidden="1" x14ac:dyDescent="0.35">
      <c r="C410" s="178"/>
      <c r="D410" s="178"/>
      <c r="E410" s="178"/>
      <c r="F410" s="178"/>
    </row>
    <row r="411" spans="3:6" hidden="1" x14ac:dyDescent="0.35">
      <c r="C411" s="479" t="s">
        <v>1092</v>
      </c>
      <c r="D411" s="681" t="s">
        <v>1093</v>
      </c>
      <c r="E411" s="682"/>
      <c r="F411" s="416" t="s">
        <v>1094</v>
      </c>
    </row>
    <row r="412" spans="3:6" hidden="1" x14ac:dyDescent="0.35">
      <c r="C412" s="480" t="s">
        <v>1095</v>
      </c>
      <c r="D412" s="485">
        <v>0</v>
      </c>
      <c r="E412" s="394">
        <v>0.26100000000000001</v>
      </c>
      <c r="F412" s="283">
        <v>60</v>
      </c>
    </row>
    <row r="413" spans="3:6" hidden="1" x14ac:dyDescent="0.35">
      <c r="C413" s="480" t="s">
        <v>1096</v>
      </c>
      <c r="D413" s="394">
        <v>0.26100000000000001</v>
      </c>
      <c r="E413" s="394">
        <v>0.41199999999999998</v>
      </c>
      <c r="F413" s="283">
        <v>60</v>
      </c>
    </row>
    <row r="414" spans="3:6" hidden="1" x14ac:dyDescent="0.35">
      <c r="C414" s="480" t="s">
        <v>1036</v>
      </c>
      <c r="D414" s="394">
        <v>0.41199999999999998</v>
      </c>
      <c r="E414" s="394">
        <v>0.626</v>
      </c>
      <c r="F414" s="283">
        <v>60</v>
      </c>
    </row>
    <row r="415" spans="3:6" hidden="1" x14ac:dyDescent="0.35">
      <c r="C415" s="480" t="s">
        <v>1006</v>
      </c>
      <c r="D415" s="394">
        <v>0.626</v>
      </c>
      <c r="E415" s="394">
        <v>0.79300000000000004</v>
      </c>
      <c r="F415" s="283">
        <v>57</v>
      </c>
    </row>
    <row r="416" spans="3:6" hidden="1" x14ac:dyDescent="0.35">
      <c r="C416" s="480" t="s">
        <v>1097</v>
      </c>
      <c r="D416" s="394">
        <v>0.79300000000000004</v>
      </c>
      <c r="E416" s="394">
        <v>1</v>
      </c>
      <c r="F416" s="283">
        <v>50</v>
      </c>
    </row>
    <row r="417" spans="3:6" hidden="1" x14ac:dyDescent="0.35">
      <c r="C417" s="480" t="s">
        <v>1007</v>
      </c>
      <c r="D417" s="394">
        <v>1</v>
      </c>
      <c r="E417" s="394"/>
      <c r="F417" s="283">
        <v>42</v>
      </c>
    </row>
    <row r="418" spans="3:6" hidden="1" x14ac:dyDescent="0.35">
      <c r="C418" s="178"/>
      <c r="D418" s="178"/>
      <c r="E418" s="178"/>
      <c r="F418" s="178"/>
    </row>
    <row r="419" spans="3:6" hidden="1" x14ac:dyDescent="0.35">
      <c r="C419" s="679" t="str">
        <f>"- Choose Roadway Type -"</f>
        <v>- Choose Roadway Type -</v>
      </c>
      <c r="D419" s="679"/>
      <c r="E419" s="679"/>
      <c r="F419" s="679"/>
    </row>
    <row r="420" spans="3:6" hidden="1" x14ac:dyDescent="0.35">
      <c r="C420" s="679" t="s">
        <v>1098</v>
      </c>
      <c r="D420" s="679"/>
      <c r="E420" s="679"/>
      <c r="F420" s="679"/>
    </row>
    <row r="421" spans="3:6" hidden="1" x14ac:dyDescent="0.35">
      <c r="C421" s="679" t="s">
        <v>1099</v>
      </c>
      <c r="D421" s="679"/>
      <c r="E421" s="679"/>
      <c r="F421" s="679"/>
    </row>
    <row r="422" spans="3:6" hidden="1" x14ac:dyDescent="0.35">
      <c r="C422" s="679" t="s">
        <v>1100</v>
      </c>
      <c r="D422" s="679"/>
      <c r="E422" s="679"/>
      <c r="F422" s="679"/>
    </row>
    <row r="423" spans="3:6" hidden="1" x14ac:dyDescent="0.35">
      <c r="C423" s="679" t="s">
        <v>1108</v>
      </c>
      <c r="D423" s="679"/>
      <c r="E423" s="679"/>
      <c r="F423" s="679"/>
    </row>
    <row r="424" spans="3:6" hidden="1" x14ac:dyDescent="0.35">
      <c r="C424" s="679" t="s">
        <v>1109</v>
      </c>
      <c r="D424" s="679"/>
      <c r="E424" s="679"/>
      <c r="F424" s="679"/>
    </row>
    <row r="425" spans="3:6" hidden="1" x14ac:dyDescent="0.35">
      <c r="C425" s="419" t="s">
        <v>1110</v>
      </c>
      <c r="D425" s="419"/>
      <c r="E425" s="419"/>
      <c r="F425" s="419"/>
    </row>
    <row r="426" spans="3:6" hidden="1" x14ac:dyDescent="0.35">
      <c r="C426" s="678" t="s">
        <v>1101</v>
      </c>
      <c r="D426" s="678"/>
      <c r="E426" s="678"/>
      <c r="F426" s="678"/>
    </row>
    <row r="427" spans="3:6" hidden="1" x14ac:dyDescent="0.35">
      <c r="C427" s="678" t="s">
        <v>1102</v>
      </c>
      <c r="D427" s="678"/>
      <c r="E427" s="678"/>
      <c r="F427" s="678"/>
    </row>
    <row r="428" spans="3:6" hidden="1" x14ac:dyDescent="0.35">
      <c r="C428" s="678" t="s">
        <v>1103</v>
      </c>
      <c r="D428" s="678"/>
      <c r="E428" s="678"/>
      <c r="F428" s="678"/>
    </row>
    <row r="429" spans="3:6" hidden="1" x14ac:dyDescent="0.35">
      <c r="C429" s="678" t="s">
        <v>1081</v>
      </c>
      <c r="D429" s="678"/>
      <c r="E429" s="678"/>
      <c r="F429" s="678"/>
    </row>
    <row r="430" spans="3:6" hidden="1" x14ac:dyDescent="0.35">
      <c r="C430" s="678" t="s">
        <v>1104</v>
      </c>
      <c r="D430" s="678"/>
      <c r="E430" s="678"/>
      <c r="F430" s="678"/>
    </row>
    <row r="431" spans="3:6" hidden="1" x14ac:dyDescent="0.35">
      <c r="C431" s="678" t="s">
        <v>1105</v>
      </c>
      <c r="D431" s="678"/>
      <c r="E431" s="678"/>
      <c r="F431" s="678"/>
    </row>
    <row r="432" spans="3:6" hidden="1" x14ac:dyDescent="0.35">
      <c r="C432" s="678" t="s">
        <v>1083</v>
      </c>
      <c r="D432" s="678"/>
      <c r="E432" s="678"/>
      <c r="F432" s="678"/>
    </row>
    <row r="433" spans="3:6" hidden="1" x14ac:dyDescent="0.35">
      <c r="C433" s="678" t="s">
        <v>1106</v>
      </c>
      <c r="D433" s="678"/>
      <c r="E433" s="678"/>
      <c r="F433" s="678"/>
    </row>
    <row r="434" spans="3:6" hidden="1" x14ac:dyDescent="0.35">
      <c r="C434" s="678" t="s">
        <v>1107</v>
      </c>
      <c r="D434" s="678"/>
      <c r="E434" s="678"/>
      <c r="F434" s="678"/>
    </row>
  </sheetData>
  <mergeCells count="109">
    <mergeCell ref="O104:S104"/>
    <mergeCell ref="C111:D111"/>
    <mergeCell ref="T104:X104"/>
    <mergeCell ref="B75:B76"/>
    <mergeCell ref="C75:C76"/>
    <mergeCell ref="D75:D76"/>
    <mergeCell ref="K24:M24"/>
    <mergeCell ref="C17:E17"/>
    <mergeCell ref="C18:E18"/>
    <mergeCell ref="C19:E19"/>
    <mergeCell ref="C20:E20"/>
    <mergeCell ref="C21:E21"/>
    <mergeCell ref="C22:E22"/>
    <mergeCell ref="B104:B105"/>
    <mergeCell ref="C104:C105"/>
    <mergeCell ref="D104:D105"/>
    <mergeCell ref="E104:I104"/>
    <mergeCell ref="J104:N104"/>
    <mergeCell ref="C6:E6"/>
    <mergeCell ref="C7:E7"/>
    <mergeCell ref="C8:E8"/>
    <mergeCell ref="E75:I75"/>
    <mergeCell ref="C102:D102"/>
    <mergeCell ref="D146:E146"/>
    <mergeCell ref="D24:E24"/>
    <mergeCell ref="C11:E11"/>
    <mergeCell ref="C12:E12"/>
    <mergeCell ref="C13:E13"/>
    <mergeCell ref="C14:E14"/>
    <mergeCell ref="C15:E15"/>
    <mergeCell ref="C141:E141"/>
    <mergeCell ref="C142:E142"/>
    <mergeCell ref="C122:E122"/>
    <mergeCell ref="C136:E136"/>
    <mergeCell ref="C132:E132"/>
    <mergeCell ref="C133:E133"/>
    <mergeCell ref="C134:E134"/>
    <mergeCell ref="C135:E135"/>
    <mergeCell ref="C118:D118"/>
    <mergeCell ref="C119:D119"/>
    <mergeCell ref="E118:H118"/>
    <mergeCell ref="E119:H119"/>
    <mergeCell ref="C123:E123"/>
    <mergeCell ref="B210:B211"/>
    <mergeCell ref="C210:E210"/>
    <mergeCell ref="C211:D211"/>
    <mergeCell ref="D219:E219"/>
    <mergeCell ref="C309:F309"/>
    <mergeCell ref="C299:F299"/>
    <mergeCell ref="D301:E301"/>
    <mergeCell ref="B199:B200"/>
    <mergeCell ref="C199:E199"/>
    <mergeCell ref="C124:E124"/>
    <mergeCell ref="C143:E143"/>
    <mergeCell ref="C138:E138"/>
    <mergeCell ref="C139:E139"/>
    <mergeCell ref="C140:E140"/>
    <mergeCell ref="C130:E130"/>
    <mergeCell ref="C126:E126"/>
    <mergeCell ref="C127:E127"/>
    <mergeCell ref="C128:E128"/>
    <mergeCell ref="C129:E129"/>
    <mergeCell ref="C389:F389"/>
    <mergeCell ref="C399:F399"/>
    <mergeCell ref="C409:F409"/>
    <mergeCell ref="C200:D200"/>
    <mergeCell ref="C269:F269"/>
    <mergeCell ref="D271:E271"/>
    <mergeCell ref="C279:F279"/>
    <mergeCell ref="D281:E281"/>
    <mergeCell ref="D291:E291"/>
    <mergeCell ref="C289:F289"/>
    <mergeCell ref="D321:E321"/>
    <mergeCell ref="D311:E311"/>
    <mergeCell ref="C329:F329"/>
    <mergeCell ref="D371:E371"/>
    <mergeCell ref="D361:E361"/>
    <mergeCell ref="D351:E351"/>
    <mergeCell ref="D341:E341"/>
    <mergeCell ref="D331:E331"/>
    <mergeCell ref="C359:F359"/>
    <mergeCell ref="C369:F369"/>
    <mergeCell ref="C379:F379"/>
    <mergeCell ref="C339:F339"/>
    <mergeCell ref="C349:F349"/>
    <mergeCell ref="C115:H115"/>
    <mergeCell ref="C116:D116"/>
    <mergeCell ref="E116:H116"/>
    <mergeCell ref="C117:D117"/>
    <mergeCell ref="E117:H117"/>
    <mergeCell ref="C431:F431"/>
    <mergeCell ref="C432:F432"/>
    <mergeCell ref="C433:F433"/>
    <mergeCell ref="C434:F434"/>
    <mergeCell ref="C419:F419"/>
    <mergeCell ref="C426:F426"/>
    <mergeCell ref="C427:F427"/>
    <mergeCell ref="C428:F428"/>
    <mergeCell ref="C429:F429"/>
    <mergeCell ref="C430:F430"/>
    <mergeCell ref="C420:F420"/>
    <mergeCell ref="C421:F421"/>
    <mergeCell ref="C422:F422"/>
    <mergeCell ref="C423:F423"/>
    <mergeCell ref="C424:F424"/>
    <mergeCell ref="D411:E411"/>
    <mergeCell ref="D401:E401"/>
    <mergeCell ref="D391:E391"/>
    <mergeCell ref="D381:E381"/>
  </mergeCells>
  <conditionalFormatting sqref="D77:D100">
    <cfRule type="dataBar" priority="1">
      <dataBar>
        <cfvo type="min"/>
        <cfvo type="max"/>
        <color rgb="FF638EC6"/>
      </dataBar>
      <extLst>
        <ext xmlns:x14="http://schemas.microsoft.com/office/spreadsheetml/2009/9/main" uri="{B025F937-C7B1-47D3-B67F-A62EFF666E3E}">
          <x14:id>{D3C401C7-615B-4BA4-A41C-1660AB262E1D}</x14:id>
        </ext>
      </extLst>
    </cfRule>
  </conditionalFormatting>
  <dataValidations count="1">
    <dataValidation type="list" allowBlank="1" showInputMessage="1" showErrorMessage="1" sqref="E116:H117" xr:uid="{958A3BF6-45F1-4FDA-912A-5377E766B942}">
      <formula1>$C$419:$C$434</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D3C401C7-615B-4BA4-A41C-1660AB262E1D}">
            <x14:dataBar minLength="0" maxLength="100" border="1" negativeBarBorderColorSameAsPositive="0">
              <x14:cfvo type="autoMin"/>
              <x14:cfvo type="autoMax"/>
              <x14:borderColor rgb="FF638EC6"/>
              <x14:negativeFillColor rgb="FFFF0000"/>
              <x14:negativeBorderColor rgb="FFFF0000"/>
              <x14:axisColor rgb="FF000000"/>
            </x14:dataBar>
          </x14:cfRule>
          <xm:sqref>D77:D100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A20F0-AC05-42D7-9304-9F07D8C50865}">
  <sheetPr>
    <tabColor theme="9" tint="-0.249977111117893"/>
  </sheetPr>
  <dimension ref="A1:E27"/>
  <sheetViews>
    <sheetView workbookViewId="0">
      <selection activeCell="I14" sqref="I14"/>
    </sheetView>
  </sheetViews>
  <sheetFormatPr defaultRowHeight="14.5" x14ac:dyDescent="0.35"/>
  <cols>
    <col min="2" max="2" width="22.1796875" customWidth="1"/>
    <col min="3" max="4" width="20.54296875" customWidth="1"/>
  </cols>
  <sheetData>
    <row r="1" spans="1:5" x14ac:dyDescent="0.35">
      <c r="A1" t="s">
        <v>1359</v>
      </c>
    </row>
    <row r="3" spans="1:5" x14ac:dyDescent="0.35">
      <c r="C3" s="502" t="s">
        <v>1111</v>
      </c>
      <c r="D3" s="502" t="s">
        <v>1112</v>
      </c>
      <c r="E3" s="502" t="s">
        <v>1358</v>
      </c>
    </row>
    <row r="4" spans="1:5" x14ac:dyDescent="0.35">
      <c r="B4" s="502" t="s">
        <v>1113</v>
      </c>
      <c r="C4">
        <v>546</v>
      </c>
      <c r="D4">
        <v>545</v>
      </c>
      <c r="E4">
        <f>AVERAGE(C4:D4)</f>
        <v>545.5</v>
      </c>
    </row>
    <row r="5" spans="1:5" x14ac:dyDescent="0.35">
      <c r="B5" s="502" t="s">
        <v>1114</v>
      </c>
      <c r="C5">
        <v>493</v>
      </c>
      <c r="D5">
        <v>409</v>
      </c>
      <c r="E5">
        <f t="shared" ref="E5:E27" si="0">AVERAGE(C5:D5)</f>
        <v>451</v>
      </c>
    </row>
    <row r="6" spans="1:5" x14ac:dyDescent="0.35">
      <c r="B6" s="502" t="s">
        <v>1115</v>
      </c>
      <c r="C6">
        <v>385</v>
      </c>
      <c r="D6">
        <v>399</v>
      </c>
      <c r="E6">
        <f t="shared" si="0"/>
        <v>392</v>
      </c>
    </row>
    <row r="7" spans="1:5" x14ac:dyDescent="0.35">
      <c r="B7" s="502" t="s">
        <v>1116</v>
      </c>
      <c r="C7">
        <v>490</v>
      </c>
      <c r="D7">
        <v>485</v>
      </c>
      <c r="E7">
        <f t="shared" si="0"/>
        <v>487.5</v>
      </c>
    </row>
    <row r="8" spans="1:5" x14ac:dyDescent="0.35">
      <c r="B8" s="502" t="s">
        <v>1117</v>
      </c>
      <c r="C8">
        <v>629</v>
      </c>
      <c r="D8">
        <v>623</v>
      </c>
      <c r="E8">
        <f t="shared" si="0"/>
        <v>626</v>
      </c>
    </row>
    <row r="9" spans="1:5" x14ac:dyDescent="0.35">
      <c r="B9" s="502" t="s">
        <v>1118</v>
      </c>
      <c r="C9">
        <v>1095</v>
      </c>
      <c r="D9">
        <v>1140</v>
      </c>
      <c r="E9">
        <f t="shared" si="0"/>
        <v>1117.5</v>
      </c>
    </row>
    <row r="10" spans="1:5" x14ac:dyDescent="0.35">
      <c r="B10" s="502" t="s">
        <v>1119</v>
      </c>
      <c r="C10">
        <v>1903</v>
      </c>
      <c r="D10">
        <v>1855</v>
      </c>
      <c r="E10">
        <f t="shared" si="0"/>
        <v>1879</v>
      </c>
    </row>
    <row r="11" spans="1:5" x14ac:dyDescent="0.35">
      <c r="B11" s="502" t="s">
        <v>1120</v>
      </c>
      <c r="C11">
        <v>2446</v>
      </c>
      <c r="D11">
        <v>2491</v>
      </c>
      <c r="E11">
        <f t="shared" si="0"/>
        <v>2468.5</v>
      </c>
    </row>
    <row r="12" spans="1:5" x14ac:dyDescent="0.35">
      <c r="B12" s="502" t="s">
        <v>1121</v>
      </c>
      <c r="C12">
        <v>2525</v>
      </c>
      <c r="D12">
        <v>2471</v>
      </c>
      <c r="E12">
        <f t="shared" si="0"/>
        <v>2498</v>
      </c>
    </row>
    <row r="13" spans="1:5" x14ac:dyDescent="0.35">
      <c r="B13" s="502" t="s">
        <v>1122</v>
      </c>
      <c r="C13">
        <v>2504</v>
      </c>
      <c r="D13">
        <v>2533</v>
      </c>
      <c r="E13">
        <f t="shared" si="0"/>
        <v>2518.5</v>
      </c>
    </row>
    <row r="14" spans="1:5" x14ac:dyDescent="0.35">
      <c r="B14" s="502" t="s">
        <v>1123</v>
      </c>
      <c r="C14">
        <v>2501</v>
      </c>
      <c r="D14">
        <v>2672</v>
      </c>
      <c r="E14">
        <f t="shared" si="0"/>
        <v>2586.5</v>
      </c>
    </row>
    <row r="15" spans="1:5" x14ac:dyDescent="0.35">
      <c r="B15" s="502" t="s">
        <v>1124</v>
      </c>
      <c r="C15">
        <v>2733</v>
      </c>
      <c r="D15">
        <v>2772</v>
      </c>
      <c r="E15">
        <f t="shared" si="0"/>
        <v>2752.5</v>
      </c>
    </row>
    <row r="16" spans="1:5" x14ac:dyDescent="0.35">
      <c r="B16" s="502" t="s">
        <v>1125</v>
      </c>
      <c r="C16">
        <v>2710</v>
      </c>
      <c r="D16">
        <v>2787</v>
      </c>
      <c r="E16">
        <f t="shared" si="0"/>
        <v>2748.5</v>
      </c>
    </row>
    <row r="17" spans="2:5" x14ac:dyDescent="0.35">
      <c r="B17" s="502" t="s">
        <v>1126</v>
      </c>
      <c r="C17">
        <v>2758</v>
      </c>
      <c r="D17">
        <v>2854</v>
      </c>
      <c r="E17">
        <f t="shared" si="0"/>
        <v>2806</v>
      </c>
    </row>
    <row r="18" spans="2:5" x14ac:dyDescent="0.35">
      <c r="B18" s="502" t="s">
        <v>1127</v>
      </c>
      <c r="C18">
        <v>2862</v>
      </c>
      <c r="D18">
        <v>2804</v>
      </c>
      <c r="E18">
        <f t="shared" si="0"/>
        <v>2833</v>
      </c>
    </row>
    <row r="19" spans="2:5" x14ac:dyDescent="0.35">
      <c r="B19" s="502" t="s">
        <v>1128</v>
      </c>
      <c r="C19">
        <v>2936</v>
      </c>
      <c r="D19">
        <v>2996</v>
      </c>
      <c r="E19">
        <f t="shared" si="0"/>
        <v>2966</v>
      </c>
    </row>
    <row r="20" spans="2:5" x14ac:dyDescent="0.35">
      <c r="B20" s="502" t="s">
        <v>1129</v>
      </c>
      <c r="C20">
        <v>2992</v>
      </c>
      <c r="D20">
        <v>3112</v>
      </c>
      <c r="E20">
        <f t="shared" si="0"/>
        <v>3052</v>
      </c>
    </row>
    <row r="21" spans="2:5" x14ac:dyDescent="0.35">
      <c r="B21" s="502" t="s">
        <v>1130</v>
      </c>
      <c r="C21">
        <v>3045</v>
      </c>
      <c r="D21">
        <v>2999</v>
      </c>
      <c r="E21">
        <f t="shared" si="0"/>
        <v>3022</v>
      </c>
    </row>
    <row r="22" spans="2:5" x14ac:dyDescent="0.35">
      <c r="B22" s="502" t="s">
        <v>1131</v>
      </c>
      <c r="C22">
        <v>2206</v>
      </c>
      <c r="D22">
        <v>2504</v>
      </c>
      <c r="E22">
        <f t="shared" si="0"/>
        <v>2355</v>
      </c>
    </row>
    <row r="23" spans="2:5" x14ac:dyDescent="0.35">
      <c r="B23" s="502" t="s">
        <v>1132</v>
      </c>
      <c r="C23">
        <v>1648</v>
      </c>
      <c r="D23">
        <v>1752</v>
      </c>
      <c r="E23">
        <f t="shared" si="0"/>
        <v>1700</v>
      </c>
    </row>
    <row r="24" spans="2:5" x14ac:dyDescent="0.35">
      <c r="B24" s="502" t="s">
        <v>1133</v>
      </c>
      <c r="C24">
        <v>1393</v>
      </c>
      <c r="D24">
        <v>1493</v>
      </c>
      <c r="E24">
        <f t="shared" si="0"/>
        <v>1443</v>
      </c>
    </row>
    <row r="25" spans="2:5" x14ac:dyDescent="0.35">
      <c r="B25" s="502" t="s">
        <v>1134</v>
      </c>
      <c r="C25">
        <v>1083</v>
      </c>
      <c r="D25">
        <v>1150</v>
      </c>
      <c r="E25">
        <f t="shared" si="0"/>
        <v>1116.5</v>
      </c>
    </row>
    <row r="26" spans="2:5" x14ac:dyDescent="0.35">
      <c r="B26" s="502" t="s">
        <v>1135</v>
      </c>
      <c r="C26">
        <v>901</v>
      </c>
      <c r="D26">
        <v>828</v>
      </c>
      <c r="E26">
        <f t="shared" si="0"/>
        <v>864.5</v>
      </c>
    </row>
    <row r="27" spans="2:5" x14ac:dyDescent="0.35">
      <c r="B27" s="502" t="s">
        <v>1136</v>
      </c>
      <c r="C27">
        <v>636</v>
      </c>
      <c r="D27">
        <v>826</v>
      </c>
      <c r="E27">
        <f t="shared" si="0"/>
        <v>731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E8267-3E53-4D2F-B62A-31A042D201B6}">
  <sheetPr>
    <tabColor rgb="FF00B0F0"/>
  </sheetPr>
  <dimension ref="A1:AG84"/>
  <sheetViews>
    <sheetView zoomScale="70" zoomScaleNormal="70" workbookViewId="0">
      <pane xSplit="31" ySplit="73" topLeftCell="XFD1048576" activePane="bottomRight" state="frozen"/>
      <selection pane="topRight" activeCell="AF1" sqref="AF1"/>
      <selection pane="bottomLeft" activeCell="A74" sqref="A74"/>
      <selection pane="bottomRight" activeCell="B3" sqref="B3"/>
    </sheetView>
  </sheetViews>
  <sheetFormatPr defaultColWidth="0" defaultRowHeight="14.5" zeroHeight="1" x14ac:dyDescent="0.35"/>
  <cols>
    <col min="1" max="3" width="1.453125" customWidth="1"/>
    <col min="4" max="4" width="28.81640625" customWidth="1"/>
    <col min="5" max="6" width="2.81640625" customWidth="1"/>
    <col min="7" max="7" width="28.54296875" customWidth="1"/>
    <col min="8" max="9" width="2.81640625" customWidth="1"/>
    <col min="10" max="10" width="22.54296875" customWidth="1"/>
    <col min="11" max="12" width="2.81640625" customWidth="1"/>
    <col min="13" max="13" width="29.54296875" customWidth="1"/>
    <col min="14" max="15" width="2.81640625" customWidth="1"/>
    <col min="16" max="16" width="28.453125" customWidth="1"/>
    <col min="17" max="18" width="2.81640625" customWidth="1"/>
    <col min="19" max="19" width="22.54296875" customWidth="1"/>
    <col min="20" max="21" width="2.81640625" customWidth="1"/>
    <col min="22" max="22" width="22.54296875" customWidth="1"/>
    <col min="23" max="23" width="2.81640625" customWidth="1"/>
    <col min="24" max="24" width="22.54296875" customWidth="1"/>
    <col min="25" max="25" width="2.81640625" customWidth="1"/>
    <col min="26" max="26" width="22.54296875" customWidth="1"/>
    <col min="27" max="29" width="2.81640625" customWidth="1"/>
    <col min="30" max="30" width="22.54296875" customWidth="1"/>
    <col min="31" max="31" width="3" customWidth="1"/>
    <col min="32" max="32" width="1.453125" hidden="1" customWidth="1"/>
    <col min="33" max="16384" width="8.81640625" hidden="1"/>
  </cols>
  <sheetData>
    <row r="1" spans="1:33" ht="5.25" customHeight="1" x14ac:dyDescent="0.35">
      <c r="A1" s="4"/>
      <c r="B1" s="4"/>
      <c r="C1" s="4"/>
      <c r="D1" s="53"/>
      <c r="E1" s="4"/>
      <c r="F1" s="4"/>
      <c r="G1" s="53"/>
      <c r="H1" s="4"/>
      <c r="I1" s="4"/>
      <c r="J1" s="53"/>
      <c r="K1" s="4"/>
      <c r="L1" s="4"/>
      <c r="M1" s="53"/>
      <c r="N1" s="4"/>
      <c r="O1" s="4"/>
      <c r="P1" s="53"/>
      <c r="Q1" s="4"/>
      <c r="R1" s="4"/>
      <c r="S1" s="53"/>
      <c r="T1" s="4"/>
      <c r="U1" s="4"/>
      <c r="V1" s="53"/>
      <c r="W1" s="4"/>
      <c r="X1" s="53"/>
      <c r="Y1" s="4"/>
      <c r="Z1" s="53"/>
      <c r="AA1" s="4"/>
      <c r="AB1" s="4"/>
      <c r="AC1" s="4"/>
      <c r="AD1" s="53"/>
      <c r="AE1" s="4"/>
      <c r="AF1" s="4"/>
      <c r="AG1" s="4"/>
    </row>
    <row r="2" spans="1:33" ht="15" customHeight="1" x14ac:dyDescent="0.35">
      <c r="A2" s="4"/>
      <c r="B2" s="34" t="s">
        <v>21</v>
      </c>
      <c r="C2" s="4"/>
      <c r="D2" s="53"/>
      <c r="E2" s="4"/>
      <c r="F2" s="4"/>
      <c r="G2" s="53"/>
      <c r="H2" s="4"/>
      <c r="I2" s="4"/>
      <c r="J2" s="53"/>
      <c r="K2" s="4"/>
      <c r="L2" s="4"/>
      <c r="M2" s="53"/>
      <c r="N2" s="4"/>
      <c r="O2" s="4"/>
      <c r="P2" s="53"/>
      <c r="Q2" s="4"/>
      <c r="R2" s="4"/>
      <c r="S2" s="53"/>
      <c r="T2" s="4"/>
      <c r="U2" s="4"/>
      <c r="V2" s="53"/>
      <c r="W2" s="4"/>
      <c r="X2" s="53"/>
      <c r="Y2" s="4"/>
      <c r="Z2" s="53"/>
      <c r="AA2" s="4"/>
      <c r="AB2" s="4"/>
      <c r="AC2" s="4"/>
      <c r="AD2" s="53"/>
      <c r="AE2" s="4"/>
      <c r="AF2" s="4"/>
      <c r="AG2" s="4"/>
    </row>
    <row r="3" spans="1:33" ht="15" customHeight="1" x14ac:dyDescent="0.35">
      <c r="A3" s="4"/>
      <c r="B3" s="34" t="str">
        <f>'Guide for Reviewers'!B3</f>
        <v>I-35 McClain County</v>
      </c>
      <c r="C3" s="4"/>
      <c r="D3" s="53"/>
      <c r="E3" s="4"/>
      <c r="F3" s="4"/>
      <c r="G3" s="53"/>
      <c r="H3" s="4"/>
      <c r="I3" s="4"/>
      <c r="J3" s="53"/>
      <c r="K3" s="4"/>
      <c r="L3" s="4"/>
      <c r="M3" s="53"/>
      <c r="N3" s="4"/>
      <c r="O3" s="4"/>
      <c r="P3" s="53"/>
      <c r="Q3" s="4"/>
      <c r="R3" s="4"/>
      <c r="S3" s="53"/>
      <c r="T3" s="4"/>
      <c r="U3" s="4"/>
      <c r="V3" s="53"/>
      <c r="W3" s="4"/>
      <c r="X3" s="53"/>
      <c r="Y3" s="4"/>
      <c r="Z3" s="53"/>
      <c r="AA3" s="4"/>
      <c r="AB3" s="4"/>
      <c r="AC3" s="4"/>
      <c r="AD3" s="53"/>
      <c r="AE3" s="4"/>
      <c r="AF3" s="4"/>
      <c r="AG3" s="4"/>
    </row>
    <row r="4" spans="1:33" ht="15" customHeight="1" x14ac:dyDescent="0.35">
      <c r="A4" s="4"/>
      <c r="B4" s="34" t="str">
        <f>'Guide for Reviewers'!B4</f>
        <v>Oklahoma Department of Transportation</v>
      </c>
      <c r="C4" s="4"/>
      <c r="D4" s="53"/>
      <c r="E4" s="4"/>
      <c r="F4" s="4"/>
      <c r="G4" s="53"/>
      <c r="H4" s="4"/>
      <c r="I4" s="4"/>
      <c r="J4" s="53"/>
      <c r="K4" s="4"/>
      <c r="L4" s="4"/>
      <c r="M4" s="53"/>
      <c r="N4" s="4"/>
      <c r="O4" s="4"/>
      <c r="P4" s="53"/>
      <c r="Q4" s="4"/>
      <c r="R4" s="4"/>
      <c r="S4" s="53"/>
      <c r="T4" s="4"/>
      <c r="U4" s="4"/>
      <c r="V4" s="53"/>
      <c r="W4" s="4"/>
      <c r="X4" s="53"/>
      <c r="Y4" s="4"/>
      <c r="Z4" s="53"/>
      <c r="AA4" s="4"/>
      <c r="AB4" s="4"/>
      <c r="AC4" s="4"/>
      <c r="AD4" s="53"/>
      <c r="AE4" s="4"/>
      <c r="AF4" s="4"/>
      <c r="AG4" s="4"/>
    </row>
    <row r="5" spans="1:33" ht="15" customHeight="1" x14ac:dyDescent="0.35">
      <c r="A5" s="4"/>
      <c r="B5" s="34" t="s">
        <v>5</v>
      </c>
      <c r="C5" s="4"/>
      <c r="D5" s="53"/>
      <c r="E5" s="4"/>
      <c r="F5" s="4"/>
      <c r="G5" s="53"/>
      <c r="H5" s="4"/>
      <c r="I5" s="4"/>
      <c r="J5" s="53"/>
      <c r="K5" s="4"/>
      <c r="L5" s="4"/>
      <c r="M5" s="53"/>
      <c r="N5" s="4"/>
      <c r="O5" s="4"/>
      <c r="P5" s="53"/>
      <c r="Q5" s="4"/>
      <c r="R5" s="4"/>
      <c r="S5" s="53"/>
      <c r="T5" s="4"/>
      <c r="U5" s="4"/>
      <c r="V5" s="53"/>
      <c r="W5" s="4"/>
      <c r="X5" s="53"/>
      <c r="Y5" s="4"/>
      <c r="Z5" s="53"/>
      <c r="AA5" s="4"/>
      <c r="AB5" s="4"/>
      <c r="AC5" s="4"/>
      <c r="AD5" s="53"/>
      <c r="AE5" s="4"/>
      <c r="AF5" s="4"/>
      <c r="AG5" s="4"/>
    </row>
    <row r="6" spans="1:33" ht="5.25" customHeight="1" x14ac:dyDescent="0.35">
      <c r="A6" s="4"/>
      <c r="B6" s="4"/>
      <c r="C6" s="4"/>
      <c r="D6" s="53"/>
      <c r="E6" s="4"/>
      <c r="F6" s="4"/>
      <c r="G6" s="53"/>
      <c r="H6" s="4"/>
      <c r="I6" s="4"/>
      <c r="J6" s="53"/>
      <c r="K6" s="4"/>
      <c r="L6" s="4"/>
      <c r="M6" s="53"/>
      <c r="N6" s="4"/>
      <c r="O6" s="4"/>
      <c r="P6" s="53"/>
      <c r="Q6" s="4"/>
      <c r="R6" s="4"/>
      <c r="S6" s="53"/>
      <c r="T6" s="4"/>
      <c r="U6" s="4"/>
      <c r="V6" s="53"/>
      <c r="W6" s="4"/>
      <c r="X6" s="53"/>
      <c r="Y6" s="4"/>
      <c r="Z6" s="53"/>
      <c r="AA6" s="4"/>
      <c r="AB6" s="4"/>
      <c r="AC6" s="4"/>
      <c r="AD6" s="4"/>
      <c r="AE6" s="4"/>
      <c r="AF6" s="4"/>
      <c r="AG6" s="4"/>
    </row>
    <row r="7" spans="1:33" ht="15" customHeight="1" x14ac:dyDescent="0.35">
      <c r="A7" s="4"/>
      <c r="B7" s="360" t="s">
        <v>22</v>
      </c>
      <c r="C7" s="359"/>
      <c r="D7" s="359"/>
      <c r="E7" s="359"/>
      <c r="F7" s="359"/>
      <c r="G7" s="359"/>
      <c r="H7" s="359"/>
      <c r="I7" s="359"/>
      <c r="J7" s="359"/>
      <c r="K7" s="359"/>
      <c r="L7" s="359"/>
      <c r="M7" s="359"/>
      <c r="N7" s="359"/>
      <c r="O7" s="359"/>
      <c r="P7" s="359"/>
      <c r="Q7" s="359"/>
      <c r="R7" s="359"/>
      <c r="S7" s="359"/>
      <c r="T7" s="359"/>
      <c r="U7" s="359"/>
      <c r="V7" s="359"/>
      <c r="W7" s="359"/>
      <c r="X7" s="359"/>
      <c r="Y7" s="359"/>
      <c r="Z7" s="359"/>
      <c r="AA7" s="4"/>
      <c r="AB7" s="4"/>
      <c r="AC7" s="4"/>
      <c r="AD7" s="4"/>
      <c r="AE7" s="4"/>
      <c r="AF7" s="4"/>
      <c r="AG7" s="4"/>
    </row>
    <row r="8" spans="1:33" ht="5.25" customHeight="1" x14ac:dyDescent="0.35">
      <c r="A8" s="4"/>
      <c r="B8" s="4"/>
      <c r="C8" s="4"/>
      <c r="D8" s="53"/>
      <c r="E8" s="4"/>
      <c r="F8" s="4"/>
      <c r="G8" s="53"/>
      <c r="H8" s="4"/>
      <c r="I8" s="4"/>
      <c r="J8" s="53"/>
      <c r="K8" s="4"/>
      <c r="L8" s="4"/>
      <c r="M8" s="53"/>
      <c r="N8" s="4"/>
      <c r="O8" s="4"/>
      <c r="P8" s="53"/>
      <c r="Q8" s="4"/>
      <c r="R8" s="4"/>
      <c r="S8" s="53"/>
      <c r="T8" s="4"/>
      <c r="U8" s="4"/>
      <c r="V8" s="53"/>
      <c r="W8" s="4"/>
      <c r="X8" s="53"/>
      <c r="Y8" s="4"/>
      <c r="Z8" s="53"/>
      <c r="AA8" s="4"/>
      <c r="AB8" s="4"/>
      <c r="AC8" s="4"/>
      <c r="AD8" s="4"/>
      <c r="AE8" s="4"/>
      <c r="AF8" s="4"/>
      <c r="AG8" s="4"/>
    </row>
    <row r="9" spans="1:33" x14ac:dyDescent="0.35">
      <c r="A9" s="4"/>
      <c r="B9" s="1" t="s">
        <v>8</v>
      </c>
      <c r="C9" s="4"/>
      <c r="D9" s="53"/>
      <c r="E9" s="4"/>
      <c r="F9" s="4"/>
      <c r="G9" s="53"/>
      <c r="H9" s="4"/>
      <c r="I9" s="4"/>
      <c r="J9" s="53"/>
      <c r="K9" s="4"/>
      <c r="L9" s="4"/>
      <c r="M9" s="53"/>
      <c r="N9" s="4"/>
      <c r="O9" s="4"/>
      <c r="P9" s="53"/>
      <c r="Q9" s="4"/>
      <c r="R9" s="4"/>
      <c r="S9" s="53"/>
      <c r="T9" s="4"/>
      <c r="U9" s="4"/>
      <c r="V9" s="53"/>
      <c r="W9" s="4"/>
      <c r="X9" s="53"/>
      <c r="Y9" s="4"/>
      <c r="Z9" s="53"/>
      <c r="AA9" s="4"/>
      <c r="AB9" s="4"/>
      <c r="AC9" s="4"/>
      <c r="AD9" s="4"/>
      <c r="AE9" s="4"/>
      <c r="AF9" s="4"/>
      <c r="AG9" s="4"/>
    </row>
    <row r="10" spans="1:33" x14ac:dyDescent="0.35">
      <c r="A10" s="4"/>
      <c r="B10" s="4"/>
      <c r="C10" s="4"/>
      <c r="D10" s="53"/>
      <c r="E10" s="4"/>
      <c r="F10" s="4"/>
      <c r="G10" s="53"/>
      <c r="H10" s="4"/>
      <c r="I10" s="4"/>
      <c r="J10" s="53"/>
      <c r="K10" s="4"/>
      <c r="L10" s="4"/>
      <c r="M10" s="53"/>
      <c r="N10" s="4"/>
      <c r="O10" s="4"/>
      <c r="P10" s="53"/>
      <c r="Q10" s="4"/>
      <c r="R10" s="4"/>
      <c r="S10" s="53"/>
      <c r="T10" s="4"/>
      <c r="U10" s="4"/>
      <c r="V10" s="53"/>
      <c r="W10" s="4"/>
      <c r="X10" s="53"/>
      <c r="Y10" s="4"/>
      <c r="Z10" s="53"/>
      <c r="AA10" s="4"/>
      <c r="AB10" s="4"/>
      <c r="AC10" s="4"/>
      <c r="AD10" s="53"/>
      <c r="AE10" s="4"/>
      <c r="AF10" s="4"/>
      <c r="AG10" s="4"/>
    </row>
    <row r="11" spans="1:33" x14ac:dyDescent="0.35">
      <c r="A11" s="4"/>
      <c r="B11" s="4"/>
      <c r="C11" s="145"/>
      <c r="D11" s="4" t="s">
        <v>9</v>
      </c>
      <c r="E11" s="4"/>
      <c r="F11" s="4"/>
      <c r="G11" s="53"/>
      <c r="H11" s="4"/>
      <c r="I11" s="4"/>
      <c r="J11" s="53"/>
      <c r="K11" s="4"/>
      <c r="L11" s="4"/>
      <c r="M11" s="53"/>
      <c r="N11" s="4"/>
      <c r="O11" s="4"/>
      <c r="P11" s="53"/>
      <c r="Q11" s="4"/>
      <c r="R11" s="4"/>
      <c r="S11" s="53"/>
      <c r="T11" s="4"/>
      <c r="U11" s="4"/>
      <c r="V11" s="53"/>
      <c r="W11" s="4"/>
      <c r="X11" s="53"/>
      <c r="Y11" s="4"/>
      <c r="Z11" s="53"/>
      <c r="AA11" s="4"/>
      <c r="AB11" s="4"/>
      <c r="AC11" s="4"/>
      <c r="AD11" s="53"/>
      <c r="AE11" s="4"/>
      <c r="AF11" s="4"/>
      <c r="AG11" s="4"/>
    </row>
    <row r="12" spans="1:33" x14ac:dyDescent="0.35">
      <c r="A12" s="4"/>
      <c r="B12" s="4"/>
      <c r="C12" s="285"/>
      <c r="D12" s="4" t="s">
        <v>10</v>
      </c>
      <c r="E12" s="4"/>
      <c r="F12" s="4"/>
      <c r="G12" s="53"/>
      <c r="H12" s="4"/>
      <c r="I12" s="4"/>
      <c r="J12" s="53"/>
      <c r="K12" s="4"/>
      <c r="L12" s="4"/>
      <c r="M12" s="53"/>
      <c r="N12" s="4"/>
      <c r="O12" s="4"/>
      <c r="P12" s="53"/>
      <c r="Q12" s="4"/>
      <c r="R12" s="4"/>
      <c r="S12" s="53"/>
      <c r="T12" s="4"/>
      <c r="U12" s="4"/>
      <c r="V12" s="53"/>
      <c r="W12" s="4"/>
      <c r="X12" s="53"/>
      <c r="Y12" s="4"/>
      <c r="Z12" s="53"/>
      <c r="AA12" s="4"/>
      <c r="AB12" s="4"/>
      <c r="AC12" s="4"/>
      <c r="AD12" s="53"/>
      <c r="AE12" s="4"/>
      <c r="AF12" s="4"/>
      <c r="AG12" s="4"/>
    </row>
    <row r="13" spans="1:33" x14ac:dyDescent="0.35">
      <c r="A13" s="4"/>
      <c r="B13" s="4"/>
      <c r="C13" s="284"/>
      <c r="D13" s="4" t="s">
        <v>11</v>
      </c>
      <c r="E13" s="4"/>
      <c r="F13" s="4"/>
      <c r="G13" s="53"/>
      <c r="H13" s="4"/>
      <c r="I13" s="4"/>
      <c r="J13" s="53"/>
      <c r="K13" s="4"/>
      <c r="L13" s="4"/>
      <c r="M13" s="53"/>
      <c r="N13" s="4"/>
      <c r="O13" s="4"/>
      <c r="P13" s="53"/>
      <c r="Q13" s="4"/>
      <c r="R13" s="4"/>
      <c r="S13" s="53"/>
      <c r="T13" s="4"/>
      <c r="U13" s="4"/>
      <c r="V13" s="53"/>
      <c r="W13" s="4"/>
      <c r="X13" s="53"/>
      <c r="Y13" s="4"/>
      <c r="Z13" s="53"/>
      <c r="AA13" s="4"/>
      <c r="AB13" s="4"/>
      <c r="AC13" s="4"/>
      <c r="AD13" s="53"/>
      <c r="AE13" s="4"/>
      <c r="AF13" s="4"/>
      <c r="AG13" s="4"/>
    </row>
    <row r="14" spans="1:33" x14ac:dyDescent="0.35">
      <c r="A14" s="4"/>
      <c r="B14" s="4"/>
      <c r="C14" s="35"/>
      <c r="D14" s="4" t="s">
        <v>12</v>
      </c>
      <c r="E14" s="4"/>
      <c r="F14" s="4"/>
      <c r="G14" s="53"/>
      <c r="H14" s="4"/>
      <c r="I14" s="4"/>
      <c r="J14" s="53"/>
      <c r="K14" s="4"/>
      <c r="L14" s="4"/>
      <c r="M14" s="53"/>
      <c r="N14" s="4"/>
      <c r="O14" s="4"/>
      <c r="P14" s="53"/>
      <c r="Q14" s="4"/>
      <c r="R14" s="4"/>
      <c r="S14" s="53"/>
      <c r="T14" s="4"/>
      <c r="U14" s="4"/>
      <c r="V14" s="53"/>
      <c r="W14" s="4"/>
      <c r="X14" s="53"/>
      <c r="Y14" s="4"/>
      <c r="Z14" s="53"/>
      <c r="AA14" s="4"/>
      <c r="AB14" s="4"/>
      <c r="AC14" s="4"/>
      <c r="AD14" s="53"/>
      <c r="AE14" s="4"/>
      <c r="AF14" s="4"/>
      <c r="AG14" s="4"/>
    </row>
    <row r="15" spans="1:33" x14ac:dyDescent="0.35">
      <c r="A15" s="4"/>
      <c r="B15" s="4"/>
      <c r="C15" s="286"/>
      <c r="D15" s="4" t="s">
        <v>13</v>
      </c>
      <c r="E15" s="4"/>
      <c r="F15" s="4"/>
      <c r="G15" s="53"/>
      <c r="H15" s="4"/>
      <c r="I15" s="4"/>
      <c r="J15" s="53"/>
      <c r="K15" s="4"/>
      <c r="L15" s="4"/>
      <c r="M15" s="53"/>
      <c r="N15" s="4"/>
      <c r="O15" s="4"/>
      <c r="P15" s="350"/>
      <c r="Q15" s="350"/>
      <c r="R15" s="350"/>
      <c r="S15" s="350"/>
      <c r="T15" s="4"/>
      <c r="U15" s="4"/>
      <c r="V15" s="53"/>
      <c r="W15" s="4"/>
      <c r="X15" s="53"/>
      <c r="Y15" s="4"/>
      <c r="Z15" s="53"/>
      <c r="AA15" s="4"/>
      <c r="AB15" s="4"/>
      <c r="AC15" s="4"/>
      <c r="AD15" s="53"/>
      <c r="AE15" s="4"/>
      <c r="AF15" s="4"/>
      <c r="AG15" s="4"/>
    </row>
    <row r="16" spans="1:33" x14ac:dyDescent="0.35">
      <c r="A16" s="4"/>
      <c r="B16" s="4"/>
      <c r="C16" s="36"/>
      <c r="D16" s="4" t="s">
        <v>14</v>
      </c>
      <c r="E16" s="4"/>
      <c r="F16" s="4"/>
      <c r="G16" s="53"/>
      <c r="H16" s="4"/>
      <c r="I16" s="4"/>
      <c r="J16" s="53"/>
      <c r="K16" s="178"/>
      <c r="L16" s="178"/>
      <c r="M16" s="178"/>
      <c r="N16" s="178"/>
      <c r="O16" s="178"/>
      <c r="P16" s="350"/>
      <c r="Q16" s="350"/>
      <c r="R16" s="350"/>
      <c r="S16" s="350"/>
      <c r="T16" s="4"/>
      <c r="U16" s="4"/>
      <c r="V16" s="53"/>
      <c r="W16" s="4"/>
      <c r="X16" s="53"/>
      <c r="Y16" s="4"/>
      <c r="Z16" s="53"/>
      <c r="AA16" s="4"/>
      <c r="AB16" s="4"/>
      <c r="AC16" s="4"/>
      <c r="AD16" s="53"/>
      <c r="AE16" s="4"/>
      <c r="AF16" s="4"/>
      <c r="AG16" s="4"/>
    </row>
    <row r="17" spans="1:33" x14ac:dyDescent="0.35">
      <c r="A17" s="4"/>
      <c r="B17" s="4"/>
      <c r="C17" s="287"/>
      <c r="D17" s="4" t="s">
        <v>23</v>
      </c>
      <c r="E17" s="4"/>
      <c r="F17" s="4"/>
      <c r="G17" s="53"/>
      <c r="H17" s="4"/>
      <c r="I17" s="4"/>
      <c r="J17" s="53"/>
      <c r="K17" s="178"/>
      <c r="L17" s="178"/>
      <c r="M17" s="178"/>
      <c r="N17" s="178"/>
      <c r="O17" s="178"/>
      <c r="P17" s="350"/>
      <c r="Q17" s="350"/>
      <c r="R17" s="350"/>
      <c r="S17" s="350"/>
      <c r="T17" s="4"/>
      <c r="U17" s="4"/>
      <c r="V17" s="53"/>
      <c r="W17" s="4"/>
      <c r="X17" s="53"/>
      <c r="Y17" s="4"/>
      <c r="Z17" s="53"/>
      <c r="AA17" s="4"/>
      <c r="AB17" s="4"/>
      <c r="AC17" s="4"/>
      <c r="AD17" s="53"/>
      <c r="AE17" s="4"/>
      <c r="AF17" s="4"/>
      <c r="AG17" s="4"/>
    </row>
    <row r="18" spans="1:33" ht="5.25" customHeight="1" x14ac:dyDescent="0.35">
      <c r="A18" s="4"/>
      <c r="B18" s="4"/>
      <c r="C18" s="4"/>
      <c r="D18" s="53"/>
      <c r="E18" s="4"/>
      <c r="F18" s="4"/>
      <c r="G18" s="53"/>
      <c r="H18" s="4"/>
      <c r="I18" s="4"/>
      <c r="J18" s="53"/>
      <c r="K18" s="178"/>
      <c r="L18" s="178"/>
      <c r="M18" s="178"/>
      <c r="N18" s="178"/>
      <c r="O18" s="178"/>
      <c r="P18" s="350"/>
      <c r="Q18" s="350"/>
      <c r="R18" s="350"/>
      <c r="S18" s="350"/>
      <c r="T18" s="4"/>
      <c r="U18" s="4"/>
      <c r="V18" s="53"/>
      <c r="W18" s="4"/>
      <c r="X18" s="53"/>
      <c r="Y18" s="4"/>
      <c r="Z18" s="53"/>
      <c r="AA18" s="4"/>
      <c r="AB18" s="4"/>
      <c r="AC18" s="4"/>
      <c r="AD18" s="53"/>
      <c r="AE18" s="4"/>
      <c r="AF18" s="4"/>
      <c r="AG18" s="4"/>
    </row>
    <row r="19" spans="1:33" x14ac:dyDescent="0.35">
      <c r="A19" s="4"/>
      <c r="B19" s="4"/>
      <c r="C19" s="4"/>
      <c r="D19" s="53"/>
      <c r="E19" s="4"/>
      <c r="F19" s="4"/>
      <c r="G19" s="53"/>
      <c r="H19" s="4"/>
      <c r="I19" s="4"/>
      <c r="J19" s="53"/>
      <c r="K19" s="178"/>
      <c r="L19" s="178"/>
      <c r="M19" s="178"/>
      <c r="N19" s="178"/>
      <c r="O19" s="178"/>
      <c r="P19" s="350"/>
      <c r="Q19" s="350"/>
      <c r="R19" s="350"/>
      <c r="S19" s="350"/>
      <c r="T19" s="4"/>
      <c r="U19" s="4"/>
      <c r="V19" s="53"/>
      <c r="W19" s="4"/>
      <c r="X19" s="53"/>
      <c r="Y19" s="4"/>
      <c r="Z19" s="53"/>
      <c r="AA19" s="4"/>
      <c r="AB19" s="4"/>
      <c r="AC19" s="4"/>
      <c r="AD19" s="53"/>
      <c r="AE19" s="4"/>
      <c r="AF19" s="4"/>
      <c r="AG19" s="4"/>
    </row>
    <row r="20" spans="1:33" ht="9" customHeight="1" x14ac:dyDescent="0.35">
      <c r="A20" s="306"/>
      <c r="B20" s="306"/>
      <c r="C20" s="306"/>
      <c r="D20" s="652" t="s">
        <v>24</v>
      </c>
      <c r="E20" s="307"/>
      <c r="F20" s="307"/>
      <c r="G20" s="351"/>
      <c r="H20" s="307"/>
      <c r="I20" s="308"/>
      <c r="J20" s="350"/>
      <c r="K20" s="178"/>
      <c r="L20" s="178"/>
      <c r="M20" s="178"/>
      <c r="N20" s="178"/>
      <c r="O20" s="178"/>
      <c r="P20" s="350"/>
      <c r="Q20" s="350"/>
      <c r="R20" s="350"/>
      <c r="S20" s="350"/>
      <c r="T20" s="306"/>
      <c r="U20" s="306"/>
      <c r="V20" s="350"/>
      <c r="W20" s="306"/>
      <c r="X20" s="350"/>
      <c r="Y20" s="306"/>
      <c r="Z20" s="350"/>
      <c r="AA20" s="306"/>
      <c r="AB20" s="306"/>
      <c r="AC20" s="306"/>
      <c r="AD20" s="350"/>
      <c r="AE20" s="306"/>
      <c r="AF20" s="306"/>
      <c r="AG20" s="306"/>
    </row>
    <row r="21" spans="1:33" ht="9" customHeight="1" x14ac:dyDescent="0.35">
      <c r="A21" s="306"/>
      <c r="B21" s="306"/>
      <c r="C21" s="306"/>
      <c r="D21" s="653"/>
      <c r="E21" s="306"/>
      <c r="F21" s="306"/>
      <c r="G21" s="350"/>
      <c r="H21" s="309"/>
      <c r="I21" s="308"/>
      <c r="J21" s="350"/>
      <c r="K21" s="178"/>
      <c r="L21" s="178"/>
      <c r="M21" s="178"/>
      <c r="N21" s="178"/>
      <c r="O21" s="178"/>
      <c r="P21" s="350"/>
      <c r="Q21" s="350"/>
      <c r="R21" s="350"/>
      <c r="S21" s="350"/>
      <c r="T21" s="306"/>
      <c r="U21" s="306"/>
      <c r="V21" s="350"/>
      <c r="W21" s="306"/>
      <c r="X21" s="350"/>
      <c r="Y21" s="306"/>
      <c r="Z21" s="350"/>
      <c r="AA21" s="306"/>
      <c r="AB21" s="306"/>
      <c r="AC21" s="306"/>
      <c r="AD21" s="350"/>
      <c r="AE21" s="306"/>
      <c r="AF21" s="306"/>
      <c r="AG21" s="306"/>
    </row>
    <row r="22" spans="1:33" ht="9" customHeight="1" x14ac:dyDescent="0.35">
      <c r="A22" s="306"/>
      <c r="B22" s="306"/>
      <c r="C22" s="306"/>
      <c r="D22" s="350"/>
      <c r="E22" s="306"/>
      <c r="F22" s="306"/>
      <c r="G22" s="350"/>
      <c r="H22" s="310"/>
      <c r="I22" s="306"/>
      <c r="J22" s="178"/>
      <c r="K22" s="178"/>
      <c r="L22" s="178"/>
      <c r="M22" s="178"/>
      <c r="N22" s="178"/>
      <c r="O22" s="178"/>
      <c r="P22" s="350"/>
      <c r="Q22" s="350"/>
      <c r="R22" s="350"/>
      <c r="S22" s="350"/>
      <c r="T22" s="306"/>
      <c r="U22" s="306"/>
      <c r="V22" s="350"/>
      <c r="W22" s="306"/>
      <c r="X22" s="350"/>
      <c r="Y22" s="306"/>
      <c r="Z22" s="350"/>
      <c r="AA22" s="306"/>
      <c r="AB22" s="306"/>
      <c r="AC22" s="306"/>
      <c r="AD22" s="350"/>
      <c r="AE22" s="306"/>
      <c r="AF22" s="306"/>
      <c r="AG22" s="306"/>
    </row>
    <row r="23" spans="1:33" ht="9" customHeight="1" x14ac:dyDescent="0.35">
      <c r="A23" s="306"/>
      <c r="B23" s="306"/>
      <c r="C23" s="306"/>
      <c r="D23" s="652" t="s">
        <v>25</v>
      </c>
      <c r="E23" s="307"/>
      <c r="F23" s="307"/>
      <c r="G23" s="658" t="s">
        <v>26</v>
      </c>
      <c r="H23" s="312"/>
      <c r="I23" s="306"/>
      <c r="J23" s="178"/>
      <c r="K23" s="178"/>
      <c r="L23" s="178"/>
      <c r="M23" s="178"/>
      <c r="N23" s="178"/>
      <c r="O23" s="178"/>
      <c r="P23" s="350"/>
      <c r="Q23" s="350"/>
      <c r="R23" s="350"/>
      <c r="S23" s="350"/>
      <c r="T23" s="306"/>
      <c r="U23" s="306"/>
      <c r="V23" s="350"/>
      <c r="W23" s="306"/>
      <c r="X23" s="350"/>
      <c r="Y23" s="306"/>
      <c r="Z23" s="350"/>
      <c r="AA23" s="306"/>
      <c r="AB23" s="306"/>
      <c r="AC23" s="306"/>
      <c r="AD23" s="350"/>
      <c r="AE23" s="306"/>
      <c r="AF23" s="306"/>
      <c r="AG23" s="306"/>
    </row>
    <row r="24" spans="1:33" ht="9" customHeight="1" x14ac:dyDescent="0.35">
      <c r="A24" s="306"/>
      <c r="B24" s="306"/>
      <c r="C24" s="306"/>
      <c r="D24" s="653"/>
      <c r="E24" s="314"/>
      <c r="F24" s="314"/>
      <c r="G24" s="659"/>
      <c r="H24" s="309"/>
      <c r="I24" s="306"/>
      <c r="J24" s="178"/>
      <c r="K24" s="178"/>
      <c r="L24" s="178"/>
      <c r="M24" s="178"/>
      <c r="N24" s="178"/>
      <c r="O24" s="178"/>
      <c r="P24" s="178"/>
      <c r="Q24" s="306"/>
      <c r="R24" s="306"/>
      <c r="S24" s="350"/>
      <c r="T24" s="306"/>
      <c r="U24" s="306"/>
      <c r="V24" s="350"/>
      <c r="W24" s="306"/>
      <c r="X24" s="350"/>
      <c r="Y24" s="306"/>
      <c r="Z24" s="350"/>
      <c r="AA24" s="306"/>
      <c r="AB24" s="306"/>
      <c r="AC24" s="306"/>
      <c r="AD24" s="350"/>
      <c r="AE24" s="306"/>
      <c r="AF24" s="306"/>
      <c r="AG24" s="306"/>
    </row>
    <row r="25" spans="1:33" ht="9" customHeight="1" x14ac:dyDescent="0.35">
      <c r="A25" s="306"/>
      <c r="B25" s="306"/>
      <c r="C25" s="306"/>
      <c r="D25" s="350"/>
      <c r="E25" s="306"/>
      <c r="F25" s="306"/>
      <c r="G25" s="350"/>
      <c r="H25" s="310"/>
      <c r="I25" s="306"/>
      <c r="J25" s="178"/>
      <c r="K25" s="178"/>
      <c r="L25" s="178"/>
      <c r="M25" s="178"/>
      <c r="N25" s="178"/>
      <c r="O25" s="178"/>
      <c r="P25" s="178"/>
      <c r="Q25" s="306"/>
      <c r="R25" s="306"/>
      <c r="S25" s="350"/>
      <c r="T25" s="306"/>
      <c r="U25" s="306"/>
      <c r="V25" s="350"/>
      <c r="W25" s="306"/>
      <c r="X25" s="350"/>
      <c r="Y25" s="306"/>
      <c r="Z25" s="350"/>
      <c r="AA25" s="306"/>
      <c r="AB25" s="306"/>
      <c r="AC25" s="306"/>
      <c r="AD25" s="350"/>
      <c r="AE25" s="306"/>
      <c r="AF25" s="306"/>
      <c r="AG25" s="306"/>
    </row>
    <row r="26" spans="1:33" ht="9" customHeight="1" x14ac:dyDescent="0.35">
      <c r="A26" s="306"/>
      <c r="B26" s="306"/>
      <c r="C26" s="306"/>
      <c r="D26" s="666" t="s">
        <v>27</v>
      </c>
      <c r="E26" s="307"/>
      <c r="F26" s="45"/>
      <c r="G26" s="178"/>
      <c r="H26" s="545"/>
      <c r="I26" s="308"/>
      <c r="J26" s="350"/>
      <c r="K26" s="178"/>
      <c r="L26" s="178"/>
      <c r="M26" s="178"/>
      <c r="N26" s="178"/>
      <c r="O26" s="178"/>
      <c r="P26" s="350"/>
      <c r="Q26" s="306"/>
      <c r="R26" s="306"/>
      <c r="S26" s="350"/>
      <c r="T26" s="306"/>
      <c r="U26" s="306"/>
      <c r="V26" s="350"/>
      <c r="W26" s="306"/>
      <c r="X26" s="350"/>
      <c r="Y26" s="306"/>
      <c r="Z26" s="350"/>
      <c r="AA26" s="306"/>
      <c r="AB26" s="306"/>
      <c r="AC26" s="306"/>
      <c r="AD26" s="350"/>
      <c r="AE26" s="306"/>
      <c r="AF26" s="306"/>
      <c r="AG26" s="306"/>
    </row>
    <row r="27" spans="1:33" ht="9" customHeight="1" x14ac:dyDescent="0.35">
      <c r="A27" s="306"/>
      <c r="B27" s="306"/>
      <c r="C27" s="306"/>
      <c r="D27" s="667"/>
      <c r="E27" s="310"/>
      <c r="F27" s="178"/>
      <c r="G27" s="178"/>
      <c r="H27" s="546"/>
      <c r="I27" s="308"/>
      <c r="J27" s="350"/>
      <c r="K27" s="178"/>
      <c r="L27" s="178"/>
      <c r="M27" s="178"/>
      <c r="N27" s="178"/>
      <c r="O27" s="178"/>
      <c r="P27" s="350"/>
      <c r="Q27" s="306"/>
      <c r="R27" s="306"/>
      <c r="S27" s="350"/>
      <c r="T27" s="306"/>
      <c r="U27" s="306"/>
      <c r="V27" s="350"/>
      <c r="W27" s="306"/>
      <c r="X27" s="350"/>
      <c r="Y27" s="306"/>
      <c r="Z27" s="350"/>
      <c r="AA27" s="306"/>
      <c r="AB27" s="306"/>
      <c r="AC27" s="306"/>
      <c r="AD27" s="350"/>
      <c r="AE27" s="306"/>
      <c r="AF27" s="306"/>
      <c r="AG27" s="306"/>
    </row>
    <row r="28" spans="1:33" ht="9" customHeight="1" x14ac:dyDescent="0.35">
      <c r="A28" s="306"/>
      <c r="B28" s="306"/>
      <c r="C28" s="306"/>
      <c r="D28" s="353"/>
      <c r="E28" s="312"/>
      <c r="F28" s="178"/>
      <c r="G28" s="178"/>
      <c r="H28" s="546"/>
      <c r="I28" s="308"/>
      <c r="J28" s="350"/>
      <c r="K28" s="178"/>
      <c r="L28" s="178"/>
      <c r="M28" s="178"/>
      <c r="N28" s="178"/>
      <c r="O28" s="178"/>
      <c r="P28" s="350"/>
      <c r="Q28" s="306"/>
      <c r="R28" s="306"/>
      <c r="S28" s="350"/>
      <c r="T28" s="306"/>
      <c r="U28" s="306"/>
      <c r="V28" s="350"/>
      <c r="W28" s="306"/>
      <c r="X28" s="350"/>
      <c r="Y28" s="306"/>
      <c r="Z28" s="350"/>
      <c r="AA28" s="306"/>
      <c r="AB28" s="306"/>
      <c r="AC28" s="306"/>
      <c r="AD28" s="350"/>
      <c r="AE28" s="306"/>
      <c r="AF28" s="306"/>
      <c r="AG28" s="306"/>
    </row>
    <row r="29" spans="1:33" ht="9" customHeight="1" x14ac:dyDescent="0.35">
      <c r="A29" s="306"/>
      <c r="B29" s="306"/>
      <c r="C29" s="306"/>
      <c r="D29" s="666" t="s">
        <v>28</v>
      </c>
      <c r="E29" s="319"/>
      <c r="G29" s="652" t="s">
        <v>29</v>
      </c>
      <c r="H29" s="543"/>
      <c r="I29" s="308"/>
      <c r="J29" s="350"/>
      <c r="K29" s="178"/>
      <c r="L29" s="178"/>
      <c r="M29" s="178"/>
      <c r="N29" s="178"/>
      <c r="O29" s="178"/>
      <c r="P29" s="350"/>
      <c r="Q29" s="306"/>
      <c r="R29" s="306"/>
      <c r="S29" s="350"/>
      <c r="T29" s="306"/>
      <c r="U29" s="306"/>
      <c r="V29" s="350"/>
      <c r="W29" s="306"/>
      <c r="X29" s="350"/>
      <c r="Y29" s="306"/>
      <c r="Z29" s="350"/>
      <c r="AA29" s="306"/>
      <c r="AB29" s="306"/>
      <c r="AC29" s="306"/>
      <c r="AD29" s="350"/>
      <c r="AE29" s="306"/>
      <c r="AF29" s="306"/>
      <c r="AG29" s="306"/>
    </row>
    <row r="30" spans="1:33" ht="9" customHeight="1" x14ac:dyDescent="0.35">
      <c r="A30" s="306"/>
      <c r="B30" s="306"/>
      <c r="C30" s="306"/>
      <c r="D30" s="667"/>
      <c r="E30" s="310"/>
      <c r="F30" s="542"/>
      <c r="G30" s="653"/>
      <c r="H30" s="544"/>
      <c r="I30" s="308"/>
      <c r="J30" s="350"/>
      <c r="K30" s="178"/>
      <c r="L30" s="178"/>
      <c r="M30" s="178"/>
      <c r="N30" s="178"/>
      <c r="O30" s="178"/>
      <c r="P30" s="350"/>
      <c r="Q30" s="306"/>
      <c r="R30" s="306"/>
      <c r="S30" s="350"/>
      <c r="T30" s="306"/>
      <c r="U30" s="306"/>
      <c r="V30" s="350"/>
      <c r="W30" s="306"/>
      <c r="X30" s="350"/>
      <c r="Y30" s="306"/>
      <c r="Z30" s="350"/>
      <c r="AA30" s="306"/>
      <c r="AB30" s="306"/>
      <c r="AC30" s="306"/>
      <c r="AD30" s="350"/>
      <c r="AE30" s="306"/>
      <c r="AF30" s="306"/>
      <c r="AG30" s="306"/>
    </row>
    <row r="31" spans="1:33" ht="9" customHeight="1" x14ac:dyDescent="0.35">
      <c r="A31" s="306"/>
      <c r="B31" s="306"/>
      <c r="C31" s="306"/>
      <c r="D31" s="350"/>
      <c r="E31" s="312"/>
      <c r="F31" s="178"/>
      <c r="G31" s="178"/>
      <c r="H31" s="546"/>
      <c r="I31" s="547"/>
      <c r="J31" s="350"/>
      <c r="K31" s="178"/>
      <c r="L31" s="178"/>
      <c r="M31" s="666" t="s">
        <v>30</v>
      </c>
      <c r="N31" s="178"/>
      <c r="O31" s="178"/>
      <c r="P31" s="350"/>
      <c r="Q31" s="306"/>
      <c r="R31" s="306"/>
      <c r="S31" s="350"/>
      <c r="T31" s="306"/>
      <c r="U31" s="306"/>
      <c r="V31" s="350"/>
      <c r="W31" s="306"/>
      <c r="X31" s="350"/>
      <c r="Y31" s="306"/>
      <c r="Z31" s="350"/>
      <c r="AA31" s="306"/>
      <c r="AB31" s="306"/>
      <c r="AC31" s="306"/>
      <c r="AD31" s="350"/>
      <c r="AE31" s="306"/>
      <c r="AF31" s="306"/>
      <c r="AG31" s="306"/>
    </row>
    <row r="32" spans="1:33" ht="9" customHeight="1" x14ac:dyDescent="0.35">
      <c r="A32" s="306"/>
      <c r="B32" s="306"/>
      <c r="C32" s="306"/>
      <c r="D32" s="666" t="s">
        <v>31</v>
      </c>
      <c r="E32" s="319"/>
      <c r="F32" s="548"/>
      <c r="G32" s="178"/>
      <c r="H32" s="546"/>
      <c r="I32" s="547"/>
      <c r="J32" s="350"/>
      <c r="K32" s="306"/>
      <c r="L32" s="315"/>
      <c r="M32" s="667"/>
      <c r="N32" s="316"/>
      <c r="O32" s="317"/>
      <c r="P32" s="350"/>
      <c r="Q32" s="306"/>
      <c r="R32" s="306"/>
      <c r="S32" s="350"/>
      <c r="T32" s="306"/>
      <c r="U32" s="306"/>
      <c r="V32" s="350"/>
      <c r="W32" s="306"/>
      <c r="X32" s="350"/>
      <c r="Y32" s="306"/>
      <c r="Z32" s="350"/>
      <c r="AA32" s="306"/>
      <c r="AB32" s="306"/>
      <c r="AC32" s="306"/>
      <c r="AD32" s="350"/>
      <c r="AE32" s="306"/>
      <c r="AF32" s="306"/>
      <c r="AG32" s="306"/>
    </row>
    <row r="33" spans="1:33" ht="9" customHeight="1" x14ac:dyDescent="0.35">
      <c r="A33" s="306"/>
      <c r="B33" s="306"/>
      <c r="C33" s="306"/>
      <c r="D33" s="667"/>
      <c r="E33" s="332"/>
      <c r="F33" s="45"/>
      <c r="G33" s="178"/>
      <c r="H33" s="546"/>
      <c r="I33" s="547"/>
      <c r="J33" s="350"/>
      <c r="K33" s="306"/>
      <c r="L33" s="320"/>
      <c r="M33" s="352"/>
      <c r="N33" s="541"/>
      <c r="O33" s="317"/>
      <c r="P33" s="350"/>
      <c r="Q33" s="306"/>
      <c r="R33" s="306"/>
      <c r="S33" s="350"/>
      <c r="T33" s="306"/>
      <c r="U33" s="306"/>
      <c r="V33" s="350"/>
      <c r="W33" s="306"/>
      <c r="X33" s="350"/>
      <c r="Y33" s="306"/>
      <c r="Z33" s="350"/>
      <c r="AA33" s="306"/>
      <c r="AB33" s="306"/>
      <c r="AC33" s="306"/>
      <c r="AD33" s="350"/>
      <c r="AE33" s="306"/>
      <c r="AF33" s="306"/>
      <c r="AG33" s="306"/>
    </row>
    <row r="34" spans="1:33" ht="9" customHeight="1" x14ac:dyDescent="0.35">
      <c r="A34" s="306"/>
      <c r="B34" s="306"/>
      <c r="C34" s="306"/>
      <c r="D34" s="539"/>
      <c r="E34" s="45"/>
      <c r="F34" s="45"/>
      <c r="G34" s="350"/>
      <c r="H34" s="310"/>
      <c r="I34" s="308"/>
      <c r="J34" s="350"/>
      <c r="K34" s="306"/>
      <c r="L34" s="317"/>
      <c r="M34" s="666" t="s">
        <v>32</v>
      </c>
      <c r="N34" s="318"/>
      <c r="O34" s="317"/>
      <c r="P34" s="350"/>
      <c r="Q34" s="306"/>
      <c r="R34" s="306"/>
      <c r="S34" s="350"/>
      <c r="T34" s="306"/>
      <c r="U34" s="306"/>
      <c r="V34" s="350"/>
      <c r="W34" s="306"/>
      <c r="X34" s="350"/>
      <c r="Y34" s="306"/>
      <c r="Z34" s="350"/>
      <c r="AA34" s="306"/>
      <c r="AB34" s="306"/>
      <c r="AC34" s="306"/>
      <c r="AD34" s="350"/>
      <c r="AE34" s="306"/>
      <c r="AF34" s="306"/>
      <c r="AG34" s="306"/>
    </row>
    <row r="35" spans="1:33" ht="9" customHeight="1" x14ac:dyDescent="0.35">
      <c r="A35" s="306"/>
      <c r="B35" s="306"/>
      <c r="C35" s="306"/>
      <c r="D35" s="652" t="s">
        <v>33</v>
      </c>
      <c r="E35" s="307"/>
      <c r="F35" s="307"/>
      <c r="G35" s="666" t="s">
        <v>34</v>
      </c>
      <c r="H35" s="319"/>
      <c r="I35" s="306"/>
      <c r="J35" s="350"/>
      <c r="K35" s="306"/>
      <c r="L35" s="315"/>
      <c r="M35" s="667"/>
      <c r="N35" s="316"/>
      <c r="O35" s="317"/>
      <c r="P35" s="350"/>
      <c r="Q35" s="306"/>
      <c r="R35" s="306"/>
      <c r="S35" s="350"/>
      <c r="T35" s="306"/>
      <c r="U35" s="306"/>
      <c r="V35" s="350"/>
      <c r="W35" s="306"/>
      <c r="X35" s="350"/>
      <c r="Y35" s="306"/>
      <c r="Z35" s="350"/>
      <c r="AA35" s="306"/>
      <c r="AB35" s="306"/>
      <c r="AC35" s="306"/>
      <c r="AD35" s="350"/>
      <c r="AE35" s="306"/>
      <c r="AF35" s="306"/>
      <c r="AG35" s="306"/>
    </row>
    <row r="36" spans="1:33" ht="9" customHeight="1" x14ac:dyDescent="0.35">
      <c r="A36" s="306"/>
      <c r="B36" s="306"/>
      <c r="C36" s="306"/>
      <c r="D36" s="653"/>
      <c r="E36" s="306"/>
      <c r="F36" s="306"/>
      <c r="G36" s="667"/>
      <c r="H36" s="310"/>
      <c r="I36" s="306"/>
      <c r="J36" s="350"/>
      <c r="K36" s="306"/>
      <c r="L36" s="317"/>
      <c r="M36" s="352"/>
      <c r="N36" s="318"/>
      <c r="O36" s="320"/>
      <c r="P36" s="350"/>
      <c r="Q36" s="306"/>
      <c r="R36" s="306"/>
      <c r="S36" s="350"/>
      <c r="T36" s="306"/>
      <c r="U36" s="306"/>
      <c r="V36" s="350"/>
      <c r="W36" s="306"/>
      <c r="X36" s="350"/>
      <c r="Y36" s="306"/>
      <c r="Z36" s="350"/>
      <c r="AA36" s="306"/>
      <c r="AB36" s="306"/>
      <c r="AC36" s="306"/>
      <c r="AD36" s="350"/>
      <c r="AE36" s="306"/>
      <c r="AF36" s="306"/>
      <c r="AG36" s="306"/>
    </row>
    <row r="37" spans="1:33" ht="9" customHeight="1" x14ac:dyDescent="0.35">
      <c r="A37" s="306"/>
      <c r="B37" s="306"/>
      <c r="C37" s="306"/>
      <c r="D37" s="350"/>
      <c r="E37" s="306"/>
      <c r="F37" s="306"/>
      <c r="G37" s="350"/>
      <c r="H37" s="310"/>
      <c r="I37" s="308"/>
      <c r="J37" s="350"/>
      <c r="K37" s="306"/>
      <c r="L37" s="317"/>
      <c r="M37" s="666" t="s">
        <v>35</v>
      </c>
      <c r="N37" s="318"/>
      <c r="O37" s="520"/>
      <c r="P37" s="355"/>
      <c r="Q37" s="306"/>
      <c r="R37" s="306"/>
      <c r="S37" s="350"/>
      <c r="T37" s="306"/>
      <c r="U37" s="306"/>
      <c r="V37" s="350"/>
      <c r="W37" s="306"/>
      <c r="X37" s="350"/>
      <c r="Y37" s="306"/>
      <c r="Z37" s="350"/>
      <c r="AA37" s="306"/>
      <c r="AB37" s="306"/>
      <c r="AC37" s="306"/>
      <c r="AD37" s="350"/>
      <c r="AE37" s="306"/>
      <c r="AF37" s="306"/>
      <c r="AG37" s="306"/>
    </row>
    <row r="38" spans="1:33" ht="9" customHeight="1" x14ac:dyDescent="0.35">
      <c r="A38" s="306"/>
      <c r="B38" s="306"/>
      <c r="C38" s="306"/>
      <c r="D38" s="652" t="s">
        <v>36</v>
      </c>
      <c r="E38" s="307"/>
      <c r="F38" s="307"/>
      <c r="G38" s="666" t="s">
        <v>37</v>
      </c>
      <c r="H38" s="319"/>
      <c r="I38" s="308"/>
      <c r="J38" s="350"/>
      <c r="K38" s="306"/>
      <c r="L38" s="315"/>
      <c r="M38" s="667"/>
      <c r="N38" s="316"/>
      <c r="O38" s="317"/>
      <c r="P38" s="350"/>
      <c r="Q38" s="306"/>
      <c r="R38" s="306"/>
      <c r="S38" s="350"/>
      <c r="T38" s="306"/>
      <c r="U38" s="306"/>
      <c r="V38" s="350"/>
      <c r="W38" s="306"/>
      <c r="X38" s="350"/>
      <c r="Y38" s="306"/>
      <c r="Z38" s="350"/>
      <c r="AA38" s="306"/>
      <c r="AB38" s="306"/>
      <c r="AC38" s="306"/>
      <c r="AD38" s="350"/>
      <c r="AE38" s="306"/>
      <c r="AF38" s="306"/>
      <c r="AG38" s="306"/>
    </row>
    <row r="39" spans="1:33" ht="9" customHeight="1" x14ac:dyDescent="0.35">
      <c r="A39" s="306"/>
      <c r="B39" s="306"/>
      <c r="C39" s="306"/>
      <c r="D39" s="653"/>
      <c r="E39" s="306"/>
      <c r="F39" s="306"/>
      <c r="G39" s="667"/>
      <c r="H39" s="311"/>
      <c r="I39" s="317"/>
      <c r="J39" s="350"/>
      <c r="K39" s="306"/>
      <c r="L39" s="317"/>
      <c r="M39" s="353"/>
      <c r="N39" s="519"/>
      <c r="O39" s="320"/>
      <c r="P39" s="350"/>
      <c r="Q39" s="306"/>
      <c r="R39" s="306"/>
      <c r="S39" s="350"/>
      <c r="T39" s="306"/>
      <c r="U39" s="306"/>
      <c r="V39" s="350"/>
      <c r="W39" s="306"/>
      <c r="X39" s="350"/>
      <c r="Y39" s="306"/>
      <c r="Z39" s="350"/>
      <c r="AA39" s="306"/>
      <c r="AB39" s="306"/>
      <c r="AC39" s="306"/>
      <c r="AD39" s="350"/>
      <c r="AE39" s="306"/>
      <c r="AF39" s="306"/>
      <c r="AG39" s="306"/>
    </row>
    <row r="40" spans="1:33" ht="9" customHeight="1" x14ac:dyDescent="0.35">
      <c r="A40" s="306"/>
      <c r="B40" s="306"/>
      <c r="C40" s="306"/>
      <c r="D40" s="350"/>
      <c r="E40" s="306"/>
      <c r="F40" s="306"/>
      <c r="G40" s="350"/>
      <c r="H40" s="311"/>
      <c r="I40" s="317"/>
      <c r="J40" s="350"/>
      <c r="K40" s="311"/>
      <c r="L40" s="317"/>
      <c r="M40" s="666" t="s">
        <v>38</v>
      </c>
      <c r="N40" s="318"/>
      <c r="O40" s="317"/>
      <c r="P40" s="350"/>
      <c r="Q40" s="306"/>
      <c r="R40" s="306"/>
      <c r="S40" s="350"/>
      <c r="T40" s="306"/>
      <c r="U40" s="306"/>
      <c r="V40" s="350"/>
      <c r="W40" s="306"/>
      <c r="X40" s="350"/>
      <c r="Y40" s="306"/>
      <c r="Z40" s="350"/>
      <c r="AA40" s="306"/>
      <c r="AB40" s="306"/>
      <c r="AC40" s="306"/>
      <c r="AD40" s="350"/>
      <c r="AE40" s="306"/>
      <c r="AF40" s="306"/>
      <c r="AG40" s="306"/>
    </row>
    <row r="41" spans="1:33" ht="9" customHeight="1" x14ac:dyDescent="0.35">
      <c r="A41" s="306"/>
      <c r="B41" s="306"/>
      <c r="C41" s="306"/>
      <c r="D41" s="666" t="s">
        <v>39</v>
      </c>
      <c r="E41" s="307"/>
      <c r="F41" s="307"/>
      <c r="G41" s="652" t="s">
        <v>40</v>
      </c>
      <c r="H41" s="549"/>
      <c r="I41" s="317"/>
      <c r="J41" s="350"/>
      <c r="K41" s="322"/>
      <c r="L41" s="315"/>
      <c r="M41" s="667"/>
      <c r="N41" s="316"/>
      <c r="O41" s="317"/>
      <c r="P41" s="350"/>
      <c r="Q41" s="306"/>
      <c r="R41" s="306"/>
      <c r="S41" s="350"/>
      <c r="T41" s="306"/>
      <c r="U41" s="306"/>
      <c r="V41" s="350"/>
      <c r="W41" s="306"/>
      <c r="X41" s="350"/>
      <c r="Y41" s="306"/>
      <c r="Z41" s="350"/>
      <c r="AA41" s="306"/>
      <c r="AB41" s="306"/>
      <c r="AC41" s="306"/>
      <c r="AD41" s="350"/>
      <c r="AE41" s="306"/>
      <c r="AF41" s="306"/>
      <c r="AG41" s="306"/>
    </row>
    <row r="42" spans="1:33" ht="9" customHeight="1" x14ac:dyDescent="0.35">
      <c r="A42" s="306"/>
      <c r="B42" s="306"/>
      <c r="C42" s="306"/>
      <c r="D42" s="667"/>
      <c r="E42" s="306"/>
      <c r="F42" s="306"/>
      <c r="G42" s="653"/>
      <c r="H42" s="311"/>
      <c r="I42" s="323"/>
      <c r="J42" s="652" t="s">
        <v>41</v>
      </c>
      <c r="K42" s="324"/>
      <c r="L42" s="325"/>
      <c r="M42" s="521"/>
      <c r="N42" s="326"/>
      <c r="O42" s="323"/>
      <c r="P42" s="668" t="s">
        <v>42</v>
      </c>
      <c r="Q42" s="326"/>
      <c r="R42" s="306"/>
      <c r="S42" s="350"/>
      <c r="T42" s="306"/>
      <c r="U42" s="313"/>
      <c r="V42" s="656" t="s">
        <v>43</v>
      </c>
      <c r="W42" s="313"/>
      <c r="X42" s="357"/>
      <c r="Y42" s="313"/>
      <c r="Z42" s="357"/>
      <c r="AA42" s="313"/>
      <c r="AB42" s="306"/>
      <c r="AC42" s="313"/>
      <c r="AD42" s="656" t="s">
        <v>44</v>
      </c>
      <c r="AE42" s="306"/>
      <c r="AF42" s="306"/>
      <c r="AG42" s="306"/>
    </row>
    <row r="43" spans="1:33" ht="9" customHeight="1" x14ac:dyDescent="0.35">
      <c r="A43" s="306"/>
      <c r="B43" s="306"/>
      <c r="C43" s="306"/>
      <c r="D43" s="350"/>
      <c r="E43" s="306"/>
      <c r="F43" s="306"/>
      <c r="G43" s="350"/>
      <c r="H43" s="311"/>
      <c r="I43" s="327"/>
      <c r="J43" s="653"/>
      <c r="K43" s="350"/>
      <c r="L43" s="350"/>
      <c r="M43" s="350"/>
      <c r="N43" s="350"/>
      <c r="O43" s="350"/>
      <c r="P43" s="669"/>
      <c r="Q43" s="329"/>
      <c r="R43" s="330"/>
      <c r="S43" s="350"/>
      <c r="T43" s="306"/>
      <c r="U43" s="331"/>
      <c r="V43" s="657"/>
      <c r="W43" s="332"/>
      <c r="X43" s="358"/>
      <c r="Y43" s="332"/>
      <c r="Z43" s="358"/>
      <c r="AA43" s="333"/>
      <c r="AB43" s="334"/>
      <c r="AC43" s="315"/>
      <c r="AD43" s="657"/>
      <c r="AE43" s="306"/>
      <c r="AF43" s="306"/>
      <c r="AG43" s="306"/>
    </row>
    <row r="44" spans="1:33" ht="9" customHeight="1" x14ac:dyDescent="0.35">
      <c r="A44" s="306"/>
      <c r="B44" s="306"/>
      <c r="C44" s="306"/>
      <c r="D44" s="666" t="s">
        <v>39</v>
      </c>
      <c r="E44" s="307"/>
      <c r="F44" s="307"/>
      <c r="G44" s="652" t="s">
        <v>45</v>
      </c>
      <c r="H44" s="549"/>
      <c r="I44" s="335"/>
      <c r="J44" s="350"/>
      <c r="K44" s="350"/>
      <c r="L44" s="350"/>
      <c r="M44" s="658" t="s">
        <v>46</v>
      </c>
      <c r="N44" s="321"/>
      <c r="O44" s="321"/>
      <c r="P44" s="355"/>
      <c r="Q44" s="178"/>
      <c r="R44" s="336"/>
      <c r="S44" s="660" t="s">
        <v>47</v>
      </c>
      <c r="T44" s="337"/>
      <c r="U44" s="317"/>
      <c r="V44" s="350"/>
      <c r="W44" s="306"/>
      <c r="X44" s="350"/>
      <c r="Y44" s="306"/>
      <c r="Z44" s="350"/>
      <c r="AA44" s="311"/>
      <c r="AB44" s="325"/>
      <c r="AC44" s="338"/>
      <c r="AD44" s="350"/>
      <c r="AE44" s="306"/>
      <c r="AF44" s="306"/>
      <c r="AG44" s="306"/>
    </row>
    <row r="45" spans="1:33" ht="9" customHeight="1" x14ac:dyDescent="0.35">
      <c r="A45" s="306"/>
      <c r="B45" s="306"/>
      <c r="C45" s="306"/>
      <c r="D45" s="667"/>
      <c r="E45" s="306"/>
      <c r="F45" s="306"/>
      <c r="G45" s="653"/>
      <c r="H45" s="311"/>
      <c r="I45" s="317"/>
      <c r="J45" s="350"/>
      <c r="K45" s="350"/>
      <c r="L45" s="350"/>
      <c r="M45" s="659"/>
      <c r="N45" s="341"/>
      <c r="O45" s="342"/>
      <c r="P45" s="355"/>
      <c r="Q45" s="178"/>
      <c r="R45" s="330"/>
      <c r="S45" s="661"/>
      <c r="T45" s="339"/>
      <c r="U45" s="317"/>
      <c r="V45" s="350"/>
      <c r="W45" s="306"/>
      <c r="X45" s="350"/>
      <c r="Y45" s="306"/>
      <c r="Z45" s="350"/>
      <c r="AA45" s="311"/>
      <c r="AB45" s="340"/>
      <c r="AC45" s="330"/>
      <c r="AD45" s="356"/>
      <c r="AE45" s="306"/>
      <c r="AF45" s="306"/>
      <c r="AG45" s="306"/>
    </row>
    <row r="46" spans="1:33" ht="9" customHeight="1" x14ac:dyDescent="0.35">
      <c r="A46" s="306"/>
      <c r="B46" s="306"/>
      <c r="C46" s="306"/>
      <c r="D46" s="350"/>
      <c r="E46" s="306"/>
      <c r="F46" s="306"/>
      <c r="G46" s="350"/>
      <c r="H46" s="311"/>
      <c r="I46" s="317"/>
      <c r="J46" s="350"/>
      <c r="K46" s="350"/>
      <c r="L46" s="350"/>
      <c r="M46" s="354"/>
      <c r="N46" s="344"/>
      <c r="O46" s="342"/>
      <c r="P46" s="654" t="s">
        <v>48</v>
      </c>
      <c r="Q46" s="178"/>
      <c r="R46" s="330"/>
      <c r="S46" s="352"/>
      <c r="T46" s="311"/>
      <c r="U46" s="317"/>
      <c r="V46" s="350"/>
      <c r="W46" s="306"/>
      <c r="X46" s="350"/>
      <c r="Y46" s="306"/>
      <c r="Z46" s="350"/>
      <c r="AA46" s="311"/>
      <c r="AB46" s="343"/>
      <c r="AC46" s="330"/>
      <c r="AD46" s="662" t="s">
        <v>49</v>
      </c>
      <c r="AE46" s="306"/>
      <c r="AF46" s="306"/>
      <c r="AG46" s="306"/>
    </row>
    <row r="47" spans="1:33" ht="9" customHeight="1" x14ac:dyDescent="0.35">
      <c r="A47" s="306"/>
      <c r="B47" s="306"/>
      <c r="C47" s="306"/>
      <c r="D47" s="652" t="s">
        <v>50</v>
      </c>
      <c r="E47" s="307"/>
      <c r="F47" s="307"/>
      <c r="G47" s="351"/>
      <c r="H47" s="319"/>
      <c r="I47" s="308"/>
      <c r="J47" s="350"/>
      <c r="K47" s="350"/>
      <c r="L47" s="350"/>
      <c r="M47" s="350"/>
      <c r="N47" s="346"/>
      <c r="O47" s="328"/>
      <c r="P47" s="655"/>
      <c r="Q47" s="550"/>
      <c r="R47" s="321"/>
      <c r="S47" s="356"/>
      <c r="T47" s="311"/>
      <c r="U47" s="323"/>
      <c r="V47" s="664" t="s">
        <v>51</v>
      </c>
      <c r="W47" s="337"/>
      <c r="X47" s="654" t="s">
        <v>52</v>
      </c>
      <c r="Y47" s="337"/>
      <c r="Z47" s="656" t="s">
        <v>53</v>
      </c>
      <c r="AA47" s="345"/>
      <c r="AB47" s="334"/>
      <c r="AC47" s="328"/>
      <c r="AD47" s="663"/>
      <c r="AE47" s="306"/>
      <c r="AF47" s="306"/>
      <c r="AG47" s="306"/>
    </row>
    <row r="48" spans="1:33" ht="9" customHeight="1" x14ac:dyDescent="0.35">
      <c r="A48" s="306"/>
      <c r="B48" s="306"/>
      <c r="C48" s="306"/>
      <c r="D48" s="653"/>
      <c r="E48" s="306"/>
      <c r="F48" s="306"/>
      <c r="G48" s="350"/>
      <c r="H48" s="310"/>
      <c r="I48" s="308"/>
      <c r="J48" s="350"/>
      <c r="K48" s="350"/>
      <c r="L48" s="350"/>
      <c r="M48" s="658" t="s">
        <v>54</v>
      </c>
      <c r="N48" s="349"/>
      <c r="O48" s="342"/>
      <c r="P48" s="355"/>
      <c r="Q48" s="306"/>
      <c r="R48" s="321"/>
      <c r="S48" s="350"/>
      <c r="T48" s="306"/>
      <c r="U48" s="314"/>
      <c r="V48" s="665"/>
      <c r="W48" s="347"/>
      <c r="X48" s="655"/>
      <c r="Y48" s="347"/>
      <c r="Z48" s="657"/>
      <c r="AA48" s="347"/>
      <c r="AB48" s="306"/>
      <c r="AC48" s="348"/>
      <c r="AD48" s="350"/>
      <c r="AE48" s="306"/>
      <c r="AF48" s="306"/>
      <c r="AG48" s="306"/>
    </row>
    <row r="49" spans="1:33" ht="9" customHeight="1" x14ac:dyDescent="0.35">
      <c r="A49" s="306"/>
      <c r="B49" s="306"/>
      <c r="C49" s="306"/>
      <c r="D49" s="350"/>
      <c r="E49" s="306"/>
      <c r="F49" s="306"/>
      <c r="G49" s="350"/>
      <c r="H49" s="310"/>
      <c r="I49" s="308"/>
      <c r="J49" s="350"/>
      <c r="K49" s="350"/>
      <c r="L49" s="350"/>
      <c r="M49" s="659"/>
      <c r="N49" s="321"/>
      <c r="O49" s="306"/>
      <c r="P49" s="350"/>
      <c r="Q49" s="306"/>
      <c r="R49" s="321"/>
      <c r="S49" s="350"/>
      <c r="T49" s="306"/>
      <c r="U49" s="306"/>
      <c r="V49" s="350"/>
      <c r="W49" s="306"/>
      <c r="X49" s="350"/>
      <c r="Y49" s="306"/>
      <c r="Z49" s="350"/>
      <c r="AA49" s="306"/>
      <c r="AB49" s="306"/>
      <c r="AC49" s="45"/>
      <c r="AD49" s="350"/>
      <c r="AE49" s="306"/>
      <c r="AF49" s="306"/>
      <c r="AG49" s="306"/>
    </row>
    <row r="50" spans="1:33" ht="9" customHeight="1" x14ac:dyDescent="0.35">
      <c r="A50" s="306"/>
      <c r="B50" s="306"/>
      <c r="C50" s="306"/>
      <c r="D50" s="652" t="s">
        <v>55</v>
      </c>
      <c r="E50" s="307"/>
      <c r="F50" s="307"/>
      <c r="G50" s="351"/>
      <c r="H50" s="319"/>
      <c r="I50" s="308"/>
      <c r="J50" s="350"/>
      <c r="K50" s="350"/>
      <c r="L50" s="350"/>
      <c r="M50" s="178"/>
      <c r="N50" s="178"/>
      <c r="O50" s="178"/>
      <c r="P50" s="178"/>
      <c r="Q50" s="178"/>
      <c r="R50" s="178"/>
      <c r="S50" s="350"/>
      <c r="T50" s="306"/>
      <c r="U50" s="306"/>
      <c r="V50" s="350"/>
      <c r="W50" s="306"/>
      <c r="X50" s="350"/>
      <c r="Y50" s="306"/>
      <c r="Z50" s="350"/>
      <c r="AA50" s="306"/>
      <c r="AB50" s="306"/>
      <c r="AC50" s="306"/>
      <c r="AD50" s="350"/>
      <c r="AE50" s="306"/>
      <c r="AF50" s="306"/>
      <c r="AG50" s="306"/>
    </row>
    <row r="51" spans="1:33" ht="9" customHeight="1" x14ac:dyDescent="0.35">
      <c r="A51" s="306"/>
      <c r="B51" s="306"/>
      <c r="C51" s="306"/>
      <c r="D51" s="653"/>
      <c r="E51" s="306"/>
      <c r="F51" s="306"/>
      <c r="G51" s="350"/>
      <c r="H51" s="310"/>
      <c r="I51" s="308"/>
      <c r="J51" s="350"/>
      <c r="K51" s="350"/>
      <c r="L51" s="350"/>
      <c r="M51" s="178"/>
      <c r="N51" s="178"/>
      <c r="O51" s="178"/>
      <c r="P51" s="178"/>
      <c r="Q51" s="178"/>
      <c r="R51" s="178"/>
      <c r="S51" s="350"/>
      <c r="T51" s="306"/>
      <c r="U51" s="306"/>
      <c r="V51" s="350"/>
      <c r="W51" s="306"/>
      <c r="X51" s="350"/>
      <c r="Y51" s="306"/>
      <c r="Z51" s="350"/>
      <c r="AA51" s="306"/>
      <c r="AB51" s="306"/>
      <c r="AC51" s="306"/>
      <c r="AD51" s="350"/>
      <c r="AE51" s="306"/>
      <c r="AF51" s="306"/>
      <c r="AG51" s="306"/>
    </row>
    <row r="52" spans="1:33" ht="9" customHeight="1" x14ac:dyDescent="0.35">
      <c r="A52" s="306"/>
      <c r="B52" s="306"/>
      <c r="C52" s="306"/>
      <c r="D52" s="350"/>
      <c r="E52" s="306"/>
      <c r="F52" s="306"/>
      <c r="G52" s="350"/>
      <c r="H52" s="310"/>
      <c r="I52" s="308"/>
      <c r="J52" s="350"/>
      <c r="K52" s="350"/>
      <c r="L52" s="350"/>
      <c r="M52" s="178"/>
      <c r="N52" s="178"/>
      <c r="O52" s="178"/>
      <c r="P52" s="178"/>
      <c r="Q52" s="178"/>
      <c r="R52" s="178"/>
      <c r="S52" s="350"/>
      <c r="T52" s="306"/>
      <c r="U52" s="306"/>
      <c r="V52" s="350"/>
      <c r="W52" s="306"/>
      <c r="X52" s="350"/>
      <c r="Y52" s="306"/>
      <c r="Z52" s="350"/>
      <c r="AA52" s="306"/>
      <c r="AB52" s="306"/>
      <c r="AC52" s="306"/>
      <c r="AD52" s="350"/>
      <c r="AE52" s="306"/>
      <c r="AF52" s="306"/>
      <c r="AG52" s="306"/>
    </row>
    <row r="53" spans="1:33" ht="9" customHeight="1" x14ac:dyDescent="0.35">
      <c r="A53" s="306"/>
      <c r="B53" s="306"/>
      <c r="C53" s="306"/>
      <c r="D53" s="652" t="s">
        <v>56</v>
      </c>
      <c r="E53" s="307"/>
      <c r="F53" s="307"/>
      <c r="G53" s="351"/>
      <c r="H53" s="319"/>
      <c r="I53" s="308"/>
      <c r="J53" s="350"/>
      <c r="K53" s="350"/>
      <c r="L53" s="350"/>
      <c r="M53" s="539"/>
      <c r="N53" s="45"/>
      <c r="O53" s="45"/>
      <c r="P53" s="539"/>
      <c r="Q53" s="45"/>
      <c r="R53" s="178"/>
      <c r="S53" s="350"/>
      <c r="T53" s="306"/>
      <c r="U53" s="306"/>
      <c r="V53" s="350"/>
      <c r="W53" s="306"/>
      <c r="X53" s="350"/>
      <c r="Y53" s="306"/>
      <c r="Z53" s="350"/>
      <c r="AA53" s="306"/>
      <c r="AB53" s="306"/>
      <c r="AC53" s="306"/>
      <c r="AD53" s="350"/>
      <c r="AE53" s="306"/>
      <c r="AF53" s="306"/>
      <c r="AG53" s="306"/>
    </row>
    <row r="54" spans="1:33" ht="9" customHeight="1" x14ac:dyDescent="0.35">
      <c r="A54" s="306"/>
      <c r="B54" s="306"/>
      <c r="C54" s="306"/>
      <c r="D54" s="653"/>
      <c r="E54" s="306"/>
      <c r="F54" s="306"/>
      <c r="G54" s="350"/>
      <c r="H54" s="310"/>
      <c r="I54" s="308"/>
      <c r="J54" s="350"/>
      <c r="K54" s="350"/>
      <c r="L54" s="350"/>
      <c r="M54" s="539"/>
      <c r="N54" s="539"/>
      <c r="O54" s="539"/>
      <c r="P54" s="539"/>
      <c r="Q54" s="539"/>
      <c r="R54" s="539"/>
      <c r="S54" s="350"/>
      <c r="T54" s="306"/>
      <c r="U54" s="306"/>
      <c r="V54" s="350"/>
      <c r="W54" s="306"/>
      <c r="X54" s="350"/>
      <c r="Y54" s="306"/>
      <c r="Z54" s="350"/>
      <c r="AA54" s="306"/>
      <c r="AB54" s="306"/>
      <c r="AC54" s="306"/>
      <c r="AD54" s="350"/>
      <c r="AE54" s="306"/>
      <c r="AF54" s="306"/>
      <c r="AG54" s="306"/>
    </row>
    <row r="55" spans="1:33" ht="9" customHeight="1" x14ac:dyDescent="0.35">
      <c r="A55" s="306"/>
      <c r="B55" s="306"/>
      <c r="C55" s="306"/>
      <c r="D55" s="350"/>
      <c r="E55" s="306"/>
      <c r="F55" s="306"/>
      <c r="G55" s="350"/>
      <c r="H55" s="310"/>
      <c r="I55" s="308"/>
      <c r="J55" s="350"/>
      <c r="K55" s="350"/>
      <c r="L55" s="350"/>
      <c r="M55" s="539"/>
      <c r="N55" s="539"/>
      <c r="O55" s="539"/>
      <c r="P55" s="539"/>
      <c r="Q55" s="539"/>
      <c r="R55" s="539"/>
      <c r="S55" s="350"/>
      <c r="T55" s="306"/>
      <c r="U55" s="306"/>
      <c r="V55" s="350"/>
      <c r="W55" s="306"/>
      <c r="X55" s="350"/>
      <c r="Y55" s="306"/>
      <c r="Z55" s="350"/>
      <c r="AA55" s="306"/>
      <c r="AB55" s="306"/>
      <c r="AC55" s="306"/>
      <c r="AD55" s="350"/>
      <c r="AE55" s="306"/>
      <c r="AF55" s="306"/>
      <c r="AG55" s="306"/>
    </row>
    <row r="56" spans="1:33" ht="9" customHeight="1" x14ac:dyDescent="0.35">
      <c r="A56" s="306"/>
      <c r="B56" s="306"/>
      <c r="C56" s="306"/>
      <c r="D56" s="652" t="s">
        <v>57</v>
      </c>
      <c r="E56" s="307"/>
      <c r="F56" s="307"/>
      <c r="G56" s="351"/>
      <c r="H56" s="319"/>
      <c r="I56" s="308"/>
      <c r="J56" s="350"/>
      <c r="K56" s="350"/>
      <c r="L56" s="350"/>
      <c r="M56" s="539"/>
      <c r="N56" s="539"/>
      <c r="O56" s="539"/>
      <c r="P56" s="539"/>
      <c r="Q56" s="539"/>
      <c r="R56" s="539"/>
      <c r="S56" s="350"/>
      <c r="T56" s="306"/>
      <c r="U56" s="306"/>
      <c r="V56" s="350"/>
      <c r="W56" s="306"/>
      <c r="X56" s="350"/>
      <c r="Y56" s="306"/>
      <c r="Z56" s="350"/>
      <c r="AA56" s="306"/>
      <c r="AB56" s="306"/>
      <c r="AC56" s="306"/>
      <c r="AD56" s="350"/>
      <c r="AE56" s="306"/>
      <c r="AF56" s="306"/>
      <c r="AG56" s="306"/>
    </row>
    <row r="57" spans="1:33" ht="9" customHeight="1" x14ac:dyDescent="0.35">
      <c r="A57" s="306"/>
      <c r="B57" s="306"/>
      <c r="C57" s="306"/>
      <c r="D57" s="653"/>
      <c r="E57" s="306"/>
      <c r="F57" s="306"/>
      <c r="G57" s="350"/>
      <c r="H57" s="310"/>
      <c r="I57" s="308"/>
      <c r="J57" s="350"/>
      <c r="K57" s="350"/>
      <c r="L57" s="350"/>
      <c r="M57" s="350"/>
      <c r="N57" s="350"/>
      <c r="O57" s="350"/>
      <c r="P57" s="350"/>
      <c r="Q57" s="350"/>
      <c r="R57" s="350"/>
      <c r="S57" s="350"/>
      <c r="T57" s="306"/>
      <c r="U57" s="306"/>
      <c r="V57" s="350"/>
      <c r="W57" s="306"/>
      <c r="X57" s="350"/>
      <c r="Y57" s="306"/>
      <c r="Z57" s="350"/>
      <c r="AA57" s="306"/>
      <c r="AB57" s="306"/>
      <c r="AC57" s="306"/>
      <c r="AD57" s="350"/>
      <c r="AE57" s="306"/>
      <c r="AF57" s="306"/>
      <c r="AG57" s="306"/>
    </row>
    <row r="58" spans="1:33" ht="9" customHeight="1" x14ac:dyDescent="0.35">
      <c r="A58" s="306"/>
      <c r="B58" s="306"/>
      <c r="C58" s="306"/>
      <c r="D58" s="350"/>
      <c r="E58" s="306"/>
      <c r="F58" s="306"/>
      <c r="G58" s="350"/>
      <c r="H58" s="310"/>
      <c r="I58" s="308"/>
      <c r="J58" s="350"/>
      <c r="K58" s="350"/>
      <c r="L58" s="350"/>
      <c r="M58" s="350"/>
      <c r="N58" s="350"/>
      <c r="O58" s="350"/>
      <c r="P58" s="350"/>
      <c r="Q58" s="350"/>
      <c r="R58" s="350"/>
      <c r="S58" s="350"/>
      <c r="T58" s="306"/>
      <c r="U58" s="306"/>
      <c r="V58" s="350"/>
      <c r="W58" s="306"/>
      <c r="X58" s="350"/>
      <c r="Y58" s="306"/>
      <c r="Z58" s="350"/>
      <c r="AA58" s="306"/>
      <c r="AB58" s="306"/>
      <c r="AC58" s="306"/>
      <c r="AD58" s="350"/>
      <c r="AE58" s="306"/>
      <c r="AF58" s="306"/>
      <c r="AG58" s="306"/>
    </row>
    <row r="59" spans="1:33" ht="9" customHeight="1" x14ac:dyDescent="0.35">
      <c r="A59" s="306"/>
      <c r="B59" s="306"/>
      <c r="C59" s="306"/>
      <c r="D59" s="652" t="s">
        <v>58</v>
      </c>
      <c r="E59" s="307"/>
      <c r="F59" s="307"/>
      <c r="G59" s="351"/>
      <c r="H59" s="319"/>
      <c r="I59" s="308"/>
      <c r="J59" s="350"/>
      <c r="K59" s="350"/>
      <c r="L59" s="350"/>
      <c r="M59" s="350"/>
      <c r="N59" s="350"/>
      <c r="O59" s="350"/>
      <c r="P59" s="350"/>
      <c r="Q59" s="350"/>
      <c r="R59" s="350"/>
      <c r="S59" s="350"/>
      <c r="T59" s="306"/>
      <c r="U59" s="306"/>
      <c r="V59" s="350"/>
      <c r="W59" s="306"/>
      <c r="X59" s="350"/>
      <c r="Y59" s="306"/>
      <c r="Z59" s="350"/>
      <c r="AA59" s="306"/>
      <c r="AB59" s="306"/>
      <c r="AC59" s="306"/>
      <c r="AD59" s="350"/>
      <c r="AE59" s="306"/>
      <c r="AF59" s="306"/>
      <c r="AG59" s="306"/>
    </row>
    <row r="60" spans="1:33" ht="9" customHeight="1" x14ac:dyDescent="0.35">
      <c r="A60" s="306"/>
      <c r="B60" s="306"/>
      <c r="C60" s="306"/>
      <c r="D60" s="653"/>
      <c r="E60" s="306"/>
      <c r="F60" s="306"/>
      <c r="G60" s="350"/>
      <c r="H60" s="310"/>
      <c r="I60" s="308"/>
      <c r="J60" s="350"/>
      <c r="K60" s="350"/>
      <c r="L60" s="350"/>
      <c r="M60" s="350"/>
      <c r="N60" s="350"/>
      <c r="O60" s="350"/>
      <c r="P60" s="350"/>
      <c r="Q60" s="350"/>
      <c r="R60" s="350"/>
      <c r="S60" s="350"/>
      <c r="T60" s="306"/>
      <c r="U60" s="306"/>
      <c r="V60" s="350"/>
      <c r="W60" s="306"/>
      <c r="X60" s="350"/>
      <c r="Y60" s="306"/>
      <c r="Z60" s="350"/>
      <c r="AA60" s="306"/>
      <c r="AB60" s="306"/>
      <c r="AC60" s="306"/>
      <c r="AD60" s="350"/>
      <c r="AE60" s="306"/>
      <c r="AF60" s="306"/>
      <c r="AG60" s="306"/>
    </row>
    <row r="61" spans="1:33" ht="9" customHeight="1" x14ac:dyDescent="0.35">
      <c r="A61" s="306"/>
      <c r="B61" s="306"/>
      <c r="C61" s="306"/>
      <c r="D61" s="350"/>
      <c r="E61" s="306"/>
      <c r="F61" s="306"/>
      <c r="G61" s="350"/>
      <c r="H61" s="310"/>
      <c r="I61" s="306"/>
      <c r="J61" s="350"/>
      <c r="K61" s="350"/>
      <c r="L61" s="350"/>
      <c r="M61" s="350"/>
      <c r="N61" s="350"/>
      <c r="O61" s="350"/>
      <c r="P61" s="350"/>
      <c r="Q61" s="350"/>
      <c r="R61" s="350"/>
      <c r="S61" s="350"/>
      <c r="T61" s="306"/>
      <c r="U61" s="306"/>
      <c r="V61" s="350"/>
      <c r="W61" s="306"/>
      <c r="X61" s="350"/>
      <c r="Y61" s="306"/>
      <c r="Z61" s="350"/>
      <c r="AA61" s="306"/>
      <c r="AB61" s="306"/>
      <c r="AC61" s="306"/>
      <c r="AD61" s="350"/>
      <c r="AE61" s="306"/>
      <c r="AF61" s="306"/>
      <c r="AG61" s="306"/>
    </row>
    <row r="62" spans="1:33" ht="9" customHeight="1" x14ac:dyDescent="0.35">
      <c r="A62" s="306"/>
      <c r="B62" s="306"/>
      <c r="C62" s="306"/>
      <c r="D62" s="652" t="s">
        <v>59</v>
      </c>
      <c r="E62" s="307"/>
      <c r="F62" s="307"/>
      <c r="G62" s="351"/>
      <c r="H62" s="319"/>
      <c r="I62" s="306"/>
      <c r="J62" s="350"/>
      <c r="K62" s="350"/>
      <c r="L62" s="350"/>
      <c r="M62" s="350"/>
      <c r="N62" s="350"/>
      <c r="O62" s="350"/>
      <c r="P62" s="350"/>
      <c r="Q62" s="350"/>
      <c r="R62" s="350"/>
      <c r="S62" s="350"/>
      <c r="T62" s="306"/>
      <c r="U62" s="306"/>
      <c r="V62" s="350"/>
      <c r="W62" s="306"/>
      <c r="X62" s="350"/>
      <c r="Y62" s="306"/>
      <c r="Z62" s="350"/>
      <c r="AA62" s="306"/>
      <c r="AB62" s="306"/>
      <c r="AC62" s="306"/>
      <c r="AD62" s="350"/>
      <c r="AE62" s="306"/>
      <c r="AF62" s="306"/>
      <c r="AG62" s="306"/>
    </row>
    <row r="63" spans="1:33" ht="9" customHeight="1" x14ac:dyDescent="0.35">
      <c r="A63" s="4"/>
      <c r="B63" s="4"/>
      <c r="C63" s="4"/>
      <c r="D63" s="653"/>
      <c r="E63" s="306"/>
      <c r="F63" s="306"/>
      <c r="G63" s="350"/>
      <c r="H63" s="310"/>
      <c r="I63" s="308"/>
      <c r="J63" s="540"/>
      <c r="K63" s="350"/>
      <c r="L63" s="350"/>
      <c r="M63" s="350"/>
      <c r="N63" s="350"/>
      <c r="O63" s="350"/>
      <c r="P63" s="350"/>
      <c r="Q63" s="350"/>
      <c r="R63" s="350"/>
      <c r="S63" s="350"/>
      <c r="T63" s="10"/>
      <c r="U63" s="10"/>
      <c r="V63" s="540"/>
      <c r="W63" s="10"/>
      <c r="X63" s="540"/>
      <c r="Y63" s="10"/>
      <c r="Z63" s="540"/>
      <c r="AA63" s="10"/>
      <c r="AB63" s="10"/>
      <c r="AC63" s="10"/>
      <c r="AD63" s="540"/>
      <c r="AE63" s="10"/>
      <c r="AF63" s="10"/>
      <c r="AG63" s="10"/>
    </row>
    <row r="64" spans="1:33" ht="9" customHeight="1" x14ac:dyDescent="0.35">
      <c r="A64" s="10"/>
      <c r="B64" s="10"/>
      <c r="C64" s="10"/>
      <c r="D64" s="350"/>
      <c r="E64" s="306"/>
      <c r="F64" s="306"/>
      <c r="G64" s="350"/>
      <c r="H64" s="310"/>
      <c r="I64" s="308"/>
      <c r="J64" s="540"/>
      <c r="K64" s="350"/>
      <c r="L64" s="350"/>
      <c r="M64" s="350"/>
      <c r="N64" s="350"/>
      <c r="O64" s="350"/>
      <c r="P64" s="350"/>
      <c r="Q64" s="350"/>
      <c r="R64" s="350"/>
      <c r="S64" s="350"/>
      <c r="T64" s="10"/>
      <c r="U64" s="10"/>
      <c r="V64" s="540"/>
      <c r="W64" s="10"/>
      <c r="X64" s="540"/>
      <c r="Y64" s="10"/>
      <c r="Z64" s="540"/>
      <c r="AA64" s="10"/>
      <c r="AB64" s="10"/>
      <c r="AC64" s="10"/>
      <c r="AD64" s="540"/>
      <c r="AE64" s="10"/>
      <c r="AF64" s="10"/>
      <c r="AG64" s="10"/>
    </row>
    <row r="65" spans="1:33" ht="9" customHeight="1" x14ac:dyDescent="0.35">
      <c r="A65" s="10"/>
      <c r="B65" s="10"/>
      <c r="C65" s="10"/>
      <c r="D65" s="652" t="s">
        <v>60</v>
      </c>
      <c r="E65" s="307"/>
      <c r="F65" s="307"/>
      <c r="G65" s="351"/>
      <c r="H65" s="319"/>
      <c r="I65" s="308"/>
      <c r="J65" s="540"/>
      <c r="K65" s="10"/>
      <c r="L65" s="350"/>
      <c r="M65" s="350"/>
      <c r="N65" s="350"/>
      <c r="O65" s="350"/>
      <c r="P65" s="350"/>
      <c r="Q65" s="350"/>
      <c r="R65" s="350"/>
      <c r="S65" s="350"/>
      <c r="T65" s="10"/>
      <c r="U65" s="10"/>
      <c r="V65" s="540"/>
      <c r="W65" s="10"/>
      <c r="X65" s="540"/>
      <c r="Y65" s="10"/>
      <c r="Z65" s="540"/>
      <c r="AA65" s="10"/>
      <c r="AB65" s="10"/>
      <c r="AC65" s="10"/>
      <c r="AD65" s="540"/>
      <c r="AE65" s="10"/>
      <c r="AF65" s="10"/>
      <c r="AG65" s="10"/>
    </row>
    <row r="66" spans="1:33" ht="9" customHeight="1" x14ac:dyDescent="0.35">
      <c r="A66" s="178"/>
      <c r="B66" s="178"/>
      <c r="C66" s="178"/>
      <c r="D66" s="653"/>
      <c r="E66" s="306"/>
      <c r="F66" s="306"/>
      <c r="G66" s="350"/>
      <c r="H66" s="310"/>
      <c r="I66" s="308"/>
      <c r="J66" s="178"/>
      <c r="K66" s="178"/>
      <c r="L66" s="350"/>
      <c r="M66" s="350"/>
      <c r="N66" s="350"/>
      <c r="O66" s="350"/>
      <c r="P66" s="350"/>
      <c r="Q66" s="350"/>
      <c r="R66" s="350"/>
      <c r="S66" s="350"/>
      <c r="T66" s="178"/>
      <c r="U66" s="178"/>
      <c r="V66" s="178"/>
      <c r="W66" s="178"/>
      <c r="X66" s="178"/>
      <c r="Y66" s="178"/>
      <c r="Z66" s="178"/>
      <c r="AA66" s="178"/>
      <c r="AB66" s="178"/>
      <c r="AC66" s="178"/>
      <c r="AD66" s="178"/>
      <c r="AE66" s="178"/>
      <c r="AF66" s="178"/>
      <c r="AG66" s="178"/>
    </row>
    <row r="67" spans="1:33" ht="9" customHeight="1" x14ac:dyDescent="0.35">
      <c r="A67" s="178"/>
      <c r="B67" s="178"/>
      <c r="C67" s="178"/>
      <c r="D67" s="350"/>
      <c r="E67" s="306"/>
      <c r="F67" s="306"/>
      <c r="G67" s="350"/>
      <c r="H67" s="310"/>
      <c r="I67" s="308"/>
      <c r="J67" s="178"/>
      <c r="K67" s="178"/>
      <c r="L67" s="350"/>
      <c r="M67" s="350"/>
      <c r="N67" s="350"/>
      <c r="O67" s="350"/>
      <c r="P67" s="350"/>
      <c r="Q67" s="350"/>
      <c r="R67" s="350"/>
      <c r="S67" s="350"/>
      <c r="T67" s="178"/>
      <c r="U67" s="178"/>
      <c r="V67" s="178"/>
      <c r="W67" s="178"/>
      <c r="X67" s="178"/>
      <c r="Y67" s="178"/>
      <c r="Z67" s="178"/>
      <c r="AA67" s="178"/>
      <c r="AB67" s="178"/>
      <c r="AC67" s="178"/>
      <c r="AD67" s="178"/>
      <c r="AE67" s="178"/>
      <c r="AF67" s="178"/>
      <c r="AG67" s="178"/>
    </row>
    <row r="68" spans="1:33" ht="9" customHeight="1" x14ac:dyDescent="0.35">
      <c r="A68" s="178"/>
      <c r="B68" s="178"/>
      <c r="C68" s="178"/>
      <c r="D68" s="652" t="s">
        <v>61</v>
      </c>
      <c r="E68" s="307"/>
      <c r="F68" s="307"/>
      <c r="G68" s="351"/>
      <c r="H68" s="319"/>
      <c r="I68" s="308"/>
      <c r="J68" s="178"/>
      <c r="K68" s="178"/>
      <c r="L68" s="350"/>
      <c r="M68" s="350"/>
      <c r="N68" s="350"/>
      <c r="O68" s="350"/>
      <c r="P68" s="350"/>
      <c r="Q68" s="350"/>
      <c r="R68" s="350"/>
      <c r="S68" s="350"/>
      <c r="T68" s="178"/>
      <c r="U68" s="178"/>
      <c r="V68" s="178"/>
      <c r="W68" s="178"/>
      <c r="X68" s="178"/>
      <c r="Y68" s="178"/>
      <c r="Z68" s="178"/>
      <c r="AA68" s="178"/>
      <c r="AB68" s="178"/>
      <c r="AC68" s="178"/>
      <c r="AD68" s="178"/>
      <c r="AE68" s="178"/>
      <c r="AF68" s="178"/>
      <c r="AG68" s="178"/>
    </row>
    <row r="69" spans="1:33" ht="9" customHeight="1" x14ac:dyDescent="0.35">
      <c r="A69" s="178"/>
      <c r="B69" s="178"/>
      <c r="C69" s="178"/>
      <c r="D69" s="653"/>
      <c r="E69" s="306"/>
      <c r="F69" s="306"/>
      <c r="G69" s="350"/>
      <c r="H69" s="310"/>
      <c r="I69" s="308"/>
      <c r="J69" s="178"/>
      <c r="K69" s="178"/>
      <c r="L69" s="350"/>
      <c r="M69" s="350"/>
      <c r="N69" s="350"/>
      <c r="O69" s="350"/>
      <c r="P69" s="350"/>
      <c r="Q69" s="350"/>
      <c r="R69" s="350"/>
      <c r="S69" s="350"/>
      <c r="T69" s="178"/>
      <c r="U69" s="178"/>
      <c r="V69" s="178"/>
      <c r="W69" s="178"/>
      <c r="X69" s="178"/>
      <c r="Y69" s="178"/>
      <c r="Z69" s="178"/>
      <c r="AA69" s="178"/>
      <c r="AB69" s="178"/>
      <c r="AC69" s="178"/>
      <c r="AD69" s="178"/>
      <c r="AE69" s="178"/>
      <c r="AF69" s="178"/>
      <c r="AG69" s="178"/>
    </row>
    <row r="70" spans="1:33" ht="9" customHeight="1" x14ac:dyDescent="0.35">
      <c r="A70" s="178"/>
      <c r="B70" s="178"/>
      <c r="C70" s="178"/>
      <c r="D70" s="350"/>
      <c r="E70" s="306"/>
      <c r="F70" s="306"/>
      <c r="G70" s="350"/>
      <c r="H70" s="310"/>
      <c r="I70" s="308"/>
      <c r="J70" s="178"/>
      <c r="K70" s="178"/>
      <c r="L70" s="350"/>
      <c r="M70" s="350"/>
      <c r="N70" s="350"/>
      <c r="O70" s="350"/>
      <c r="P70" s="350"/>
      <c r="Q70" s="350"/>
      <c r="R70" s="350"/>
      <c r="S70" s="350"/>
      <c r="T70" s="178"/>
      <c r="U70" s="178"/>
      <c r="V70" s="178"/>
      <c r="W70" s="178"/>
      <c r="X70" s="178"/>
      <c r="Y70" s="178"/>
      <c r="Z70" s="178"/>
      <c r="AA70" s="178"/>
      <c r="AB70" s="178"/>
      <c r="AC70" s="178"/>
      <c r="AD70" s="178"/>
      <c r="AE70" s="178"/>
      <c r="AF70" s="178"/>
      <c r="AG70" s="178"/>
    </row>
    <row r="71" spans="1:33" ht="9" customHeight="1" x14ac:dyDescent="0.35">
      <c r="A71" s="178"/>
      <c r="B71" s="178"/>
      <c r="C71" s="178"/>
      <c r="D71" s="652" t="s">
        <v>62</v>
      </c>
      <c r="E71" s="307"/>
      <c r="F71" s="307"/>
      <c r="G71" s="664" t="s">
        <v>63</v>
      </c>
      <c r="H71" s="319"/>
      <c r="I71" s="308"/>
      <c r="J71" s="178"/>
      <c r="K71" s="178"/>
      <c r="L71" s="350"/>
      <c r="M71" s="350"/>
      <c r="N71" s="350"/>
      <c r="O71" s="350"/>
      <c r="P71" s="350"/>
      <c r="Q71" s="350"/>
      <c r="R71" s="350"/>
      <c r="S71" s="350"/>
      <c r="T71" s="178"/>
      <c r="U71" s="178"/>
      <c r="V71" s="178"/>
      <c r="W71" s="178"/>
      <c r="X71" s="178"/>
      <c r="Y71" s="178"/>
      <c r="Z71" s="178"/>
      <c r="AA71" s="178"/>
      <c r="AB71" s="178"/>
      <c r="AC71" s="178"/>
      <c r="AD71" s="178"/>
      <c r="AE71" s="178"/>
      <c r="AF71" s="178"/>
      <c r="AG71" s="178"/>
    </row>
    <row r="72" spans="1:33" ht="9" customHeight="1" x14ac:dyDescent="0.35">
      <c r="A72" s="178"/>
      <c r="B72" s="178"/>
      <c r="C72" s="178"/>
      <c r="D72" s="653"/>
      <c r="E72" s="306"/>
      <c r="F72" s="306"/>
      <c r="G72" s="665"/>
      <c r="H72" s="306"/>
      <c r="I72" s="178"/>
      <c r="J72" s="178"/>
      <c r="K72" s="178"/>
      <c r="L72" s="350"/>
      <c r="M72" s="350"/>
      <c r="N72" s="350"/>
      <c r="O72" s="350"/>
      <c r="P72" s="350"/>
      <c r="Q72" s="350"/>
      <c r="R72" s="350"/>
      <c r="S72" s="350"/>
      <c r="T72" s="178"/>
      <c r="U72" s="178"/>
      <c r="V72" s="178"/>
      <c r="W72" s="178"/>
      <c r="X72" s="178"/>
      <c r="Y72" s="178"/>
      <c r="Z72" s="178"/>
      <c r="AA72" s="178"/>
      <c r="AB72" s="178"/>
      <c r="AC72" s="178"/>
      <c r="AD72" s="178"/>
      <c r="AE72" s="178"/>
      <c r="AF72" s="178"/>
      <c r="AG72" s="178"/>
    </row>
    <row r="73" spans="1:33" ht="9" customHeight="1" x14ac:dyDescent="0.35">
      <c r="A73" s="178"/>
      <c r="B73" s="178"/>
      <c r="C73" s="178"/>
      <c r="D73" s="539"/>
      <c r="E73" s="45"/>
      <c r="F73" s="45"/>
      <c r="G73" s="539"/>
      <c r="H73" s="45"/>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row>
    <row r="74" spans="1:33" ht="9" hidden="1" customHeight="1" x14ac:dyDescent="0.35">
      <c r="A74" s="178"/>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row>
    <row r="75" spans="1:33" ht="9" hidden="1" customHeight="1" x14ac:dyDescent="0.35">
      <c r="A75" s="178"/>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row>
    <row r="76" spans="1:33" ht="9" hidden="1" customHeight="1" x14ac:dyDescent="0.35">
      <c r="A76" s="178"/>
      <c r="B76" s="178"/>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row>
    <row r="77" spans="1:33" ht="9" hidden="1" customHeight="1" x14ac:dyDescent="0.35">
      <c r="A77" s="178"/>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row>
    <row r="78" spans="1:33" ht="9" hidden="1" customHeight="1" x14ac:dyDescent="0.35">
      <c r="A78" s="178"/>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row>
    <row r="79" spans="1:33" ht="9" hidden="1" customHeight="1" x14ac:dyDescent="0.35">
      <c r="A79" s="178"/>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row>
    <row r="80" spans="1:33" ht="9" hidden="1" customHeight="1" x14ac:dyDescent="0.35">
      <c r="A80" s="178"/>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row>
    <row r="81" spans="1:33" hidden="1" x14ac:dyDescent="0.35">
      <c r="A81" s="178"/>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row>
    <row r="82" spans="1:33" hidden="1" x14ac:dyDescent="0.35">
      <c r="A82" s="178"/>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row>
    <row r="83" spans="1:33" hidden="1" x14ac:dyDescent="0.35">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row>
    <row r="84" spans="1:33" hidden="1" x14ac:dyDescent="0.35">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row>
  </sheetData>
  <mergeCells count="41">
    <mergeCell ref="D32:D33"/>
    <mergeCell ref="M31:M32"/>
    <mergeCell ref="M34:M35"/>
    <mergeCell ref="M37:M38"/>
    <mergeCell ref="G71:G72"/>
    <mergeCell ref="G35:G36"/>
    <mergeCell ref="D41:D42"/>
    <mergeCell ref="D44:D45"/>
    <mergeCell ref="D62:D63"/>
    <mergeCell ref="D65:D66"/>
    <mergeCell ref="D68:D69"/>
    <mergeCell ref="D71:D72"/>
    <mergeCell ref="M40:M41"/>
    <mergeCell ref="D35:D36"/>
    <mergeCell ref="D38:D39"/>
    <mergeCell ref="G41:G42"/>
    <mergeCell ref="D20:D21"/>
    <mergeCell ref="D23:D24"/>
    <mergeCell ref="G23:G24"/>
    <mergeCell ref="G29:G30"/>
    <mergeCell ref="D26:D27"/>
    <mergeCell ref="D29:D30"/>
    <mergeCell ref="J42:J43"/>
    <mergeCell ref="G38:G39"/>
    <mergeCell ref="P42:P43"/>
    <mergeCell ref="V42:V43"/>
    <mergeCell ref="AD42:AD43"/>
    <mergeCell ref="G44:G45"/>
    <mergeCell ref="S44:S45"/>
    <mergeCell ref="AD46:AD47"/>
    <mergeCell ref="D47:D48"/>
    <mergeCell ref="V47:V48"/>
    <mergeCell ref="M44:M45"/>
    <mergeCell ref="D59:D60"/>
    <mergeCell ref="X47:X48"/>
    <mergeCell ref="Z47:Z48"/>
    <mergeCell ref="M48:M49"/>
    <mergeCell ref="D50:D51"/>
    <mergeCell ref="D53:D54"/>
    <mergeCell ref="D56:D57"/>
    <mergeCell ref="P46:P47"/>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B6FF5-0977-461A-BB39-0603C6362362}">
  <sheetPr>
    <tabColor theme="9" tint="-0.249977111117893"/>
  </sheetPr>
  <dimension ref="A1:AF89"/>
  <sheetViews>
    <sheetView workbookViewId="0">
      <selection activeCell="K41" sqref="K41"/>
    </sheetView>
  </sheetViews>
  <sheetFormatPr defaultRowHeight="14.5" x14ac:dyDescent="0.35"/>
  <cols>
    <col min="1" max="1" width="15.54296875" customWidth="1"/>
    <col min="2" max="2" width="11.1796875" bestFit="1" customWidth="1"/>
    <col min="3" max="3" width="9.7265625" bestFit="1" customWidth="1"/>
    <col min="4" max="4" width="7.1796875" customWidth="1"/>
    <col min="5" max="5" width="23.1796875" style="602" customWidth="1"/>
    <col min="6" max="6" width="25.7265625" customWidth="1"/>
    <col min="7" max="7" width="20.81640625" customWidth="1"/>
    <col min="8" max="8" width="10.54296875" bestFit="1" customWidth="1"/>
    <col min="9" max="9" width="18.453125" bestFit="1" customWidth="1"/>
    <col min="10" max="10" width="11" bestFit="1" customWidth="1"/>
    <col min="11" max="11" width="9.7265625" bestFit="1" customWidth="1"/>
    <col min="12" max="12" width="11" bestFit="1" customWidth="1"/>
    <col min="13" max="13" width="10.54296875" bestFit="1" customWidth="1"/>
    <col min="14" max="14" width="9.7265625" bestFit="1" customWidth="1"/>
    <col min="15" max="15" width="10.26953125" bestFit="1" customWidth="1"/>
    <col min="16" max="16" width="10.54296875" bestFit="1" customWidth="1"/>
    <col min="17" max="18" width="9.7265625" bestFit="1" customWidth="1"/>
    <col min="19" max="19" width="10.54296875" bestFit="1" customWidth="1"/>
    <col min="20" max="20" width="16.26953125" bestFit="1" customWidth="1"/>
    <col min="21" max="21" width="9" bestFit="1" customWidth="1"/>
    <col min="23" max="23" width="10.81640625" bestFit="1" customWidth="1"/>
    <col min="24" max="24" width="8.81640625" customWidth="1"/>
    <col min="25" max="25" width="9.453125" bestFit="1" customWidth="1"/>
    <col min="26" max="26" width="8.26953125" bestFit="1" customWidth="1"/>
    <col min="27" max="27" width="11.26953125" customWidth="1"/>
    <col min="28" max="28" width="9" bestFit="1" customWidth="1"/>
    <col min="29" max="29" width="8.26953125" bestFit="1" customWidth="1"/>
    <col min="30" max="30" width="8.54296875" bestFit="1" customWidth="1"/>
    <col min="31" max="31" width="9" bestFit="1" customWidth="1"/>
    <col min="32" max="33" width="8.26953125" bestFit="1" customWidth="1"/>
    <col min="34" max="34" width="9" bestFit="1" customWidth="1"/>
  </cols>
  <sheetData>
    <row r="1" spans="1:32" ht="19.5" customHeight="1" thickBot="1" x14ac:dyDescent="0.4">
      <c r="B1" s="711" t="s">
        <v>1301</v>
      </c>
      <c r="C1" s="711"/>
      <c r="E1" s="718"/>
      <c r="F1" s="718"/>
      <c r="G1" s="718"/>
    </row>
    <row r="2" spans="1:32" x14ac:dyDescent="0.35">
      <c r="A2" s="505"/>
      <c r="B2" s="719" t="s">
        <v>1304</v>
      </c>
      <c r="C2" s="719"/>
      <c r="E2" s="720" t="s">
        <v>1306</v>
      </c>
      <c r="F2" s="721"/>
      <c r="G2" s="721"/>
      <c r="I2" s="580" t="s">
        <v>1307</v>
      </c>
      <c r="K2" s="581" t="s">
        <v>1308</v>
      </c>
      <c r="L2" s="581" t="s">
        <v>1309</v>
      </c>
      <c r="M2" s="581" t="s">
        <v>1310</v>
      </c>
      <c r="N2" s="581" t="s">
        <v>1311</v>
      </c>
      <c r="O2" s="581" t="s">
        <v>1312</v>
      </c>
      <c r="P2" s="581" t="s">
        <v>1313</v>
      </c>
    </row>
    <row r="3" spans="1:32" x14ac:dyDescent="0.35">
      <c r="A3" s="582"/>
      <c r="B3" s="709" t="s">
        <v>1314</v>
      </c>
      <c r="C3" s="710"/>
      <c r="D3" s="583"/>
      <c r="E3" s="584" t="s">
        <v>1302</v>
      </c>
      <c r="F3" s="505" t="s">
        <v>1315</v>
      </c>
      <c r="G3" s="585">
        <v>3.1E-2</v>
      </c>
      <c r="I3" s="586" t="s">
        <v>1096</v>
      </c>
      <c r="K3" s="587">
        <v>1</v>
      </c>
      <c r="L3" s="587">
        <v>2</v>
      </c>
      <c r="M3" s="587">
        <v>3</v>
      </c>
      <c r="N3" s="587">
        <v>4</v>
      </c>
      <c r="O3" s="587">
        <v>5</v>
      </c>
      <c r="P3" s="587">
        <v>6</v>
      </c>
    </row>
    <row r="4" spans="1:32" ht="15" customHeight="1" x14ac:dyDescent="0.35">
      <c r="A4" s="708" t="s">
        <v>1316</v>
      </c>
      <c r="B4" s="723" t="s">
        <v>1317</v>
      </c>
      <c r="C4" s="723" t="s">
        <v>1048</v>
      </c>
      <c r="D4" s="583"/>
      <c r="E4" s="588" t="s">
        <v>1303</v>
      </c>
      <c r="F4" s="505" t="s">
        <v>1318</v>
      </c>
      <c r="G4" s="585">
        <v>1.2999999999999999E-2</v>
      </c>
      <c r="I4" s="589" t="s">
        <v>1036</v>
      </c>
      <c r="K4" s="587">
        <v>60</v>
      </c>
      <c r="L4" s="505">
        <v>660</v>
      </c>
      <c r="M4" s="505">
        <v>1080</v>
      </c>
      <c r="N4" s="505">
        <v>1560</v>
      </c>
      <c r="O4" s="505">
        <v>2010</v>
      </c>
      <c r="P4" s="505">
        <v>2300</v>
      </c>
    </row>
    <row r="5" spans="1:32" x14ac:dyDescent="0.35">
      <c r="A5" s="708"/>
      <c r="B5" s="723"/>
      <c r="C5" s="723"/>
      <c r="D5" s="583"/>
      <c r="E5" s="590" t="s">
        <v>1304</v>
      </c>
      <c r="F5" s="505" t="s">
        <v>1319</v>
      </c>
      <c r="G5" s="585">
        <v>5.2999999999999999E-2</v>
      </c>
      <c r="I5" s="591" t="s">
        <v>1006</v>
      </c>
      <c r="K5" s="587">
        <v>65</v>
      </c>
      <c r="L5" s="505">
        <v>710</v>
      </c>
      <c r="M5" s="505">
        <v>1170</v>
      </c>
      <c r="N5" s="505">
        <v>1630</v>
      </c>
      <c r="O5" s="505">
        <v>2030</v>
      </c>
      <c r="P5" s="505">
        <v>2350</v>
      </c>
    </row>
    <row r="6" spans="1:32" x14ac:dyDescent="0.35">
      <c r="A6" s="594" t="s">
        <v>1322</v>
      </c>
      <c r="B6" s="595">
        <v>440046</v>
      </c>
      <c r="C6" s="595">
        <v>440034</v>
      </c>
      <c r="D6" s="583"/>
      <c r="E6" s="596" t="s">
        <v>1305</v>
      </c>
      <c r="F6" s="505" t="s">
        <v>1323</v>
      </c>
      <c r="G6" s="585">
        <v>1.6E-2</v>
      </c>
      <c r="H6" s="597"/>
      <c r="I6" s="598" t="s">
        <v>1097</v>
      </c>
      <c r="K6" s="587">
        <v>70</v>
      </c>
      <c r="L6" s="505">
        <v>770</v>
      </c>
      <c r="M6" s="505">
        <v>1250</v>
      </c>
      <c r="N6" s="505">
        <v>1690</v>
      </c>
      <c r="O6" s="505">
        <v>2080</v>
      </c>
      <c r="P6" s="505">
        <v>2400</v>
      </c>
    </row>
    <row r="7" spans="1:32" ht="15" thickBot="1" x14ac:dyDescent="0.4">
      <c r="A7" s="601"/>
      <c r="B7" s="582"/>
      <c r="C7" s="582"/>
      <c r="D7" s="583"/>
      <c r="H7" s="603"/>
      <c r="I7" s="604" t="s">
        <v>1007</v>
      </c>
      <c r="K7" s="587">
        <v>75</v>
      </c>
      <c r="L7" s="505">
        <v>820</v>
      </c>
      <c r="M7" s="505">
        <v>1310</v>
      </c>
      <c r="N7" s="505">
        <v>1750</v>
      </c>
      <c r="O7" s="505">
        <v>2110</v>
      </c>
      <c r="P7" s="505">
        <v>2400</v>
      </c>
    </row>
    <row r="8" spans="1:32" x14ac:dyDescent="0.35">
      <c r="A8" s="605">
        <v>2023</v>
      </c>
      <c r="B8" s="647">
        <v>59100</v>
      </c>
      <c r="C8" s="647">
        <v>55500</v>
      </c>
      <c r="D8" s="606"/>
    </row>
    <row r="9" spans="1:32" ht="15" thickBot="1" x14ac:dyDescent="0.4">
      <c r="A9" s="607">
        <f>A8+1</f>
        <v>2024</v>
      </c>
      <c r="B9" s="647">
        <v>62232.299999999996</v>
      </c>
      <c r="C9" s="647">
        <v>58441.5</v>
      </c>
      <c r="D9" s="608"/>
      <c r="J9" s="502" t="s">
        <v>1314</v>
      </c>
    </row>
    <row r="10" spans="1:32" x14ac:dyDescent="0.35">
      <c r="A10" s="607">
        <f t="shared" ref="A10:A58" si="0">A9+1</f>
        <v>2025</v>
      </c>
      <c r="B10" s="647">
        <v>65364.600000000006</v>
      </c>
      <c r="C10" s="647">
        <v>61383.000000000007</v>
      </c>
      <c r="D10" s="608"/>
      <c r="E10" s="609" t="s">
        <v>1326</v>
      </c>
      <c r="F10" s="610" t="s">
        <v>1327</v>
      </c>
      <c r="G10" t="s">
        <v>1328</v>
      </c>
      <c r="H10" s="502"/>
      <c r="I10" s="611" t="s">
        <v>1329</v>
      </c>
      <c r="J10" s="612">
        <v>0.26</v>
      </c>
      <c r="Q10" t="s">
        <v>1314</v>
      </c>
    </row>
    <row r="11" spans="1:32" x14ac:dyDescent="0.35">
      <c r="A11" s="607">
        <f t="shared" si="0"/>
        <v>2026</v>
      </c>
      <c r="B11" s="647">
        <v>68496.900000000009</v>
      </c>
      <c r="C11" s="647">
        <v>64324.5</v>
      </c>
      <c r="D11" s="608"/>
      <c r="E11" s="616" t="s">
        <v>1331</v>
      </c>
      <c r="F11" s="617" t="s">
        <v>1327</v>
      </c>
      <c r="H11" s="502"/>
      <c r="I11" s="618" t="s">
        <v>1332</v>
      </c>
      <c r="J11" s="619">
        <v>0.55100000000000005</v>
      </c>
      <c r="O11" s="592" t="s">
        <v>1320</v>
      </c>
      <c r="P11" s="505" t="s">
        <v>1321</v>
      </c>
      <c r="Q11" s="593">
        <f>13%+6%*0.75</f>
        <v>0.17499999999999999</v>
      </c>
    </row>
    <row r="12" spans="1:32" x14ac:dyDescent="0.35">
      <c r="A12" s="607">
        <f t="shared" si="0"/>
        <v>2027</v>
      </c>
      <c r="B12" s="647">
        <v>71629.2</v>
      </c>
      <c r="C12" s="647">
        <v>67266</v>
      </c>
      <c r="D12" s="608"/>
      <c r="E12" s="616" t="s">
        <v>1333</v>
      </c>
      <c r="F12" s="622" t="s">
        <v>1327</v>
      </c>
      <c r="H12" s="502"/>
      <c r="I12" s="618" t="s">
        <v>1334</v>
      </c>
      <c r="J12" s="619">
        <v>9.1399999999999995E-2</v>
      </c>
      <c r="O12" s="599"/>
      <c r="P12" s="505" t="s">
        <v>1324</v>
      </c>
      <c r="Q12" s="600">
        <v>0.19</v>
      </c>
    </row>
    <row r="13" spans="1:32" x14ac:dyDescent="0.35">
      <c r="A13" s="607">
        <f t="shared" si="0"/>
        <v>2028</v>
      </c>
      <c r="B13" s="647">
        <v>74761.500000000015</v>
      </c>
      <c r="C13" s="647">
        <v>70207.5</v>
      </c>
      <c r="D13" s="608"/>
      <c r="E13" s="616" t="s">
        <v>1336</v>
      </c>
      <c r="F13" s="624" t="s">
        <v>1337</v>
      </c>
      <c r="H13" s="502"/>
      <c r="I13" s="618" t="s">
        <v>1338</v>
      </c>
      <c r="J13" s="625">
        <v>0.9</v>
      </c>
    </row>
    <row r="14" spans="1:32" x14ac:dyDescent="0.35">
      <c r="A14" s="607">
        <f t="shared" si="0"/>
        <v>2029</v>
      </c>
      <c r="B14" s="647">
        <v>77893.8</v>
      </c>
      <c r="C14" s="647">
        <v>73149</v>
      </c>
      <c r="D14" s="608"/>
      <c r="E14" s="616" t="s">
        <v>1341</v>
      </c>
      <c r="F14" s="624">
        <v>0.9</v>
      </c>
      <c r="H14" s="502"/>
      <c r="I14" s="618" t="s">
        <v>1342</v>
      </c>
      <c r="J14" s="649">
        <v>2</v>
      </c>
      <c r="K14" s="722" t="s">
        <v>1343</v>
      </c>
      <c r="L14" s="722"/>
      <c r="AE14" s="630"/>
      <c r="AF14" s="631"/>
    </row>
    <row r="15" spans="1:32" ht="15.75" customHeight="1" thickBot="1" x14ac:dyDescent="0.4">
      <c r="A15" s="607">
        <f t="shared" si="0"/>
        <v>2030</v>
      </c>
      <c r="B15" s="647">
        <v>81026.100000000006</v>
      </c>
      <c r="C15" s="647">
        <v>76090.5</v>
      </c>
      <c r="D15" s="608"/>
      <c r="E15" s="632" t="s">
        <v>1346</v>
      </c>
      <c r="F15" s="633"/>
      <c r="H15" s="502"/>
      <c r="I15" s="618" t="s">
        <v>1347</v>
      </c>
      <c r="J15" s="650">
        <f>1/(1+J10*(J$14-1))</f>
        <v>0.79365079365079361</v>
      </c>
      <c r="K15" s="722" t="s">
        <v>1348</v>
      </c>
      <c r="L15" s="722"/>
      <c r="O15" s="502" t="s">
        <v>1325</v>
      </c>
    </row>
    <row r="16" spans="1:32" ht="15" customHeight="1" thickBot="1" x14ac:dyDescent="0.4">
      <c r="A16" s="607">
        <f t="shared" si="0"/>
        <v>2031</v>
      </c>
      <c r="B16" s="647">
        <v>84158.399999999994</v>
      </c>
      <c r="C16" s="647">
        <v>79032</v>
      </c>
      <c r="D16" s="608"/>
      <c r="E16" s="634"/>
      <c r="F16" s="635"/>
      <c r="H16" s="502"/>
      <c r="I16" s="636" t="s">
        <v>1349</v>
      </c>
      <c r="J16" s="637">
        <v>70</v>
      </c>
      <c r="K16" s="724"/>
      <c r="L16" s="725"/>
      <c r="O16" s="613" t="s">
        <v>1330</v>
      </c>
      <c r="P16" s="614"/>
      <c r="Q16" s="614"/>
      <c r="R16" s="614"/>
      <c r="S16" s="614"/>
      <c r="T16" s="614"/>
      <c r="U16" s="614"/>
      <c r="V16" s="614"/>
      <c r="W16" s="615"/>
    </row>
    <row r="17" spans="1:23" ht="14.5" customHeight="1" x14ac:dyDescent="0.35">
      <c r="A17" s="607">
        <f t="shared" si="0"/>
        <v>2032</v>
      </c>
      <c r="B17" s="647">
        <v>87290.7</v>
      </c>
      <c r="C17" s="647">
        <v>81973.499999999985</v>
      </c>
      <c r="D17" s="608"/>
      <c r="H17" s="712" t="s">
        <v>1350</v>
      </c>
      <c r="I17" s="638" t="s">
        <v>1095</v>
      </c>
      <c r="J17" s="639">
        <f>(VLOOKUP(J$16,$K$3:$P$7,2)*4*J$15*J$13)</f>
        <v>2200</v>
      </c>
      <c r="K17" s="717" t="s">
        <v>1351</v>
      </c>
      <c r="L17" s="717"/>
      <c r="O17" s="620"/>
      <c r="W17" s="621"/>
    </row>
    <row r="18" spans="1:23" x14ac:dyDescent="0.35">
      <c r="A18" s="607">
        <f t="shared" si="0"/>
        <v>2033</v>
      </c>
      <c r="B18" s="647">
        <v>90423</v>
      </c>
      <c r="C18" s="647">
        <v>84915</v>
      </c>
      <c r="D18" s="608"/>
      <c r="H18" s="713"/>
      <c r="I18" s="638" t="s">
        <v>1096</v>
      </c>
      <c r="J18" s="639">
        <f>(VLOOKUP(J$16,$K$3:$P$7,3)*4*J$15*J$13)</f>
        <v>3571.4285714285716</v>
      </c>
      <c r="K18" s="717"/>
      <c r="L18" s="717"/>
      <c r="O18" s="620">
        <v>1</v>
      </c>
      <c r="P18" s="623" t="s">
        <v>1335</v>
      </c>
      <c r="Q18" s="623"/>
      <c r="R18" s="623"/>
      <c r="S18" s="623"/>
      <c r="W18" s="621"/>
    </row>
    <row r="19" spans="1:23" x14ac:dyDescent="0.35">
      <c r="A19" s="607">
        <f t="shared" si="0"/>
        <v>2034</v>
      </c>
      <c r="B19" s="647">
        <v>93555.3</v>
      </c>
      <c r="C19" s="647">
        <v>87856.5</v>
      </c>
      <c r="D19" s="608"/>
      <c r="H19" s="713"/>
      <c r="I19" s="638" t="s">
        <v>1036</v>
      </c>
      <c r="J19" s="639">
        <f>(VLOOKUP(J$16,$K$3:$P$7,4)*4*J$15*J$13)</f>
        <v>4828.5714285714284</v>
      </c>
      <c r="K19" s="717"/>
      <c r="L19" s="717"/>
      <c r="O19" s="620">
        <v>2</v>
      </c>
      <c r="P19" t="s">
        <v>1339</v>
      </c>
      <c r="Q19" s="626">
        <v>811088</v>
      </c>
      <c r="R19" s="626">
        <v>811530</v>
      </c>
      <c r="S19" t="s">
        <v>1340</v>
      </c>
      <c r="W19" s="621"/>
    </row>
    <row r="20" spans="1:23" ht="15" thickBot="1" x14ac:dyDescent="0.4">
      <c r="A20" s="607">
        <f t="shared" si="0"/>
        <v>2035</v>
      </c>
      <c r="B20" s="647">
        <v>96687.6</v>
      </c>
      <c r="C20" s="647">
        <v>90798</v>
      </c>
      <c r="D20" s="608"/>
      <c r="H20" s="713"/>
      <c r="I20" s="638" t="s">
        <v>1006</v>
      </c>
      <c r="J20" s="639">
        <f>(VLOOKUP(J$16,$K$3:$P$7,5)*4*J$15*J$13)</f>
        <v>5942.8571428571422</v>
      </c>
      <c r="K20" s="717"/>
      <c r="L20" s="717"/>
      <c r="N20" s="623" t="s">
        <v>1344</v>
      </c>
      <c r="O20" s="627">
        <v>3</v>
      </c>
      <c r="P20" s="628" t="s">
        <v>1345</v>
      </c>
      <c r="Q20" s="628"/>
      <c r="R20" s="628"/>
      <c r="S20" s="628"/>
      <c r="T20" s="628"/>
      <c r="U20" s="628"/>
      <c r="V20" s="628"/>
      <c r="W20" s="629"/>
    </row>
    <row r="21" spans="1:23" x14ac:dyDescent="0.35">
      <c r="A21" s="607">
        <f t="shared" si="0"/>
        <v>2036</v>
      </c>
      <c r="B21" s="647">
        <v>99819.900000000009</v>
      </c>
      <c r="C21" s="647">
        <v>93739.5</v>
      </c>
      <c r="D21" s="608"/>
      <c r="H21" s="714"/>
      <c r="I21" s="638" t="s">
        <v>1097</v>
      </c>
      <c r="J21" s="639">
        <f>(VLOOKUP(J$16,$K$3:$P$7,6)*4*J$15*J$13)</f>
        <v>6857.1428571428569</v>
      </c>
      <c r="K21" s="717"/>
      <c r="L21" s="717"/>
    </row>
    <row r="22" spans="1:23" x14ac:dyDescent="0.35">
      <c r="A22" s="607">
        <f t="shared" si="0"/>
        <v>2037</v>
      </c>
      <c r="B22" s="647">
        <v>102952.2</v>
      </c>
      <c r="C22" s="647">
        <v>96681</v>
      </c>
      <c r="D22" s="608"/>
      <c r="H22" s="715" t="s">
        <v>1352</v>
      </c>
      <c r="I22" s="640" t="s">
        <v>1095</v>
      </c>
      <c r="J22" s="641">
        <f>(VLOOKUP(J$16,$K$3:$P$7,2)*6*J$15*J$13)</f>
        <v>3300</v>
      </c>
      <c r="K22" s="717"/>
      <c r="L22" s="717"/>
    </row>
    <row r="23" spans="1:23" x14ac:dyDescent="0.35">
      <c r="A23" s="607">
        <f t="shared" si="0"/>
        <v>2038</v>
      </c>
      <c r="B23" s="647">
        <v>106084.5</v>
      </c>
      <c r="C23" s="647">
        <v>99622.5</v>
      </c>
      <c r="D23" s="608"/>
      <c r="H23" s="715"/>
      <c r="I23" s="640" t="s">
        <v>1096</v>
      </c>
      <c r="J23" s="641">
        <f>(VLOOKUP(J$16,$K$3:$P$7,3)*6*J$15*J$13)</f>
        <v>5357.1428571428569</v>
      </c>
      <c r="K23" s="717"/>
      <c r="L23" s="717"/>
    </row>
    <row r="24" spans="1:23" x14ac:dyDescent="0.35">
      <c r="A24" s="607">
        <f t="shared" si="0"/>
        <v>2039</v>
      </c>
      <c r="B24" s="647">
        <v>109216.79999999999</v>
      </c>
      <c r="C24" s="647">
        <v>102563.99999999999</v>
      </c>
      <c r="D24" s="608"/>
      <c r="H24" s="715"/>
      <c r="I24" s="640" t="s">
        <v>1036</v>
      </c>
      <c r="J24" s="641">
        <f>(VLOOKUP(J$16,$K$3:$P$7,4)*6*J$15*J$13)</f>
        <v>7242.8571428571422</v>
      </c>
      <c r="K24" s="717"/>
      <c r="L24" s="717"/>
    </row>
    <row r="25" spans="1:23" x14ac:dyDescent="0.35">
      <c r="A25" s="607">
        <f t="shared" si="0"/>
        <v>2040</v>
      </c>
      <c r="B25" s="647">
        <v>112349.1</v>
      </c>
      <c r="C25" s="647">
        <v>105505.5</v>
      </c>
      <c r="D25" s="608"/>
      <c r="H25" s="715"/>
      <c r="I25" s="640" t="s">
        <v>1006</v>
      </c>
      <c r="J25" s="641">
        <f>(VLOOKUP(J$16,$K$3:$P$7,5)*6*J$15*J$13)</f>
        <v>8914.2857142857138</v>
      </c>
      <c r="K25" s="717"/>
      <c r="L25" s="717"/>
    </row>
    <row r="26" spans="1:23" x14ac:dyDescent="0.35">
      <c r="A26" s="607">
        <f t="shared" si="0"/>
        <v>2041</v>
      </c>
      <c r="B26" s="647">
        <v>115481.4</v>
      </c>
      <c r="C26" s="647">
        <v>108447</v>
      </c>
      <c r="D26" s="608"/>
      <c r="H26" s="715"/>
      <c r="I26" s="640" t="s">
        <v>1097</v>
      </c>
      <c r="J26" s="641">
        <f>(VLOOKUP(J$16,$K$3:$P$7,6)*6*J$15*J$13)</f>
        <v>10285.714285714284</v>
      </c>
      <c r="K26" s="717"/>
      <c r="L26" s="717"/>
    </row>
    <row r="27" spans="1:23" x14ac:dyDescent="0.35">
      <c r="A27" s="607">
        <f t="shared" si="0"/>
        <v>2042</v>
      </c>
      <c r="B27" s="647">
        <v>118613.69999999998</v>
      </c>
      <c r="C27" s="647">
        <v>111388.49999999999</v>
      </c>
      <c r="D27" s="608"/>
      <c r="H27" s="716" t="s">
        <v>1353</v>
      </c>
      <c r="I27" s="642" t="s">
        <v>1095</v>
      </c>
      <c r="J27" s="643">
        <f>(VLOOKUP(J$16,$K$3:$P$7,2)*4*J$15*J$13)</f>
        <v>2200</v>
      </c>
      <c r="K27" s="717"/>
      <c r="L27" s="717"/>
    </row>
    <row r="28" spans="1:23" x14ac:dyDescent="0.35">
      <c r="A28" s="607">
        <f t="shared" si="0"/>
        <v>2043</v>
      </c>
      <c r="B28" s="647">
        <v>121746</v>
      </c>
      <c r="C28" s="647">
        <v>114330</v>
      </c>
      <c r="D28" s="608"/>
      <c r="H28" s="716"/>
      <c r="I28" s="642" t="s">
        <v>1096</v>
      </c>
      <c r="J28" s="643">
        <f>(VLOOKUP(J$16,$K$3:$P$7,3)*4*J$15*J$13)</f>
        <v>3571.4285714285716</v>
      </c>
      <c r="K28" s="717"/>
      <c r="L28" s="717"/>
    </row>
    <row r="29" spans="1:23" x14ac:dyDescent="0.35">
      <c r="A29" s="607">
        <f t="shared" si="0"/>
        <v>2044</v>
      </c>
      <c r="B29" s="647">
        <v>124878.3</v>
      </c>
      <c r="C29" s="647">
        <v>117271.5</v>
      </c>
      <c r="D29" s="608"/>
      <c r="H29" s="716"/>
      <c r="I29" s="642" t="s">
        <v>1036</v>
      </c>
      <c r="J29" s="643">
        <f>(VLOOKUP(J$16,$K$3:$P$7,4)*4*J$15*J$13)</f>
        <v>4828.5714285714284</v>
      </c>
      <c r="K29" s="717"/>
      <c r="L29" s="717"/>
    </row>
    <row r="30" spans="1:23" x14ac:dyDescent="0.35">
      <c r="A30" s="607">
        <f t="shared" si="0"/>
        <v>2045</v>
      </c>
      <c r="B30" s="647">
        <v>128010.59999999999</v>
      </c>
      <c r="C30" s="647">
        <v>120213</v>
      </c>
      <c r="D30" s="608"/>
      <c r="H30" s="716"/>
      <c r="I30" s="642" t="s">
        <v>1006</v>
      </c>
      <c r="J30" s="643">
        <f>(VLOOKUP(J$16,$K$3:$P$7,5)*4*J$15*J$13)</f>
        <v>5942.8571428571422</v>
      </c>
      <c r="K30" s="717"/>
      <c r="L30" s="717"/>
    </row>
    <row r="31" spans="1:23" ht="15" customHeight="1" x14ac:dyDescent="0.35">
      <c r="A31" s="607">
        <f t="shared" si="0"/>
        <v>2046</v>
      </c>
      <c r="B31" s="647">
        <v>131142.9</v>
      </c>
      <c r="C31" s="647">
        <v>123154.49999999999</v>
      </c>
      <c r="D31" s="608"/>
      <c r="H31" s="716"/>
      <c r="I31" s="642" t="s">
        <v>1097</v>
      </c>
      <c r="J31" s="643">
        <f>(VLOOKUP(J$16,$K$3:$P$7,6)*4*J$15*J$13)</f>
        <v>6857.1428571428569</v>
      </c>
      <c r="K31" s="717"/>
      <c r="L31" s="717"/>
    </row>
    <row r="32" spans="1:23" x14ac:dyDescent="0.35">
      <c r="A32" s="607">
        <f t="shared" si="0"/>
        <v>2047</v>
      </c>
      <c r="B32" s="647">
        <v>134275.20000000001</v>
      </c>
      <c r="C32" s="647">
        <v>126096.00000000001</v>
      </c>
      <c r="D32" s="608"/>
    </row>
    <row r="33" spans="1:7" x14ac:dyDescent="0.35">
      <c r="A33" s="607">
        <f t="shared" si="0"/>
        <v>2048</v>
      </c>
      <c r="B33" s="647">
        <v>137407.5</v>
      </c>
      <c r="C33" s="647">
        <v>129037.50000000001</v>
      </c>
      <c r="D33" s="608"/>
    </row>
    <row r="34" spans="1:7" x14ac:dyDescent="0.35">
      <c r="A34" s="607">
        <f t="shared" si="0"/>
        <v>2049</v>
      </c>
      <c r="B34" s="647">
        <v>140539.80000000002</v>
      </c>
      <c r="C34" s="647">
        <v>131979</v>
      </c>
      <c r="D34" s="608"/>
    </row>
    <row r="35" spans="1:7" x14ac:dyDescent="0.35">
      <c r="A35" s="607">
        <f t="shared" si="0"/>
        <v>2050</v>
      </c>
      <c r="B35" s="647">
        <v>143672.1</v>
      </c>
      <c r="C35" s="647">
        <v>134920.5</v>
      </c>
      <c r="D35" s="608"/>
    </row>
    <row r="36" spans="1:7" ht="14.5" customHeight="1" x14ac:dyDescent="0.35">
      <c r="A36" s="607">
        <f t="shared" si="0"/>
        <v>2051</v>
      </c>
      <c r="B36" s="647">
        <v>146804.4</v>
      </c>
      <c r="C36" s="647">
        <v>137862</v>
      </c>
      <c r="D36" s="608"/>
    </row>
    <row r="37" spans="1:7" x14ac:dyDescent="0.35">
      <c r="A37" s="607">
        <f t="shared" si="0"/>
        <v>2052</v>
      </c>
      <c r="B37" s="647">
        <v>149936.69999999998</v>
      </c>
      <c r="C37" s="647">
        <v>140803.5</v>
      </c>
      <c r="D37" s="608"/>
    </row>
    <row r="38" spans="1:7" x14ac:dyDescent="0.35">
      <c r="A38" s="607">
        <f t="shared" si="0"/>
        <v>2053</v>
      </c>
      <c r="B38" s="647">
        <v>153069</v>
      </c>
      <c r="C38" s="647">
        <v>143745</v>
      </c>
      <c r="D38" s="608"/>
    </row>
    <row r="39" spans="1:7" x14ac:dyDescent="0.35">
      <c r="A39" s="607">
        <f t="shared" si="0"/>
        <v>2054</v>
      </c>
      <c r="B39" s="647">
        <v>156201.29999999999</v>
      </c>
      <c r="C39" s="647">
        <v>146686.5</v>
      </c>
      <c r="D39" s="608"/>
    </row>
    <row r="40" spans="1:7" x14ac:dyDescent="0.35">
      <c r="A40" s="607">
        <f t="shared" si="0"/>
        <v>2055</v>
      </c>
      <c r="B40" s="647">
        <v>159333.59999999998</v>
      </c>
      <c r="C40" s="647">
        <v>149627.99999999997</v>
      </c>
      <c r="D40" s="608"/>
    </row>
    <row r="41" spans="1:7" x14ac:dyDescent="0.35">
      <c r="A41" s="607">
        <f t="shared" si="0"/>
        <v>2056</v>
      </c>
      <c r="B41" s="647">
        <v>162465.9</v>
      </c>
      <c r="C41" s="647">
        <v>152569.49999999997</v>
      </c>
      <c r="D41" s="608"/>
    </row>
    <row r="42" spans="1:7" ht="14.5" customHeight="1" x14ac:dyDescent="0.35">
      <c r="A42" s="607">
        <f t="shared" si="0"/>
        <v>2057</v>
      </c>
      <c r="B42" s="647">
        <v>165598.20000000001</v>
      </c>
      <c r="C42" s="647">
        <v>155511</v>
      </c>
      <c r="D42" s="608"/>
    </row>
    <row r="43" spans="1:7" x14ac:dyDescent="0.35">
      <c r="A43" s="607">
        <f t="shared" si="0"/>
        <v>2058</v>
      </c>
      <c r="B43" s="647">
        <v>168730.5</v>
      </c>
      <c r="C43" s="647">
        <v>158452.5</v>
      </c>
      <c r="D43" s="608"/>
    </row>
    <row r="44" spans="1:7" x14ac:dyDescent="0.35">
      <c r="A44" s="607">
        <f t="shared" si="0"/>
        <v>2059</v>
      </c>
      <c r="B44" s="647">
        <v>171862.8</v>
      </c>
      <c r="C44" s="647">
        <v>161394</v>
      </c>
      <c r="D44" s="608"/>
    </row>
    <row r="45" spans="1:7" x14ac:dyDescent="0.35">
      <c r="A45" s="607">
        <f t="shared" si="0"/>
        <v>2060</v>
      </c>
      <c r="B45" s="647">
        <v>174995.1</v>
      </c>
      <c r="C45" s="647">
        <v>164335.5</v>
      </c>
      <c r="D45" s="608"/>
    </row>
    <row r="46" spans="1:7" x14ac:dyDescent="0.35">
      <c r="A46" s="607">
        <f t="shared" si="0"/>
        <v>2061</v>
      </c>
      <c r="B46" s="647">
        <v>178127.4</v>
      </c>
      <c r="C46" s="647">
        <v>167277</v>
      </c>
      <c r="D46" s="608"/>
    </row>
    <row r="47" spans="1:7" x14ac:dyDescent="0.35">
      <c r="A47" s="607">
        <f t="shared" si="0"/>
        <v>2062</v>
      </c>
      <c r="B47" s="647">
        <v>181259.69999999998</v>
      </c>
      <c r="C47" s="647">
        <v>170218.49999999997</v>
      </c>
      <c r="D47" s="608"/>
    </row>
    <row r="48" spans="1:7" x14ac:dyDescent="0.35">
      <c r="A48" s="607">
        <f t="shared" si="0"/>
        <v>2063</v>
      </c>
      <c r="B48" s="647">
        <v>184392</v>
      </c>
      <c r="C48" s="647">
        <v>173160</v>
      </c>
      <c r="D48" s="608"/>
      <c r="G48" s="645"/>
    </row>
    <row r="49" spans="1:7" x14ac:dyDescent="0.35">
      <c r="A49" s="607">
        <f t="shared" si="0"/>
        <v>2064</v>
      </c>
      <c r="B49" s="647">
        <v>187524.3</v>
      </c>
      <c r="C49" s="647">
        <v>176101.5</v>
      </c>
      <c r="D49" s="608"/>
    </row>
    <row r="50" spans="1:7" x14ac:dyDescent="0.35">
      <c r="A50" s="607">
        <f t="shared" si="0"/>
        <v>2065</v>
      </c>
      <c r="B50" s="647">
        <v>190656.6</v>
      </c>
      <c r="C50" s="647">
        <v>179043</v>
      </c>
      <c r="D50" s="608"/>
      <c r="G50" s="503"/>
    </row>
    <row r="51" spans="1:7" x14ac:dyDescent="0.35">
      <c r="A51" s="607">
        <f t="shared" si="0"/>
        <v>2066</v>
      </c>
      <c r="B51" s="647">
        <v>193788.9</v>
      </c>
      <c r="C51" s="647">
        <v>181984.5</v>
      </c>
      <c r="D51" s="608"/>
    </row>
    <row r="52" spans="1:7" x14ac:dyDescent="0.35">
      <c r="A52" s="607">
        <f t="shared" si="0"/>
        <v>2067</v>
      </c>
      <c r="B52" s="647">
        <v>196921.19999999998</v>
      </c>
      <c r="C52" s="647">
        <v>184926</v>
      </c>
      <c r="D52" s="608"/>
    </row>
    <row r="53" spans="1:7" x14ac:dyDescent="0.35">
      <c r="A53" s="607">
        <f t="shared" si="0"/>
        <v>2068</v>
      </c>
      <c r="B53" s="647">
        <v>200053.5</v>
      </c>
      <c r="C53" s="647">
        <v>187867.5</v>
      </c>
      <c r="D53" s="608"/>
    </row>
    <row r="54" spans="1:7" x14ac:dyDescent="0.35">
      <c r="A54" s="607">
        <f t="shared" si="0"/>
        <v>2069</v>
      </c>
      <c r="B54" s="647">
        <v>203185.8</v>
      </c>
      <c r="C54" s="647">
        <v>190808.99999999997</v>
      </c>
      <c r="D54" s="608"/>
    </row>
    <row r="55" spans="1:7" x14ac:dyDescent="0.35">
      <c r="A55" s="607">
        <f t="shared" si="0"/>
        <v>2070</v>
      </c>
      <c r="B55" s="647">
        <v>206318.1</v>
      </c>
      <c r="C55" s="647">
        <v>193750.5</v>
      </c>
      <c r="D55" s="608"/>
    </row>
    <row r="56" spans="1:7" x14ac:dyDescent="0.35">
      <c r="A56" s="607">
        <f t="shared" si="0"/>
        <v>2071</v>
      </c>
      <c r="B56" s="647">
        <v>209450.4</v>
      </c>
      <c r="C56" s="647">
        <v>196692</v>
      </c>
      <c r="D56" s="608"/>
    </row>
    <row r="57" spans="1:7" x14ac:dyDescent="0.35">
      <c r="A57" s="607">
        <f t="shared" si="0"/>
        <v>2072</v>
      </c>
      <c r="B57" s="647">
        <v>212582.7</v>
      </c>
      <c r="C57" s="647">
        <v>199633.5</v>
      </c>
      <c r="D57" s="608"/>
    </row>
    <row r="58" spans="1:7" x14ac:dyDescent="0.35">
      <c r="A58" s="607">
        <f t="shared" si="0"/>
        <v>2073</v>
      </c>
      <c r="B58" s="647">
        <v>215715</v>
      </c>
      <c r="C58" s="647">
        <v>202575</v>
      </c>
      <c r="D58" s="608"/>
    </row>
    <row r="61" spans="1:7" x14ac:dyDescent="0.35">
      <c r="A61" t="s">
        <v>1354</v>
      </c>
      <c r="B61" s="646">
        <f>(B58/B8)^(1/(A58-A8))-1</f>
        <v>2.623271970401797E-2</v>
      </c>
      <c r="C61" s="646">
        <f>(C58/C8)^(1/(A58-A8))-1</f>
        <v>2.623271970401797E-2</v>
      </c>
    </row>
    <row r="62" spans="1:7" x14ac:dyDescent="0.35">
      <c r="B62" s="644"/>
    </row>
    <row r="63" spans="1:7" x14ac:dyDescent="0.35">
      <c r="B63" s="644"/>
    </row>
    <row r="64" spans="1:7" x14ac:dyDescent="0.35">
      <c r="B64" s="644"/>
    </row>
    <row r="65" spans="2:2" x14ac:dyDescent="0.35">
      <c r="B65" s="644"/>
    </row>
    <row r="66" spans="2:2" x14ac:dyDescent="0.35">
      <c r="B66" s="644"/>
    </row>
    <row r="67" spans="2:2" x14ac:dyDescent="0.35">
      <c r="B67" s="644"/>
    </row>
    <row r="68" spans="2:2" x14ac:dyDescent="0.35">
      <c r="B68" s="644"/>
    </row>
    <row r="69" spans="2:2" x14ac:dyDescent="0.35">
      <c r="B69" s="644"/>
    </row>
    <row r="70" spans="2:2" x14ac:dyDescent="0.35">
      <c r="B70" s="644"/>
    </row>
    <row r="71" spans="2:2" x14ac:dyDescent="0.35">
      <c r="B71" s="644"/>
    </row>
    <row r="72" spans="2:2" x14ac:dyDescent="0.35">
      <c r="B72" s="644"/>
    </row>
    <row r="73" spans="2:2" x14ac:dyDescent="0.35">
      <c r="B73" s="644"/>
    </row>
    <row r="74" spans="2:2" x14ac:dyDescent="0.35">
      <c r="B74" s="644"/>
    </row>
    <row r="75" spans="2:2" x14ac:dyDescent="0.35">
      <c r="B75" s="644"/>
    </row>
    <row r="76" spans="2:2" x14ac:dyDescent="0.35">
      <c r="B76" s="644"/>
    </row>
    <row r="77" spans="2:2" x14ac:dyDescent="0.35">
      <c r="B77" s="644"/>
    </row>
    <row r="78" spans="2:2" x14ac:dyDescent="0.35">
      <c r="B78" s="644"/>
    </row>
    <row r="79" spans="2:2" x14ac:dyDescent="0.35">
      <c r="B79" s="644"/>
    </row>
    <row r="80" spans="2:2" x14ac:dyDescent="0.35">
      <c r="B80" s="644"/>
    </row>
    <row r="81" spans="2:2" x14ac:dyDescent="0.35">
      <c r="B81" s="644"/>
    </row>
    <row r="82" spans="2:2" x14ac:dyDescent="0.35">
      <c r="B82" s="644"/>
    </row>
    <row r="83" spans="2:2" x14ac:dyDescent="0.35">
      <c r="B83" s="644"/>
    </row>
    <row r="84" spans="2:2" x14ac:dyDescent="0.35">
      <c r="B84" s="644"/>
    </row>
    <row r="85" spans="2:2" x14ac:dyDescent="0.35">
      <c r="B85" s="644"/>
    </row>
    <row r="86" spans="2:2" x14ac:dyDescent="0.35">
      <c r="B86" s="644"/>
    </row>
    <row r="87" spans="2:2" x14ac:dyDescent="0.35">
      <c r="B87" s="644"/>
    </row>
    <row r="88" spans="2:2" x14ac:dyDescent="0.35">
      <c r="B88" s="644"/>
    </row>
    <row r="89" spans="2:2" x14ac:dyDescent="0.35">
      <c r="B89" s="644"/>
    </row>
  </sheetData>
  <mergeCells count="15">
    <mergeCell ref="H27:H31"/>
    <mergeCell ref="K17:L31"/>
    <mergeCell ref="E1:G1"/>
    <mergeCell ref="B2:C2"/>
    <mergeCell ref="E2:G2"/>
    <mergeCell ref="K14:L14"/>
    <mergeCell ref="K15:L15"/>
    <mergeCell ref="B4:B5"/>
    <mergeCell ref="C4:C5"/>
    <mergeCell ref="K16:L16"/>
    <mergeCell ref="A4:A5"/>
    <mergeCell ref="B3:C3"/>
    <mergeCell ref="B1:C1"/>
    <mergeCell ref="H17:H21"/>
    <mergeCell ref="H22:H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13A13-3FA8-4B5B-B081-75D3535A3958}">
  <sheetPr>
    <tabColor theme="4" tint="-0.249977111117893"/>
  </sheetPr>
  <dimension ref="A1:AB57"/>
  <sheetViews>
    <sheetView zoomScale="59" zoomScaleNormal="59" workbookViewId="0">
      <pane activePane="bottomRight" state="frozen"/>
      <selection activeCell="AA32" sqref="AA32"/>
    </sheetView>
  </sheetViews>
  <sheetFormatPr defaultColWidth="0" defaultRowHeight="14.5" zeroHeight="1" x14ac:dyDescent="0.35"/>
  <cols>
    <col min="1" max="3" width="1.453125" customWidth="1"/>
    <col min="4" max="27" width="8.81640625" customWidth="1"/>
    <col min="28" max="28" width="1.81640625" hidden="1" customWidth="1"/>
    <col min="29" max="16384" width="8.81640625" hidden="1"/>
  </cols>
  <sheetData>
    <row r="1" spans="1:27" ht="15.5" x14ac:dyDescent="0.35">
      <c r="A1" s="497" t="s">
        <v>64</v>
      </c>
      <c r="B1" s="498"/>
      <c r="C1" s="498"/>
      <c r="D1" s="498"/>
      <c r="E1" s="498"/>
      <c r="F1" s="498"/>
      <c r="G1" s="498"/>
      <c r="H1" s="498"/>
      <c r="I1" s="498"/>
      <c r="J1" s="498"/>
      <c r="K1" s="498"/>
      <c r="L1" s="498"/>
      <c r="M1" s="498"/>
      <c r="N1" s="498"/>
      <c r="O1" s="498"/>
      <c r="P1" s="498"/>
      <c r="Q1" s="499"/>
      <c r="R1" s="499"/>
      <c r="S1" s="499"/>
      <c r="T1" s="499"/>
      <c r="U1" s="499"/>
      <c r="V1" s="499"/>
      <c r="W1" s="499"/>
      <c r="X1" s="499"/>
      <c r="Y1" s="499"/>
      <c r="Z1" s="499"/>
      <c r="AA1" s="499"/>
    </row>
    <row r="2" spans="1:27" ht="5.25" customHeight="1" x14ac:dyDescent="0.35">
      <c r="A2" s="10"/>
      <c r="B2" s="10"/>
      <c r="C2" s="10"/>
      <c r="D2" s="10"/>
      <c r="E2" s="10"/>
      <c r="F2" s="10"/>
      <c r="G2" s="10"/>
      <c r="H2" s="10"/>
      <c r="I2" s="10"/>
      <c r="J2" s="10"/>
      <c r="K2" s="10"/>
      <c r="L2" s="10"/>
      <c r="M2" s="10"/>
      <c r="N2" s="10"/>
      <c r="O2" s="10"/>
      <c r="P2" s="10"/>
      <c r="Q2" s="178"/>
      <c r="R2" s="178"/>
      <c r="S2" s="178"/>
      <c r="T2" s="178"/>
      <c r="U2" s="178"/>
      <c r="V2" s="178"/>
      <c r="W2" s="178"/>
      <c r="X2" s="178"/>
      <c r="Y2" s="178"/>
      <c r="Z2" s="178"/>
      <c r="AA2" s="178"/>
    </row>
    <row r="3" spans="1:27" ht="15" customHeight="1" x14ac:dyDescent="0.35">
      <c r="A3" s="10"/>
      <c r="B3" s="500" t="s">
        <v>65</v>
      </c>
      <c r="C3" s="10"/>
      <c r="D3" s="10"/>
      <c r="E3" s="10"/>
      <c r="F3" s="10"/>
      <c r="G3" s="10"/>
      <c r="H3" s="10"/>
      <c r="I3" s="10"/>
      <c r="J3" s="10"/>
      <c r="K3" s="10"/>
      <c r="L3" s="10"/>
      <c r="M3" s="10"/>
      <c r="N3" s="10"/>
      <c r="O3" s="10"/>
      <c r="P3" s="10"/>
      <c r="Q3" s="178"/>
      <c r="R3" s="178"/>
      <c r="S3" s="178"/>
      <c r="T3" s="178"/>
      <c r="U3" s="178"/>
      <c r="V3" s="178"/>
      <c r="W3" s="178"/>
      <c r="X3" s="178"/>
      <c r="Y3" s="178"/>
      <c r="Z3" s="178"/>
      <c r="AA3" s="178"/>
    </row>
    <row r="4" spans="1:27" ht="15" customHeight="1" x14ac:dyDescent="0.35">
      <c r="A4" s="10"/>
      <c r="B4" s="500" t="str">
        <f>'Cover Sheet'!C13</f>
        <v>I-35 McClain County</v>
      </c>
      <c r="C4" s="10"/>
      <c r="D4" s="10"/>
      <c r="E4" s="10"/>
      <c r="F4" s="10"/>
      <c r="G4" s="10"/>
      <c r="H4" s="10"/>
      <c r="I4" s="10"/>
      <c r="J4" s="10"/>
      <c r="K4" s="10"/>
      <c r="L4" s="10"/>
      <c r="M4" s="10"/>
      <c r="N4" s="10"/>
      <c r="O4" s="10"/>
      <c r="P4" s="10"/>
      <c r="Q4" s="178"/>
      <c r="R4" s="178"/>
      <c r="S4" s="178"/>
      <c r="T4" s="178"/>
      <c r="U4" s="178"/>
      <c r="V4" s="178"/>
      <c r="W4" s="178"/>
      <c r="X4" s="178"/>
      <c r="Y4" s="178"/>
      <c r="Z4" s="178"/>
      <c r="AA4" s="178"/>
    </row>
    <row r="5" spans="1:27" ht="15" customHeight="1" x14ac:dyDescent="0.35">
      <c r="A5" s="10"/>
      <c r="B5" s="500" t="str">
        <f>'Cover Sheet'!C11</f>
        <v>Oklahoma Department of Transportation</v>
      </c>
      <c r="C5" s="10"/>
      <c r="D5" s="10"/>
      <c r="E5" s="10"/>
      <c r="F5" s="10"/>
      <c r="G5" s="10"/>
      <c r="H5" s="10"/>
      <c r="I5" s="10"/>
      <c r="J5" s="10"/>
      <c r="K5" s="10"/>
      <c r="L5" s="10"/>
      <c r="M5" s="10"/>
      <c r="N5" s="10"/>
      <c r="O5" s="10"/>
      <c r="P5" s="10"/>
      <c r="Q5" s="178"/>
      <c r="R5" s="178"/>
      <c r="S5" s="178"/>
      <c r="T5" s="178"/>
      <c r="U5" s="178"/>
      <c r="V5" s="178"/>
      <c r="W5" s="178"/>
      <c r="X5" s="178"/>
      <c r="Y5" s="178"/>
      <c r="Z5" s="178"/>
      <c r="AA5" s="178"/>
    </row>
    <row r="6" spans="1:27" ht="5.25" customHeight="1" x14ac:dyDescent="0.35">
      <c r="A6" s="10"/>
      <c r="B6" s="10"/>
      <c r="C6" s="10"/>
      <c r="D6" s="10"/>
      <c r="E6" s="10"/>
      <c r="F6" s="10"/>
      <c r="G6" s="10"/>
      <c r="H6" s="10"/>
      <c r="I6" s="10"/>
      <c r="J6" s="10"/>
      <c r="K6" s="10"/>
      <c r="L6" s="10"/>
      <c r="M6" s="10"/>
      <c r="N6" s="10"/>
      <c r="O6" s="10"/>
      <c r="P6" s="10"/>
      <c r="Q6" s="178"/>
      <c r="R6" s="178"/>
      <c r="S6" s="178"/>
      <c r="T6" s="178"/>
      <c r="U6" s="178"/>
      <c r="V6" s="178"/>
      <c r="W6" s="178"/>
      <c r="X6" s="178"/>
      <c r="Y6" s="178"/>
      <c r="Z6" s="178"/>
      <c r="AA6" s="178"/>
    </row>
    <row r="7" spans="1:27" x14ac:dyDescent="0.35">
      <c r="A7" s="178"/>
      <c r="B7" s="180" t="str">
        <f>"BCA Model Discounted Benefits and Costs in "&amp;StockValueC!$H$13&amp;"$"</f>
        <v>BCA Model Discounted Benefits and Costs in 2024$</v>
      </c>
      <c r="C7" s="178"/>
      <c r="D7" s="178"/>
      <c r="E7" s="178"/>
      <c r="F7" s="178"/>
      <c r="G7" s="178"/>
      <c r="H7" s="178"/>
      <c r="I7" s="178"/>
      <c r="J7" s="178"/>
      <c r="K7" s="178"/>
      <c r="L7" s="178"/>
      <c r="M7" s="178"/>
      <c r="N7" s="178"/>
      <c r="O7" s="178"/>
      <c r="P7" s="180" t="str">
        <f>"BCA Model Undiscounted Benefits and Costs in "&amp;StockValueC!$H$13&amp;"$"</f>
        <v>BCA Model Undiscounted Benefits and Costs in 2024$</v>
      </c>
      <c r="Q7" s="178"/>
      <c r="R7" s="178"/>
      <c r="S7" s="178"/>
      <c r="T7" s="178"/>
      <c r="U7" s="178"/>
      <c r="V7" s="178"/>
      <c r="W7" s="178"/>
      <c r="X7" s="178"/>
      <c r="Y7" s="178"/>
      <c r="Z7" s="178"/>
      <c r="AA7" s="178"/>
    </row>
    <row r="8" spans="1:27" x14ac:dyDescent="0.35">
      <c r="A8" s="178"/>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row>
    <row r="9" spans="1:27" x14ac:dyDescent="0.35">
      <c r="A9" s="178"/>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row>
    <row r="10" spans="1:27" x14ac:dyDescent="0.35">
      <c r="A10" s="178"/>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row>
    <row r="11" spans="1:27" x14ac:dyDescent="0.3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row>
    <row r="12" spans="1:27" x14ac:dyDescent="0.35">
      <c r="A12" s="178"/>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row>
    <row r="13" spans="1:27" x14ac:dyDescent="0.35">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row>
    <row r="14" spans="1:27" x14ac:dyDescent="0.3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row>
    <row r="15" spans="1:27" x14ac:dyDescent="0.35">
      <c r="A15" s="178"/>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row>
    <row r="16" spans="1:27" x14ac:dyDescent="0.35">
      <c r="A16" s="178"/>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row>
    <row r="17" spans="1:27" x14ac:dyDescent="0.35">
      <c r="A17" s="178"/>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row>
    <row r="18" spans="1:27" x14ac:dyDescent="0.3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row>
    <row r="19" spans="1:27" x14ac:dyDescent="0.35">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row>
    <row r="20" spans="1:27" x14ac:dyDescent="0.35">
      <c r="A20" s="178"/>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row>
    <row r="21" spans="1:27" x14ac:dyDescent="0.35">
      <c r="A21" s="178"/>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row>
    <row r="22" spans="1:27" x14ac:dyDescent="0.35">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row>
    <row r="23" spans="1:27" x14ac:dyDescent="0.35">
      <c r="A23" s="178"/>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row>
    <row r="24" spans="1:27" x14ac:dyDescent="0.35">
      <c r="A24" s="178"/>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row>
    <row r="25" spans="1:27" x14ac:dyDescent="0.35">
      <c r="A25" s="178"/>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row>
    <row r="26" spans="1:27" x14ac:dyDescent="0.35">
      <c r="A26" s="178"/>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row>
    <row r="27" spans="1:27" x14ac:dyDescent="0.35">
      <c r="A27" s="178"/>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row>
    <row r="28" spans="1:27" x14ac:dyDescent="0.35">
      <c r="A28" s="178"/>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row>
    <row r="29" spans="1:27" x14ac:dyDescent="0.35">
      <c r="A29" s="178"/>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row>
    <row r="30" spans="1:27" x14ac:dyDescent="0.35">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row>
    <row r="31" spans="1:27" x14ac:dyDescent="0.35">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row>
    <row r="32" spans="1:27" x14ac:dyDescent="0.35">
      <c r="A32" s="178"/>
      <c r="B32" s="180" t="s">
        <v>66</v>
      </c>
      <c r="C32" s="178"/>
      <c r="D32" s="178"/>
      <c r="E32" s="178"/>
      <c r="F32" s="178"/>
      <c r="G32" s="178"/>
      <c r="H32" s="178"/>
      <c r="I32" s="178"/>
      <c r="J32" s="178"/>
      <c r="K32" s="178"/>
      <c r="L32" s="178"/>
      <c r="M32" s="178"/>
      <c r="N32" s="178"/>
      <c r="O32" s="178"/>
      <c r="P32" s="180" t="s">
        <v>67</v>
      </c>
      <c r="Q32" s="178"/>
      <c r="R32" s="178"/>
      <c r="S32" s="178"/>
      <c r="T32" s="178"/>
      <c r="U32" s="178"/>
      <c r="V32" s="178"/>
      <c r="W32" s="178"/>
      <c r="X32" s="178"/>
      <c r="Y32" s="178"/>
      <c r="Z32" s="178"/>
      <c r="AA32" s="178"/>
    </row>
    <row r="33" spans="1:27" x14ac:dyDescent="0.35">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row>
    <row r="34" spans="1:27" x14ac:dyDescent="0.35">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row>
    <row r="35" spans="1:27" x14ac:dyDescent="0.35">
      <c r="A35" s="178"/>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row>
    <row r="36" spans="1:27" x14ac:dyDescent="0.35">
      <c r="A36" s="178"/>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row>
    <row r="37" spans="1:27" x14ac:dyDescent="0.35">
      <c r="A37" s="178"/>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row>
    <row r="38" spans="1:27" x14ac:dyDescent="0.35">
      <c r="A38" s="178"/>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row>
    <row r="39" spans="1:27" x14ac:dyDescent="0.35">
      <c r="A39" s="178"/>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row>
    <row r="40" spans="1:27" x14ac:dyDescent="0.35">
      <c r="A40" s="178"/>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row>
    <row r="41" spans="1:27" x14ac:dyDescent="0.35">
      <c r="A41" s="178"/>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row>
    <row r="42" spans="1:27" x14ac:dyDescent="0.35">
      <c r="A42" s="178"/>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row>
    <row r="43" spans="1:27" x14ac:dyDescent="0.35">
      <c r="A43" s="178"/>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row>
    <row r="44" spans="1:27" x14ac:dyDescent="0.35">
      <c r="A44" s="178"/>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row>
    <row r="45" spans="1:27" x14ac:dyDescent="0.35">
      <c r="A45" s="178"/>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row>
    <row r="46" spans="1:27" x14ac:dyDescent="0.35">
      <c r="A46" s="178"/>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row>
    <row r="47" spans="1:27" x14ac:dyDescent="0.35">
      <c r="A47" s="17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row>
    <row r="48" spans="1:27" x14ac:dyDescent="0.35">
      <c r="A48" s="178"/>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row>
    <row r="49" spans="1:27" x14ac:dyDescent="0.35">
      <c r="A49" s="178"/>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row>
    <row r="50" spans="1:27" x14ac:dyDescent="0.35">
      <c r="A50" s="178"/>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row>
    <row r="51" spans="1:27" x14ac:dyDescent="0.35">
      <c r="A51" s="178"/>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row>
    <row r="52" spans="1:27" x14ac:dyDescent="0.35">
      <c r="A52" s="178"/>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row>
    <row r="53" spans="1:27" x14ac:dyDescent="0.35">
      <c r="A53" s="178"/>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row>
    <row r="54" spans="1:27" x14ac:dyDescent="0.35">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row>
    <row r="55" spans="1:27" x14ac:dyDescent="0.35">
      <c r="A55" s="178"/>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row>
    <row r="56" spans="1:27" x14ac:dyDescent="0.35">
      <c r="A56" s="178"/>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row>
    <row r="57" spans="1:27" ht="6.75" hidden="1" customHeight="1" x14ac:dyDescent="0.3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4F5E5-C9F6-499C-97A1-09320FD10828}">
  <sheetPr>
    <tabColor theme="4" tint="-0.249977111117893"/>
  </sheetPr>
  <dimension ref="A1:AY50"/>
  <sheetViews>
    <sheetView topLeftCell="A7" zoomScale="90" zoomScaleNormal="90" workbookViewId="0">
      <selection activeCell="A11" sqref="A11"/>
    </sheetView>
  </sheetViews>
  <sheetFormatPr defaultColWidth="0" defaultRowHeight="14.5" zeroHeight="1" x14ac:dyDescent="0.35"/>
  <cols>
    <col min="1" max="4" width="1.453125" customWidth="1"/>
    <col min="5" max="5" width="39.1796875" bestFit="1" customWidth="1"/>
    <col min="6" max="8" width="8.81640625" customWidth="1"/>
    <col min="9" max="9" width="9.26953125" bestFit="1" customWidth="1"/>
    <col min="10" max="50" width="13.26953125" bestFit="1" customWidth="1"/>
    <col min="51" max="51" width="8.81640625" customWidth="1"/>
    <col min="52" max="16384" width="8.81640625" hidden="1"/>
  </cols>
  <sheetData>
    <row r="1" spans="1:51" x14ac:dyDescent="0.35"/>
    <row r="2" spans="1:51" s="178" customFormat="1" x14ac:dyDescent="0.35">
      <c r="A2"/>
      <c r="B2" s="501" t="s">
        <v>68</v>
      </c>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row>
    <row r="3" spans="1:51" s="178" customFormat="1" x14ac:dyDescent="0.3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row>
    <row r="4" spans="1:51" s="178" customFormat="1" x14ac:dyDescent="0.35">
      <c r="A4"/>
      <c r="B4"/>
      <c r="C4"/>
      <c r="D4"/>
      <c r="E4" s="502" t="s">
        <v>69</v>
      </c>
      <c r="F4"/>
      <c r="G4"/>
      <c r="H4"/>
      <c r="I4" s="502">
        <f>'Discount Calc'!I$5</f>
        <v>2023</v>
      </c>
      <c r="J4" s="502">
        <f>'Discount Calc'!J$5</f>
        <v>2024</v>
      </c>
      <c r="K4" s="502">
        <f>'Discount Calc'!K$5</f>
        <v>2025</v>
      </c>
      <c r="L4" s="502">
        <f>'Discount Calc'!L$5</f>
        <v>2026</v>
      </c>
      <c r="M4" s="502">
        <f>'Discount Calc'!M$5</f>
        <v>2027</v>
      </c>
      <c r="N4" s="502">
        <f>'Discount Calc'!N$5</f>
        <v>2028</v>
      </c>
      <c r="O4" s="502">
        <f>'Discount Calc'!O$5</f>
        <v>2029</v>
      </c>
      <c r="P4" s="502">
        <f>'Discount Calc'!P$5</f>
        <v>2030</v>
      </c>
      <c r="Q4" s="502">
        <f>'Discount Calc'!Q$5</f>
        <v>2031</v>
      </c>
      <c r="R4" s="502">
        <f>'Discount Calc'!R$5</f>
        <v>2032</v>
      </c>
      <c r="S4" s="502">
        <f>'Discount Calc'!S$5</f>
        <v>2033</v>
      </c>
      <c r="T4" s="502">
        <f>'Discount Calc'!T$5</f>
        <v>2034</v>
      </c>
      <c r="U4" s="502">
        <f>'Discount Calc'!U$5</f>
        <v>2035</v>
      </c>
      <c r="V4" s="502">
        <f>'Discount Calc'!V$5</f>
        <v>2036</v>
      </c>
      <c r="W4" s="502">
        <f>'Discount Calc'!W$5</f>
        <v>2037</v>
      </c>
      <c r="X4" s="502">
        <f>'Discount Calc'!X$5</f>
        <v>2038</v>
      </c>
      <c r="Y4" s="502">
        <f>'Discount Calc'!Y$5</f>
        <v>2039</v>
      </c>
      <c r="Z4" s="502">
        <f>'Discount Calc'!Z$5</f>
        <v>2040</v>
      </c>
      <c r="AA4" s="502">
        <f>'Discount Calc'!AA$5</f>
        <v>2041</v>
      </c>
      <c r="AB4" s="502">
        <f>'Discount Calc'!AB$5</f>
        <v>2042</v>
      </c>
      <c r="AC4" s="502">
        <f>'Discount Calc'!AC$5</f>
        <v>2043</v>
      </c>
      <c r="AD4" s="502">
        <f>'Discount Calc'!AD$5</f>
        <v>2044</v>
      </c>
      <c r="AE4" s="502">
        <f>'Discount Calc'!AE$5</f>
        <v>2045</v>
      </c>
      <c r="AF4" s="502">
        <f>'Discount Calc'!AF$5</f>
        <v>2046</v>
      </c>
      <c r="AG4" s="502">
        <f>'Discount Calc'!AG$5</f>
        <v>2047</v>
      </c>
      <c r="AH4" s="502">
        <f>'Discount Calc'!AH$5</f>
        <v>2048</v>
      </c>
      <c r="AI4" s="502">
        <f>'Discount Calc'!AI$5</f>
        <v>2049</v>
      </c>
      <c r="AJ4" s="502">
        <f>'Discount Calc'!AJ$5</f>
        <v>2050</v>
      </c>
      <c r="AK4" s="502">
        <f>'Discount Calc'!AK$5</f>
        <v>2051</v>
      </c>
      <c r="AL4" s="502">
        <f>'Discount Calc'!AL$5</f>
        <v>2052</v>
      </c>
      <c r="AM4" s="502">
        <f>'Discount Calc'!AM$5</f>
        <v>2053</v>
      </c>
      <c r="AN4" s="502">
        <f>'Discount Calc'!AN$5</f>
        <v>2054</v>
      </c>
      <c r="AO4" s="502">
        <f>'Discount Calc'!AO$5</f>
        <v>2055</v>
      </c>
      <c r="AP4" s="502">
        <f>'Discount Calc'!AP$5</f>
        <v>2056</v>
      </c>
      <c r="AQ4" s="502">
        <f>'Discount Calc'!AQ$5</f>
        <v>2057</v>
      </c>
      <c r="AR4" s="502">
        <f>'Discount Calc'!AR$5</f>
        <v>2058</v>
      </c>
      <c r="AS4" s="502">
        <f>'Discount Calc'!AS$5</f>
        <v>2059</v>
      </c>
      <c r="AT4" s="502">
        <f>'Discount Calc'!AT$5</f>
        <v>2060</v>
      </c>
      <c r="AU4" s="502">
        <f>'Discount Calc'!AU$5</f>
        <v>2061</v>
      </c>
      <c r="AV4" s="502">
        <f>'Discount Calc'!AV$5</f>
        <v>2062</v>
      </c>
      <c r="AW4" s="502">
        <f>'Discount Calc'!AW$5</f>
        <v>2063</v>
      </c>
      <c r="AX4" s="502">
        <f>'Discount Calc'!AX$5</f>
        <v>2064</v>
      </c>
      <c r="AY4"/>
    </row>
    <row r="5" spans="1:51" s="178" customFormat="1" x14ac:dyDescent="0.35">
      <c r="A5"/>
      <c r="B5"/>
      <c r="C5"/>
      <c r="D5"/>
      <c r="E5" s="502" t="s">
        <v>70</v>
      </c>
      <c r="F5"/>
      <c r="G5" t="str">
        <f>'Discounted Summary'!G$31</f>
        <v>2024$ in 2024</v>
      </c>
      <c r="H5"/>
      <c r="I5">
        <f>'Discounted Summary'!I$29</f>
        <v>327709.29052218742</v>
      </c>
      <c r="J5">
        <f>'Discounted Summary'!J$29</f>
        <v>705230.39320374734</v>
      </c>
      <c r="K5">
        <f>'Discounted Summary'!K$29</f>
        <v>1043940.9152358011</v>
      </c>
      <c r="L5">
        <f>'Discounted Summary'!L$29</f>
        <v>1348317.7323027076</v>
      </c>
      <c r="M5">
        <f>'Discounted Summary'!M$29</f>
        <v>23821103.318659697</v>
      </c>
      <c r="N5">
        <f>'Discounted Summary'!N$29</f>
        <v>29873401.657455102</v>
      </c>
      <c r="O5">
        <f>'Discounted Summary'!O$29</f>
        <v>29873401.657455102</v>
      </c>
      <c r="P5">
        <f>'Discounted Summary'!P$29</f>
        <v>29873401.657455102</v>
      </c>
      <c r="Q5">
        <f>'Discounted Summary'!Q$29</f>
        <v>29873401.657455102</v>
      </c>
      <c r="R5">
        <f>'Discounted Summary'!R$29</f>
        <v>29873401.657455102</v>
      </c>
      <c r="S5">
        <f>'Discounted Summary'!S$29</f>
        <v>29873401.657455102</v>
      </c>
      <c r="T5">
        <f>'Discounted Summary'!T$29</f>
        <v>29873401.657455102</v>
      </c>
      <c r="U5">
        <f>'Discounted Summary'!U$29</f>
        <v>29873401.657455102</v>
      </c>
      <c r="V5">
        <f>'Discounted Summary'!V$29</f>
        <v>29873401.657455102</v>
      </c>
      <c r="W5">
        <f>'Discounted Summary'!W$29</f>
        <v>29873401.657455102</v>
      </c>
      <c r="X5">
        <f>'Discounted Summary'!X$29</f>
        <v>29873401.657455102</v>
      </c>
      <c r="Y5">
        <f>'Discounted Summary'!Y$29</f>
        <v>29873401.657455102</v>
      </c>
      <c r="Z5">
        <f>'Discounted Summary'!Z$29</f>
        <v>29873401.657455102</v>
      </c>
      <c r="AA5">
        <f>'Discounted Summary'!AA$29</f>
        <v>29873401.657455102</v>
      </c>
      <c r="AB5">
        <f>'Discounted Summary'!AB$29</f>
        <v>29873401.657455102</v>
      </c>
      <c r="AC5">
        <f>'Discounted Summary'!AC$29</f>
        <v>29873401.657455102</v>
      </c>
      <c r="AD5">
        <f>'Discounted Summary'!AD$29</f>
        <v>29873401.657455102</v>
      </c>
      <c r="AE5">
        <f>'Discounted Summary'!AE$29</f>
        <v>29873401.657455102</v>
      </c>
      <c r="AF5">
        <f>'Discounted Summary'!AF$29</f>
        <v>29873401.657455102</v>
      </c>
      <c r="AG5">
        <f>'Discounted Summary'!AG$29</f>
        <v>29873401.657455102</v>
      </c>
      <c r="AH5">
        <f>'Discounted Summary'!AH$29</f>
        <v>29873401.657455102</v>
      </c>
      <c r="AI5">
        <f>'Discounted Summary'!AI$29</f>
        <v>29873401.657455102</v>
      </c>
      <c r="AJ5">
        <f>'Discounted Summary'!AJ$29</f>
        <v>29873401.657455102</v>
      </c>
      <c r="AK5">
        <f>'Discounted Summary'!AK$29</f>
        <v>29873401.657455102</v>
      </c>
      <c r="AL5">
        <f>'Discounted Summary'!AL$29</f>
        <v>29873401.657455102</v>
      </c>
      <c r="AM5">
        <f>'Discounted Summary'!AM$29</f>
        <v>29873401.657455102</v>
      </c>
      <c r="AN5">
        <f>'Discounted Summary'!AN$29</f>
        <v>29873401.657455102</v>
      </c>
      <c r="AO5">
        <f>'Discounted Summary'!AO$29</f>
        <v>29873401.657455102</v>
      </c>
      <c r="AP5">
        <f>'Discounted Summary'!AP$29</f>
        <v>29873401.657455102</v>
      </c>
      <c r="AQ5">
        <f>'Discounted Summary'!AQ$29</f>
        <v>29873401.657455102</v>
      </c>
      <c r="AR5">
        <f>'Discounted Summary'!AR$29</f>
        <v>29873401.657455102</v>
      </c>
      <c r="AS5">
        <f>'Discounted Summary'!AS$29</f>
        <v>29873401.657455102</v>
      </c>
      <c r="AT5">
        <f>'Discounted Summary'!AT$29</f>
        <v>29873401.657455102</v>
      </c>
      <c r="AU5">
        <f>'Discounted Summary'!AU$29</f>
        <v>29873401.657455102</v>
      </c>
      <c r="AV5">
        <f>'Discounted Summary'!AV$29</f>
        <v>29873401.657455102</v>
      </c>
      <c r="AW5">
        <f>'Discounted Summary'!AW$29</f>
        <v>29873401.657455102</v>
      </c>
      <c r="AX5">
        <f>'Discounted Summary'!AX$29</f>
        <v>29873401.657455102</v>
      </c>
      <c r="AY5"/>
    </row>
    <row r="6" spans="1:51" s="178" customFormat="1" x14ac:dyDescent="0.35">
      <c r="A6"/>
      <c r="B6"/>
      <c r="C6"/>
      <c r="D6"/>
      <c r="E6" s="502" t="s">
        <v>71</v>
      </c>
      <c r="F6"/>
      <c r="G6" t="str">
        <f>'Discounted Summary'!G$25</f>
        <v>2024$ in 2024</v>
      </c>
      <c r="H6"/>
      <c r="I6">
        <f>'Discounted Summary'!I$26</f>
        <v>0</v>
      </c>
      <c r="J6">
        <f>'Discounted Summary'!J$26</f>
        <v>0</v>
      </c>
      <c r="K6">
        <f>'Discounted Summary'!K$26</f>
        <v>0</v>
      </c>
      <c r="L6">
        <f>'Discounted Summary'!L$26</f>
        <v>1708286.5232690291</v>
      </c>
      <c r="M6">
        <f>'Discounted Summary'!M$26</f>
        <v>1708286.5232690291</v>
      </c>
      <c r="N6">
        <f>'Discounted Summary'!N$26</f>
        <v>1708286.5232690291</v>
      </c>
      <c r="O6">
        <f>'Discounted Summary'!O$26</f>
        <v>5003473.8014244856</v>
      </c>
      <c r="P6">
        <f>'Discounted Summary'!P$26</f>
        <v>8093457.9657744449</v>
      </c>
      <c r="Q6">
        <f>'Discounted Summary'!Q$26</f>
        <v>10991237.093884874</v>
      </c>
      <c r="R6">
        <f>'Discounted Summary'!R$26</f>
        <v>13708976.457040865</v>
      </c>
      <c r="S6">
        <f>'Discounted Summary'!S$26</f>
        <v>16258062.281825144</v>
      </c>
      <c r="T6">
        <f>'Discounted Summary'!T$26</f>
        <v>19643390.333983995</v>
      </c>
      <c r="U6">
        <f>'Discounted Summary'!U$26</f>
        <v>21886459.693022959</v>
      </c>
      <c r="V6">
        <f>'Discounted Summary'!V$26</f>
        <v>23990846.575893644</v>
      </c>
      <c r="W6">
        <f>'Discounted Summary'!W$26</f>
        <v>25965292.213111527</v>
      </c>
      <c r="X6">
        <f>'Discounted Summary'!X$26</f>
        <v>27817979.608908847</v>
      </c>
      <c r="Y6">
        <f>'Discounted Summary'!Y$26</f>
        <v>29556569.500228431</v>
      </c>
      <c r="Z6">
        <f>'Discounted Summary'!Z$26</f>
        <v>31188233.986307889</v>
      </c>
      <c r="AA6">
        <f>'Discounted Summary'!AA$26</f>
        <v>32719687.980297655</v>
      </c>
      <c r="AB6">
        <f>'Discounted Summary'!AB$26</f>
        <v>34157218.624487862</v>
      </c>
      <c r="AC6">
        <f>'Discounted Summary'!AC$26</f>
        <v>35269643.913561799</v>
      </c>
      <c r="AD6">
        <f>'Discounted Summary'!AD$26</f>
        <v>37235413.297330648</v>
      </c>
      <c r="AE6">
        <f>'Discounted Summary'!AE$26</f>
        <v>39095084.785996199</v>
      </c>
      <c r="AF6">
        <f>'Discounted Summary'!AF$26</f>
        <v>40854673.971787207</v>
      </c>
      <c r="AG6">
        <f>'Discounted Summary'!AG$26</f>
        <v>42519840.957000419</v>
      </c>
      <c r="AH6">
        <f>'Discounted Summary'!AH$26</f>
        <v>46424577.298795462</v>
      </c>
      <c r="AI6">
        <f>'Discounted Summary'!AI$26</f>
        <v>46424577.298795462</v>
      </c>
      <c r="AJ6">
        <f>'Discounted Summary'!AJ$26</f>
        <v>46424577.298795462</v>
      </c>
      <c r="AK6">
        <f>'Discounted Summary'!AK$26</f>
        <v>46424577.298795462</v>
      </c>
      <c r="AL6">
        <f>'Discounted Summary'!AL$26</f>
        <v>46424577.298795462</v>
      </c>
      <c r="AM6">
        <f>'Discounted Summary'!AM$26</f>
        <v>46424577.298795462</v>
      </c>
      <c r="AN6">
        <f>'Discounted Summary'!AN$26</f>
        <v>46424577.298795462</v>
      </c>
      <c r="AO6">
        <f>'Discounted Summary'!AO$26</f>
        <v>46424577.298795462</v>
      </c>
      <c r="AP6">
        <f>'Discounted Summary'!AP$26</f>
        <v>46424577.298795462</v>
      </c>
      <c r="AQ6">
        <f>'Discounted Summary'!AQ$26</f>
        <v>46424577.298795462</v>
      </c>
      <c r="AR6">
        <f>'Discounted Summary'!AR$26</f>
        <v>46424577.298795462</v>
      </c>
      <c r="AS6">
        <f>'Discounted Summary'!AS$26</f>
        <v>46424577.298795462</v>
      </c>
      <c r="AT6">
        <f>'Discounted Summary'!AT$26</f>
        <v>46424577.298795462</v>
      </c>
      <c r="AU6">
        <f>'Discounted Summary'!AU$26</f>
        <v>46424577.298795462</v>
      </c>
      <c r="AV6">
        <f>'Discounted Summary'!AV$26</f>
        <v>46424577.298795462</v>
      </c>
      <c r="AW6">
        <f>'Discounted Summary'!AW$26</f>
        <v>46424577.298795462</v>
      </c>
      <c r="AX6">
        <f>'Discounted Summary'!AX$26</f>
        <v>46424577.298795462</v>
      </c>
      <c r="AY6"/>
    </row>
    <row r="7" spans="1:51" s="178" customFormat="1" x14ac:dyDescent="0.35">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row>
    <row r="8" spans="1:51" s="178" customFormat="1" x14ac:dyDescent="0.35">
      <c r="A8"/>
      <c r="B8" s="501" t="s">
        <v>72</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row>
    <row r="9" spans="1:51" s="178" customFormat="1" x14ac:dyDescent="0.35">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row>
    <row r="10" spans="1:51" s="178" customFormat="1" x14ac:dyDescent="0.35">
      <c r="A10"/>
      <c r="B10"/>
      <c r="C10"/>
      <c r="D10"/>
      <c r="E10" s="502" t="s">
        <v>69</v>
      </c>
      <c r="F10"/>
      <c r="G10"/>
      <c r="H10"/>
      <c r="I10" s="502">
        <f>'Discount Calc'!I$5</f>
        <v>2023</v>
      </c>
      <c r="J10" s="502">
        <f>'Discount Calc'!J$5</f>
        <v>2024</v>
      </c>
      <c r="K10" s="502">
        <f>'Discount Calc'!K$5</f>
        <v>2025</v>
      </c>
      <c r="L10" s="502">
        <f>'Discount Calc'!L$5</f>
        <v>2026</v>
      </c>
      <c r="M10" s="502">
        <f>'Discount Calc'!M$5</f>
        <v>2027</v>
      </c>
      <c r="N10" s="502">
        <f>'Discount Calc'!N$5</f>
        <v>2028</v>
      </c>
      <c r="O10" s="502">
        <f>'Discount Calc'!O$5</f>
        <v>2029</v>
      </c>
      <c r="P10" s="502">
        <f>'Discount Calc'!P$5</f>
        <v>2030</v>
      </c>
      <c r="Q10" s="502">
        <f>'Discount Calc'!Q$5</f>
        <v>2031</v>
      </c>
      <c r="R10" s="502">
        <f>'Discount Calc'!R$5</f>
        <v>2032</v>
      </c>
      <c r="S10" s="502">
        <f>'Discount Calc'!S$5</f>
        <v>2033</v>
      </c>
      <c r="T10" s="502">
        <f>'Discount Calc'!T$5</f>
        <v>2034</v>
      </c>
      <c r="U10" s="502">
        <f>'Discount Calc'!U$5</f>
        <v>2035</v>
      </c>
      <c r="V10" s="502">
        <f>'Discount Calc'!V$5</f>
        <v>2036</v>
      </c>
      <c r="W10" s="502">
        <f>'Discount Calc'!W$5</f>
        <v>2037</v>
      </c>
      <c r="X10" s="502">
        <f>'Discount Calc'!X$5</f>
        <v>2038</v>
      </c>
      <c r="Y10" s="502">
        <f>'Discount Calc'!Y$5</f>
        <v>2039</v>
      </c>
      <c r="Z10" s="502">
        <f>'Discount Calc'!Z$5</f>
        <v>2040</v>
      </c>
      <c r="AA10" s="502">
        <f>'Discount Calc'!AA$5</f>
        <v>2041</v>
      </c>
      <c r="AB10" s="502">
        <f>'Discount Calc'!AB$5</f>
        <v>2042</v>
      </c>
      <c r="AC10" s="502">
        <f>'Discount Calc'!AC$5</f>
        <v>2043</v>
      </c>
      <c r="AD10" s="502">
        <f>'Discount Calc'!AD$5</f>
        <v>2044</v>
      </c>
      <c r="AE10" s="502">
        <f>'Discount Calc'!AE$5</f>
        <v>2045</v>
      </c>
      <c r="AF10" s="502">
        <f>'Discount Calc'!AF$5</f>
        <v>2046</v>
      </c>
      <c r="AG10" s="502">
        <f>'Discount Calc'!AG$5</f>
        <v>2047</v>
      </c>
      <c r="AH10" s="502">
        <f>'Discount Calc'!AH$5</f>
        <v>2048</v>
      </c>
      <c r="AI10" s="502">
        <f>'Discount Calc'!AI$5</f>
        <v>2049</v>
      </c>
      <c r="AJ10" s="502">
        <f>'Discount Calc'!AJ$5</f>
        <v>2050</v>
      </c>
      <c r="AK10" s="502">
        <f>'Discount Calc'!AK$5</f>
        <v>2051</v>
      </c>
      <c r="AL10" s="502">
        <f>'Discount Calc'!AL$5</f>
        <v>2052</v>
      </c>
      <c r="AM10" s="502">
        <f>'Discount Calc'!AM$5</f>
        <v>2053</v>
      </c>
      <c r="AN10" s="502">
        <f>'Discount Calc'!AN$5</f>
        <v>2054</v>
      </c>
      <c r="AO10" s="502">
        <f>'Discount Calc'!AO$5</f>
        <v>2055</v>
      </c>
      <c r="AP10" s="502">
        <f>'Discount Calc'!AP$5</f>
        <v>2056</v>
      </c>
      <c r="AQ10" s="502">
        <f>'Discount Calc'!AQ$5</f>
        <v>2057</v>
      </c>
      <c r="AR10" s="502">
        <f>'Discount Calc'!AR$5</f>
        <v>2058</v>
      </c>
      <c r="AS10" s="502">
        <f>'Discount Calc'!AS$5</f>
        <v>2059</v>
      </c>
      <c r="AT10" s="502">
        <f>'Discount Calc'!AT$5</f>
        <v>2060</v>
      </c>
      <c r="AU10" s="502">
        <f>'Discount Calc'!AU$5</f>
        <v>2061</v>
      </c>
      <c r="AV10" s="502">
        <f>'Discount Calc'!AV$5</f>
        <v>2062</v>
      </c>
      <c r="AW10" s="502">
        <f>'Discount Calc'!AW$5</f>
        <v>2063</v>
      </c>
      <c r="AX10" s="502">
        <f>'Discount Calc'!AX$5</f>
        <v>2064</v>
      </c>
      <c r="AY10"/>
    </row>
    <row r="11" spans="1:51" s="178" customFormat="1" x14ac:dyDescent="0.35">
      <c r="A11"/>
      <c r="B11"/>
      <c r="C11"/>
      <c r="D11"/>
      <c r="E11" s="502" t="s">
        <v>73</v>
      </c>
      <c r="F11"/>
      <c r="G11" t="str">
        <f>'Discounted Summary'!G$31</f>
        <v>2024$ in 2024</v>
      </c>
      <c r="H11"/>
      <c r="I11" s="554">
        <f>'Undiscounted Summary'!I$29</f>
        <v>327709.29052218742</v>
      </c>
      <c r="J11" s="554">
        <f>'Undiscounted Summary'!J$29</f>
        <v>705230.39320374734</v>
      </c>
      <c r="K11" s="554">
        <f>'Undiscounted Summary'!K$29</f>
        <v>1067650.6517780449</v>
      </c>
      <c r="L11" s="554">
        <f>'Undiscounted Summary'!L$29</f>
        <v>1416131.6696379462</v>
      </c>
      <c r="M11" s="554">
        <f>'Undiscounted Summary'!M$29</f>
        <v>28946260.342705477</v>
      </c>
      <c r="N11" s="554">
        <f>'Undiscounted Summary'!N$29</f>
        <v>36879588.856528126</v>
      </c>
      <c r="O11" s="554">
        <f>'Undiscounted Summary'!O$29</f>
        <v>36879588.856528126</v>
      </c>
      <c r="P11" s="554">
        <f>'Undiscounted Summary'!P$29</f>
        <v>36879588.856528126</v>
      </c>
      <c r="Q11" s="554">
        <f>'Undiscounted Summary'!Q$29</f>
        <v>36879588.856528126</v>
      </c>
      <c r="R11" s="554">
        <f>'Undiscounted Summary'!R$29</f>
        <v>36879588.856528126</v>
      </c>
      <c r="S11" s="554">
        <f>'Undiscounted Summary'!S$29</f>
        <v>36879588.856528126</v>
      </c>
      <c r="T11" s="554">
        <f>'Undiscounted Summary'!T$29</f>
        <v>36879588.856528126</v>
      </c>
      <c r="U11" s="554">
        <f>'Undiscounted Summary'!U$29</f>
        <v>36879588.856528126</v>
      </c>
      <c r="V11" s="554">
        <f>'Undiscounted Summary'!V$29</f>
        <v>36879588.856528126</v>
      </c>
      <c r="W11" s="554">
        <f>'Undiscounted Summary'!W$29</f>
        <v>36879588.856528126</v>
      </c>
      <c r="X11" s="554">
        <f>'Undiscounted Summary'!X$29</f>
        <v>36879588.856528126</v>
      </c>
      <c r="Y11" s="554">
        <f>'Undiscounted Summary'!Y$29</f>
        <v>36879588.856528126</v>
      </c>
      <c r="Z11" s="554">
        <f>'Undiscounted Summary'!Z$29</f>
        <v>36879588.856528126</v>
      </c>
      <c r="AA11" s="554">
        <f>'Undiscounted Summary'!AA$29</f>
        <v>36879588.856528126</v>
      </c>
      <c r="AB11" s="554">
        <f>'Undiscounted Summary'!AB$29</f>
        <v>36879588.856528126</v>
      </c>
      <c r="AC11" s="554">
        <f>'Undiscounted Summary'!AC$29</f>
        <v>36879588.856528126</v>
      </c>
      <c r="AD11" s="554">
        <f>'Undiscounted Summary'!AD$29</f>
        <v>36879588.856528126</v>
      </c>
      <c r="AE11" s="554">
        <f>'Undiscounted Summary'!AE$29</f>
        <v>36879588.856528126</v>
      </c>
      <c r="AF11" s="554">
        <f>'Undiscounted Summary'!AF$29</f>
        <v>36879588.856528126</v>
      </c>
      <c r="AG11" s="554">
        <f>'Undiscounted Summary'!AG$29</f>
        <v>36879588.856528126</v>
      </c>
      <c r="AH11" s="554">
        <f>'Undiscounted Summary'!AH$29</f>
        <v>36879588.856528126</v>
      </c>
      <c r="AI11" s="554">
        <f>'Undiscounted Summary'!AI$29</f>
        <v>36879588.856528126</v>
      </c>
      <c r="AJ11" s="554">
        <f>'Undiscounted Summary'!AJ$29</f>
        <v>36879588.856528126</v>
      </c>
      <c r="AK11" s="554">
        <f>'Undiscounted Summary'!AK$29</f>
        <v>36879588.856528126</v>
      </c>
      <c r="AL11" s="554">
        <f>'Undiscounted Summary'!AL$29</f>
        <v>36879588.856528126</v>
      </c>
      <c r="AM11" s="554">
        <f>'Undiscounted Summary'!AM$29</f>
        <v>36879588.856528126</v>
      </c>
      <c r="AN11" s="554">
        <f>'Undiscounted Summary'!AN$29</f>
        <v>36879588.856528126</v>
      </c>
      <c r="AO11" s="554">
        <f>'Undiscounted Summary'!AO$29</f>
        <v>36879588.856528126</v>
      </c>
      <c r="AP11" s="554">
        <f>'Undiscounted Summary'!AP$29</f>
        <v>36879588.856528126</v>
      </c>
      <c r="AQ11" s="554">
        <f>'Undiscounted Summary'!AQ$29</f>
        <v>36879588.856528126</v>
      </c>
      <c r="AR11" s="554">
        <f>'Undiscounted Summary'!AR$29</f>
        <v>36879588.856528126</v>
      </c>
      <c r="AS11" s="554">
        <f>'Undiscounted Summary'!AS$29</f>
        <v>36879588.856528126</v>
      </c>
      <c r="AT11" s="554">
        <f>'Undiscounted Summary'!AT$29</f>
        <v>36879588.856528126</v>
      </c>
      <c r="AU11" s="554">
        <f>'Undiscounted Summary'!AU$29</f>
        <v>36879588.856528126</v>
      </c>
      <c r="AV11" s="554">
        <f>'Undiscounted Summary'!AV$29</f>
        <v>36879588.856528126</v>
      </c>
      <c r="AW11" s="554">
        <f>'Undiscounted Summary'!AW$29</f>
        <v>36879588.856528126</v>
      </c>
      <c r="AX11" s="554">
        <f>'Undiscounted Summary'!AX$29</f>
        <v>36879588.856528126</v>
      </c>
      <c r="AY11"/>
    </row>
    <row r="12" spans="1:51" s="178" customFormat="1" x14ac:dyDescent="0.35">
      <c r="A12"/>
      <c r="B12"/>
      <c r="C12"/>
      <c r="D12"/>
      <c r="E12" s="502" t="s">
        <v>74</v>
      </c>
      <c r="F12"/>
      <c r="G12" t="str">
        <f>'Discounted Summary'!G$25</f>
        <v>2024$ in 2024</v>
      </c>
      <c r="H12"/>
      <c r="I12" s="554">
        <f>'Undiscounted Summary'!I$26</f>
        <v>0</v>
      </c>
      <c r="J12" s="554">
        <f>'Undiscounted Summary'!J$26</f>
        <v>0</v>
      </c>
      <c r="K12" s="554">
        <f>'Undiscounted Summary'!K$26</f>
        <v>0</v>
      </c>
      <c r="L12" s="554">
        <f>'Undiscounted Summary'!L$26</f>
        <v>1955817.2404907115</v>
      </c>
      <c r="M12" s="554">
        <f>'Undiscounted Summary'!M$26</f>
        <v>1955817.2404907115</v>
      </c>
      <c r="N12" s="554">
        <f>'Undiscounted Summary'!N$26</f>
        <v>1955817.2404907115</v>
      </c>
      <c r="O12" s="554">
        <f>'Undiscounted Summary'!O$26</f>
        <v>6577487.8604482692</v>
      </c>
      <c r="P12" s="554">
        <f>'Undiscounted Summary'!P$26</f>
        <v>11214720.882621022</v>
      </c>
      <c r="Q12" s="554">
        <f>'Undiscounted Summary'!Q$26</f>
        <v>15867920.929466566</v>
      </c>
      <c r="R12" s="554">
        <f>'Undiscounted Summary'!R$26</f>
        <v>20537503.143626396</v>
      </c>
      <c r="S12" s="554">
        <f>'Undiscounted Summary'!S$26</f>
        <v>25223893.461450681</v>
      </c>
      <c r="T12" s="554">
        <f>'Undiscounted Summary'!T$26</f>
        <v>31883346.134125408</v>
      </c>
      <c r="U12" s="554">
        <f>'Undiscounted Summary'!U$26</f>
        <v>36604675.053642511</v>
      </c>
      <c r="V12" s="554">
        <f>'Undiscounted Summary'!V$26</f>
        <v>41344157.491163358</v>
      </c>
      <c r="W12" s="554">
        <f>'Undiscounted Summary'!W$26</f>
        <v>46102265.438156046</v>
      </c>
      <c r="X12" s="554">
        <f>'Undiscounted Summary'!X$26</f>
        <v>50879483.157866843</v>
      </c>
      <c r="Y12" s="554">
        <f>'Undiscounted Summary'!Y$26</f>
        <v>55676307.504386418</v>
      </c>
      <c r="Z12" s="554">
        <f>'Undiscounted Summary'!Z$26</f>
        <v>60493248.250011802</v>
      </c>
      <c r="AA12" s="554">
        <f>'Undiscounted Summary'!AA$26</f>
        <v>65330828.42111975</v>
      </c>
      <c r="AB12" s="554">
        <f>'Undiscounted Summary'!AB$26</f>
        <v>70189584.642772809</v>
      </c>
      <c r="AC12" s="554">
        <f>'Undiscounted Summary'!AC$26</f>
        <v>74212701.331376657</v>
      </c>
      <c r="AD12" s="554">
        <f>'Undiscounted Summary'!AD$26</f>
        <v>81819608.572577983</v>
      </c>
      <c r="AE12" s="554">
        <f>'Undiscounted Summary'!AE$26</f>
        <v>89519694.368146852</v>
      </c>
      <c r="AF12" s="554">
        <f>'Undiscounted Summary'!AF$26</f>
        <v>97315381.360496819</v>
      </c>
      <c r="AG12" s="554">
        <f>'Undiscounted Summary'!AG$26</f>
        <v>105209155.18074419</v>
      </c>
      <c r="AH12" s="554">
        <f>'Undiscounted Summary'!AH$26</f>
        <v>125015410.76255022</v>
      </c>
      <c r="AI12" s="554">
        <f>'Undiscounted Summary'!AI$26</f>
        <v>125015410.76255022</v>
      </c>
      <c r="AJ12" s="554">
        <f>'Undiscounted Summary'!AJ$26</f>
        <v>125015410.76255022</v>
      </c>
      <c r="AK12" s="554">
        <f>'Undiscounted Summary'!AK$26</f>
        <v>125015410.76255022</v>
      </c>
      <c r="AL12" s="554">
        <f>'Undiscounted Summary'!AL$26</f>
        <v>125015410.76255022</v>
      </c>
      <c r="AM12" s="554">
        <f>'Undiscounted Summary'!AM$26</f>
        <v>125015410.76255022</v>
      </c>
      <c r="AN12" s="554">
        <f>'Undiscounted Summary'!AN$26</f>
        <v>125015410.76255022</v>
      </c>
      <c r="AO12" s="554">
        <f>'Undiscounted Summary'!AO$26</f>
        <v>125015410.76255022</v>
      </c>
      <c r="AP12" s="554">
        <f>'Undiscounted Summary'!AP$26</f>
        <v>125015410.76255022</v>
      </c>
      <c r="AQ12" s="554">
        <f>'Undiscounted Summary'!AQ$26</f>
        <v>125015410.76255022</v>
      </c>
      <c r="AR12" s="554">
        <f>'Undiscounted Summary'!AR$26</f>
        <v>125015410.76255022</v>
      </c>
      <c r="AS12" s="554">
        <f>'Undiscounted Summary'!AS$26</f>
        <v>125015410.76255022</v>
      </c>
      <c r="AT12" s="554">
        <f>'Undiscounted Summary'!AT$26</f>
        <v>125015410.76255022</v>
      </c>
      <c r="AU12" s="554">
        <f>'Undiscounted Summary'!AU$26</f>
        <v>125015410.76255022</v>
      </c>
      <c r="AV12" s="554">
        <f>'Undiscounted Summary'!AV$26</f>
        <v>125015410.76255022</v>
      </c>
      <c r="AW12" s="554">
        <f>'Undiscounted Summary'!AW$26</f>
        <v>125015410.76255022</v>
      </c>
      <c r="AX12" s="554">
        <f>'Undiscounted Summary'!AX$26</f>
        <v>125015410.76255022</v>
      </c>
      <c r="AY12"/>
    </row>
    <row r="13" spans="1:51" s="178" customFormat="1" x14ac:dyDescent="0.35">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row>
    <row r="14" spans="1:51" s="178" customFormat="1" x14ac:dyDescent="0.35">
      <c r="A14"/>
      <c r="B14" s="501" t="s">
        <v>75</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row>
    <row r="15" spans="1:51" s="178" customFormat="1" x14ac:dyDescent="0.3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row>
    <row r="16" spans="1:51" s="178" customFormat="1" x14ac:dyDescent="0.35">
      <c r="A16"/>
      <c r="B16"/>
      <c r="C16"/>
      <c r="D16"/>
      <c r="E16" s="503" t="s">
        <v>78</v>
      </c>
      <c r="F16"/>
      <c r="G16"/>
      <c r="H16" s="566">
        <f>J16/SUM($J$16:$J$19)</f>
        <v>5.0160182143883646E-2</v>
      </c>
      <c r="I16" s="503" t="s">
        <v>77</v>
      </c>
      <c r="J16" s="670">
        <f>'Discounted Summary'!$F$14</f>
        <v>2328665.2532603857</v>
      </c>
      <c r="K16" s="670"/>
      <c r="L16" s="670"/>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row>
    <row r="17" spans="1:51" s="178" customFormat="1" x14ac:dyDescent="0.35">
      <c r="A17"/>
      <c r="B17"/>
      <c r="C17"/>
      <c r="D17"/>
      <c r="E17" s="503" t="s">
        <v>76</v>
      </c>
      <c r="F17"/>
      <c r="G17"/>
      <c r="H17" s="566">
        <f>J17/SUM($J$16:$J$19)</f>
        <v>5.8213235106558098E-2</v>
      </c>
      <c r="I17" s="503" t="s">
        <v>77</v>
      </c>
      <c r="J17" s="670">
        <f>'Discounted Summary'!$F$15</f>
        <v>2702524.8330173595</v>
      </c>
      <c r="K17" s="670"/>
      <c r="L17" s="670"/>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row>
    <row r="18" spans="1:51" s="178" customFormat="1" x14ac:dyDescent="0.35">
      <c r="A18"/>
      <c r="B18"/>
      <c r="C18"/>
      <c r="D18"/>
      <c r="E18" s="503" t="s">
        <v>1149</v>
      </c>
      <c r="F18"/>
      <c r="G18"/>
      <c r="H18" s="566">
        <f>J18/SUM($J$16:$J$19)</f>
        <v>0.19123629847116747</v>
      </c>
      <c r="I18" s="503" t="s">
        <v>77</v>
      </c>
      <c r="J18" s="670">
        <f>SUM('Discounted Summary'!$F$12:$F$12)</f>
        <v>8878064.3207102325</v>
      </c>
      <c r="K18" s="670"/>
      <c r="L18" s="670"/>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row>
    <row r="19" spans="1:51" s="178" customFormat="1" x14ac:dyDescent="0.35">
      <c r="A19"/>
      <c r="B19"/>
      <c r="C19"/>
      <c r="D19"/>
      <c r="E19" s="503" t="s">
        <v>80</v>
      </c>
      <c r="F19"/>
      <c r="G19"/>
      <c r="H19" s="566">
        <f>J19/SUM($J$16:$J$19)</f>
        <v>0.70039028427839078</v>
      </c>
      <c r="I19" s="503" t="s">
        <v>77</v>
      </c>
      <c r="J19" s="670">
        <f>SUM('Discounted Summary'!$F$13:$F$13)</f>
        <v>32515322.891807474</v>
      </c>
      <c r="K19" s="670"/>
      <c r="L19" s="670"/>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row>
    <row r="20" spans="1:51" s="178" customFormat="1" x14ac:dyDescent="0.35">
      <c r="A20"/>
      <c r="B20"/>
      <c r="C20"/>
      <c r="D20"/>
      <c r="E20" s="503"/>
      <c r="F20"/>
      <c r="G20"/>
      <c r="H20" s="503"/>
      <c r="I20" s="503"/>
      <c r="J20" s="503"/>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row>
    <row r="21" spans="1:51" s="178" customFormat="1" x14ac:dyDescent="0.35">
      <c r="A21"/>
      <c r="B21" s="501" t="s">
        <v>67</v>
      </c>
      <c r="C21"/>
      <c r="D21"/>
      <c r="E21" s="503"/>
      <c r="F21"/>
      <c r="G21"/>
      <c r="H21" s="503"/>
      <c r="I21" s="503"/>
      <c r="J21" s="503"/>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row>
    <row r="22" spans="1:51" s="178" customFormat="1" x14ac:dyDescent="0.35">
      <c r="A22"/>
      <c r="B22"/>
      <c r="C22"/>
      <c r="D22"/>
      <c r="E22" s="503"/>
      <c r="F22"/>
      <c r="G22"/>
      <c r="H22" s="503"/>
      <c r="I22" s="503"/>
      <c r="J22" s="503"/>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row>
    <row r="23" spans="1:51" s="178" customFormat="1" x14ac:dyDescent="0.35">
      <c r="A23"/>
      <c r="B23"/>
      <c r="C23"/>
      <c r="D23"/>
      <c r="E23" s="504" t="s">
        <v>81</v>
      </c>
      <c r="F23" s="505" t="s">
        <v>82</v>
      </c>
      <c r="G23"/>
      <c r="H23" s="504" t="s">
        <v>83</v>
      </c>
      <c r="I23" s="504" t="s">
        <v>82</v>
      </c>
      <c r="J23" s="503"/>
      <c r="K23" s="505" t="s">
        <v>83</v>
      </c>
      <c r="L23" s="505" t="s">
        <v>82</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row>
    <row r="24" spans="1:51" s="178" customFormat="1" x14ac:dyDescent="0.35">
      <c r="A24"/>
      <c r="B24"/>
      <c r="C24"/>
      <c r="D24"/>
      <c r="E24" s="504" t="s">
        <v>84</v>
      </c>
      <c r="F24" s="505">
        <v>1</v>
      </c>
      <c r="G24"/>
      <c r="H24" s="506">
        <v>0.5</v>
      </c>
      <c r="I24" s="504">
        <v>0.5</v>
      </c>
      <c r="J24" s="503"/>
      <c r="K24" s="505" t="s">
        <v>85</v>
      </c>
      <c r="L24" s="504">
        <f>IF('Discounted Summary'!$F$34&gt;$F$27,($F$27/Dashboard_Data!$F$27)*180,('Discounted Summary'!$F$34/Dashboard_Data!$F$27)*180)</f>
        <v>55.945580015309595</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row>
    <row r="25" spans="1:51" s="178" customFormat="1" x14ac:dyDescent="0.35">
      <c r="A25"/>
      <c r="B25"/>
      <c r="C25"/>
      <c r="D25"/>
      <c r="E25" s="504" t="s">
        <v>86</v>
      </c>
      <c r="F25" s="505">
        <v>0.5</v>
      </c>
      <c r="G25"/>
      <c r="H25" s="506">
        <v>1</v>
      </c>
      <c r="I25" s="504">
        <v>0.5</v>
      </c>
      <c r="J25" s="503"/>
      <c r="K25" s="505" t="s">
        <v>87</v>
      </c>
      <c r="L25" s="505">
        <v>1</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row>
    <row r="26" spans="1:51" s="178" customFormat="1" x14ac:dyDescent="0.35">
      <c r="A26"/>
      <c r="B26"/>
      <c r="C26"/>
      <c r="D26"/>
      <c r="E26" s="504" t="s">
        <v>88</v>
      </c>
      <c r="F26" s="505">
        <v>3.5</v>
      </c>
      <c r="G26"/>
      <c r="H26" s="506">
        <v>1.5</v>
      </c>
      <c r="I26" s="504">
        <v>0.5</v>
      </c>
      <c r="J26" s="503"/>
      <c r="K26" s="505" t="s">
        <v>89</v>
      </c>
      <c r="L26" s="504">
        <f>360-L25-L24</f>
        <v>303.05441998469041</v>
      </c>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row>
    <row r="27" spans="1:51" s="178" customFormat="1" x14ac:dyDescent="0.35">
      <c r="A27"/>
      <c r="B27"/>
      <c r="C27"/>
      <c r="D27"/>
      <c r="E27" s="504" t="s">
        <v>90</v>
      </c>
      <c r="F27" s="505">
        <v>5</v>
      </c>
      <c r="G27"/>
      <c r="H27" s="506">
        <v>2</v>
      </c>
      <c r="I27" s="504">
        <v>0.5</v>
      </c>
      <c r="J27" s="503"/>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row>
    <row r="28" spans="1:51" s="178" customFormat="1" x14ac:dyDescent="0.35">
      <c r="A28"/>
      <c r="B28"/>
      <c r="C28"/>
      <c r="D28"/>
      <c r="E28"/>
      <c r="F28"/>
      <c r="G28"/>
      <c r="H28" s="506">
        <v>2.5</v>
      </c>
      <c r="I28" s="504">
        <v>0.5</v>
      </c>
      <c r="J28" s="503"/>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row>
    <row r="29" spans="1:51" s="178" customFormat="1" x14ac:dyDescent="0.35">
      <c r="A29"/>
      <c r="B29"/>
      <c r="C29"/>
      <c r="D29"/>
      <c r="E29" s="503"/>
      <c r="F29"/>
      <c r="G29"/>
      <c r="H29" s="506">
        <v>3</v>
      </c>
      <c r="I29" s="504">
        <v>0.5</v>
      </c>
      <c r="J29" s="503"/>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row>
    <row r="30" spans="1:51" s="178" customFormat="1" x14ac:dyDescent="0.35">
      <c r="A30"/>
      <c r="B30"/>
      <c r="C30"/>
      <c r="D30"/>
      <c r="E30" s="503"/>
      <c r="F30"/>
      <c r="G30"/>
      <c r="H30" s="506">
        <v>3.5</v>
      </c>
      <c r="I30" s="504">
        <v>0.5</v>
      </c>
      <c r="J30" s="503"/>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row>
    <row r="31" spans="1:51" s="178" customFormat="1" x14ac:dyDescent="0.35">
      <c r="A31"/>
      <c r="B31"/>
      <c r="C31"/>
      <c r="D31"/>
      <c r="E31" s="503"/>
      <c r="F31"/>
      <c r="G31"/>
      <c r="H31" s="506">
        <v>4</v>
      </c>
      <c r="I31" s="504">
        <v>0.5</v>
      </c>
      <c r="J31" s="503"/>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row>
    <row r="32" spans="1:51" s="178" customFormat="1" x14ac:dyDescent="0.35">
      <c r="A32"/>
      <c r="B32"/>
      <c r="C32"/>
      <c r="D32"/>
      <c r="E32" s="503"/>
      <c r="F32"/>
      <c r="G32"/>
      <c r="H32" s="506">
        <v>4.5</v>
      </c>
      <c r="I32" s="504">
        <v>0.5</v>
      </c>
      <c r="J32" s="503"/>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row>
    <row r="33" spans="1:51" s="178" customFormat="1" x14ac:dyDescent="0.35">
      <c r="A33"/>
      <c r="B33"/>
      <c r="C33"/>
      <c r="D33"/>
      <c r="E33" s="503"/>
      <c r="F33"/>
      <c r="G33"/>
      <c r="H33" s="507" t="str">
        <f>"5.0+"</f>
        <v>5.0+</v>
      </c>
      <c r="I33" s="504">
        <v>0.5</v>
      </c>
      <c r="J33" s="50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row>
    <row r="34" spans="1:51" s="178" customFormat="1" x14ac:dyDescent="0.35">
      <c r="A34"/>
      <c r="B34"/>
      <c r="C34"/>
      <c r="D34"/>
      <c r="E34" s="503"/>
      <c r="F34"/>
      <c r="G34"/>
      <c r="H34" s="504" t="s">
        <v>90</v>
      </c>
      <c r="I34" s="504">
        <f>SUM(I24:I33)</f>
        <v>5</v>
      </c>
      <c r="J34" s="503"/>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row>
    <row r="35" spans="1:51" x14ac:dyDescent="0.35"/>
    <row r="36" spans="1:51" x14ac:dyDescent="0.35"/>
    <row r="37" spans="1:51" x14ac:dyDescent="0.35"/>
    <row r="38" spans="1:51" x14ac:dyDescent="0.35"/>
    <row r="39" spans="1:51" x14ac:dyDescent="0.35"/>
    <row r="40" spans="1:51" x14ac:dyDescent="0.35"/>
    <row r="41" spans="1:51" x14ac:dyDescent="0.35"/>
    <row r="42" spans="1:51" x14ac:dyDescent="0.35"/>
    <row r="43" spans="1:51" x14ac:dyDescent="0.35"/>
    <row r="44" spans="1:51" x14ac:dyDescent="0.35"/>
    <row r="45" spans="1:51" x14ac:dyDescent="0.35"/>
    <row r="46" spans="1:51" x14ac:dyDescent="0.35"/>
    <row r="47" spans="1:51" x14ac:dyDescent="0.35"/>
    <row r="48" spans="1:51" x14ac:dyDescent="0.35"/>
    <row r="49" x14ac:dyDescent="0.35"/>
    <row r="50" x14ac:dyDescent="0.35"/>
  </sheetData>
  <mergeCells count="4">
    <mergeCell ref="J19:L19"/>
    <mergeCell ref="J16:L16"/>
    <mergeCell ref="J17:L17"/>
    <mergeCell ref="J18:L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sheetPr>
  <dimension ref="A1:I45"/>
  <sheetViews>
    <sheetView tabSelected="1" zoomScale="110" zoomScaleNormal="110" workbookViewId="0">
      <selection activeCell="G15" sqref="F15:G15"/>
    </sheetView>
  </sheetViews>
  <sheetFormatPr defaultColWidth="0" defaultRowHeight="14.5" x14ac:dyDescent="0.35"/>
  <cols>
    <col min="1" max="4" width="1.453125" style="4" customWidth="1"/>
    <col min="5" max="5" width="40.453125" style="4" customWidth="1"/>
    <col min="6" max="7" width="16.1796875" style="4" customWidth="1"/>
    <col min="8" max="9" width="9.1796875" style="4" customWidth="1"/>
    <col min="10" max="16384" width="9.1796875" style="4" hidden="1"/>
  </cols>
  <sheetData>
    <row r="1" spans="1:8" s="510" customFormat="1" ht="15.5" x14ac:dyDescent="0.35">
      <c r="A1" s="508" t="s">
        <v>64</v>
      </c>
      <c r="B1" s="509"/>
      <c r="C1" s="509"/>
      <c r="D1" s="509"/>
      <c r="E1" s="509"/>
      <c r="F1" s="509"/>
      <c r="G1" s="509"/>
      <c r="H1" s="509"/>
    </row>
    <row r="2" spans="1:8" ht="5.25" customHeight="1" x14ac:dyDescent="0.35">
      <c r="E2" s="17"/>
      <c r="F2" s="17"/>
    </row>
    <row r="3" spans="1:8" x14ac:dyDescent="0.35">
      <c r="E3" s="180" t="s">
        <v>91</v>
      </c>
    </row>
    <row r="4" spans="1:8" x14ac:dyDescent="0.35">
      <c r="E4" s="178" t="str">
        <f>'Guide for Reviewers'!B3</f>
        <v>I-35 McClain County</v>
      </c>
    </row>
    <row r="5" spans="1:8" s="1" customFormat="1" x14ac:dyDescent="0.35">
      <c r="E5" s="178" t="str">
        <f>'Guide for Reviewers'!B4</f>
        <v>Oklahoma Department of Transportation</v>
      </c>
      <c r="F5" s="99"/>
    </row>
    <row r="6" spans="1:8" ht="5.25" customHeight="1" x14ac:dyDescent="0.35">
      <c r="E6" s="17"/>
      <c r="F6" s="17"/>
    </row>
    <row r="7" spans="1:8" x14ac:dyDescent="0.35">
      <c r="E7" s="85" t="s">
        <v>92</v>
      </c>
      <c r="F7" s="85"/>
      <c r="G7" s="1" t="s">
        <v>82</v>
      </c>
      <c r="H7" s="1" t="s">
        <v>93</v>
      </c>
    </row>
    <row r="8" spans="1:8" ht="5.25" customHeight="1" x14ac:dyDescent="0.35">
      <c r="E8" s="17"/>
      <c r="F8" s="17"/>
    </row>
    <row r="9" spans="1:8" x14ac:dyDescent="0.35">
      <c r="A9" s="1" t="s">
        <v>94</v>
      </c>
      <c r="E9" s="17"/>
      <c r="F9" s="17"/>
    </row>
    <row r="10" spans="1:8" ht="5.25" customHeight="1" x14ac:dyDescent="0.35">
      <c r="A10" s="1"/>
      <c r="E10" s="17"/>
      <c r="F10" s="17"/>
    </row>
    <row r="11" spans="1:8" x14ac:dyDescent="0.35">
      <c r="A11" s="1"/>
      <c r="E11" s="89" t="str">
        <f>'Project InputsC'!E18</f>
        <v>Operations Period</v>
      </c>
      <c r="F11" s="89"/>
      <c r="G11" s="89">
        <f>'Project InputsC'!H$18</f>
        <v>20</v>
      </c>
      <c r="H11" s="89" t="s">
        <v>95</v>
      </c>
    </row>
    <row r="12" spans="1:8" ht="5.25" customHeight="1" x14ac:dyDescent="0.35">
      <c r="A12" s="1"/>
      <c r="E12" s="17"/>
      <c r="F12" s="17"/>
    </row>
    <row r="13" spans="1:8" ht="16" x14ac:dyDescent="0.5">
      <c r="A13" s="1"/>
      <c r="E13" s="17"/>
      <c r="F13" s="273" t="s">
        <v>96</v>
      </c>
      <c r="G13" s="274" t="s">
        <v>97</v>
      </c>
    </row>
    <row r="14" spans="1:8" ht="5.25" customHeight="1" x14ac:dyDescent="0.35">
      <c r="A14" s="1"/>
      <c r="E14" s="17"/>
      <c r="F14" s="17"/>
    </row>
    <row r="15" spans="1:8" x14ac:dyDescent="0.35">
      <c r="A15" s="1"/>
      <c r="E15" s="17" t="str">
        <f>'Discounted Summary'!E12</f>
        <v>Auto and Truck Travel Time Savings</v>
      </c>
      <c r="F15" s="275">
        <f>MROUND('Undiscounted Summary'!F12,1000)</f>
        <v>28830000</v>
      </c>
      <c r="G15" s="275">
        <f>MROUND('Discounted Summary'!F12,1000)</f>
        <v>8878000</v>
      </c>
      <c r="H15" s="17" t="str">
        <f>'Discounted Summary'!G12</f>
        <v>2024$ in 2024</v>
      </c>
    </row>
    <row r="16" spans="1:8" x14ac:dyDescent="0.35">
      <c r="E16" s="17" t="str">
        <f>'Discounted Summary'!E13</f>
        <v>Reduction in Injuries and Fatalities</v>
      </c>
      <c r="F16" s="275">
        <f>MROUND('Undiscounted Summary'!F13,1000)</f>
        <v>80462000</v>
      </c>
      <c r="G16" s="275">
        <f>MROUND('Discounted Summary'!F13,1000)</f>
        <v>32515000</v>
      </c>
      <c r="H16" s="17" t="str">
        <f>'Discounted Summary'!G13</f>
        <v>2024$ in 2024</v>
      </c>
    </row>
    <row r="17" spans="1:8" x14ac:dyDescent="0.35">
      <c r="A17" s="1"/>
      <c r="E17" s="17" t="str">
        <f>'Discounted Summary'!E14</f>
        <v>Residual Value</v>
      </c>
      <c r="F17" s="275">
        <f>MROUND('Undiscounted Summary'!F14,1000)</f>
        <v>11812000</v>
      </c>
      <c r="G17" s="275">
        <f>MROUND('Discounted Summary'!F14,1000)</f>
        <v>2329000</v>
      </c>
      <c r="H17" s="17" t="str">
        <f>'Discounted Summary'!G14</f>
        <v>2024$ in 2024</v>
      </c>
    </row>
    <row r="18" spans="1:8" x14ac:dyDescent="0.35">
      <c r="A18" s="1"/>
      <c r="E18" s="17" t="str">
        <f>'Discounted Summary'!E15</f>
        <v>Infrastructure Maintenance Cost Savings</v>
      </c>
      <c r="F18" s="275">
        <f>MROUND('Undiscounted Summary'!F15,1000)</f>
        <v>3912000</v>
      </c>
      <c r="G18" s="275">
        <f>MROUND('Discounted Summary'!F15,1000)</f>
        <v>2703000</v>
      </c>
      <c r="H18" s="17" t="str">
        <f>'Discounted Summary'!G15</f>
        <v>2024$ in 2024</v>
      </c>
    </row>
    <row r="19" spans="1:8" ht="5.25" customHeight="1" x14ac:dyDescent="0.35">
      <c r="A19" s="1"/>
      <c r="E19" s="17"/>
      <c r="F19" s="275"/>
      <c r="G19" s="275"/>
    </row>
    <row r="20" spans="1:8" x14ac:dyDescent="0.35">
      <c r="E20" s="17" t="str">
        <f>'Discounted Summary'!E25</f>
        <v>TOTAL  BENEFITS</v>
      </c>
      <c r="F20" s="275">
        <f>SUM(F15:F18)</f>
        <v>125016000</v>
      </c>
      <c r="G20" s="275">
        <f>SUM(G15:G18)</f>
        <v>46425000</v>
      </c>
      <c r="H20" s="40" t="str">
        <f>'Discounted Summary'!G25</f>
        <v>2024$ in 2024</v>
      </c>
    </row>
    <row r="21" spans="1:8" ht="5.25" customHeight="1" x14ac:dyDescent="0.35">
      <c r="A21" s="17"/>
      <c r="B21" s="17"/>
      <c r="C21" s="17"/>
      <c r="D21" s="17"/>
      <c r="E21" s="17"/>
      <c r="F21" s="275"/>
      <c r="G21" s="275"/>
      <c r="H21" s="40"/>
    </row>
    <row r="22" spans="1:8" x14ac:dyDescent="0.35">
      <c r="A22" s="87"/>
      <c r="B22" s="87"/>
      <c r="C22" s="87"/>
      <c r="D22" s="87"/>
      <c r="E22" s="17" t="s">
        <v>98</v>
      </c>
      <c r="F22" s="276">
        <f>F20/$G$11</f>
        <v>6250800</v>
      </c>
      <c r="G22" s="276">
        <f>G20/$G$11</f>
        <v>2321250</v>
      </c>
      <c r="H22" s="48" t="str">
        <f>H20</f>
        <v>2024$ in 2024</v>
      </c>
    </row>
    <row r="23" spans="1:8" ht="5.25" customHeight="1" x14ac:dyDescent="0.35">
      <c r="A23" s="17"/>
      <c r="B23" s="17"/>
      <c r="C23" s="17"/>
      <c r="D23" s="17"/>
      <c r="E23" s="17"/>
      <c r="F23" s="17"/>
      <c r="G23" s="90"/>
      <c r="H23" s="87"/>
    </row>
    <row r="24" spans="1:8" x14ac:dyDescent="0.35">
      <c r="A24" s="85" t="s">
        <v>99</v>
      </c>
      <c r="B24" s="17"/>
      <c r="C24" s="17"/>
      <c r="D24" s="17"/>
      <c r="E24" s="17"/>
      <c r="F24" s="17"/>
      <c r="G24" s="90"/>
      <c r="H24" s="87"/>
    </row>
    <row r="25" spans="1:8" ht="5.25" customHeight="1" x14ac:dyDescent="0.35">
      <c r="A25" s="17"/>
      <c r="B25" s="17"/>
      <c r="C25" s="17"/>
      <c r="D25" s="17"/>
      <c r="E25" s="17"/>
      <c r="F25" s="17"/>
      <c r="G25" s="90"/>
      <c r="H25" s="87"/>
    </row>
    <row r="26" spans="1:8" x14ac:dyDescent="0.35">
      <c r="A26" s="17"/>
      <c r="B26" s="17"/>
      <c r="C26" s="17"/>
      <c r="D26" s="17"/>
      <c r="E26" s="89" t="str">
        <f>'Project InputsC'!E14</f>
        <v>Design/Construction Period</v>
      </c>
      <c r="F26" s="89"/>
      <c r="G26" s="89">
        <f>'Project InputsC'!H$14</f>
        <v>6</v>
      </c>
      <c r="H26" s="89" t="s">
        <v>95</v>
      </c>
    </row>
    <row r="27" spans="1:8" ht="5.25" customHeight="1" x14ac:dyDescent="0.35">
      <c r="A27" s="17"/>
      <c r="B27" s="17"/>
      <c r="C27" s="17"/>
      <c r="D27" s="17"/>
      <c r="E27" s="17"/>
      <c r="F27" s="17"/>
      <c r="G27" s="90"/>
      <c r="H27" s="87"/>
    </row>
    <row r="28" spans="1:8" x14ac:dyDescent="0.35">
      <c r="A28" s="17"/>
      <c r="B28" s="17"/>
      <c r="C28" s="17"/>
      <c r="D28" s="17"/>
      <c r="E28" s="17" t="str">
        <f>'Discounted Summary'!E31</f>
        <v>Capital Costs</v>
      </c>
      <c r="F28" s="277">
        <f>MROUND('Undiscounted Summary'!F31,1000)</f>
        <v>36880000</v>
      </c>
      <c r="G28" s="277">
        <f>MROUND('Discounted Summary'!F31,1000)</f>
        <v>29873000</v>
      </c>
      <c r="H28" s="17" t="str">
        <f>'Discounted Summary'!G31</f>
        <v>2024$ in 2024</v>
      </c>
    </row>
    <row r="29" spans="1:8" ht="6" customHeight="1" x14ac:dyDescent="0.35">
      <c r="A29" s="17"/>
      <c r="B29" s="17"/>
      <c r="C29" s="17"/>
      <c r="D29" s="17"/>
      <c r="E29" s="17"/>
      <c r="F29" s="277"/>
      <c r="G29" s="278"/>
      <c r="H29" s="87"/>
    </row>
    <row r="30" spans="1:8" x14ac:dyDescent="0.35">
      <c r="A30" s="17"/>
      <c r="B30" s="17"/>
      <c r="C30" s="17"/>
      <c r="D30" s="17"/>
      <c r="E30" s="17" t="str">
        <f>'Discounted Summary'!E28</f>
        <v>TOTAL  COSTS</v>
      </c>
      <c r="F30" s="277">
        <f>F28</f>
        <v>36880000</v>
      </c>
      <c r="G30" s="277">
        <f>G28</f>
        <v>29873000</v>
      </c>
      <c r="H30" s="17" t="str">
        <f>'Discounted Summary'!G28</f>
        <v>2024$ in 2024</v>
      </c>
    </row>
    <row r="31" spans="1:8" ht="6" customHeight="1" x14ac:dyDescent="0.35">
      <c r="A31" s="17"/>
      <c r="B31" s="17"/>
      <c r="C31" s="17"/>
      <c r="D31" s="17"/>
      <c r="E31" s="17"/>
      <c r="F31" s="277"/>
      <c r="G31" s="278"/>
      <c r="H31" s="87"/>
    </row>
    <row r="32" spans="1:8" x14ac:dyDescent="0.35">
      <c r="A32" s="17"/>
      <c r="B32" s="17"/>
      <c r="C32" s="17"/>
      <c r="D32" s="17"/>
      <c r="E32" s="17" t="s">
        <v>100</v>
      </c>
      <c r="F32" s="278">
        <f>F30/$G$26</f>
        <v>6146666.666666667</v>
      </c>
      <c r="G32" s="278">
        <f>G30/$G$26</f>
        <v>4978833.333333333</v>
      </c>
      <c r="H32" s="87" t="str">
        <f>H30</f>
        <v>2024$ in 2024</v>
      </c>
    </row>
    <row r="33" spans="1:8" ht="6" customHeight="1" x14ac:dyDescent="0.35">
      <c r="A33" s="17"/>
      <c r="B33" s="17"/>
      <c r="C33" s="17"/>
      <c r="D33" s="17"/>
      <c r="E33" s="17"/>
      <c r="F33" s="17"/>
      <c r="G33" s="144"/>
      <c r="H33" s="87"/>
    </row>
    <row r="34" spans="1:8" x14ac:dyDescent="0.35">
      <c r="A34" s="46" t="s">
        <v>101</v>
      </c>
      <c r="B34" s="26"/>
      <c r="C34" s="26"/>
      <c r="D34" s="26"/>
      <c r="E34" s="87"/>
      <c r="F34" s="87"/>
      <c r="G34" s="26"/>
      <c r="H34" s="26"/>
    </row>
    <row r="35" spans="1:8" ht="5.25" customHeight="1" x14ac:dyDescent="0.35">
      <c r="A35" s="46"/>
      <c r="B35" s="26"/>
      <c r="C35" s="26"/>
      <c r="D35" s="26"/>
      <c r="E35" s="87"/>
      <c r="F35" s="87"/>
      <c r="G35" s="26"/>
      <c r="H35" s="26"/>
    </row>
    <row r="36" spans="1:8" x14ac:dyDescent="0.35">
      <c r="A36" s="88"/>
      <c r="B36" s="88"/>
      <c r="C36" s="88"/>
      <c r="D36" s="88"/>
      <c r="E36" s="17" t="str">
        <f>'Discounted Summary'!E$37</f>
        <v>Net Present Value Base</v>
      </c>
      <c r="F36" s="277">
        <f>F20-F30</f>
        <v>88136000</v>
      </c>
      <c r="G36" s="277">
        <f>G20-G30</f>
        <v>16552000</v>
      </c>
      <c r="H36" s="17" t="str">
        <f>'Discounted Summary'!G$37</f>
        <v>2024$ in 2024</v>
      </c>
    </row>
    <row r="37" spans="1:8" ht="5.25" customHeight="1" x14ac:dyDescent="0.35">
      <c r="E37" s="17"/>
      <c r="F37" s="17"/>
    </row>
    <row r="38" spans="1:8" x14ac:dyDescent="0.35">
      <c r="A38" s="1" t="s">
        <v>102</v>
      </c>
      <c r="E38" s="86"/>
      <c r="F38" s="86"/>
    </row>
    <row r="39" spans="1:8" ht="5.25" customHeight="1" x14ac:dyDescent="0.35">
      <c r="A39" s="1"/>
      <c r="E39" s="86"/>
      <c r="F39" s="86"/>
    </row>
    <row r="40" spans="1:8" x14ac:dyDescent="0.35">
      <c r="E40" s="17" t="str">
        <f>'Discounted Summary'!E$34</f>
        <v>B/C Ratio Base</v>
      </c>
      <c r="F40" s="17">
        <f>F20/F30</f>
        <v>3.3898047722342732</v>
      </c>
      <c r="G40" s="17">
        <f>G20/G30</f>
        <v>1.5540789341545878</v>
      </c>
      <c r="H40" s="17" t="str">
        <f>'Discounted Summary'!G$34</f>
        <v>ratio</v>
      </c>
    </row>
    <row r="41" spans="1:8" ht="5.25" customHeight="1" x14ac:dyDescent="0.35">
      <c r="A41" s="1"/>
      <c r="E41" s="86"/>
      <c r="F41" s="86"/>
    </row>
    <row r="42" spans="1:8" x14ac:dyDescent="0.35">
      <c r="A42" s="1" t="s">
        <v>103</v>
      </c>
    </row>
    <row r="43" spans="1:8" ht="5.25" customHeight="1" x14ac:dyDescent="0.35">
      <c r="A43" s="1"/>
      <c r="E43" s="86"/>
      <c r="F43" s="86"/>
    </row>
    <row r="44" spans="1:8" x14ac:dyDescent="0.35">
      <c r="E44" s="4" t="s">
        <v>104</v>
      </c>
      <c r="G44" s="82">
        <f>IRR('UnDisc Results'!$I$21:$BA$21)</f>
        <v>0.12264574957908181</v>
      </c>
    </row>
    <row r="45" spans="1:8" ht="5.25" customHeight="1" x14ac:dyDescent="0.35">
      <c r="A45" s="1"/>
      <c r="E45" s="86"/>
      <c r="F45" s="8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BB33"/>
  <sheetViews>
    <sheetView zoomScale="90" zoomScaleNormal="90" workbookViewId="0">
      <selection activeCell="C8" sqref="C8:C32"/>
    </sheetView>
  </sheetViews>
  <sheetFormatPr defaultColWidth="0" defaultRowHeight="14.5" zeroHeight="1" x14ac:dyDescent="0.35"/>
  <cols>
    <col min="1" max="1" width="8.81640625" customWidth="1"/>
    <col min="2" max="2" width="26" bestFit="1" customWidth="1"/>
    <col min="3" max="3" width="31" bestFit="1" customWidth="1"/>
    <col min="4" max="4" width="32.453125" bestFit="1" customWidth="1"/>
    <col min="5" max="6" width="8.81640625" customWidth="1"/>
    <col min="7" max="54" width="0" hidden="1" customWidth="1"/>
    <col min="55" max="16384" width="8.81640625" hidden="1"/>
  </cols>
  <sheetData>
    <row r="1" spans="1:11" s="159" customFormat="1" ht="15.5" x14ac:dyDescent="0.35">
      <c r="A1" s="361" t="s">
        <v>105</v>
      </c>
      <c r="B1" s="362"/>
      <c r="C1" s="362"/>
      <c r="D1" s="362"/>
      <c r="E1" s="362"/>
      <c r="F1" s="362"/>
      <c r="G1" s="387"/>
      <c r="H1" s="387"/>
      <c r="I1" s="387"/>
      <c r="J1" s="387"/>
      <c r="K1" s="387"/>
    </row>
    <row r="2" spans="1:11" ht="5.25" customHeight="1" x14ac:dyDescent="0.35">
      <c r="A2" s="209"/>
      <c r="B2" s="210"/>
      <c r="C2" s="211"/>
      <c r="D2" s="209"/>
      <c r="E2" s="209"/>
      <c r="F2" s="209"/>
    </row>
    <row r="3" spans="1:11" x14ac:dyDescent="0.35">
      <c r="A3" s="671" t="s">
        <v>26</v>
      </c>
      <c r="B3" s="671"/>
      <c r="C3" s="671"/>
      <c r="D3" s="671"/>
      <c r="E3" s="671"/>
      <c r="F3" s="671"/>
      <c r="G3" s="671"/>
      <c r="H3" s="671"/>
      <c r="I3" s="671"/>
      <c r="J3" s="671"/>
      <c r="K3" s="671"/>
    </row>
    <row r="4" spans="1:11" ht="5.25" customHeight="1" x14ac:dyDescent="0.35">
      <c r="A4" s="209"/>
      <c r="B4" s="210"/>
      <c r="C4" s="211"/>
      <c r="D4" s="209"/>
      <c r="E4" s="209"/>
      <c r="F4" s="209"/>
    </row>
    <row r="5" spans="1:11" x14ac:dyDescent="0.35">
      <c r="A5" s="4" t="s">
        <v>106</v>
      </c>
      <c r="B5" s="4"/>
      <c r="C5" s="4"/>
      <c r="D5" s="4"/>
      <c r="E5" s="4"/>
      <c r="F5" s="4"/>
    </row>
    <row r="6" spans="1:11" ht="5.25" customHeight="1" x14ac:dyDescent="0.35">
      <c r="A6" s="209"/>
      <c r="B6" s="210"/>
      <c r="C6" s="211"/>
      <c r="D6" s="209"/>
      <c r="E6" s="209"/>
      <c r="F6" s="209"/>
    </row>
    <row r="7" spans="1:11" x14ac:dyDescent="0.35">
      <c r="A7" s="4"/>
      <c r="B7" s="123" t="s">
        <v>107</v>
      </c>
      <c r="C7" s="123" t="s">
        <v>108</v>
      </c>
      <c r="D7" s="123" t="s">
        <v>109</v>
      </c>
      <c r="E7" s="4"/>
      <c r="F7" s="4"/>
    </row>
    <row r="8" spans="1:11" x14ac:dyDescent="0.35">
      <c r="A8" s="4"/>
      <c r="B8" s="12">
        <v>2001</v>
      </c>
      <c r="C8" s="569">
        <f t="shared" ref="C8:C30" si="0">$D$31/D8</f>
        <v>1.6841043571812804</v>
      </c>
      <c r="D8" s="124">
        <v>74.36</v>
      </c>
      <c r="E8" s="125"/>
      <c r="F8" s="4"/>
    </row>
    <row r="9" spans="1:11" x14ac:dyDescent="0.35">
      <c r="A9" s="4"/>
      <c r="B9" s="12">
        <v>2002</v>
      </c>
      <c r="C9" s="569">
        <f t="shared" si="0"/>
        <v>1.658346023968748</v>
      </c>
      <c r="D9" s="124">
        <v>75.515000000000001</v>
      </c>
      <c r="E9" s="125"/>
      <c r="F9" s="4"/>
    </row>
    <row r="10" spans="1:11" x14ac:dyDescent="0.35">
      <c r="A10" s="4"/>
      <c r="B10" s="12">
        <v>2003</v>
      </c>
      <c r="C10" s="569">
        <f t="shared" si="0"/>
        <v>1.626236916603901</v>
      </c>
      <c r="D10" s="124">
        <v>77.006</v>
      </c>
      <c r="E10" s="125"/>
      <c r="F10" s="4"/>
    </row>
    <row r="11" spans="1:11" x14ac:dyDescent="0.35">
      <c r="A11" s="4"/>
      <c r="B11" s="12">
        <v>2004</v>
      </c>
      <c r="C11" s="569">
        <f t="shared" si="0"/>
        <v>1.5836463194101953</v>
      </c>
      <c r="D11" s="124">
        <v>79.076999999999998</v>
      </c>
      <c r="E11" s="125"/>
      <c r="F11" s="4"/>
    </row>
    <row r="12" spans="1:11" x14ac:dyDescent="0.35">
      <c r="A12" s="4"/>
      <c r="B12" s="12">
        <v>2005</v>
      </c>
      <c r="C12" s="569">
        <f t="shared" si="0"/>
        <v>1.5355093432733338</v>
      </c>
      <c r="D12" s="124">
        <v>81.555999999999997</v>
      </c>
      <c r="E12" s="125"/>
      <c r="F12" s="4"/>
    </row>
    <row r="13" spans="1:11" x14ac:dyDescent="0.35">
      <c r="A13" s="4"/>
      <c r="B13" s="12">
        <v>2006</v>
      </c>
      <c r="C13" s="569">
        <f t="shared" si="0"/>
        <v>1.4895742883990912</v>
      </c>
      <c r="D13" s="124">
        <v>84.070999999999998</v>
      </c>
      <c r="E13" s="125"/>
      <c r="F13" s="4"/>
    </row>
    <row r="14" spans="1:11" x14ac:dyDescent="0.35">
      <c r="A14" s="4"/>
      <c r="B14" s="12">
        <v>2007</v>
      </c>
      <c r="C14" s="569">
        <f t="shared" si="0"/>
        <v>1.4502773627951684</v>
      </c>
      <c r="D14" s="124">
        <v>86.349000000000004</v>
      </c>
      <c r="E14" s="125"/>
      <c r="F14" s="4"/>
    </row>
    <row r="15" spans="1:11" x14ac:dyDescent="0.35">
      <c r="A15" s="4"/>
      <c r="B15" s="12">
        <v>2008</v>
      </c>
      <c r="C15" s="569">
        <f t="shared" si="0"/>
        <v>1.4228579868883005</v>
      </c>
      <c r="D15" s="124">
        <v>88.013000000000005</v>
      </c>
      <c r="E15" s="125"/>
      <c r="F15" s="4"/>
    </row>
    <row r="16" spans="1:11" x14ac:dyDescent="0.35">
      <c r="A16" s="4"/>
      <c r="B16" s="12">
        <v>2009</v>
      </c>
      <c r="C16" s="569">
        <f t="shared" si="0"/>
        <v>1.414133429694205</v>
      </c>
      <c r="D16" s="124">
        <v>88.555999999999997</v>
      </c>
      <c r="E16" s="125"/>
      <c r="F16" s="4"/>
    </row>
    <row r="17" spans="1:6" x14ac:dyDescent="0.35">
      <c r="A17" s="4"/>
      <c r="B17" s="12">
        <v>2010</v>
      </c>
      <c r="C17" s="569">
        <f t="shared" si="0"/>
        <v>1.3971572652624062</v>
      </c>
      <c r="D17" s="124">
        <v>89.632000000000005</v>
      </c>
      <c r="E17" s="4"/>
      <c r="F17" s="4"/>
    </row>
    <row r="18" spans="1:6" x14ac:dyDescent="0.35">
      <c r="A18" s="4"/>
      <c r="B18" s="12">
        <v>2011</v>
      </c>
      <c r="C18" s="569">
        <f t="shared" si="0"/>
        <v>1.368918136006384</v>
      </c>
      <c r="D18" s="124">
        <v>91.480999999999995</v>
      </c>
      <c r="E18" s="4"/>
      <c r="F18" s="4"/>
    </row>
    <row r="19" spans="1:6" x14ac:dyDescent="0.35">
      <c r="A19" s="4"/>
      <c r="B19" s="12">
        <v>2012</v>
      </c>
      <c r="C19" s="569">
        <f t="shared" si="0"/>
        <v>1.3438858185330258</v>
      </c>
      <c r="D19" s="124">
        <v>93.185000000000002</v>
      </c>
      <c r="E19" s="4"/>
      <c r="F19" s="4"/>
    </row>
    <row r="20" spans="1:6" x14ac:dyDescent="0.35">
      <c r="A20" s="4"/>
      <c r="B20" s="12">
        <v>2013</v>
      </c>
      <c r="C20" s="569">
        <f t="shared" si="0"/>
        <v>1.3213957856306255</v>
      </c>
      <c r="D20" s="124">
        <v>94.771000000000001</v>
      </c>
      <c r="E20" s="4"/>
      <c r="F20" s="4"/>
    </row>
    <row r="21" spans="1:6" x14ac:dyDescent="0.35">
      <c r="A21" s="4"/>
      <c r="B21" s="12">
        <v>2014</v>
      </c>
      <c r="C21" s="569">
        <f t="shared" si="0"/>
        <v>1.2987834600346397</v>
      </c>
      <c r="D21" s="124">
        <v>96.421000000000006</v>
      </c>
      <c r="E21" s="4"/>
      <c r="F21" s="4"/>
    </row>
    <row r="22" spans="1:6" x14ac:dyDescent="0.35">
      <c r="A22" s="4"/>
      <c r="B22" s="12">
        <v>2015</v>
      </c>
      <c r="C22" s="569">
        <f t="shared" si="0"/>
        <v>1.2868387521065394</v>
      </c>
      <c r="D22" s="124">
        <v>97.316000000000003</v>
      </c>
      <c r="E22" s="4"/>
      <c r="F22" s="4"/>
    </row>
    <row r="23" spans="1:6" x14ac:dyDescent="0.35">
      <c r="A23" s="4"/>
      <c r="B23" s="12">
        <v>2016</v>
      </c>
      <c r="C23" s="569">
        <f t="shared" si="0"/>
        <v>1.2747223664254232</v>
      </c>
      <c r="D23" s="124">
        <v>98.241</v>
      </c>
      <c r="E23" s="4"/>
      <c r="F23" s="4"/>
    </row>
    <row r="24" spans="1:6" x14ac:dyDescent="0.35">
      <c r="A24" s="4"/>
      <c r="B24" s="12">
        <v>2017</v>
      </c>
      <c r="C24" s="569">
        <f t="shared" si="0"/>
        <v>1.2523</v>
      </c>
      <c r="D24" s="124">
        <v>100</v>
      </c>
      <c r="E24" s="4"/>
      <c r="F24" s="4"/>
    </row>
    <row r="25" spans="1:6" x14ac:dyDescent="0.35">
      <c r="A25" s="4"/>
      <c r="B25" s="12">
        <v>2018</v>
      </c>
      <c r="C25" s="569">
        <f t="shared" si="0"/>
        <v>1.2242523780195718</v>
      </c>
      <c r="D25" s="124">
        <v>102.291</v>
      </c>
      <c r="E25" s="4"/>
      <c r="F25" s="4"/>
    </row>
    <row r="26" spans="1:6" x14ac:dyDescent="0.35">
      <c r="A26" s="4"/>
      <c r="B26" s="12">
        <v>2019</v>
      </c>
      <c r="C26" s="569">
        <f t="shared" si="0"/>
        <v>1.2043778070571942</v>
      </c>
      <c r="D26" s="124">
        <v>103.979</v>
      </c>
      <c r="E26" s="4"/>
      <c r="F26" s="4"/>
    </row>
    <row r="27" spans="1:6" x14ac:dyDescent="0.35">
      <c r="A27" s="4"/>
      <c r="B27" s="12">
        <v>2020</v>
      </c>
      <c r="C27" s="569">
        <f t="shared" si="0"/>
        <v>1.1885802146904452</v>
      </c>
      <c r="D27" s="124">
        <v>105.361</v>
      </c>
      <c r="E27" s="4"/>
      <c r="F27" s="4"/>
    </row>
    <row r="28" spans="1:6" x14ac:dyDescent="0.35">
      <c r="A28" s="4"/>
      <c r="B28" s="12">
        <v>2021</v>
      </c>
      <c r="C28" s="569">
        <f t="shared" si="0"/>
        <v>1.1366771956576989</v>
      </c>
      <c r="D28" s="124">
        <v>110.172</v>
      </c>
      <c r="E28" s="4"/>
      <c r="F28" s="4"/>
    </row>
    <row r="29" spans="1:6" x14ac:dyDescent="0.35">
      <c r="A29" s="4"/>
      <c r="B29" s="12">
        <v>2022</v>
      </c>
      <c r="C29" s="569">
        <f t="shared" si="0"/>
        <v>1.0610373985393049</v>
      </c>
      <c r="D29" s="124">
        <v>118.026</v>
      </c>
      <c r="E29" s="4"/>
      <c r="F29" s="4"/>
    </row>
    <row r="30" spans="1:6" x14ac:dyDescent="0.35">
      <c r="A30" s="4"/>
      <c r="B30" s="12">
        <v>2023</v>
      </c>
      <c r="C30" s="569">
        <f t="shared" si="0"/>
        <v>1.0241835891815856</v>
      </c>
      <c r="D30" s="124">
        <v>122.273</v>
      </c>
      <c r="E30" s="4"/>
      <c r="F30" s="4"/>
    </row>
    <row r="31" spans="1:6" x14ac:dyDescent="0.35">
      <c r="A31" s="4"/>
      <c r="B31" s="12">
        <v>2024</v>
      </c>
      <c r="C31" s="569">
        <f>$D$31/D31</f>
        <v>1</v>
      </c>
      <c r="D31" s="124">
        <v>125.23</v>
      </c>
      <c r="E31" s="4"/>
      <c r="F31" s="4"/>
    </row>
    <row r="32" spans="1:6" x14ac:dyDescent="0.35">
      <c r="A32" s="4"/>
      <c r="B32" s="12">
        <v>2025</v>
      </c>
      <c r="C32" s="569">
        <f>$D$31/D32</f>
        <v>0.97790862024535574</v>
      </c>
      <c r="D32" s="124">
        <v>128.059</v>
      </c>
      <c r="E32" s="4" t="s">
        <v>110</v>
      </c>
      <c r="F32" s="4"/>
    </row>
    <row r="33" spans="1:6" x14ac:dyDescent="0.35">
      <c r="A33" s="4"/>
      <c r="B33" s="4"/>
      <c r="C33" s="4"/>
      <c r="D33" s="4"/>
      <c r="E33" s="4"/>
      <c r="F33" s="4"/>
    </row>
  </sheetData>
  <mergeCells count="1">
    <mergeCell ref="A3:K3"/>
  </mergeCells>
  <pageMargins left="0.7" right="0.7" top="0.75" bottom="0.75" header="0.3" footer="0.3"/>
  <pageSetup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K1041"/>
  <sheetViews>
    <sheetView zoomScale="90" zoomScaleNormal="90" workbookViewId="0">
      <selection activeCell="H13" sqref="H13"/>
    </sheetView>
  </sheetViews>
  <sheetFormatPr defaultColWidth="0" defaultRowHeight="0" customHeight="1" zeroHeight="1" x14ac:dyDescent="0.35"/>
  <cols>
    <col min="1" max="1" width="1.453125" style="4" customWidth="1"/>
    <col min="2" max="2" width="1.453125" style="2" customWidth="1"/>
    <col min="3" max="3" width="1.453125" style="3" customWidth="1"/>
    <col min="4" max="4" width="1.453125" style="4" customWidth="1"/>
    <col min="5" max="5" width="89" style="4" bestFit="1" customWidth="1"/>
    <col min="6" max="6" width="47.1796875" style="4" customWidth="1"/>
    <col min="7" max="7" width="25.81640625" style="43" bestFit="1" customWidth="1"/>
    <col min="8" max="8" width="17.453125" style="37" customWidth="1"/>
    <col min="9" max="10" width="16.1796875" style="4" bestFit="1" customWidth="1"/>
    <col min="11" max="11" width="4.453125" style="4" customWidth="1"/>
    <col min="12" max="16384" width="9.1796875" hidden="1"/>
  </cols>
  <sheetData>
    <row r="1" spans="1:11" s="159" customFormat="1" ht="15.5" x14ac:dyDescent="0.35">
      <c r="A1" s="361" t="s">
        <v>105</v>
      </c>
      <c r="B1" s="362"/>
      <c r="C1" s="362"/>
      <c r="D1" s="362"/>
      <c r="E1" s="362"/>
      <c r="F1" s="362"/>
      <c r="G1" s="362"/>
      <c r="H1" s="431"/>
      <c r="I1" s="362"/>
      <c r="J1" s="362"/>
      <c r="K1" s="362"/>
    </row>
    <row r="2" spans="1:11" ht="5.25" customHeight="1" x14ac:dyDescent="0.35"/>
    <row r="3" spans="1:11" ht="14.5" x14ac:dyDescent="0.35">
      <c r="E3" s="180" t="s">
        <v>111</v>
      </c>
    </row>
    <row r="4" spans="1:11" ht="14.5" x14ac:dyDescent="0.35">
      <c r="E4" s="178" t="str">
        <f>'Guide for Reviewers'!B3</f>
        <v>I-35 McClain County</v>
      </c>
    </row>
    <row r="5" spans="1:11" ht="14.5" x14ac:dyDescent="0.35">
      <c r="E5" s="178" t="str">
        <f>'Guide for Reviewers'!B4</f>
        <v>Oklahoma Department of Transportation</v>
      </c>
    </row>
    <row r="6" spans="1:11" ht="29" x14ac:dyDescent="0.35">
      <c r="A6" s="1"/>
      <c r="B6" s="5"/>
      <c r="C6" s="6"/>
      <c r="D6" s="1"/>
      <c r="E6" s="1" t="s">
        <v>92</v>
      </c>
      <c r="F6" s="1" t="s">
        <v>112</v>
      </c>
      <c r="G6" s="8" t="s">
        <v>113</v>
      </c>
      <c r="H6" s="94" t="s">
        <v>114</v>
      </c>
      <c r="I6" s="8" t="s">
        <v>115</v>
      </c>
      <c r="J6" s="8" t="s">
        <v>116</v>
      </c>
      <c r="K6" s="1"/>
    </row>
    <row r="7" spans="1:11" ht="5.25" customHeight="1" x14ac:dyDescent="0.35">
      <c r="A7" s="126"/>
      <c r="B7" s="205"/>
      <c r="C7" s="206"/>
      <c r="D7" s="126"/>
      <c r="E7" s="126"/>
      <c r="F7" s="126"/>
      <c r="G7" s="216"/>
      <c r="H7" s="432"/>
      <c r="I7" s="126"/>
      <c r="J7" s="126"/>
      <c r="K7" s="126"/>
    </row>
    <row r="8" spans="1:11" ht="14.5" x14ac:dyDescent="0.35">
      <c r="A8" s="672" t="s">
        <v>117</v>
      </c>
      <c r="B8" s="673"/>
      <c r="C8" s="673"/>
      <c r="D8" s="673"/>
      <c r="E8" s="673"/>
      <c r="F8" s="673"/>
      <c r="G8" s="673"/>
      <c r="H8" s="673"/>
      <c r="I8" s="673"/>
      <c r="J8" s="673"/>
      <c r="K8" s="674"/>
    </row>
    <row r="9" spans="1:11" ht="5.25" customHeight="1" x14ac:dyDescent="0.35">
      <c r="A9" s="209"/>
      <c r="B9" s="210"/>
      <c r="C9" s="211"/>
      <c r="D9" s="209"/>
      <c r="E9" s="209"/>
      <c r="F9" s="209"/>
      <c r="G9" s="215"/>
      <c r="H9" s="433"/>
      <c r="I9" s="209"/>
      <c r="J9" s="209"/>
      <c r="K9" s="209"/>
    </row>
    <row r="10" spans="1:11" ht="15" customHeight="1" x14ac:dyDescent="0.35">
      <c r="E10" s="4" t="s">
        <v>118</v>
      </c>
      <c r="F10" s="10" t="s">
        <v>119</v>
      </c>
      <c r="H10" s="434" t="s">
        <v>115</v>
      </c>
    </row>
    <row r="11" spans="1:11" ht="15" customHeight="1" x14ac:dyDescent="0.35"/>
    <row r="12" spans="1:11" ht="14.5" x14ac:dyDescent="0.35">
      <c r="A12" s="10"/>
      <c r="D12" s="10"/>
      <c r="E12" s="10" t="s">
        <v>120</v>
      </c>
      <c r="F12" s="10"/>
      <c r="G12" s="43" t="s">
        <v>121</v>
      </c>
      <c r="H12" s="435">
        <v>2023</v>
      </c>
      <c r="I12" s="11"/>
      <c r="J12" s="11"/>
    </row>
    <row r="13" spans="1:11" ht="14.5" x14ac:dyDescent="0.35">
      <c r="A13" s="10"/>
      <c r="D13" s="10"/>
      <c r="E13" s="10" t="s">
        <v>122</v>
      </c>
      <c r="F13" s="10"/>
      <c r="G13" s="43" t="s">
        <v>121</v>
      </c>
      <c r="H13" s="436">
        <v>2024</v>
      </c>
    </row>
    <row r="14" spans="1:11" ht="14.5" x14ac:dyDescent="0.35">
      <c r="A14" s="10"/>
      <c r="D14" s="10"/>
      <c r="E14" s="10" t="s">
        <v>123</v>
      </c>
      <c r="F14" s="10"/>
      <c r="G14" s="43" t="s">
        <v>121</v>
      </c>
      <c r="H14" s="436">
        <v>2024</v>
      </c>
    </row>
    <row r="15" spans="1:11" ht="5.25" customHeight="1" x14ac:dyDescent="0.35">
      <c r="A15" s="10"/>
      <c r="B15" s="13"/>
      <c r="C15" s="14"/>
      <c r="D15" s="10"/>
      <c r="E15" s="10"/>
      <c r="F15" s="10"/>
      <c r="G15" s="302"/>
      <c r="I15" s="10"/>
      <c r="J15" s="10"/>
      <c r="K15" s="10"/>
    </row>
    <row r="16" spans="1:11" ht="14.5" x14ac:dyDescent="0.35">
      <c r="A16" s="10"/>
      <c r="B16" s="13"/>
      <c r="C16" s="14"/>
      <c r="D16" s="10"/>
      <c r="E16" s="10" t="s">
        <v>124</v>
      </c>
      <c r="F16" s="558" t="s">
        <v>125</v>
      </c>
      <c r="G16" s="302" t="s">
        <v>121</v>
      </c>
      <c r="H16" s="12">
        <v>2025</v>
      </c>
      <c r="I16" s="10"/>
      <c r="J16" s="10"/>
      <c r="K16" s="10"/>
    </row>
    <row r="17" spans="1:11" ht="5.25" customHeight="1" x14ac:dyDescent="0.35">
      <c r="A17" s="10"/>
      <c r="B17" s="13"/>
      <c r="C17" s="14"/>
      <c r="D17" s="10"/>
      <c r="E17" s="10"/>
      <c r="F17" s="10"/>
      <c r="G17" s="302"/>
      <c r="I17" s="10"/>
      <c r="J17" s="10"/>
      <c r="K17" s="10"/>
    </row>
    <row r="18" spans="1:11" ht="15" customHeight="1" x14ac:dyDescent="0.35">
      <c r="A18" s="10"/>
      <c r="B18" s="13"/>
      <c r="C18" s="14"/>
      <c r="D18" s="10"/>
      <c r="E18" s="10" t="s">
        <v>126</v>
      </c>
      <c r="F18" s="558" t="s">
        <v>125</v>
      </c>
      <c r="G18" s="303" t="str">
        <f>$H$16&amp;"$/gallon"</f>
        <v>2025$/gallon</v>
      </c>
      <c r="H18" s="437">
        <f>IF($H$10=$I$6, $I18, $J18)</f>
        <v>0.184</v>
      </c>
      <c r="I18" s="561">
        <v>0.184</v>
      </c>
      <c r="J18" s="561">
        <v>0.184</v>
      </c>
      <c r="K18" s="10"/>
    </row>
    <row r="19" spans="1:11" ht="15" customHeight="1" x14ac:dyDescent="0.35">
      <c r="A19" s="10"/>
      <c r="B19" s="13"/>
      <c r="C19" s="14"/>
      <c r="D19" s="10"/>
      <c r="E19" s="10" t="s">
        <v>127</v>
      </c>
      <c r="F19" s="558" t="s">
        <v>125</v>
      </c>
      <c r="G19" s="303" t="str">
        <f>$H$16&amp;"$/gallon"</f>
        <v>2025$/gallon</v>
      </c>
      <c r="H19" s="437">
        <f>IF($H$10=$I$6, $I19, $J19)</f>
        <v>0.24399999999999999</v>
      </c>
      <c r="I19" s="561">
        <v>0.24399999999999999</v>
      </c>
      <c r="J19" s="561">
        <v>0.24399999999999999</v>
      </c>
      <c r="K19" s="10"/>
    </row>
    <row r="20" spans="1:11" ht="5.25" customHeight="1" x14ac:dyDescent="0.35">
      <c r="A20" s="10"/>
      <c r="B20" s="13"/>
      <c r="C20" s="14"/>
      <c r="D20" s="10"/>
      <c r="E20" s="10"/>
      <c r="F20" s="10"/>
      <c r="G20" s="302"/>
      <c r="I20" s="10"/>
      <c r="J20" s="10"/>
      <c r="K20" s="10"/>
    </row>
    <row r="21" spans="1:11" ht="14.5" x14ac:dyDescent="0.35">
      <c r="A21" s="10"/>
      <c r="D21" s="10"/>
      <c r="E21" s="10" t="s">
        <v>128</v>
      </c>
      <c r="F21" s="558" t="s">
        <v>125</v>
      </c>
      <c r="G21" s="303" t="str">
        <f>$H$16&amp;"$/gallon"</f>
        <v>2025$/gallon</v>
      </c>
      <c r="H21" s="437">
        <f>IF($H$10=$I$6, $I21, $J21)</f>
        <v>0.38500000000000001</v>
      </c>
      <c r="I21" s="560">
        <v>0.38500000000000001</v>
      </c>
      <c r="J21" s="560">
        <v>0.38500000000000001</v>
      </c>
      <c r="K21" s="10"/>
    </row>
    <row r="22" spans="1:11" ht="14.5" x14ac:dyDescent="0.35">
      <c r="A22" s="10"/>
      <c r="B22" s="13"/>
      <c r="C22" s="14"/>
      <c r="D22" s="10"/>
      <c r="E22" s="10" t="s">
        <v>129</v>
      </c>
      <c r="F22" s="558" t="s">
        <v>125</v>
      </c>
      <c r="G22" s="303" t="str">
        <f>$H$16&amp;"$/gallon"</f>
        <v>2025$/gallon</v>
      </c>
      <c r="H22" s="437">
        <f>IF($H$10=$I$6, $I22, $J22)</f>
        <v>0.47</v>
      </c>
      <c r="I22" s="560">
        <v>0.47</v>
      </c>
      <c r="J22" s="560">
        <v>0.47</v>
      </c>
      <c r="K22" s="10"/>
    </row>
    <row r="23" spans="1:11" ht="5.25" customHeight="1" x14ac:dyDescent="0.35">
      <c r="A23" s="10"/>
      <c r="B23" s="13"/>
      <c r="C23" s="14"/>
      <c r="D23" s="10"/>
      <c r="E23" s="10"/>
      <c r="F23" s="10"/>
      <c r="G23" s="302"/>
      <c r="I23" s="10"/>
      <c r="J23" s="10"/>
      <c r="K23" s="10"/>
    </row>
    <row r="24" spans="1:11" ht="14.5" x14ac:dyDescent="0.35">
      <c r="A24" s="10"/>
      <c r="B24" s="13"/>
      <c r="C24" s="14"/>
      <c r="D24" s="10"/>
      <c r="E24" s="49" t="s">
        <v>130</v>
      </c>
      <c r="G24" s="57" t="s">
        <v>131</v>
      </c>
      <c r="H24" s="153">
        <v>0.97790862024535574</v>
      </c>
      <c r="I24" s="203"/>
      <c r="J24" s="203"/>
      <c r="K24" s="10"/>
    </row>
    <row r="25" spans="1:11" ht="5.25" customHeight="1" x14ac:dyDescent="0.35">
      <c r="A25" s="10"/>
      <c r="B25" s="13"/>
      <c r="C25" s="14"/>
      <c r="D25" s="10"/>
      <c r="E25" s="10"/>
      <c r="F25" s="10"/>
      <c r="G25" s="302"/>
      <c r="I25" s="10"/>
      <c r="J25" s="10"/>
      <c r="K25" s="10"/>
    </row>
    <row r="26" spans="1:11" ht="15" customHeight="1" x14ac:dyDescent="0.35">
      <c r="A26" s="10"/>
      <c r="B26" s="13"/>
      <c r="C26" s="14"/>
      <c r="D26" s="10"/>
      <c r="E26" s="10" t="s">
        <v>126</v>
      </c>
      <c r="F26" s="558" t="s">
        <v>125</v>
      </c>
      <c r="G26" s="303" t="str">
        <f>$H$14&amp;"$/gallon"</f>
        <v>2024$/gallon</v>
      </c>
      <c r="H26" s="437">
        <f t="shared" ref="H26:J27" si="0">H18*$H$24</f>
        <v>0.17993518612514545</v>
      </c>
      <c r="I26" s="559">
        <f t="shared" si="0"/>
        <v>0.17993518612514545</v>
      </c>
      <c r="J26" s="559">
        <f t="shared" si="0"/>
        <v>0.17993518612514545</v>
      </c>
      <c r="K26" s="10"/>
    </row>
    <row r="27" spans="1:11" ht="15" customHeight="1" x14ac:dyDescent="0.35">
      <c r="A27" s="10"/>
      <c r="B27" s="13"/>
      <c r="C27" s="14"/>
      <c r="D27" s="10"/>
      <c r="E27" s="10" t="s">
        <v>127</v>
      </c>
      <c r="F27" s="558" t="s">
        <v>125</v>
      </c>
      <c r="G27" s="303" t="str">
        <f>$H$14&amp;"$/gallon"</f>
        <v>2024$/gallon</v>
      </c>
      <c r="H27" s="437">
        <f t="shared" si="0"/>
        <v>0.23860970333986681</v>
      </c>
      <c r="I27" s="559">
        <f t="shared" si="0"/>
        <v>0.23860970333986681</v>
      </c>
      <c r="J27" s="559">
        <f t="shared" si="0"/>
        <v>0.23860970333986681</v>
      </c>
      <c r="K27" s="10"/>
    </row>
    <row r="28" spans="1:11" ht="5.25" customHeight="1" x14ac:dyDescent="0.35">
      <c r="A28" s="10"/>
      <c r="B28" s="13"/>
      <c r="C28" s="14"/>
      <c r="D28" s="10"/>
      <c r="E28" s="10"/>
      <c r="F28" s="10"/>
      <c r="G28" s="302"/>
      <c r="I28" s="10"/>
      <c r="J28" s="10"/>
      <c r="K28" s="10"/>
    </row>
    <row r="29" spans="1:11" ht="14.5" x14ac:dyDescent="0.35">
      <c r="A29" s="10"/>
      <c r="D29" s="10"/>
      <c r="E29" s="10" t="s">
        <v>128</v>
      </c>
      <c r="F29" s="558" t="s">
        <v>125</v>
      </c>
      <c r="G29" s="303" t="str">
        <f>$H$14&amp;"$/gallon"</f>
        <v>2024$/gallon</v>
      </c>
      <c r="H29" s="437">
        <f t="shared" ref="H29:J30" si="1">H21*$H$24</f>
        <v>0.37649481879446195</v>
      </c>
      <c r="I29" s="560">
        <f t="shared" si="1"/>
        <v>0.37649481879446195</v>
      </c>
      <c r="J29" s="560">
        <f t="shared" si="1"/>
        <v>0.37649481879446195</v>
      </c>
      <c r="K29" s="10"/>
    </row>
    <row r="30" spans="1:11" ht="14.5" x14ac:dyDescent="0.35">
      <c r="A30" s="10"/>
      <c r="B30" s="13"/>
      <c r="C30" s="14"/>
      <c r="D30" s="10"/>
      <c r="E30" s="10" t="s">
        <v>129</v>
      </c>
      <c r="F30" s="558" t="s">
        <v>125</v>
      </c>
      <c r="G30" s="303" t="str">
        <f>$H$14&amp;"$/gallon"</f>
        <v>2024$/gallon</v>
      </c>
      <c r="H30" s="437">
        <f t="shared" si="1"/>
        <v>0.45961705151531718</v>
      </c>
      <c r="I30" s="560">
        <f t="shared" si="1"/>
        <v>0.45961705151531718</v>
      </c>
      <c r="J30" s="560">
        <f t="shared" si="1"/>
        <v>0.45961705151531718</v>
      </c>
      <c r="K30" s="10"/>
    </row>
    <row r="31" spans="1:11" ht="5.25" customHeight="1" x14ac:dyDescent="0.35">
      <c r="A31" s="10"/>
      <c r="B31" s="13"/>
      <c r="C31" s="14"/>
      <c r="D31" s="10"/>
      <c r="E31" s="10"/>
      <c r="F31" s="10"/>
      <c r="G31" s="302"/>
      <c r="I31" s="10"/>
      <c r="J31" s="10"/>
      <c r="K31" s="10"/>
    </row>
    <row r="32" spans="1:11" ht="14.5" x14ac:dyDescent="0.35">
      <c r="A32" s="10"/>
      <c r="B32" s="13"/>
      <c r="C32" s="14"/>
      <c r="D32" s="10"/>
      <c r="E32" s="10" t="s">
        <v>132</v>
      </c>
      <c r="F32" s="10" t="s">
        <v>133</v>
      </c>
      <c r="G32" s="302" t="s">
        <v>134</v>
      </c>
      <c r="H32" s="37">
        <f>IF($H$10=$I$6, $I32, $J32)</f>
        <v>1.52</v>
      </c>
      <c r="I32" s="12">
        <v>1.52</v>
      </c>
      <c r="J32" s="12">
        <v>1.52</v>
      </c>
      <c r="K32" s="10"/>
    </row>
    <row r="33" spans="1:11" ht="14.5" x14ac:dyDescent="0.35">
      <c r="A33" s="10"/>
      <c r="B33" s="13"/>
      <c r="C33" s="14"/>
      <c r="D33" s="10"/>
      <c r="E33" s="10" t="s">
        <v>135</v>
      </c>
      <c r="F33" s="10" t="s">
        <v>133</v>
      </c>
      <c r="G33" s="302" t="s">
        <v>134</v>
      </c>
      <c r="H33" s="37">
        <f>IF($H$10=$I$6, $I33, $J33)</f>
        <v>1.34</v>
      </c>
      <c r="I33" s="12">
        <v>1.34</v>
      </c>
      <c r="J33" s="12">
        <v>1.34</v>
      </c>
      <c r="K33" s="10"/>
    </row>
    <row r="34" spans="1:11" ht="14.5" x14ac:dyDescent="0.35">
      <c r="A34" s="10"/>
      <c r="B34" s="13"/>
      <c r="C34" s="14"/>
      <c r="D34" s="10"/>
      <c r="E34" s="10" t="s">
        <v>136</v>
      </c>
      <c r="F34" s="10" t="s">
        <v>133</v>
      </c>
      <c r="G34" s="302" t="s">
        <v>134</v>
      </c>
      <c r="H34" s="37">
        <f>IF($H$10=$I$6, $I34, $J34)</f>
        <v>1.41</v>
      </c>
      <c r="I34" s="12">
        <v>1.41</v>
      </c>
      <c r="J34" s="12">
        <v>1.41</v>
      </c>
      <c r="K34" s="10"/>
    </row>
    <row r="35" spans="1:11" ht="14.5" x14ac:dyDescent="0.35">
      <c r="A35" s="10"/>
      <c r="B35" s="13"/>
      <c r="C35" s="14"/>
      <c r="D35" s="10"/>
      <c r="E35" s="10" t="s">
        <v>137</v>
      </c>
      <c r="F35" s="10" t="s">
        <v>133</v>
      </c>
      <c r="G35" s="302" t="s">
        <v>134</v>
      </c>
      <c r="H35" s="37">
        <f>IF($H$10=$I$6, $I35, $J35)</f>
        <v>1.81</v>
      </c>
      <c r="I35" s="12">
        <v>1.81</v>
      </c>
      <c r="J35" s="12">
        <v>1.81</v>
      </c>
      <c r="K35" s="10"/>
    </row>
    <row r="36" spans="1:11" ht="14.5" x14ac:dyDescent="0.35">
      <c r="A36" s="10"/>
      <c r="B36" s="13"/>
      <c r="C36" s="14"/>
      <c r="D36" s="10"/>
      <c r="E36" s="10" t="s">
        <v>138</v>
      </c>
      <c r="F36" s="10" t="s">
        <v>133</v>
      </c>
      <c r="G36" s="302" t="s">
        <v>134</v>
      </c>
      <c r="H36" s="37">
        <f>IF($H$10=$I$6, $I36, $J36)</f>
        <v>1</v>
      </c>
      <c r="I36" s="12">
        <v>1</v>
      </c>
      <c r="J36" s="12">
        <v>1</v>
      </c>
      <c r="K36" s="10"/>
    </row>
    <row r="37" spans="1:11" ht="6.75" customHeight="1" x14ac:dyDescent="0.35">
      <c r="A37" s="208"/>
      <c r="B37" s="224"/>
      <c r="C37" s="225"/>
      <c r="D37" s="208"/>
      <c r="E37" s="208"/>
      <c r="F37" s="208"/>
      <c r="G37" s="259"/>
      <c r="H37" s="432"/>
      <c r="I37" s="208"/>
      <c r="J37" s="208"/>
      <c r="K37" s="208"/>
    </row>
    <row r="38" spans="1:11" ht="14.5" hidden="1" x14ac:dyDescent="0.35">
      <c r="A38" s="672" t="s">
        <v>139</v>
      </c>
      <c r="B38" s="673"/>
      <c r="C38" s="673"/>
      <c r="D38" s="673"/>
      <c r="E38" s="673"/>
      <c r="F38" s="673"/>
      <c r="G38" s="673"/>
      <c r="H38" s="673"/>
      <c r="I38" s="673"/>
      <c r="J38" s="673"/>
      <c r="K38" s="674"/>
    </row>
    <row r="39" spans="1:11" ht="5.25" customHeight="1" x14ac:dyDescent="0.35">
      <c r="A39" s="214"/>
      <c r="B39" s="210"/>
      <c r="C39" s="211"/>
      <c r="D39" s="209"/>
      <c r="E39" s="209"/>
      <c r="F39" s="209"/>
      <c r="G39" s="215"/>
      <c r="H39" s="433"/>
      <c r="I39" s="209"/>
      <c r="J39" s="209"/>
      <c r="K39" s="213"/>
    </row>
    <row r="40" spans="1:11" ht="15" customHeight="1" x14ac:dyDescent="0.35">
      <c r="A40" s="1"/>
      <c r="E40" s="4" t="s">
        <v>140</v>
      </c>
      <c r="G40" s="43" t="s">
        <v>131</v>
      </c>
      <c r="H40" s="439">
        <v>9.9999999999999995E-7</v>
      </c>
      <c r="K40" s="10"/>
    </row>
    <row r="41" spans="1:11" ht="15" customHeight="1" x14ac:dyDescent="0.35">
      <c r="A41" s="1"/>
      <c r="E41" s="4" t="s">
        <v>141</v>
      </c>
      <c r="G41" s="43" t="s">
        <v>131</v>
      </c>
      <c r="H41" s="439">
        <v>1.1023100000000001E-6</v>
      </c>
      <c r="K41" s="10"/>
    </row>
    <row r="42" spans="1:11" ht="15" customHeight="1" x14ac:dyDescent="0.35">
      <c r="A42" s="1"/>
      <c r="E42" s="4" t="s">
        <v>142</v>
      </c>
      <c r="G42" s="43" t="s">
        <v>131</v>
      </c>
      <c r="H42" s="440">
        <v>4.5359000000000003E-4</v>
      </c>
      <c r="K42" s="10"/>
    </row>
    <row r="43" spans="1:11" ht="5.25" customHeight="1" x14ac:dyDescent="0.35">
      <c r="A43" s="223"/>
      <c r="B43" s="205"/>
      <c r="C43" s="206"/>
      <c r="D43" s="126"/>
      <c r="E43" s="126"/>
      <c r="F43" s="126"/>
      <c r="G43" s="216"/>
      <c r="H43" s="432"/>
      <c r="I43" s="126"/>
      <c r="J43" s="126"/>
      <c r="K43" s="208"/>
    </row>
    <row r="44" spans="1:11" ht="14.5" x14ac:dyDescent="0.35">
      <c r="A44" s="672" t="s">
        <v>143</v>
      </c>
      <c r="B44" s="673"/>
      <c r="C44" s="673"/>
      <c r="D44" s="673"/>
      <c r="E44" s="673"/>
      <c r="F44" s="673"/>
      <c r="G44" s="673"/>
      <c r="H44" s="673"/>
      <c r="I44" s="673"/>
      <c r="J44" s="673"/>
      <c r="K44" s="674"/>
    </row>
    <row r="45" spans="1:11" ht="5.25" customHeight="1" x14ac:dyDescent="0.35">
      <c r="A45" s="214"/>
      <c r="B45" s="210"/>
      <c r="C45" s="211"/>
      <c r="D45" s="209"/>
      <c r="E45" s="209"/>
      <c r="F45" s="209"/>
      <c r="G45" s="215"/>
      <c r="H45" s="433"/>
      <c r="I45" s="209"/>
      <c r="J45" s="209"/>
      <c r="K45" s="213"/>
    </row>
    <row r="46" spans="1:11" ht="14.5" x14ac:dyDescent="0.35">
      <c r="A46" s="1"/>
      <c r="E46" s="4" t="s">
        <v>144</v>
      </c>
      <c r="F46" s="10" t="s">
        <v>145</v>
      </c>
      <c r="G46" s="43" t="s">
        <v>146</v>
      </c>
      <c r="H46" s="441">
        <f>IF($H$10=$I$6, $I46, $J46)</f>
        <v>0</v>
      </c>
      <c r="I46" s="16">
        <v>0</v>
      </c>
      <c r="J46" s="16">
        <v>0</v>
      </c>
      <c r="K46" s="10"/>
    </row>
    <row r="47" spans="1:11" ht="5.25" customHeight="1" x14ac:dyDescent="0.35">
      <c r="K47" s="10"/>
    </row>
    <row r="48" spans="1:11" ht="14.5" x14ac:dyDescent="0.35">
      <c r="C48" s="2" t="s">
        <v>147</v>
      </c>
      <c r="K48" s="10"/>
    </row>
    <row r="49" spans="4:11" ht="5.25" customHeight="1" x14ac:dyDescent="0.35">
      <c r="K49" s="10"/>
    </row>
    <row r="50" spans="4:11" ht="14.5" x14ac:dyDescent="0.35">
      <c r="D50" s="3" t="s">
        <v>148</v>
      </c>
      <c r="K50" s="10"/>
    </row>
    <row r="51" spans="4:11" ht="14.5" x14ac:dyDescent="0.35">
      <c r="E51" s="4" t="s">
        <v>149</v>
      </c>
      <c r="F51" s="10" t="s">
        <v>133</v>
      </c>
      <c r="G51" s="43" t="s">
        <v>77</v>
      </c>
      <c r="H51" s="441">
        <f>IF($H$10=$I$6, $I51, $J51)</f>
        <v>0.88200000000000001</v>
      </c>
      <c r="I51" s="16">
        <v>0.88200000000000001</v>
      </c>
      <c r="J51" s="16">
        <v>0.88200000000000001</v>
      </c>
      <c r="K51" s="10"/>
    </row>
    <row r="52" spans="4:11" ht="14.5" x14ac:dyDescent="0.35">
      <c r="E52" s="4" t="s">
        <v>150</v>
      </c>
      <c r="F52" s="10" t="s">
        <v>133</v>
      </c>
      <c r="G52" s="43" t="s">
        <v>77</v>
      </c>
      <c r="H52" s="441">
        <f>IF($H$10=$I$6, $I52, $J52)</f>
        <v>0.11799999999999999</v>
      </c>
      <c r="I52" s="16">
        <f>1-I51</f>
        <v>0.11799999999999999</v>
      </c>
      <c r="J52" s="16">
        <f>1-J51</f>
        <v>0.11799999999999999</v>
      </c>
      <c r="K52" s="10"/>
    </row>
    <row r="53" spans="4:11" ht="5.25" customHeight="1" x14ac:dyDescent="0.35">
      <c r="K53" s="10"/>
    </row>
    <row r="54" spans="4:11" ht="14.5" x14ac:dyDescent="0.35">
      <c r="E54" s="4" t="s">
        <v>151</v>
      </c>
      <c r="F54" s="10" t="s">
        <v>133</v>
      </c>
      <c r="G54" s="107" t="str">
        <f>$H$13&amp;"$ per person-hour"</f>
        <v>2024$ per person-hour</v>
      </c>
      <c r="H54" s="442">
        <f>IF($H$10=$I$6, $I54, $J54)</f>
        <v>20.100000000000001</v>
      </c>
      <c r="I54" s="18">
        <v>20.100000000000001</v>
      </c>
      <c r="J54" s="18">
        <v>20.100000000000001</v>
      </c>
      <c r="K54" s="10"/>
    </row>
    <row r="55" spans="4:11" ht="14.5" x14ac:dyDescent="0.35">
      <c r="E55" s="4" t="s">
        <v>152</v>
      </c>
      <c r="F55" s="10" t="s">
        <v>133</v>
      </c>
      <c r="G55" s="107" t="str">
        <f>$H$13&amp;"$ per person-hour"</f>
        <v>2024$ per person-hour</v>
      </c>
      <c r="H55" s="442">
        <f>IF($H$10=$I$6, $I55, $J55)</f>
        <v>34.6</v>
      </c>
      <c r="I55" s="18">
        <v>34.6</v>
      </c>
      <c r="J55" s="18">
        <v>34.6</v>
      </c>
      <c r="K55" s="10"/>
    </row>
    <row r="56" spans="4:11" ht="14.5" x14ac:dyDescent="0.35">
      <c r="E56" s="4" t="s">
        <v>153</v>
      </c>
      <c r="F56" s="10" t="s">
        <v>133</v>
      </c>
      <c r="G56" s="107" t="str">
        <f>$H$13&amp;"$ per person-hour"</f>
        <v>2024$ per person-hour</v>
      </c>
      <c r="H56" s="442">
        <f>IF($H$10=$I$6, $I56, $J56)</f>
        <v>21.8</v>
      </c>
      <c r="I56" s="20">
        <v>21.8</v>
      </c>
      <c r="J56" s="20">
        <v>21.8</v>
      </c>
      <c r="K56" s="10"/>
    </row>
    <row r="57" spans="4:11" ht="5.25" customHeight="1" x14ac:dyDescent="0.35">
      <c r="G57" s="130"/>
      <c r="H57" s="133"/>
      <c r="I57" s="19"/>
      <c r="J57" s="19"/>
    </row>
    <row r="58" spans="4:11" ht="14.5" x14ac:dyDescent="0.35">
      <c r="D58" s="3" t="s">
        <v>154</v>
      </c>
      <c r="G58" s="107"/>
      <c r="H58" s="133"/>
      <c r="I58" s="17"/>
      <c r="J58" s="17"/>
    </row>
    <row r="59" spans="4:11" ht="14.5" x14ac:dyDescent="0.35">
      <c r="E59" s="4" t="s">
        <v>149</v>
      </c>
      <c r="F59" s="4" t="s">
        <v>155</v>
      </c>
      <c r="G59" s="43" t="s">
        <v>77</v>
      </c>
      <c r="H59" s="441">
        <f>IF($H$10=$I$6, $I59, $J59)</f>
        <v>0.78600000000000003</v>
      </c>
      <c r="I59" s="16">
        <v>0.78600000000000003</v>
      </c>
      <c r="J59" s="16">
        <v>0.78600000000000003</v>
      </c>
    </row>
    <row r="60" spans="4:11" ht="14.5" x14ac:dyDescent="0.35">
      <c r="E60" s="4" t="s">
        <v>150</v>
      </c>
      <c r="F60" s="4" t="s">
        <v>155</v>
      </c>
      <c r="G60" s="43" t="s">
        <v>77</v>
      </c>
      <c r="H60" s="441">
        <f>IF($H$10=$I$6, $I60, $J60)</f>
        <v>0.214</v>
      </c>
      <c r="I60" s="16">
        <v>0.214</v>
      </c>
      <c r="J60" s="16">
        <v>0.214</v>
      </c>
    </row>
    <row r="61" spans="4:11" ht="5.25" customHeight="1" x14ac:dyDescent="0.35">
      <c r="G61" s="107"/>
      <c r="H61" s="133"/>
      <c r="I61" s="17"/>
      <c r="J61" s="17"/>
    </row>
    <row r="62" spans="4:11" ht="14.5" x14ac:dyDescent="0.35">
      <c r="E62" s="4" t="s">
        <v>151</v>
      </c>
      <c r="F62" s="10" t="s">
        <v>156</v>
      </c>
      <c r="G62" s="107" t="str">
        <f>$H$13&amp;"$ per person-hour"</f>
        <v>2024$ per person-hour</v>
      </c>
      <c r="H62" s="442">
        <f>IF($H$10=$I$6, $I62, $J62)</f>
        <v>28.2</v>
      </c>
      <c r="I62" s="18">
        <v>28.2</v>
      </c>
      <c r="J62" s="18">
        <v>28.2</v>
      </c>
    </row>
    <row r="63" spans="4:11" ht="14.5" x14ac:dyDescent="0.35">
      <c r="E63" s="4" t="s">
        <v>152</v>
      </c>
      <c r="F63" s="10" t="s">
        <v>156</v>
      </c>
      <c r="G63" s="107" t="str">
        <f>$H$13&amp;"$ per person-hour"</f>
        <v>2024$ per person-hour</v>
      </c>
      <c r="H63" s="442">
        <f>IF($H$10=$I$6, $I63, $J63)</f>
        <v>40.285714285714285</v>
      </c>
      <c r="I63" s="567">
        <f>I62/0.7</f>
        <v>40.285714285714285</v>
      </c>
      <c r="J63" s="567">
        <f>J62/0.7</f>
        <v>40.285714285714285</v>
      </c>
    </row>
    <row r="64" spans="4:11" ht="14.5" x14ac:dyDescent="0.35">
      <c r="E64" s="4" t="s">
        <v>153</v>
      </c>
      <c r="F64" s="3" t="s">
        <v>157</v>
      </c>
      <c r="G64" s="107" t="str">
        <f>$H$13&amp;"$ per person-hour"</f>
        <v>2024$ per person-hour</v>
      </c>
      <c r="H64" s="442">
        <f>IF($H$10=$I$6, $I64, $J64)</f>
        <v>30.786342857142856</v>
      </c>
      <c r="I64" s="21">
        <f>(I59*I62)+(I60*I63)</f>
        <v>30.786342857142856</v>
      </c>
      <c r="J64" s="21">
        <f>(J59*J62)+(J60*J63)</f>
        <v>30.786342857142856</v>
      </c>
    </row>
    <row r="65" spans="3:10" ht="5.25" customHeight="1" x14ac:dyDescent="0.35">
      <c r="G65" s="130"/>
      <c r="H65" s="133"/>
      <c r="I65" s="19"/>
      <c r="J65" s="19"/>
    </row>
    <row r="66" spans="3:10" ht="14.5" x14ac:dyDescent="0.35">
      <c r="D66" s="3" t="s">
        <v>158</v>
      </c>
      <c r="G66" s="107"/>
      <c r="H66" s="133"/>
      <c r="I66" s="17"/>
      <c r="J66" s="17"/>
    </row>
    <row r="67" spans="3:10" ht="14.5" x14ac:dyDescent="0.35">
      <c r="E67" s="4" t="s">
        <v>151</v>
      </c>
      <c r="F67" s="10" t="s">
        <v>133</v>
      </c>
      <c r="G67" s="107" t="str">
        <f>$H$13&amp;"$ per person-hour"</f>
        <v>2024$ per person-hour</v>
      </c>
      <c r="H67" s="442">
        <f>IF($H$10=$I$6, $I67, $J67)</f>
        <v>40.200000000000003</v>
      </c>
      <c r="I67" s="18">
        <v>40.200000000000003</v>
      </c>
      <c r="J67" s="18">
        <v>40.200000000000003</v>
      </c>
    </row>
    <row r="68" spans="3:10" ht="5.25" customHeight="1" x14ac:dyDescent="0.35">
      <c r="G68" s="130"/>
      <c r="H68" s="133"/>
      <c r="I68" s="19"/>
      <c r="J68" s="19"/>
    </row>
    <row r="69" spans="3:10" ht="14.5" x14ac:dyDescent="0.35">
      <c r="C69" s="2" t="s">
        <v>159</v>
      </c>
      <c r="G69" s="107"/>
      <c r="H69" s="133"/>
      <c r="I69" s="17"/>
      <c r="J69" s="17"/>
    </row>
    <row r="70" spans="3:10" ht="5.25" customHeight="1" x14ac:dyDescent="0.35">
      <c r="G70" s="107"/>
      <c r="H70" s="133"/>
      <c r="I70" s="17"/>
      <c r="J70" s="17"/>
    </row>
    <row r="71" spans="3:10" ht="14.5" x14ac:dyDescent="0.35">
      <c r="D71" s="3" t="s">
        <v>160</v>
      </c>
      <c r="G71" s="107"/>
      <c r="H71" s="133"/>
      <c r="I71" s="17"/>
      <c r="J71" s="17"/>
    </row>
    <row r="72" spans="3:10" ht="14.5" x14ac:dyDescent="0.35">
      <c r="E72" s="4" t="s">
        <v>161</v>
      </c>
      <c r="F72" s="10" t="s">
        <v>155</v>
      </c>
      <c r="G72" s="43" t="s">
        <v>77</v>
      </c>
      <c r="H72" s="441">
        <f>IF($H$10=$I$6, $I72, $J72)</f>
        <v>0.59599999999999997</v>
      </c>
      <c r="I72" s="16">
        <v>0.59599999999999997</v>
      </c>
      <c r="J72" s="16">
        <v>0.59599999999999997</v>
      </c>
    </row>
    <row r="73" spans="3:10" ht="14.5" x14ac:dyDescent="0.35">
      <c r="E73" s="4" t="s">
        <v>162</v>
      </c>
      <c r="F73" s="10" t="s">
        <v>155</v>
      </c>
      <c r="G73" s="43" t="s">
        <v>77</v>
      </c>
      <c r="H73" s="441">
        <f>IF($H$10=$I$6, $I73, $J73)</f>
        <v>0.40400000000000003</v>
      </c>
      <c r="I73" s="16">
        <v>0.40400000000000003</v>
      </c>
      <c r="J73" s="16">
        <v>0.40400000000000003</v>
      </c>
    </row>
    <row r="74" spans="3:10" ht="5.25" customHeight="1" x14ac:dyDescent="0.35">
      <c r="G74" s="107"/>
      <c r="H74" s="133"/>
      <c r="I74" s="17"/>
      <c r="J74" s="17"/>
    </row>
    <row r="75" spans="3:10" ht="14.5" x14ac:dyDescent="0.35">
      <c r="E75" s="4" t="s">
        <v>151</v>
      </c>
      <c r="F75" s="10" t="s">
        <v>133</v>
      </c>
      <c r="G75" s="107" t="str">
        <f>$H$13&amp;"$ per person-hour"</f>
        <v>2024$ per person-hour</v>
      </c>
      <c r="H75" s="442">
        <f>IF($H$10=$I$6, $I75, $J75)</f>
        <v>53.5</v>
      </c>
      <c r="I75" s="18">
        <v>53.5</v>
      </c>
      <c r="J75" s="18">
        <v>53.5</v>
      </c>
    </row>
    <row r="76" spans="3:10" ht="14.5" x14ac:dyDescent="0.35">
      <c r="E76" s="4" t="s">
        <v>152</v>
      </c>
      <c r="F76" s="10" t="s">
        <v>133</v>
      </c>
      <c r="G76" s="107" t="str">
        <f>$H$13&amp;"$ per person-hour"</f>
        <v>2024$ per person-hour</v>
      </c>
      <c r="H76" s="442">
        <f>IF($H$10=$I$6, $I76, $J76)</f>
        <v>86</v>
      </c>
      <c r="I76" s="18">
        <v>86</v>
      </c>
      <c r="J76" s="18">
        <v>86</v>
      </c>
    </row>
    <row r="77" spans="3:10" ht="14.5" x14ac:dyDescent="0.35">
      <c r="E77" s="4" t="s">
        <v>153</v>
      </c>
      <c r="F77" s="3" t="s">
        <v>157</v>
      </c>
      <c r="G77" s="107" t="str">
        <f>$H$13&amp;"$ per person-hour"</f>
        <v>2024$ per person-hour</v>
      </c>
      <c r="H77" s="442">
        <f>IF($H$10=$I$6, $I77, $J77)</f>
        <v>66.63</v>
      </c>
      <c r="I77" s="21">
        <f>(I72*I75)+(I73*I76)</f>
        <v>66.63</v>
      </c>
      <c r="J77" s="21">
        <f>(J72*J75)+(J73*J76)</f>
        <v>66.63</v>
      </c>
    </row>
    <row r="78" spans="3:10" ht="5.25" customHeight="1" x14ac:dyDescent="0.35"/>
    <row r="79" spans="3:10" ht="14.5" x14ac:dyDescent="0.35">
      <c r="C79" s="2" t="s">
        <v>163</v>
      </c>
    </row>
    <row r="80" spans="3:10" ht="5.25" customHeight="1" x14ac:dyDescent="0.35">
      <c r="F80" s="10"/>
    </row>
    <row r="81" spans="1:11" ht="14.5" x14ac:dyDescent="0.35">
      <c r="E81" s="4" t="s">
        <v>164</v>
      </c>
      <c r="F81" s="10" t="s">
        <v>133</v>
      </c>
      <c r="G81" s="107" t="str">
        <f t="shared" ref="G81:G85" si="2">$H$13&amp;"$ per person-hour"</f>
        <v>2024$ per person-hour</v>
      </c>
      <c r="H81" s="442">
        <f>IF($H$10=$I$6, $I81, $J81)</f>
        <v>37.200000000000003</v>
      </c>
      <c r="I81" s="18">
        <v>37.200000000000003</v>
      </c>
      <c r="J81" s="18">
        <v>37.200000000000003</v>
      </c>
    </row>
    <row r="82" spans="1:11" ht="14.5" x14ac:dyDescent="0.35">
      <c r="E82" s="4" t="s">
        <v>165</v>
      </c>
      <c r="F82" s="10" t="s">
        <v>133</v>
      </c>
      <c r="G82" s="107" t="str">
        <f t="shared" si="2"/>
        <v>2024$ per person-hour</v>
      </c>
      <c r="H82" s="442">
        <f>IF($H$10=$I$6, $I82, $J82)</f>
        <v>40.299999999999997</v>
      </c>
      <c r="I82" s="18">
        <v>40.299999999999997</v>
      </c>
      <c r="J82" s="18">
        <v>40.299999999999997</v>
      </c>
    </row>
    <row r="83" spans="1:11" ht="14.5" x14ac:dyDescent="0.35">
      <c r="E83" s="4" t="s">
        <v>166</v>
      </c>
      <c r="F83" s="10" t="s">
        <v>133</v>
      </c>
      <c r="G83" s="107" t="str">
        <f t="shared" si="2"/>
        <v>2024$ per person-hour</v>
      </c>
      <c r="H83" s="442">
        <f>IF($H$10=$I$6, $I83, $J83)</f>
        <v>59.5</v>
      </c>
      <c r="I83" s="18">
        <v>59.5</v>
      </c>
      <c r="J83" s="18">
        <v>59.5</v>
      </c>
    </row>
    <row r="84" spans="1:11" ht="14.5" x14ac:dyDescent="0.35">
      <c r="E84" s="4" t="s">
        <v>167</v>
      </c>
      <c r="F84" s="10" t="s">
        <v>133</v>
      </c>
      <c r="G84" s="107" t="str">
        <f t="shared" si="2"/>
        <v>2024$ per person-hour</v>
      </c>
      <c r="H84" s="442">
        <f>IF($H$10=$I$6, $I84, $J84)</f>
        <v>54.2</v>
      </c>
      <c r="I84" s="18">
        <v>54.2</v>
      </c>
      <c r="J84" s="18">
        <v>54.2</v>
      </c>
    </row>
    <row r="85" spans="1:11" ht="14.5" x14ac:dyDescent="0.35">
      <c r="E85" s="4" t="s">
        <v>168</v>
      </c>
      <c r="F85" s="4" t="s">
        <v>155</v>
      </c>
      <c r="G85" s="107" t="str">
        <f t="shared" si="2"/>
        <v>2024$ per person-hour</v>
      </c>
      <c r="H85" s="442">
        <f>IF($H$10=$I$6, $I85, $J85)</f>
        <v>111.56891980763697</v>
      </c>
      <c r="I85" s="18">
        <v>111.56891980763697</v>
      </c>
      <c r="J85" s="18">
        <v>111.56891980763697</v>
      </c>
    </row>
    <row r="86" spans="1:11" ht="5.25" customHeight="1" x14ac:dyDescent="0.35">
      <c r="G86" s="107"/>
      <c r="H86" s="442"/>
    </row>
    <row r="87" spans="1:11" ht="15" customHeight="1" x14ac:dyDescent="0.35">
      <c r="C87" s="2" t="s">
        <v>169</v>
      </c>
      <c r="H87" s="442"/>
      <c r="I87" s="128"/>
    </row>
    <row r="88" spans="1:11" ht="5.25" customHeight="1" x14ac:dyDescent="0.35">
      <c r="H88" s="37" t="s">
        <v>170</v>
      </c>
    </row>
    <row r="89" spans="1:11" ht="14.5" x14ac:dyDescent="0.35">
      <c r="A89" s="1"/>
      <c r="E89" s="4" t="s">
        <v>171</v>
      </c>
      <c r="F89" s="10" t="s">
        <v>172</v>
      </c>
      <c r="G89" s="107" t="s">
        <v>173</v>
      </c>
      <c r="H89" s="442">
        <f>IF($H$10=$I$6, $I89, $J89)</f>
        <v>174.32288316219925</v>
      </c>
      <c r="I89" s="18">
        <v>174.32288316219925</v>
      </c>
      <c r="J89" s="18">
        <v>174.32288316219925</v>
      </c>
      <c r="K89" s="10"/>
    </row>
    <row r="90" spans="1:11" ht="5.25" customHeight="1" x14ac:dyDescent="0.35">
      <c r="A90" s="126"/>
      <c r="B90" s="205"/>
      <c r="C90" s="206"/>
      <c r="D90" s="126"/>
      <c r="E90" s="126"/>
      <c r="F90" s="126"/>
      <c r="G90" s="216"/>
      <c r="H90" s="432"/>
      <c r="I90" s="126"/>
      <c r="J90" s="126"/>
      <c r="K90" s="208"/>
    </row>
    <row r="91" spans="1:11" ht="14.5" x14ac:dyDescent="0.35">
      <c r="A91" s="672" t="s">
        <v>174</v>
      </c>
      <c r="B91" s="673"/>
      <c r="C91" s="673"/>
      <c r="D91" s="673"/>
      <c r="E91" s="673"/>
      <c r="F91" s="673"/>
      <c r="G91" s="673"/>
      <c r="H91" s="673"/>
      <c r="I91" s="673"/>
      <c r="J91" s="673"/>
      <c r="K91" s="674"/>
    </row>
    <row r="92" spans="1:11" ht="5.25" customHeight="1" x14ac:dyDescent="0.35">
      <c r="A92" s="222"/>
      <c r="B92" s="210"/>
      <c r="C92" s="211"/>
      <c r="D92" s="209"/>
      <c r="E92" s="209"/>
      <c r="F92" s="209"/>
      <c r="G92" s="215"/>
      <c r="H92" s="443"/>
      <c r="I92" s="209"/>
      <c r="J92" s="209"/>
      <c r="K92" s="213"/>
    </row>
    <row r="93" spans="1:11" ht="14.5" x14ac:dyDescent="0.35">
      <c r="A93" s="22"/>
      <c r="E93" s="4" t="s">
        <v>175</v>
      </c>
      <c r="F93" s="4" t="s">
        <v>176</v>
      </c>
      <c r="G93" s="43" t="s">
        <v>121</v>
      </c>
      <c r="H93" s="444">
        <f>IF($H$10=$I$6, $I93, $J93)</f>
        <v>2024</v>
      </c>
      <c r="I93" s="24">
        <v>2024</v>
      </c>
      <c r="J93" s="24">
        <v>2024</v>
      </c>
      <c r="K93" s="10"/>
    </row>
    <row r="94" spans="1:11" ht="5.25" customHeight="1" x14ac:dyDescent="0.35">
      <c r="A94" s="22"/>
      <c r="H94" s="445"/>
      <c r="K94" s="10"/>
    </row>
    <row r="95" spans="1:11" ht="15" customHeight="1" x14ac:dyDescent="0.35">
      <c r="A95" s="22"/>
      <c r="E95" s="4" t="s">
        <v>177</v>
      </c>
      <c r="F95" s="4" t="s">
        <v>176</v>
      </c>
      <c r="G95" s="43" t="s">
        <v>121</v>
      </c>
      <c r="H95" s="444">
        <f>IF($H$10=$I$6, $I95, $J95)</f>
        <v>2050</v>
      </c>
      <c r="I95" s="24">
        <v>2050</v>
      </c>
      <c r="J95" s="24">
        <v>2050</v>
      </c>
      <c r="K95" s="10"/>
    </row>
    <row r="96" spans="1:11" ht="5.25" customHeight="1" x14ac:dyDescent="0.35">
      <c r="A96" s="22"/>
      <c r="H96" s="445"/>
      <c r="I96" s="23"/>
      <c r="J96" s="23"/>
      <c r="K96" s="10"/>
    </row>
    <row r="97" spans="1:11" ht="15" customHeight="1" x14ac:dyDescent="0.35">
      <c r="A97" s="147"/>
      <c r="B97" s="148"/>
      <c r="C97" s="149"/>
      <c r="D97" s="146"/>
      <c r="E97" s="26" t="s">
        <v>178</v>
      </c>
      <c r="F97" s="26" t="s">
        <v>179</v>
      </c>
      <c r="G97" s="60" t="s">
        <v>180</v>
      </c>
      <c r="H97" s="446">
        <f>IF($H$10=$I$6, $I97, $J97)</f>
        <v>-1.0999999999999999E-2</v>
      </c>
      <c r="I97" s="25">
        <v>-1.0999999999999999E-2</v>
      </c>
      <c r="J97" s="25">
        <v>-1.0999999999999999E-2</v>
      </c>
      <c r="K97" s="10"/>
    </row>
    <row r="98" spans="1:11" ht="15" customHeight="1" x14ac:dyDescent="0.35">
      <c r="A98" s="22"/>
      <c r="E98" s="26" t="s">
        <v>181</v>
      </c>
      <c r="F98" s="26" t="s">
        <v>179</v>
      </c>
      <c r="G98" s="60" t="s">
        <v>180</v>
      </c>
      <c r="H98" s="446">
        <f>IF($H$10=$I$6, $I98, $J98)</f>
        <v>3.0000000000000001E-3</v>
      </c>
      <c r="I98" s="25">
        <v>3.0000000000000001E-3</v>
      </c>
      <c r="J98" s="25">
        <v>3.0000000000000001E-3</v>
      </c>
      <c r="K98" s="10"/>
    </row>
    <row r="99" spans="1:11" ht="15" customHeight="1" x14ac:dyDescent="0.35">
      <c r="A99" s="22"/>
      <c r="E99" s="26" t="s">
        <v>182</v>
      </c>
      <c r="F99" s="26" t="s">
        <v>179</v>
      </c>
      <c r="G99" s="60" t="s">
        <v>180</v>
      </c>
      <c r="H99" s="446">
        <f>IF($H$10=$I$6, $I99, $J99)</f>
        <v>8.9999999999999993E-3</v>
      </c>
      <c r="I99" s="25">
        <v>8.9999999999999993E-3</v>
      </c>
      <c r="J99" s="25">
        <v>8.9999999999999993E-3</v>
      </c>
      <c r="K99" s="10"/>
    </row>
    <row r="100" spans="1:11" ht="15" customHeight="1" x14ac:dyDescent="0.35">
      <c r="A100" s="22"/>
      <c r="E100" s="26" t="s">
        <v>183</v>
      </c>
      <c r="F100" s="26" t="s">
        <v>179</v>
      </c>
      <c r="G100" s="60" t="s">
        <v>180</v>
      </c>
      <c r="H100" s="446">
        <f>IF($H$10=$I$6, $I100, $J100)</f>
        <v>-3.0000000000000001E-3</v>
      </c>
      <c r="I100" s="25">
        <v>-3.0000000000000001E-3</v>
      </c>
      <c r="J100" s="25">
        <v>-3.0000000000000001E-3</v>
      </c>
      <c r="K100" s="10"/>
    </row>
    <row r="101" spans="1:11" ht="5.25" customHeight="1" x14ac:dyDescent="0.35">
      <c r="A101" s="22"/>
      <c r="H101" s="445"/>
      <c r="I101" s="23"/>
      <c r="J101" s="23"/>
      <c r="K101" s="10"/>
    </row>
    <row r="102" spans="1:11" ht="14.5" x14ac:dyDescent="0.35">
      <c r="A102" s="147"/>
      <c r="B102" s="148"/>
      <c r="C102" s="149"/>
      <c r="D102" s="146"/>
      <c r="E102" s="26" t="s">
        <v>184</v>
      </c>
      <c r="F102" s="26" t="s">
        <v>179</v>
      </c>
      <c r="G102" s="60" t="s">
        <v>180</v>
      </c>
      <c r="H102" s="447">
        <f>IF($H$10=$I$6, $I102, $J102)</f>
        <v>2.7E-2</v>
      </c>
      <c r="I102" s="166">
        <v>2.7E-2</v>
      </c>
      <c r="J102" s="166">
        <v>2.7E-2</v>
      </c>
      <c r="K102" s="10"/>
    </row>
    <row r="103" spans="1:11" ht="14.5" x14ac:dyDescent="0.35">
      <c r="A103" s="147"/>
      <c r="B103" s="148"/>
      <c r="C103" s="149"/>
      <c r="D103" s="146"/>
      <c r="E103" s="26" t="s">
        <v>185</v>
      </c>
      <c r="F103" s="26" t="s">
        <v>179</v>
      </c>
      <c r="G103" s="60" t="s">
        <v>180</v>
      </c>
      <c r="H103" s="447">
        <f>IF($H$10=$I$6, $I103, $J103)</f>
        <v>1.0999999999999999E-2</v>
      </c>
      <c r="I103" s="166">
        <v>1.0999999999999999E-2</v>
      </c>
      <c r="J103" s="166">
        <v>1.0999999999999999E-2</v>
      </c>
      <c r="K103" s="10"/>
    </row>
    <row r="104" spans="1:11" ht="14.5" x14ac:dyDescent="0.35">
      <c r="A104" s="147"/>
      <c r="B104" s="148"/>
      <c r="C104" s="149"/>
      <c r="D104" s="146"/>
      <c r="E104" s="26" t="s">
        <v>186</v>
      </c>
      <c r="F104" s="26" t="s">
        <v>179</v>
      </c>
      <c r="G104" s="60" t="s">
        <v>180</v>
      </c>
      <c r="H104" s="447">
        <f>IF($H$10=$I$6, $I104, $J104)</f>
        <v>8.0000000000000002E-3</v>
      </c>
      <c r="I104" s="166">
        <v>8.0000000000000002E-3</v>
      </c>
      <c r="J104" s="166">
        <v>8.0000000000000002E-3</v>
      </c>
      <c r="K104" s="10"/>
    </row>
    <row r="105" spans="1:11" ht="14.5" x14ac:dyDescent="0.35">
      <c r="C105" s="149"/>
      <c r="D105" s="146"/>
      <c r="E105" s="26" t="s">
        <v>187</v>
      </c>
      <c r="F105" s="26" t="s">
        <v>179</v>
      </c>
      <c r="G105" s="60" t="s">
        <v>180</v>
      </c>
      <c r="H105" s="447">
        <f>IF($H$10=$I$6, $I105, $J105)</f>
        <v>1E-3</v>
      </c>
      <c r="I105" s="166">
        <v>1E-3</v>
      </c>
      <c r="J105" s="166">
        <v>1E-3</v>
      </c>
    </row>
    <row r="106" spans="1:11" ht="5.25" customHeight="1" x14ac:dyDescent="0.35">
      <c r="H106" s="445"/>
      <c r="I106" s="23"/>
      <c r="J106" s="23"/>
    </row>
    <row r="107" spans="1:11" ht="14.5" x14ac:dyDescent="0.35">
      <c r="A107" s="178"/>
      <c r="B107" s="267"/>
      <c r="C107" s="14"/>
      <c r="E107" s="4" t="s">
        <v>188</v>
      </c>
      <c r="F107" s="4" t="s">
        <v>189</v>
      </c>
      <c r="G107" s="43" t="s">
        <v>190</v>
      </c>
      <c r="H107" s="457">
        <f>IF($H$10=$I$6, $I107, $J107)</f>
        <v>0.39</v>
      </c>
      <c r="I107" s="229">
        <v>0.39</v>
      </c>
      <c r="J107" s="229">
        <v>0.39</v>
      </c>
      <c r="K107" s="178"/>
    </row>
    <row r="108" spans="1:11" ht="14.5" x14ac:dyDescent="0.35">
      <c r="A108" s="178"/>
      <c r="B108" s="267"/>
      <c r="C108" s="14"/>
      <c r="E108" s="4" t="s">
        <v>191</v>
      </c>
      <c r="F108" s="4" t="s">
        <v>189</v>
      </c>
      <c r="G108" s="43" t="s">
        <v>190</v>
      </c>
      <c r="H108" s="457">
        <f>IF($H$10=$I$6, $I108, $J108)</f>
        <v>0.49</v>
      </c>
      <c r="I108" s="229">
        <v>0.49</v>
      </c>
      <c r="J108" s="229">
        <v>0.49</v>
      </c>
      <c r="K108" s="178"/>
    </row>
    <row r="109" spans="1:11" ht="5.25" customHeight="1" x14ac:dyDescent="0.35">
      <c r="A109" s="178"/>
      <c r="B109" s="267"/>
      <c r="C109" s="14"/>
      <c r="H109" s="445"/>
      <c r="I109" s="23"/>
      <c r="J109" s="23"/>
      <c r="K109" s="178"/>
    </row>
    <row r="110" spans="1:11" s="164" customFormat="1" ht="14.5" x14ac:dyDescent="0.35">
      <c r="A110" s="191"/>
      <c r="B110" s="191"/>
      <c r="C110" s="513" t="s">
        <v>192</v>
      </c>
      <c r="D110" s="109"/>
      <c r="E110" s="26"/>
      <c r="F110" s="26"/>
      <c r="G110" s="60"/>
      <c r="H110" s="264"/>
      <c r="I110" s="26"/>
      <c r="J110" s="26"/>
    </row>
    <row r="111" spans="1:11" s="164" customFormat="1" ht="5.25" customHeight="1" x14ac:dyDescent="0.35">
      <c r="A111" s="191"/>
      <c r="B111" s="191"/>
      <c r="C111" s="513"/>
      <c r="D111" s="109"/>
      <c r="E111" s="26"/>
      <c r="F111" s="26"/>
      <c r="G111" s="60"/>
      <c r="H111" s="264"/>
      <c r="I111" s="26"/>
      <c r="J111" s="26"/>
    </row>
    <row r="112" spans="1:11" s="164" customFormat="1" ht="14.5" x14ac:dyDescent="0.35">
      <c r="A112" s="191"/>
      <c r="B112" s="191"/>
      <c r="C112" s="513"/>
      <c r="D112" s="109"/>
      <c r="E112" s="165">
        <v>5</v>
      </c>
      <c r="F112" s="26" t="s">
        <v>193</v>
      </c>
      <c r="G112" s="60" t="s">
        <v>194</v>
      </c>
      <c r="H112" s="448">
        <f t="shared" ref="H112:H175" si="3">IF($H$10=$I$6, $I112, $J112)</f>
        <v>3.7022713915728893</v>
      </c>
      <c r="I112" s="116">
        <v>3.7022713915728893</v>
      </c>
      <c r="J112" s="116">
        <v>3.7022713915728893</v>
      </c>
    </row>
    <row r="113" spans="1:10" s="164" customFormat="1" ht="14.5" x14ac:dyDescent="0.35">
      <c r="A113" s="191"/>
      <c r="B113" s="191"/>
      <c r="C113" s="513"/>
      <c r="D113" s="109"/>
      <c r="E113" s="165">
        <f>E112+1</f>
        <v>6</v>
      </c>
      <c r="F113" s="26" t="s">
        <v>193</v>
      </c>
      <c r="G113" s="60" t="s">
        <v>194</v>
      </c>
      <c r="H113" s="448">
        <f t="shared" si="3"/>
        <v>3.4589626339457173</v>
      </c>
      <c r="I113" s="116">
        <v>3.4589626339457173</v>
      </c>
      <c r="J113" s="116">
        <v>3.4589626339457173</v>
      </c>
    </row>
    <row r="114" spans="1:10" s="164" customFormat="1" ht="14.5" x14ac:dyDescent="0.35">
      <c r="A114" s="191"/>
      <c r="B114" s="191"/>
      <c r="C114" s="513"/>
      <c r="D114" s="109"/>
      <c r="E114" s="165">
        <f t="shared" ref="E114:E177" si="4">E113+1</f>
        <v>7</v>
      </c>
      <c r="F114" s="26" t="s">
        <v>193</v>
      </c>
      <c r="G114" s="60" t="s">
        <v>194</v>
      </c>
      <c r="H114" s="448">
        <f t="shared" si="3"/>
        <v>3.2456617075116747</v>
      </c>
      <c r="I114" s="116">
        <v>3.2456617075116747</v>
      </c>
      <c r="J114" s="116">
        <v>3.2456617075116747</v>
      </c>
    </row>
    <row r="115" spans="1:10" s="164" customFormat="1" ht="14.5" x14ac:dyDescent="0.35">
      <c r="A115" s="191"/>
      <c r="B115" s="191"/>
      <c r="C115" s="513"/>
      <c r="D115" s="109"/>
      <c r="E115" s="165">
        <f t="shared" si="4"/>
        <v>8</v>
      </c>
      <c r="F115" s="26" t="s">
        <v>193</v>
      </c>
      <c r="G115" s="60" t="s">
        <v>194</v>
      </c>
      <c r="H115" s="448">
        <f t="shared" si="3"/>
        <v>3.0571396589928739</v>
      </c>
      <c r="I115" s="116">
        <v>3.0571396589928739</v>
      </c>
      <c r="J115" s="116">
        <v>3.0571396589928739</v>
      </c>
    </row>
    <row r="116" spans="1:10" s="164" customFormat="1" ht="14.5" x14ac:dyDescent="0.35">
      <c r="A116" s="191"/>
      <c r="B116" s="191"/>
      <c r="C116" s="513"/>
      <c r="D116" s="109"/>
      <c r="E116" s="165">
        <f t="shared" si="4"/>
        <v>9</v>
      </c>
      <c r="F116" s="26" t="s">
        <v>193</v>
      </c>
      <c r="G116" s="60" t="s">
        <v>194</v>
      </c>
      <c r="H116" s="448">
        <f t="shared" si="3"/>
        <v>2.8893157240885907</v>
      </c>
      <c r="I116" s="116">
        <v>2.8893157240885907</v>
      </c>
      <c r="J116" s="116">
        <v>2.8893157240885907</v>
      </c>
    </row>
    <row r="117" spans="1:10" s="164" customFormat="1" ht="14.5" x14ac:dyDescent="0.35">
      <c r="A117" s="191"/>
      <c r="B117" s="191"/>
      <c r="C117" s="513"/>
      <c r="D117" s="109"/>
      <c r="E117" s="165">
        <f t="shared" si="4"/>
        <v>10</v>
      </c>
      <c r="F117" s="26" t="s">
        <v>193</v>
      </c>
      <c r="G117" s="60" t="s">
        <v>194</v>
      </c>
      <c r="H117" s="448">
        <f t="shared" si="3"/>
        <v>2.7389585743474369</v>
      </c>
      <c r="I117" s="116">
        <v>2.7389585743474369</v>
      </c>
      <c r="J117" s="116">
        <v>2.7389585743474369</v>
      </c>
    </row>
    <row r="118" spans="1:10" s="164" customFormat="1" ht="14.5" x14ac:dyDescent="0.35">
      <c r="A118" s="191"/>
      <c r="B118" s="191"/>
      <c r="C118" s="513"/>
      <c r="D118" s="109"/>
      <c r="E118" s="165">
        <f t="shared" si="4"/>
        <v>11</v>
      </c>
      <c r="F118" s="26" t="s">
        <v>193</v>
      </c>
      <c r="G118" s="60" t="s">
        <v>194</v>
      </c>
      <c r="H118" s="448">
        <f t="shared" si="3"/>
        <v>2.5869144175435439</v>
      </c>
      <c r="I118" s="116">
        <v>2.5869144175435439</v>
      </c>
      <c r="J118" s="116">
        <v>2.5869144175435439</v>
      </c>
    </row>
    <row r="119" spans="1:10" s="164" customFormat="1" ht="14.5" x14ac:dyDescent="0.35">
      <c r="A119" s="191"/>
      <c r="B119" s="191"/>
      <c r="C119" s="513"/>
      <c r="D119" s="109"/>
      <c r="E119" s="165">
        <f t="shared" si="4"/>
        <v>12</v>
      </c>
      <c r="F119" s="26" t="s">
        <v>193</v>
      </c>
      <c r="G119" s="60" t="s">
        <v>194</v>
      </c>
      <c r="H119" s="448">
        <f t="shared" si="3"/>
        <v>2.450862930251243</v>
      </c>
      <c r="I119" s="116">
        <v>2.450862930251243</v>
      </c>
      <c r="J119" s="116">
        <v>2.450862930251243</v>
      </c>
    </row>
    <row r="120" spans="1:10" s="164" customFormat="1" ht="14.5" x14ac:dyDescent="0.35">
      <c r="A120" s="191"/>
      <c r="B120" s="191"/>
      <c r="C120" s="513"/>
      <c r="D120" s="109"/>
      <c r="E120" s="165">
        <f t="shared" si="4"/>
        <v>13</v>
      </c>
      <c r="F120" s="26" t="s">
        <v>193</v>
      </c>
      <c r="G120" s="60" t="s">
        <v>194</v>
      </c>
      <c r="H120" s="448">
        <f t="shared" si="3"/>
        <v>2.3284069177767313</v>
      </c>
      <c r="I120" s="116">
        <v>2.3284069177767313</v>
      </c>
      <c r="J120" s="116">
        <v>2.3284069177767313</v>
      </c>
    </row>
    <row r="121" spans="1:10" s="164" customFormat="1" ht="14.5" x14ac:dyDescent="0.35">
      <c r="A121" s="191"/>
      <c r="B121" s="191"/>
      <c r="C121" s="513"/>
      <c r="D121" s="109"/>
      <c r="E121" s="165">
        <f t="shared" si="4"/>
        <v>14</v>
      </c>
      <c r="F121" s="26" t="s">
        <v>193</v>
      </c>
      <c r="G121" s="60" t="s">
        <v>194</v>
      </c>
      <c r="H121" s="448">
        <f t="shared" si="3"/>
        <v>2.2176054847188493</v>
      </c>
      <c r="I121" s="116">
        <v>2.2176054847188493</v>
      </c>
      <c r="J121" s="116">
        <v>2.2176054847188493</v>
      </c>
    </row>
    <row r="122" spans="1:10" s="164" customFormat="1" ht="14.5" x14ac:dyDescent="0.35">
      <c r="A122" s="191"/>
      <c r="B122" s="191"/>
      <c r="C122" s="513"/>
      <c r="D122" s="109"/>
      <c r="E122" s="165">
        <f t="shared" si="4"/>
        <v>15</v>
      </c>
      <c r="F122" s="26" t="s">
        <v>193</v>
      </c>
      <c r="G122" s="60" t="s">
        <v>194</v>
      </c>
      <c r="H122" s="448">
        <f t="shared" si="3"/>
        <v>2.116870397623976</v>
      </c>
      <c r="I122" s="116">
        <v>2.116870397623976</v>
      </c>
      <c r="J122" s="116">
        <v>2.116870397623976</v>
      </c>
    </row>
    <row r="123" spans="1:10" s="164" customFormat="1" ht="14.5" x14ac:dyDescent="0.35">
      <c r="A123" s="191"/>
      <c r="B123" s="191"/>
      <c r="C123" s="513"/>
      <c r="D123" s="109"/>
      <c r="E123" s="165">
        <f t="shared" si="4"/>
        <v>16</v>
      </c>
      <c r="F123" s="26" t="s">
        <v>193</v>
      </c>
      <c r="G123" s="60" t="s">
        <v>194</v>
      </c>
      <c r="H123" s="448">
        <f t="shared" si="3"/>
        <v>2.0149559586206554</v>
      </c>
      <c r="I123" s="116">
        <v>2.0149559586206554</v>
      </c>
      <c r="J123" s="116">
        <v>2.0149559586206554</v>
      </c>
    </row>
    <row r="124" spans="1:10" s="164" customFormat="1" ht="14.5" x14ac:dyDescent="0.35">
      <c r="A124" s="191"/>
      <c r="B124" s="191"/>
      <c r="C124" s="191"/>
      <c r="D124" s="191"/>
      <c r="E124" s="165">
        <f t="shared" si="4"/>
        <v>17</v>
      </c>
      <c r="F124" s="26" t="s">
        <v>193</v>
      </c>
      <c r="G124" s="60" t="s">
        <v>194</v>
      </c>
      <c r="H124" s="448">
        <f t="shared" si="3"/>
        <v>1.9224038991558121</v>
      </c>
      <c r="I124" s="116">
        <v>1.9224038991558121</v>
      </c>
      <c r="J124" s="116">
        <v>1.9224038991558121</v>
      </c>
    </row>
    <row r="125" spans="1:10" s="164" customFormat="1" ht="14.5" x14ac:dyDescent="0.35">
      <c r="A125" s="191"/>
      <c r="B125" s="191"/>
      <c r="C125" s="191"/>
      <c r="D125" s="191"/>
      <c r="E125" s="165">
        <f t="shared" si="4"/>
        <v>18</v>
      </c>
      <c r="F125" s="26" t="s">
        <v>193</v>
      </c>
      <c r="G125" s="60" t="s">
        <v>194</v>
      </c>
      <c r="H125" s="448">
        <f t="shared" si="3"/>
        <v>1.8379807612776733</v>
      </c>
      <c r="I125" s="116">
        <v>1.8379807612776733</v>
      </c>
      <c r="J125" s="116">
        <v>1.8379807612776733</v>
      </c>
    </row>
    <row r="126" spans="1:10" s="164" customFormat="1" ht="14.5" x14ac:dyDescent="0.35">
      <c r="A126" s="191"/>
      <c r="B126" s="191"/>
      <c r="C126" s="191"/>
      <c r="D126" s="191"/>
      <c r="E126" s="165">
        <f t="shared" si="4"/>
        <v>19</v>
      </c>
      <c r="F126" s="26" t="s">
        <v>193</v>
      </c>
      <c r="G126" s="60" t="s">
        <v>194</v>
      </c>
      <c r="H126" s="448">
        <f t="shared" si="3"/>
        <v>1.7606606433187053</v>
      </c>
      <c r="I126" s="116">
        <v>1.7606606433187053</v>
      </c>
      <c r="J126" s="116">
        <v>1.7606606433187053</v>
      </c>
    </row>
    <row r="127" spans="1:10" s="164" customFormat="1" ht="14.5" x14ac:dyDescent="0.35">
      <c r="A127" s="191"/>
      <c r="B127" s="191"/>
      <c r="C127" s="191"/>
      <c r="D127" s="191"/>
      <c r="E127" s="165">
        <f t="shared" si="4"/>
        <v>20</v>
      </c>
      <c r="F127" s="26" t="s">
        <v>193</v>
      </c>
      <c r="G127" s="60" t="s">
        <v>194</v>
      </c>
      <c r="H127" s="448">
        <f t="shared" si="3"/>
        <v>1.6895833049731117</v>
      </c>
      <c r="I127" s="116">
        <v>1.6895833049731117</v>
      </c>
      <c r="J127" s="116">
        <v>1.6895833049731117</v>
      </c>
    </row>
    <row r="128" spans="1:10" s="164" customFormat="1" ht="14.5" x14ac:dyDescent="0.35">
      <c r="A128" s="191"/>
      <c r="B128" s="191"/>
      <c r="C128" s="191"/>
      <c r="D128" s="191"/>
      <c r="E128" s="165">
        <f t="shared" si="4"/>
        <v>21</v>
      </c>
      <c r="F128" s="26" t="s">
        <v>193</v>
      </c>
      <c r="G128" s="60" t="s">
        <v>194</v>
      </c>
      <c r="H128" s="448">
        <f t="shared" si="3"/>
        <v>1.6225032299064059</v>
      </c>
      <c r="I128" s="116">
        <v>1.6225032299064059</v>
      </c>
      <c r="J128" s="116">
        <v>1.6225032299064059</v>
      </c>
    </row>
    <row r="129" spans="1:10" s="164" customFormat="1" ht="14.5" x14ac:dyDescent="0.35">
      <c r="A129" s="191"/>
      <c r="B129" s="191"/>
      <c r="C129" s="191"/>
      <c r="D129" s="191"/>
      <c r="E129" s="165">
        <f t="shared" si="4"/>
        <v>22</v>
      </c>
      <c r="F129" s="26" t="s">
        <v>193</v>
      </c>
      <c r="G129" s="60" t="s">
        <v>194</v>
      </c>
      <c r="H129" s="448">
        <f t="shared" si="3"/>
        <v>1.5605462040500193</v>
      </c>
      <c r="I129" s="116">
        <v>1.5605462040500193</v>
      </c>
      <c r="J129" s="116">
        <v>1.5605462040500193</v>
      </c>
    </row>
    <row r="130" spans="1:10" s="164" customFormat="1" ht="14.5" x14ac:dyDescent="0.35">
      <c r="A130" s="191"/>
      <c r="B130" s="191"/>
      <c r="C130" s="191"/>
      <c r="D130" s="191"/>
      <c r="E130" s="165">
        <f t="shared" si="4"/>
        <v>23</v>
      </c>
      <c r="F130" s="26" t="s">
        <v>193</v>
      </c>
      <c r="G130" s="60" t="s">
        <v>194</v>
      </c>
      <c r="H130" s="448">
        <f t="shared" si="3"/>
        <v>1.5031469266354094</v>
      </c>
      <c r="I130" s="116">
        <v>1.5031469266354094</v>
      </c>
      <c r="J130" s="116">
        <v>1.5031469266354094</v>
      </c>
    </row>
    <row r="131" spans="1:10" s="164" customFormat="1" ht="14.5" x14ac:dyDescent="0.35">
      <c r="A131" s="191"/>
      <c r="B131" s="191"/>
      <c r="C131" s="191"/>
      <c r="D131" s="191"/>
      <c r="E131" s="165">
        <f t="shared" si="4"/>
        <v>24</v>
      </c>
      <c r="F131" s="26" t="s">
        <v>193</v>
      </c>
      <c r="G131" s="60" t="s">
        <v>194</v>
      </c>
      <c r="H131" s="448">
        <f t="shared" si="3"/>
        <v>1.4498203167926846</v>
      </c>
      <c r="I131" s="116">
        <v>1.4498203167926846</v>
      </c>
      <c r="J131" s="116">
        <v>1.4498203167926846</v>
      </c>
    </row>
    <row r="132" spans="1:10" s="164" customFormat="1" ht="14.5" x14ac:dyDescent="0.35">
      <c r="A132" s="191"/>
      <c r="B132" s="191"/>
      <c r="C132" s="191"/>
      <c r="D132" s="191"/>
      <c r="E132" s="165">
        <f t="shared" si="4"/>
        <v>25</v>
      </c>
      <c r="F132" s="26" t="s">
        <v>193</v>
      </c>
      <c r="G132" s="60" t="s">
        <v>194</v>
      </c>
      <c r="H132" s="448">
        <f t="shared" si="3"/>
        <v>1.4001477714112838</v>
      </c>
      <c r="I132" s="116">
        <v>1.4001477714112838</v>
      </c>
      <c r="J132" s="116">
        <v>1.4001477714112838</v>
      </c>
    </row>
    <row r="133" spans="1:10" s="164" customFormat="1" ht="14.5" x14ac:dyDescent="0.35">
      <c r="A133" s="191"/>
      <c r="B133" s="191"/>
      <c r="C133" s="191"/>
      <c r="D133" s="191"/>
      <c r="E133" s="165">
        <f t="shared" si="4"/>
        <v>26</v>
      </c>
      <c r="F133" s="26" t="s">
        <v>193</v>
      </c>
      <c r="G133" s="60" t="s">
        <v>194</v>
      </c>
      <c r="H133" s="448">
        <f t="shared" si="3"/>
        <v>1.3559040448776092</v>
      </c>
      <c r="I133" s="116">
        <v>1.3559040448776092</v>
      </c>
      <c r="J133" s="116">
        <v>1.3559040448776092</v>
      </c>
    </row>
    <row r="134" spans="1:10" s="164" customFormat="1" ht="14.5" x14ac:dyDescent="0.35">
      <c r="A134" s="191"/>
      <c r="B134" s="191"/>
      <c r="C134" s="191"/>
      <c r="D134" s="191"/>
      <c r="E134" s="165">
        <f t="shared" si="4"/>
        <v>27</v>
      </c>
      <c r="F134" s="26" t="s">
        <v>193</v>
      </c>
      <c r="G134" s="60" t="s">
        <v>194</v>
      </c>
      <c r="H134" s="448">
        <f t="shared" si="3"/>
        <v>1.3143708124729454</v>
      </c>
      <c r="I134" s="116">
        <v>1.3143708124729454</v>
      </c>
      <c r="J134" s="116">
        <v>1.3143708124729454</v>
      </c>
    </row>
    <row r="135" spans="1:10" s="164" customFormat="1" ht="14.5" x14ac:dyDescent="0.35">
      <c r="A135" s="191"/>
      <c r="B135" s="191"/>
      <c r="C135" s="191"/>
      <c r="D135" s="191"/>
      <c r="E135" s="165">
        <f t="shared" si="4"/>
        <v>28</v>
      </c>
      <c r="F135" s="26" t="s">
        <v>193</v>
      </c>
      <c r="G135" s="60" t="s">
        <v>194</v>
      </c>
      <c r="H135" s="448">
        <f t="shared" si="3"/>
        <v>1.2753063984145829</v>
      </c>
      <c r="I135" s="116">
        <v>1.2753063984145829</v>
      </c>
      <c r="J135" s="116">
        <v>1.2753063984145829</v>
      </c>
    </row>
    <row r="136" spans="1:10" s="164" customFormat="1" ht="14.5" x14ac:dyDescent="0.35">
      <c r="A136" s="191"/>
      <c r="B136" s="191"/>
      <c r="C136" s="191"/>
      <c r="D136" s="191"/>
      <c r="E136" s="165">
        <f t="shared" si="4"/>
        <v>29</v>
      </c>
      <c r="F136" s="26" t="s">
        <v>193</v>
      </c>
      <c r="G136" s="60" t="s">
        <v>194</v>
      </c>
      <c r="H136" s="448">
        <f t="shared" si="3"/>
        <v>1.2384970290244965</v>
      </c>
      <c r="I136" s="116">
        <v>1.2384970290244965</v>
      </c>
      <c r="J136" s="116">
        <v>1.2384970290244965</v>
      </c>
    </row>
    <row r="137" spans="1:10" s="164" customFormat="1" ht="14.5" x14ac:dyDescent="0.35">
      <c r="A137" s="191"/>
      <c r="B137" s="191"/>
      <c r="C137" s="191"/>
      <c r="D137" s="191"/>
      <c r="E137" s="165">
        <f t="shared" si="4"/>
        <v>30</v>
      </c>
      <c r="F137" s="26" t="s">
        <v>193</v>
      </c>
      <c r="G137" s="60" t="s">
        <v>194</v>
      </c>
      <c r="H137" s="448">
        <f t="shared" si="3"/>
        <v>1.203752918978352</v>
      </c>
      <c r="I137" s="116">
        <v>1.203752918978352</v>
      </c>
      <c r="J137" s="116">
        <v>1.203752918978352</v>
      </c>
    </row>
    <row r="138" spans="1:10" s="164" customFormat="1" ht="14.5" x14ac:dyDescent="0.35">
      <c r="A138" s="191"/>
      <c r="B138" s="191"/>
      <c r="C138" s="191"/>
      <c r="D138" s="191"/>
      <c r="E138" s="165">
        <f t="shared" si="4"/>
        <v>31</v>
      </c>
      <c r="F138" s="26" t="s">
        <v>193</v>
      </c>
      <c r="G138" s="60" t="s">
        <v>194</v>
      </c>
      <c r="H138" s="448">
        <f t="shared" si="3"/>
        <v>1.1763476064348324</v>
      </c>
      <c r="I138" s="116">
        <v>1.1763476064348324</v>
      </c>
      <c r="J138" s="116">
        <v>1.1763476064348324</v>
      </c>
    </row>
    <row r="139" spans="1:10" s="164" customFormat="1" ht="14.5" x14ac:dyDescent="0.35">
      <c r="A139" s="191"/>
      <c r="B139" s="191"/>
      <c r="C139" s="191"/>
      <c r="D139" s="191"/>
      <c r="E139" s="165">
        <f t="shared" si="4"/>
        <v>32</v>
      </c>
      <c r="F139" s="26" t="s">
        <v>193</v>
      </c>
      <c r="G139" s="60" t="s">
        <v>194</v>
      </c>
      <c r="H139" s="448">
        <f t="shared" si="3"/>
        <v>1.1501623663992628</v>
      </c>
      <c r="I139" s="116">
        <v>1.1501623663992628</v>
      </c>
      <c r="J139" s="116">
        <v>1.1501623663992628</v>
      </c>
    </row>
    <row r="140" spans="1:10" s="164" customFormat="1" ht="14.5" x14ac:dyDescent="0.35">
      <c r="A140" s="191"/>
      <c r="B140" s="191"/>
      <c r="C140" s="191"/>
      <c r="D140" s="191"/>
      <c r="E140" s="165">
        <f t="shared" si="4"/>
        <v>33</v>
      </c>
      <c r="F140" s="26" t="s">
        <v>193</v>
      </c>
      <c r="G140" s="60" t="s">
        <v>194</v>
      </c>
      <c r="H140" s="448">
        <f t="shared" si="3"/>
        <v>1.1251174973693299</v>
      </c>
      <c r="I140" s="116">
        <v>1.1251174973693299</v>
      </c>
      <c r="J140" s="116">
        <v>1.1251174973693299</v>
      </c>
    </row>
    <row r="141" spans="1:10" s="164" customFormat="1" ht="14.5" x14ac:dyDescent="0.35">
      <c r="A141" s="191"/>
      <c r="B141" s="191"/>
      <c r="C141" s="191"/>
      <c r="D141" s="191"/>
      <c r="E141" s="165">
        <f t="shared" si="4"/>
        <v>34</v>
      </c>
      <c r="F141" s="26" t="s">
        <v>193</v>
      </c>
      <c r="G141" s="60" t="s">
        <v>194</v>
      </c>
      <c r="H141" s="448">
        <f t="shared" si="3"/>
        <v>1.1011400919250811</v>
      </c>
      <c r="I141" s="116">
        <v>1.1011400919250811</v>
      </c>
      <c r="J141" s="116">
        <v>1.1011400919250811</v>
      </c>
    </row>
    <row r="142" spans="1:10" s="164" customFormat="1" ht="14.5" x14ac:dyDescent="0.35">
      <c r="A142" s="191"/>
      <c r="B142" s="191"/>
      <c r="C142" s="191"/>
      <c r="D142" s="191"/>
      <c r="E142" s="165">
        <f t="shared" si="4"/>
        <v>35</v>
      </c>
      <c r="F142" s="26" t="s">
        <v>193</v>
      </c>
      <c r="G142" s="60" t="s">
        <v>194</v>
      </c>
      <c r="H142" s="448">
        <f t="shared" si="3"/>
        <v>1.0781633278907459</v>
      </c>
      <c r="I142" s="116">
        <v>1.0781633278907459</v>
      </c>
      <c r="J142" s="116">
        <v>1.0781633278907459</v>
      </c>
    </row>
    <row r="143" spans="1:10" s="164" customFormat="1" ht="14.5" x14ac:dyDescent="0.35">
      <c r="A143" s="191"/>
      <c r="B143" s="191"/>
      <c r="C143" s="191"/>
      <c r="D143" s="191"/>
      <c r="E143" s="165">
        <f t="shared" si="4"/>
        <v>36</v>
      </c>
      <c r="F143" s="26" t="s">
        <v>193</v>
      </c>
      <c r="G143" s="60" t="s">
        <v>194</v>
      </c>
      <c r="H143" s="448">
        <f t="shared" si="3"/>
        <v>1.0621174274853706</v>
      </c>
      <c r="I143" s="116">
        <v>1.0621174274853706</v>
      </c>
      <c r="J143" s="116">
        <v>1.0621174274853706</v>
      </c>
    </row>
    <row r="144" spans="1:10" s="164" customFormat="1" ht="14.5" x14ac:dyDescent="0.35">
      <c r="A144" s="191"/>
      <c r="B144" s="191"/>
      <c r="C144" s="191"/>
      <c r="D144" s="191"/>
      <c r="E144" s="165">
        <f t="shared" si="4"/>
        <v>37</v>
      </c>
      <c r="F144" s="26" t="s">
        <v>193</v>
      </c>
      <c r="G144" s="60" t="s">
        <v>194</v>
      </c>
      <c r="H144" s="448">
        <f t="shared" si="3"/>
        <v>1.0465421334561089</v>
      </c>
      <c r="I144" s="116">
        <v>1.0465421334561089</v>
      </c>
      <c r="J144" s="116">
        <v>1.0465421334561089</v>
      </c>
    </row>
    <row r="145" spans="1:10" s="164" customFormat="1" ht="14.5" x14ac:dyDescent="0.35">
      <c r="A145" s="191"/>
      <c r="B145" s="191"/>
      <c r="C145" s="191"/>
      <c r="D145" s="191"/>
      <c r="E145" s="165">
        <f t="shared" si="4"/>
        <v>38</v>
      </c>
      <c r="F145" s="26" t="s">
        <v>193</v>
      </c>
      <c r="G145" s="60" t="s">
        <v>194</v>
      </c>
      <c r="H145" s="448">
        <f t="shared" si="3"/>
        <v>1.0314170415656478</v>
      </c>
      <c r="I145" s="116">
        <v>1.0314170415656478</v>
      </c>
      <c r="J145" s="116">
        <v>1.0314170415656478</v>
      </c>
    </row>
    <row r="146" spans="1:10" s="164" customFormat="1" ht="14.5" x14ac:dyDescent="0.35">
      <c r="A146" s="191"/>
      <c r="B146" s="191"/>
      <c r="C146" s="191"/>
      <c r="D146" s="191"/>
      <c r="E146" s="165">
        <f t="shared" si="4"/>
        <v>39</v>
      </c>
      <c r="F146" s="26" t="s">
        <v>193</v>
      </c>
      <c r="G146" s="60" t="s">
        <v>194</v>
      </c>
      <c r="H146" s="448">
        <f t="shared" si="3"/>
        <v>1.0167229103363682</v>
      </c>
      <c r="I146" s="116">
        <v>1.0167229103363682</v>
      </c>
      <c r="J146" s="116">
        <v>1.0167229103363682</v>
      </c>
    </row>
    <row r="147" spans="1:10" s="164" customFormat="1" ht="14.5" x14ac:dyDescent="0.35">
      <c r="A147" s="191"/>
      <c r="B147" s="191"/>
      <c r="C147" s="191"/>
      <c r="D147" s="191"/>
      <c r="E147" s="165">
        <f t="shared" si="4"/>
        <v>40</v>
      </c>
      <c r="F147" s="26" t="s">
        <v>193</v>
      </c>
      <c r="G147" s="60" t="s">
        <v>194</v>
      </c>
      <c r="H147" s="448">
        <f t="shared" si="3"/>
        <v>1.0024415793872083</v>
      </c>
      <c r="I147" s="116">
        <v>1.0024415793872083</v>
      </c>
      <c r="J147" s="116">
        <v>1.0024415793872083</v>
      </c>
    </row>
    <row r="148" spans="1:10" s="164" customFormat="1" ht="14.5" x14ac:dyDescent="0.35">
      <c r="A148" s="191"/>
      <c r="B148" s="191"/>
      <c r="C148" s="191"/>
      <c r="D148" s="191"/>
      <c r="E148" s="165">
        <f t="shared" si="4"/>
        <v>41</v>
      </c>
      <c r="F148" s="26" t="s">
        <v>193</v>
      </c>
      <c r="G148" s="60" t="s">
        <v>194</v>
      </c>
      <c r="H148" s="448">
        <f t="shared" si="3"/>
        <v>0.99487039659703325</v>
      </c>
      <c r="I148" s="116">
        <v>0.99487039659703325</v>
      </c>
      <c r="J148" s="116">
        <v>0.99487039659703325</v>
      </c>
    </row>
    <row r="149" spans="1:10" s="164" customFormat="1" ht="14.5" x14ac:dyDescent="0.35">
      <c r="A149" s="191"/>
      <c r="B149" s="191"/>
      <c r="C149" s="191"/>
      <c r="D149" s="191"/>
      <c r="E149" s="165">
        <f t="shared" si="4"/>
        <v>42</v>
      </c>
      <c r="F149" s="26" t="s">
        <v>193</v>
      </c>
      <c r="G149" s="60" t="s">
        <v>194</v>
      </c>
      <c r="H149" s="448">
        <f t="shared" si="3"/>
        <v>0.98741272288513693</v>
      </c>
      <c r="I149" s="116">
        <v>0.98741272288513693</v>
      </c>
      <c r="J149" s="116">
        <v>0.98741272288513693</v>
      </c>
    </row>
    <row r="150" spans="1:10" s="164" customFormat="1" ht="14.5" x14ac:dyDescent="0.35">
      <c r="A150" s="191"/>
      <c r="B150" s="191"/>
      <c r="C150" s="191"/>
      <c r="D150" s="191"/>
      <c r="E150" s="165">
        <f t="shared" si="4"/>
        <v>43</v>
      </c>
      <c r="F150" s="26" t="s">
        <v>193</v>
      </c>
      <c r="G150" s="60" t="s">
        <v>194</v>
      </c>
      <c r="H150" s="448">
        <f t="shared" si="3"/>
        <v>0.98006602460900971</v>
      </c>
      <c r="I150" s="116">
        <v>0.98006602460900971</v>
      </c>
      <c r="J150" s="116">
        <v>0.98006602460900971</v>
      </c>
    </row>
    <row r="151" spans="1:10" s="164" customFormat="1" ht="14.5" x14ac:dyDescent="0.35">
      <c r="A151" s="191"/>
      <c r="B151" s="191"/>
      <c r="C151" s="191"/>
      <c r="D151" s="191"/>
      <c r="E151" s="165">
        <f t="shared" si="4"/>
        <v>44</v>
      </c>
      <c r="F151" s="26" t="s">
        <v>193</v>
      </c>
      <c r="G151" s="60" t="s">
        <v>194</v>
      </c>
      <c r="H151" s="448">
        <f t="shared" si="3"/>
        <v>0.97282784297401659</v>
      </c>
      <c r="I151" s="116">
        <v>0.97282784297401659</v>
      </c>
      <c r="J151" s="116">
        <v>0.97282784297401659</v>
      </c>
    </row>
    <row r="152" spans="1:10" s="164" customFormat="1" ht="14.5" x14ac:dyDescent="0.35">
      <c r="A152" s="191"/>
      <c r="B152" s="191"/>
      <c r="C152" s="191"/>
      <c r="D152" s="191"/>
      <c r="E152" s="165">
        <f t="shared" si="4"/>
        <v>45</v>
      </c>
      <c r="F152" s="26" t="s">
        <v>193</v>
      </c>
      <c r="G152" s="60" t="s">
        <v>194</v>
      </c>
      <c r="H152" s="448">
        <f t="shared" si="3"/>
        <v>0.96569579128975169</v>
      </c>
      <c r="I152" s="116">
        <v>0.96569579128975169</v>
      </c>
      <c r="J152" s="116">
        <v>0.96569579128975169</v>
      </c>
    </row>
    <row r="153" spans="1:10" s="164" customFormat="1" ht="14.5" x14ac:dyDescent="0.35">
      <c r="A153" s="191"/>
      <c r="B153" s="191"/>
      <c r="C153" s="191"/>
      <c r="D153" s="191"/>
      <c r="E153" s="165">
        <f t="shared" si="4"/>
        <v>46</v>
      </c>
      <c r="F153" s="26" t="s">
        <v>193</v>
      </c>
      <c r="G153" s="60" t="s">
        <v>194</v>
      </c>
      <c r="H153" s="448">
        <f t="shared" si="3"/>
        <v>0.96583182434567971</v>
      </c>
      <c r="I153" s="116">
        <v>0.96583182434567971</v>
      </c>
      <c r="J153" s="116">
        <v>0.96583182434567971</v>
      </c>
    </row>
    <row r="154" spans="1:10" s="164" customFormat="1" ht="14.5" x14ac:dyDescent="0.35">
      <c r="A154" s="191"/>
      <c r="B154" s="191"/>
      <c r="C154" s="191"/>
      <c r="D154" s="191"/>
      <c r="E154" s="165">
        <f t="shared" si="4"/>
        <v>47</v>
      </c>
      <c r="F154" s="26" t="s">
        <v>193</v>
      </c>
      <c r="G154" s="60" t="s">
        <v>194</v>
      </c>
      <c r="H154" s="448">
        <f t="shared" si="3"/>
        <v>0.96596789573168962</v>
      </c>
      <c r="I154" s="116">
        <v>0.96596789573168962</v>
      </c>
      <c r="J154" s="116">
        <v>0.96596789573168962</v>
      </c>
    </row>
    <row r="155" spans="1:10" s="164" customFormat="1" ht="14.5" x14ac:dyDescent="0.35">
      <c r="A155" s="191"/>
      <c r="B155" s="191"/>
      <c r="C155" s="191"/>
      <c r="D155" s="191"/>
      <c r="E155" s="165">
        <f t="shared" si="4"/>
        <v>48</v>
      </c>
      <c r="F155" s="26" t="s">
        <v>193</v>
      </c>
      <c r="G155" s="60" t="s">
        <v>194</v>
      </c>
      <c r="H155" s="448">
        <f t="shared" si="3"/>
        <v>0.96610400546398412</v>
      </c>
      <c r="I155" s="116">
        <v>0.96610400546398412</v>
      </c>
      <c r="J155" s="116">
        <v>0.96610400546398412</v>
      </c>
    </row>
    <row r="156" spans="1:10" s="164" customFormat="1" ht="14.5" x14ac:dyDescent="0.35">
      <c r="A156" s="191"/>
      <c r="B156" s="191"/>
      <c r="C156" s="191"/>
      <c r="D156" s="191"/>
      <c r="E156" s="165">
        <f t="shared" si="4"/>
        <v>49</v>
      </c>
      <c r="F156" s="26" t="s">
        <v>193</v>
      </c>
      <c r="G156" s="60" t="s">
        <v>194</v>
      </c>
      <c r="H156" s="448">
        <f t="shared" si="3"/>
        <v>0.96624015355877513</v>
      </c>
      <c r="I156" s="116">
        <v>0.96624015355877513</v>
      </c>
      <c r="J156" s="116">
        <v>0.96624015355877513</v>
      </c>
    </row>
    <row r="157" spans="1:10" s="164" customFormat="1" ht="14.5" x14ac:dyDescent="0.35">
      <c r="A157" s="191"/>
      <c r="B157" s="191"/>
      <c r="C157" s="191"/>
      <c r="D157" s="191"/>
      <c r="E157" s="165">
        <f t="shared" si="4"/>
        <v>50</v>
      </c>
      <c r="F157" s="26" t="s">
        <v>193</v>
      </c>
      <c r="G157" s="60" t="s">
        <v>194</v>
      </c>
      <c r="H157" s="448">
        <f t="shared" si="3"/>
        <v>0.96637634003228368</v>
      </c>
      <c r="I157" s="116">
        <v>0.96637634003228368</v>
      </c>
      <c r="J157" s="116">
        <v>0.96637634003228368</v>
      </c>
    </row>
    <row r="158" spans="1:10" s="164" customFormat="1" ht="14.5" x14ac:dyDescent="0.35">
      <c r="A158" s="191"/>
      <c r="B158" s="191"/>
      <c r="C158" s="191"/>
      <c r="D158" s="191"/>
      <c r="E158" s="165">
        <f t="shared" si="4"/>
        <v>51</v>
      </c>
      <c r="F158" s="26" t="s">
        <v>193</v>
      </c>
      <c r="G158" s="60" t="s">
        <v>194</v>
      </c>
      <c r="H158" s="448">
        <f t="shared" si="3"/>
        <v>0.96637634003228368</v>
      </c>
      <c r="I158" s="116">
        <v>0.96637634003228368</v>
      </c>
      <c r="J158" s="116">
        <v>0.96637634003228368</v>
      </c>
    </row>
    <row r="159" spans="1:10" s="164" customFormat="1" ht="14.5" x14ac:dyDescent="0.35">
      <c r="A159" s="191"/>
      <c r="B159" s="191"/>
      <c r="C159" s="191"/>
      <c r="D159" s="191"/>
      <c r="E159" s="165">
        <f t="shared" si="4"/>
        <v>52</v>
      </c>
      <c r="F159" s="26" t="s">
        <v>193</v>
      </c>
      <c r="G159" s="60" t="s">
        <v>194</v>
      </c>
      <c r="H159" s="448">
        <f t="shared" si="3"/>
        <v>0.96637634003228368</v>
      </c>
      <c r="I159" s="116">
        <v>0.96637634003228368</v>
      </c>
      <c r="J159" s="116">
        <v>0.96637634003228368</v>
      </c>
    </row>
    <row r="160" spans="1:10" s="164" customFormat="1" ht="14.5" x14ac:dyDescent="0.35">
      <c r="A160" s="191"/>
      <c r="B160" s="191"/>
      <c r="C160" s="191"/>
      <c r="D160" s="191"/>
      <c r="E160" s="165">
        <f t="shared" si="4"/>
        <v>53</v>
      </c>
      <c r="F160" s="26" t="s">
        <v>193</v>
      </c>
      <c r="G160" s="60" t="s">
        <v>194</v>
      </c>
      <c r="H160" s="448">
        <f t="shared" si="3"/>
        <v>0.96637634003228368</v>
      </c>
      <c r="I160" s="116">
        <v>0.96637634003228368</v>
      </c>
      <c r="J160" s="116">
        <v>0.96637634003228368</v>
      </c>
    </row>
    <row r="161" spans="1:10" s="164" customFormat="1" ht="14.5" x14ac:dyDescent="0.35">
      <c r="A161" s="191"/>
      <c r="B161" s="191"/>
      <c r="C161" s="191"/>
      <c r="D161" s="191"/>
      <c r="E161" s="165">
        <f t="shared" si="4"/>
        <v>54</v>
      </c>
      <c r="F161" s="26" t="s">
        <v>193</v>
      </c>
      <c r="G161" s="60" t="s">
        <v>194</v>
      </c>
      <c r="H161" s="448">
        <f t="shared" si="3"/>
        <v>0.96637634003228368</v>
      </c>
      <c r="I161" s="116">
        <v>0.96637634003228368</v>
      </c>
      <c r="J161" s="116">
        <v>0.96637634003228368</v>
      </c>
    </row>
    <row r="162" spans="1:10" s="164" customFormat="1" ht="14.5" x14ac:dyDescent="0.35">
      <c r="A162" s="191"/>
      <c r="B162" s="191"/>
      <c r="C162" s="191"/>
      <c r="D162" s="191"/>
      <c r="E162" s="165">
        <f t="shared" si="4"/>
        <v>55</v>
      </c>
      <c r="F162" s="26" t="s">
        <v>193</v>
      </c>
      <c r="G162" s="60" t="s">
        <v>194</v>
      </c>
      <c r="H162" s="448">
        <f t="shared" si="3"/>
        <v>1</v>
      </c>
      <c r="I162" s="116">
        <v>1</v>
      </c>
      <c r="J162" s="116">
        <v>1</v>
      </c>
    </row>
    <row r="163" spans="1:10" s="164" customFormat="1" ht="14.5" x14ac:dyDescent="0.35">
      <c r="A163" s="191"/>
      <c r="B163" s="191"/>
      <c r="C163" s="191"/>
      <c r="D163" s="191"/>
      <c r="E163" s="165">
        <f t="shared" si="4"/>
        <v>56</v>
      </c>
      <c r="F163" s="26" t="s">
        <v>193</v>
      </c>
      <c r="G163" s="60" t="s">
        <v>194</v>
      </c>
      <c r="H163" s="448">
        <f t="shared" si="3"/>
        <v>1.0128601605649292</v>
      </c>
      <c r="I163" s="116">
        <v>1.0128601605649292</v>
      </c>
      <c r="J163" s="116">
        <v>1.0128601605649292</v>
      </c>
    </row>
    <row r="164" spans="1:10" s="164" customFormat="1" ht="14.5" x14ac:dyDescent="0.35">
      <c r="A164" s="191"/>
      <c r="B164" s="191"/>
      <c r="C164" s="191"/>
      <c r="D164" s="191"/>
      <c r="E164" s="165">
        <f t="shared" si="4"/>
        <v>57</v>
      </c>
      <c r="F164" s="26" t="s">
        <v>193</v>
      </c>
      <c r="G164" s="60" t="s">
        <v>194</v>
      </c>
      <c r="H164" s="448">
        <f t="shared" si="3"/>
        <v>1.0260553977282263</v>
      </c>
      <c r="I164" s="116">
        <v>1.0260553977282263</v>
      </c>
      <c r="J164" s="116">
        <v>1.0260553977282263</v>
      </c>
    </row>
    <row r="165" spans="1:10" s="164" customFormat="1" ht="14.5" x14ac:dyDescent="0.35">
      <c r="A165" s="191"/>
      <c r="B165" s="191"/>
      <c r="C165" s="191"/>
      <c r="D165" s="191"/>
      <c r="E165" s="165">
        <f t="shared" si="4"/>
        <v>58</v>
      </c>
      <c r="F165" s="26" t="s">
        <v>193</v>
      </c>
      <c r="G165" s="60" t="s">
        <v>194</v>
      </c>
      <c r="H165" s="448">
        <f t="shared" si="3"/>
        <v>1.0395989801814696</v>
      </c>
      <c r="I165" s="116">
        <v>1.0395989801814696</v>
      </c>
      <c r="J165" s="116">
        <v>1.0395989801814696</v>
      </c>
    </row>
    <row r="166" spans="1:10" s="164" customFormat="1" ht="14.5" x14ac:dyDescent="0.35">
      <c r="A166" s="191"/>
      <c r="B166" s="191"/>
      <c r="C166" s="191"/>
      <c r="D166" s="191"/>
      <c r="E166" s="165">
        <f t="shared" si="4"/>
        <v>59</v>
      </c>
      <c r="F166" s="26" t="s">
        <v>193</v>
      </c>
      <c r="G166" s="60" t="s">
        <v>194</v>
      </c>
      <c r="H166" s="448">
        <f t="shared" si="3"/>
        <v>1.0535048865560748</v>
      </c>
      <c r="I166" s="116">
        <v>1.0535048865560748</v>
      </c>
      <c r="J166" s="116">
        <v>1.0535048865560748</v>
      </c>
    </row>
    <row r="167" spans="1:10" s="164" customFormat="1" ht="14.5" x14ac:dyDescent="0.35">
      <c r="A167" s="191"/>
      <c r="B167" s="191"/>
      <c r="C167" s="191"/>
      <c r="D167" s="191"/>
      <c r="E167" s="165">
        <f t="shared" si="4"/>
        <v>60</v>
      </c>
      <c r="F167" s="26" t="s">
        <v>193</v>
      </c>
      <c r="G167" s="60" t="s">
        <v>194</v>
      </c>
      <c r="H167" s="448">
        <f t="shared" si="3"/>
        <v>1.067787853548593</v>
      </c>
      <c r="I167" s="116">
        <v>1.067787853548593</v>
      </c>
      <c r="J167" s="116">
        <v>1.067787853548593</v>
      </c>
    </row>
    <row r="168" spans="1:10" s="164" customFormat="1" ht="14.5" x14ac:dyDescent="0.35">
      <c r="A168" s="191"/>
      <c r="B168" s="191"/>
      <c r="C168" s="191"/>
      <c r="D168" s="191"/>
      <c r="E168" s="165">
        <f t="shared" si="4"/>
        <v>61</v>
      </c>
      <c r="F168" s="26" t="s">
        <v>193</v>
      </c>
      <c r="G168" s="60" t="s">
        <v>194</v>
      </c>
      <c r="H168" s="448">
        <f t="shared" si="3"/>
        <v>1.0902654237564642</v>
      </c>
      <c r="I168" s="116">
        <v>1.0902654237564642</v>
      </c>
      <c r="J168" s="116">
        <v>1.0902654237564642</v>
      </c>
    </row>
    <row r="169" spans="1:10" s="164" customFormat="1" ht="14.5" x14ac:dyDescent="0.35">
      <c r="A169" s="191"/>
      <c r="B169" s="191"/>
      <c r="C169" s="191"/>
      <c r="D169" s="191"/>
      <c r="E169" s="165">
        <f t="shared" si="4"/>
        <v>62</v>
      </c>
      <c r="F169" s="26" t="s">
        <v>193</v>
      </c>
      <c r="G169" s="60" t="s">
        <v>194</v>
      </c>
      <c r="H169" s="448">
        <f t="shared" si="3"/>
        <v>1.1137096756673701</v>
      </c>
      <c r="I169" s="116">
        <v>1.1137096756673701</v>
      </c>
      <c r="J169" s="116">
        <v>1.1137096756673701</v>
      </c>
    </row>
    <row r="170" spans="1:10" s="164" customFormat="1" ht="14.5" x14ac:dyDescent="0.35">
      <c r="A170" s="191"/>
      <c r="B170" s="191"/>
      <c r="C170" s="191"/>
      <c r="D170" s="191"/>
      <c r="E170" s="165">
        <f t="shared" si="4"/>
        <v>63</v>
      </c>
      <c r="F170" s="26" t="s">
        <v>193</v>
      </c>
      <c r="G170" s="60" t="s">
        <v>194</v>
      </c>
      <c r="H170" s="448">
        <f t="shared" si="3"/>
        <v>1.1381843401013256</v>
      </c>
      <c r="I170" s="116">
        <v>1.1381843401013256</v>
      </c>
      <c r="J170" s="116">
        <v>1.1381843401013256</v>
      </c>
    </row>
    <row r="171" spans="1:10" s="164" customFormat="1" ht="14.5" x14ac:dyDescent="0.35">
      <c r="A171" s="191"/>
      <c r="B171" s="191"/>
      <c r="C171" s="191"/>
      <c r="D171" s="191"/>
      <c r="E171" s="165">
        <f t="shared" si="4"/>
        <v>64</v>
      </c>
      <c r="F171" s="26" t="s">
        <v>193</v>
      </c>
      <c r="G171" s="60" t="s">
        <v>194</v>
      </c>
      <c r="H171" s="448">
        <f t="shared" si="3"/>
        <v>1.1637588759000044</v>
      </c>
      <c r="I171" s="116">
        <v>1.1637588759000044</v>
      </c>
      <c r="J171" s="116">
        <v>1.1637588759000044</v>
      </c>
    </row>
    <row r="172" spans="1:10" s="164" customFormat="1" ht="14.5" x14ac:dyDescent="0.35">
      <c r="A172" s="191"/>
      <c r="B172" s="191"/>
      <c r="C172" s="513"/>
      <c r="D172" s="109"/>
      <c r="E172" s="165">
        <f t="shared" si="4"/>
        <v>65</v>
      </c>
      <c r="F172" s="26" t="s">
        <v>193</v>
      </c>
      <c r="G172" s="60" t="s">
        <v>194</v>
      </c>
      <c r="H172" s="448">
        <f t="shared" si="3"/>
        <v>1.1905091282505029</v>
      </c>
      <c r="I172" s="116">
        <v>1.1905091282505029</v>
      </c>
      <c r="J172" s="116">
        <v>1.1905091282505029</v>
      </c>
    </row>
    <row r="173" spans="1:10" s="164" customFormat="1" ht="14.5" x14ac:dyDescent="0.35">
      <c r="A173" s="191"/>
      <c r="B173" s="191"/>
      <c r="C173" s="513"/>
      <c r="D173" s="109"/>
      <c r="E173" s="165">
        <f t="shared" si="4"/>
        <v>66</v>
      </c>
      <c r="F173" s="26" t="s">
        <v>193</v>
      </c>
      <c r="G173" s="60" t="s">
        <v>194</v>
      </c>
      <c r="H173" s="448">
        <f t="shared" si="3"/>
        <v>1.2113557852484962</v>
      </c>
      <c r="I173" s="116">
        <v>1.2113557852484962</v>
      </c>
      <c r="J173" s="116">
        <v>1.2113557852484962</v>
      </c>
    </row>
    <row r="174" spans="1:10" s="164" customFormat="1" ht="14.5" x14ac:dyDescent="0.35">
      <c r="A174" s="191"/>
      <c r="B174" s="191"/>
      <c r="C174" s="513"/>
      <c r="D174" s="109"/>
      <c r="E174" s="165">
        <f t="shared" si="4"/>
        <v>67</v>
      </c>
      <c r="F174" s="26" t="s">
        <v>193</v>
      </c>
      <c r="G174" s="60" t="s">
        <v>194</v>
      </c>
      <c r="H174" s="448">
        <f t="shared" si="3"/>
        <v>1.2329455337257376</v>
      </c>
      <c r="I174" s="116">
        <v>1.2329455337257376</v>
      </c>
      <c r="J174" s="116">
        <v>1.2329455337257376</v>
      </c>
    </row>
    <row r="175" spans="1:10" s="164" customFormat="1" ht="14.5" x14ac:dyDescent="0.35">
      <c r="A175" s="191"/>
      <c r="B175" s="191"/>
      <c r="C175" s="513"/>
      <c r="D175" s="109"/>
      <c r="E175" s="165">
        <f t="shared" si="4"/>
        <v>68</v>
      </c>
      <c r="F175" s="26" t="s">
        <v>193</v>
      </c>
      <c r="G175" s="60" t="s">
        <v>194</v>
      </c>
      <c r="H175" s="448">
        <f t="shared" si="3"/>
        <v>1.2553188265720472</v>
      </c>
      <c r="I175" s="116">
        <v>1.2553188265720472</v>
      </c>
      <c r="J175" s="116">
        <v>1.2553188265720472</v>
      </c>
    </row>
    <row r="176" spans="1:10" s="164" customFormat="1" ht="14.5" x14ac:dyDescent="0.35">
      <c r="A176" s="191"/>
      <c r="B176" s="191"/>
      <c r="C176" s="513"/>
      <c r="D176" s="109"/>
      <c r="E176" s="165">
        <f t="shared" si="4"/>
        <v>69</v>
      </c>
      <c r="F176" s="26" t="s">
        <v>193</v>
      </c>
      <c r="G176" s="60" t="s">
        <v>194</v>
      </c>
      <c r="H176" s="448">
        <f t="shared" ref="H176:H177" si="5">IF($H$10=$I$6, $I176, $J176)</f>
        <v>1.2785191072112096</v>
      </c>
      <c r="I176" s="116">
        <v>1.2785191072112096</v>
      </c>
      <c r="J176" s="116">
        <v>1.2785191072112096</v>
      </c>
    </row>
    <row r="177" spans="1:10" s="164" customFormat="1" ht="14.5" x14ac:dyDescent="0.35">
      <c r="A177" s="191"/>
      <c r="B177" s="191"/>
      <c r="C177" s="513"/>
      <c r="D177" s="109"/>
      <c r="E177" s="165">
        <f t="shared" si="4"/>
        <v>70</v>
      </c>
      <c r="F177" s="26" t="s">
        <v>193</v>
      </c>
      <c r="G177" s="60" t="s">
        <v>194</v>
      </c>
      <c r="H177" s="448">
        <f t="shared" si="5"/>
        <v>1.3025930911535362</v>
      </c>
      <c r="I177" s="116">
        <v>1.3025930911535362</v>
      </c>
      <c r="J177" s="116">
        <v>1.3025930911535362</v>
      </c>
    </row>
    <row r="178" spans="1:10" s="164" customFormat="1" ht="5.25" customHeight="1" x14ac:dyDescent="0.35">
      <c r="A178" s="191"/>
      <c r="B178" s="191"/>
      <c r="C178" s="513"/>
      <c r="D178" s="109"/>
      <c r="E178" s="26"/>
      <c r="F178" s="26"/>
      <c r="G178" s="60"/>
      <c r="H178" s="264"/>
      <c r="I178" s="26"/>
      <c r="J178" s="26"/>
    </row>
    <row r="179" spans="1:10" s="164" customFormat="1" ht="14.5" x14ac:dyDescent="0.35">
      <c r="A179" s="191"/>
      <c r="B179" s="191"/>
      <c r="C179" s="513" t="s">
        <v>195</v>
      </c>
      <c r="D179" s="109"/>
      <c r="E179" s="26"/>
      <c r="F179" s="26"/>
      <c r="G179" s="60"/>
      <c r="H179" s="264"/>
      <c r="I179" s="26"/>
      <c r="J179" s="26"/>
    </row>
    <row r="180" spans="1:10" s="164" customFormat="1" ht="5.25" customHeight="1" x14ac:dyDescent="0.35">
      <c r="A180" s="191"/>
      <c r="B180" s="191"/>
      <c r="C180" s="513"/>
      <c r="D180" s="109"/>
      <c r="E180" s="26"/>
      <c r="F180" s="26"/>
      <c r="G180" s="60"/>
      <c r="H180" s="264"/>
      <c r="I180" s="26"/>
      <c r="J180" s="26"/>
    </row>
    <row r="181" spans="1:10" s="164" customFormat="1" ht="14.5" x14ac:dyDescent="0.35">
      <c r="A181" s="191"/>
      <c r="B181" s="191"/>
      <c r="C181" s="513"/>
      <c r="D181" s="109"/>
      <c r="E181" s="165">
        <v>5</v>
      </c>
      <c r="F181" s="26" t="s">
        <v>193</v>
      </c>
      <c r="G181" s="60" t="s">
        <v>194</v>
      </c>
      <c r="H181" s="448">
        <f t="shared" ref="H181:H244" si="6">IF($H$10=$I$6, $I181, $J181)</f>
        <v>2.5748566722391821</v>
      </c>
      <c r="I181" s="116">
        <v>2.5748566722391821</v>
      </c>
      <c r="J181" s="116">
        <v>2.5748566722391821</v>
      </c>
    </row>
    <row r="182" spans="1:10" s="164" customFormat="1" ht="14.5" x14ac:dyDescent="0.35">
      <c r="A182" s="191"/>
      <c r="B182" s="191"/>
      <c r="C182" s="513"/>
      <c r="D182" s="109"/>
      <c r="E182" s="165">
        <f>E181+1</f>
        <v>6</v>
      </c>
      <c r="F182" s="26" t="s">
        <v>193</v>
      </c>
      <c r="G182" s="60" t="s">
        <v>194</v>
      </c>
      <c r="H182" s="448">
        <f t="shared" si="6"/>
        <v>2.4866277209786922</v>
      </c>
      <c r="I182" s="116">
        <v>2.4866277209786922</v>
      </c>
      <c r="J182" s="116">
        <v>2.4866277209786922</v>
      </c>
    </row>
    <row r="183" spans="1:10" s="164" customFormat="1" ht="14.5" x14ac:dyDescent="0.35">
      <c r="A183" s="191"/>
      <c r="B183" s="191"/>
      <c r="C183" s="513"/>
      <c r="D183" s="109"/>
      <c r="E183" s="165">
        <f t="shared" ref="E183:E246" si="7">E182+1</f>
        <v>7</v>
      </c>
      <c r="F183" s="26" t="s">
        <v>193</v>
      </c>
      <c r="G183" s="60" t="s">
        <v>194</v>
      </c>
      <c r="H183" s="448">
        <f t="shared" si="6"/>
        <v>2.404244881290309</v>
      </c>
      <c r="I183" s="116">
        <v>2.404244881290309</v>
      </c>
      <c r="J183" s="116">
        <v>2.404244881290309</v>
      </c>
    </row>
    <row r="184" spans="1:10" s="164" customFormat="1" ht="14.5" x14ac:dyDescent="0.35">
      <c r="A184" s="191"/>
      <c r="B184" s="191"/>
      <c r="C184" s="513"/>
      <c r="D184" s="109"/>
      <c r="E184" s="165">
        <f t="shared" si="7"/>
        <v>8</v>
      </c>
      <c r="F184" s="26" t="s">
        <v>193</v>
      </c>
      <c r="G184" s="60" t="s">
        <v>194</v>
      </c>
      <c r="H184" s="448">
        <f t="shared" si="6"/>
        <v>2.3271457351600864</v>
      </c>
      <c r="I184" s="116">
        <v>2.3271457351600864</v>
      </c>
      <c r="J184" s="116">
        <v>2.3271457351600864</v>
      </c>
    </row>
    <row r="185" spans="1:10" s="164" customFormat="1" ht="14.5" x14ac:dyDescent="0.35">
      <c r="A185" s="191"/>
      <c r="B185" s="191"/>
      <c r="C185" s="513"/>
      <c r="D185" s="109"/>
      <c r="E185" s="165">
        <f t="shared" si="7"/>
        <v>9</v>
      </c>
      <c r="F185" s="26" t="s">
        <v>193</v>
      </c>
      <c r="G185" s="60" t="s">
        <v>194</v>
      </c>
      <c r="H185" s="448">
        <f t="shared" si="6"/>
        <v>2.2548377653184564</v>
      </c>
      <c r="I185" s="116">
        <v>2.2548377653184564</v>
      </c>
      <c r="J185" s="116">
        <v>2.2548377653184564</v>
      </c>
    </row>
    <row r="186" spans="1:10" s="164" customFormat="1" ht="14.5" x14ac:dyDescent="0.35">
      <c r="A186" s="191"/>
      <c r="B186" s="191"/>
      <c r="C186" s="513"/>
      <c r="D186" s="109"/>
      <c r="E186" s="165">
        <f t="shared" si="7"/>
        <v>10</v>
      </c>
      <c r="F186" s="26" t="s">
        <v>193</v>
      </c>
      <c r="G186" s="60" t="s">
        <v>194</v>
      </c>
      <c r="H186" s="448">
        <f t="shared" si="6"/>
        <v>2.1868878228825817</v>
      </c>
      <c r="I186" s="116">
        <v>2.1868878228825817</v>
      </c>
      <c r="J186" s="116">
        <v>2.1868878228825817</v>
      </c>
    </row>
    <row r="187" spans="1:10" s="164" customFormat="1" ht="14.5" x14ac:dyDescent="0.35">
      <c r="A187" s="191"/>
      <c r="B187" s="191"/>
      <c r="C187" s="513"/>
      <c r="D187" s="109"/>
      <c r="E187" s="165">
        <f t="shared" si="7"/>
        <v>11</v>
      </c>
      <c r="F187" s="26" t="s">
        <v>193</v>
      </c>
      <c r="G187" s="60" t="s">
        <v>194</v>
      </c>
      <c r="H187" s="448">
        <f t="shared" si="6"/>
        <v>2.0290252534563189</v>
      </c>
      <c r="I187" s="116">
        <v>2.0290252534563189</v>
      </c>
      <c r="J187" s="116">
        <v>2.0290252534563189</v>
      </c>
    </row>
    <row r="188" spans="1:10" s="164" customFormat="1" ht="14.5" x14ac:dyDescent="0.35">
      <c r="A188" s="191"/>
      <c r="B188" s="191"/>
      <c r="C188" s="191"/>
      <c r="D188" s="191"/>
      <c r="E188" s="165">
        <f t="shared" si="7"/>
        <v>12</v>
      </c>
      <c r="F188" s="26" t="s">
        <v>193</v>
      </c>
      <c r="G188" s="60" t="s">
        <v>194</v>
      </c>
      <c r="H188" s="448">
        <f t="shared" si="6"/>
        <v>1.8924191818710248</v>
      </c>
      <c r="I188" s="116">
        <v>1.8924191818710248</v>
      </c>
      <c r="J188" s="116">
        <v>1.8924191818710248</v>
      </c>
    </row>
    <row r="189" spans="1:10" s="164" customFormat="1" ht="14.5" x14ac:dyDescent="0.35">
      <c r="A189" s="191"/>
      <c r="B189" s="191"/>
      <c r="C189" s="191"/>
      <c r="D189" s="191"/>
      <c r="E189" s="165">
        <f t="shared" si="7"/>
        <v>13</v>
      </c>
      <c r="F189" s="26" t="s">
        <v>193</v>
      </c>
      <c r="G189" s="60" t="s">
        <v>194</v>
      </c>
      <c r="H189" s="448">
        <f t="shared" si="6"/>
        <v>1.7730470859658782</v>
      </c>
      <c r="I189" s="116">
        <v>1.7730470859658782</v>
      </c>
      <c r="J189" s="116">
        <v>1.7730470859658782</v>
      </c>
    </row>
    <row r="190" spans="1:10" s="164" customFormat="1" ht="14.5" x14ac:dyDescent="0.35">
      <c r="A190" s="191"/>
      <c r="B190" s="191"/>
      <c r="C190" s="191"/>
      <c r="D190" s="191"/>
      <c r="E190" s="165">
        <f t="shared" si="7"/>
        <v>14</v>
      </c>
      <c r="F190" s="26" t="s">
        <v>193</v>
      </c>
      <c r="G190" s="60" t="s">
        <v>194</v>
      </c>
      <c r="H190" s="448">
        <f t="shared" si="6"/>
        <v>1.6678411686680266</v>
      </c>
      <c r="I190" s="116">
        <v>1.6678411686680266</v>
      </c>
      <c r="J190" s="116">
        <v>1.6678411686680266</v>
      </c>
    </row>
    <row r="191" spans="1:10" s="164" customFormat="1" ht="14.5" x14ac:dyDescent="0.35">
      <c r="A191" s="191"/>
      <c r="B191" s="191"/>
      <c r="C191" s="191"/>
      <c r="D191" s="191"/>
      <c r="E191" s="165">
        <f t="shared" si="7"/>
        <v>15</v>
      </c>
      <c r="F191" s="26" t="s">
        <v>193</v>
      </c>
      <c r="G191" s="60" t="s">
        <v>194</v>
      </c>
      <c r="H191" s="448">
        <f t="shared" si="6"/>
        <v>1.574420974609003</v>
      </c>
      <c r="I191" s="116">
        <v>1.574420974609003</v>
      </c>
      <c r="J191" s="116">
        <v>1.574420974609003</v>
      </c>
    </row>
    <row r="192" spans="1:10" s="164" customFormat="1" ht="14.5" x14ac:dyDescent="0.35">
      <c r="A192" s="191"/>
      <c r="B192" s="191"/>
      <c r="C192" s="191"/>
      <c r="D192" s="191"/>
      <c r="E192" s="165">
        <f t="shared" si="7"/>
        <v>16</v>
      </c>
      <c r="F192" s="26" t="s">
        <v>193</v>
      </c>
      <c r="G192" s="60" t="s">
        <v>194</v>
      </c>
      <c r="H192" s="448">
        <f t="shared" si="6"/>
        <v>1.5025717681827708</v>
      </c>
      <c r="I192" s="116">
        <v>1.5025717681827708</v>
      </c>
      <c r="J192" s="116">
        <v>1.5025717681827708</v>
      </c>
    </row>
    <row r="193" spans="1:10" s="164" customFormat="1" ht="14.5" x14ac:dyDescent="0.35">
      <c r="A193" s="191"/>
      <c r="B193" s="191"/>
      <c r="C193" s="191"/>
      <c r="D193" s="191"/>
      <c r="E193" s="165">
        <f t="shared" si="7"/>
        <v>17</v>
      </c>
      <c r="F193" s="26" t="s">
        <v>193</v>
      </c>
      <c r="G193" s="60" t="s">
        <v>194</v>
      </c>
      <c r="H193" s="448">
        <f t="shared" si="6"/>
        <v>1.436994082098155</v>
      </c>
      <c r="I193" s="116">
        <v>1.436994082098155</v>
      </c>
      <c r="J193" s="116">
        <v>1.436994082098155</v>
      </c>
    </row>
    <row r="194" spans="1:10" s="164" customFormat="1" ht="14.5" x14ac:dyDescent="0.35">
      <c r="A194" s="191"/>
      <c r="B194" s="191"/>
      <c r="C194" s="191"/>
      <c r="D194" s="191"/>
      <c r="E194" s="165">
        <f t="shared" si="7"/>
        <v>18</v>
      </c>
      <c r="F194" s="26" t="s">
        <v>193</v>
      </c>
      <c r="G194" s="60" t="s">
        <v>194</v>
      </c>
      <c r="H194" s="448">
        <f t="shared" si="6"/>
        <v>1.3769011192974194</v>
      </c>
      <c r="I194" s="116">
        <v>1.3769011192974194</v>
      </c>
      <c r="J194" s="116">
        <v>1.3769011192974194</v>
      </c>
    </row>
    <row r="195" spans="1:10" s="164" customFormat="1" ht="14.5" x14ac:dyDescent="0.35">
      <c r="A195" s="191"/>
      <c r="B195" s="191"/>
      <c r="C195" s="191"/>
      <c r="D195" s="191"/>
      <c r="E195" s="165">
        <f t="shared" si="7"/>
        <v>19</v>
      </c>
      <c r="F195" s="26" t="s">
        <v>193</v>
      </c>
      <c r="G195" s="60" t="s">
        <v>194</v>
      </c>
      <c r="H195" s="448">
        <f t="shared" si="6"/>
        <v>1.3216324106246924</v>
      </c>
      <c r="I195" s="116">
        <v>1.3216324106246924</v>
      </c>
      <c r="J195" s="116">
        <v>1.3216324106246924</v>
      </c>
    </row>
    <row r="196" spans="1:10" s="164" customFormat="1" ht="14.5" x14ac:dyDescent="0.35">
      <c r="A196" s="191"/>
      <c r="B196" s="191"/>
      <c r="C196" s="191"/>
      <c r="D196" s="191"/>
      <c r="E196" s="165">
        <f t="shared" si="7"/>
        <v>20</v>
      </c>
      <c r="F196" s="26" t="s">
        <v>193</v>
      </c>
      <c r="G196" s="60" t="s">
        <v>194</v>
      </c>
      <c r="H196" s="448">
        <f t="shared" si="6"/>
        <v>1.2706294392949731</v>
      </c>
      <c r="I196" s="116">
        <v>1.2706294392949731</v>
      </c>
      <c r="J196" s="116">
        <v>1.2706294392949731</v>
      </c>
    </row>
    <row r="197" spans="1:10" s="164" customFormat="1" ht="14.5" x14ac:dyDescent="0.35">
      <c r="A197" s="191"/>
      <c r="B197" s="191"/>
      <c r="C197" s="191"/>
      <c r="D197" s="191"/>
      <c r="E197" s="165">
        <f t="shared" si="7"/>
        <v>21</v>
      </c>
      <c r="F197" s="26" t="s">
        <v>193</v>
      </c>
      <c r="G197" s="60" t="s">
        <v>194</v>
      </c>
      <c r="H197" s="448">
        <f t="shared" si="6"/>
        <v>1.2545870104367591</v>
      </c>
      <c r="I197" s="116">
        <v>1.2545870104367591</v>
      </c>
      <c r="J197" s="116">
        <v>1.2545870104367591</v>
      </c>
    </row>
    <row r="198" spans="1:10" s="164" customFormat="1" ht="14.5" x14ac:dyDescent="0.35">
      <c r="A198" s="191"/>
      <c r="B198" s="191"/>
      <c r="C198" s="191"/>
      <c r="D198" s="191"/>
      <c r="E198" s="165">
        <f t="shared" si="7"/>
        <v>22</v>
      </c>
      <c r="F198" s="26" t="s">
        <v>193</v>
      </c>
      <c r="G198" s="60" t="s">
        <v>194</v>
      </c>
      <c r="H198" s="448">
        <f t="shared" si="6"/>
        <v>1.2389446206717141</v>
      </c>
      <c r="I198" s="116">
        <v>1.2389446206717141</v>
      </c>
      <c r="J198" s="116">
        <v>1.2389446206717141</v>
      </c>
    </row>
    <row r="199" spans="1:10" s="164" customFormat="1" ht="14.5" x14ac:dyDescent="0.35">
      <c r="A199" s="191"/>
      <c r="B199" s="191"/>
      <c r="C199" s="191"/>
      <c r="D199" s="191"/>
      <c r="E199" s="165">
        <f t="shared" si="7"/>
        <v>23</v>
      </c>
      <c r="F199" s="26" t="s">
        <v>193</v>
      </c>
      <c r="G199" s="60" t="s">
        <v>194</v>
      </c>
      <c r="H199" s="448">
        <f t="shared" si="6"/>
        <v>1.2236874910140521</v>
      </c>
      <c r="I199" s="116">
        <v>1.2236874910140521</v>
      </c>
      <c r="J199" s="116">
        <v>1.2236874910140521</v>
      </c>
    </row>
    <row r="200" spans="1:10" s="164" customFormat="1" ht="14.5" x14ac:dyDescent="0.35">
      <c r="A200" s="191"/>
      <c r="B200" s="191"/>
      <c r="C200" s="191"/>
      <c r="D200" s="191"/>
      <c r="E200" s="165">
        <f t="shared" si="7"/>
        <v>24</v>
      </c>
      <c r="F200" s="26" t="s">
        <v>193</v>
      </c>
      <c r="G200" s="60" t="s">
        <v>194</v>
      </c>
      <c r="H200" s="448">
        <f t="shared" si="6"/>
        <v>1.2088015616123771</v>
      </c>
      <c r="I200" s="116">
        <v>1.2088015616123771</v>
      </c>
      <c r="J200" s="116">
        <v>1.2088015616123771</v>
      </c>
    </row>
    <row r="201" spans="1:10" s="164" customFormat="1" ht="14.5" x14ac:dyDescent="0.35">
      <c r="A201" s="191"/>
      <c r="B201" s="191"/>
      <c r="C201" s="191"/>
      <c r="D201" s="191"/>
      <c r="E201" s="165">
        <f t="shared" si="7"/>
        <v>25</v>
      </c>
      <c r="F201" s="26" t="s">
        <v>193</v>
      </c>
      <c r="G201" s="60" t="s">
        <v>194</v>
      </c>
      <c r="H201" s="448">
        <f t="shared" si="6"/>
        <v>1.1942734485347068</v>
      </c>
      <c r="I201" s="116">
        <v>1.1942734485347068</v>
      </c>
      <c r="J201" s="116">
        <v>1.1942734485347068</v>
      </c>
    </row>
    <row r="202" spans="1:10" s="164" customFormat="1" ht="14.5" x14ac:dyDescent="0.35">
      <c r="A202" s="191"/>
      <c r="B202" s="191"/>
      <c r="C202" s="191"/>
      <c r="D202" s="191"/>
      <c r="E202" s="165">
        <f t="shared" si="7"/>
        <v>26</v>
      </c>
      <c r="F202" s="26" t="s">
        <v>193</v>
      </c>
      <c r="G202" s="60" t="s">
        <v>194</v>
      </c>
      <c r="H202" s="448">
        <f t="shared" si="6"/>
        <v>1.1825600894033441</v>
      </c>
      <c r="I202" s="116">
        <v>1.1825600894033441</v>
      </c>
      <c r="J202" s="116">
        <v>1.1825600894033441</v>
      </c>
    </row>
    <row r="203" spans="1:10" s="164" customFormat="1" ht="14.5" x14ac:dyDescent="0.35">
      <c r="A203" s="191"/>
      <c r="B203" s="191"/>
      <c r="C203" s="191"/>
      <c r="D203" s="191"/>
      <c r="E203" s="165">
        <f t="shared" si="7"/>
        <v>27</v>
      </c>
      <c r="F203" s="26" t="s">
        <v>193</v>
      </c>
      <c r="G203" s="60" t="s">
        <v>194</v>
      </c>
      <c r="H203" s="448">
        <f t="shared" si="6"/>
        <v>1.1710742663963702</v>
      </c>
      <c r="I203" s="116">
        <v>1.1710742663963702</v>
      </c>
      <c r="J203" s="116">
        <v>1.1710742663963702</v>
      </c>
    </row>
    <row r="204" spans="1:10" s="164" customFormat="1" ht="14.5" x14ac:dyDescent="0.35">
      <c r="A204" s="191"/>
      <c r="B204" s="191"/>
      <c r="C204" s="191"/>
      <c r="D204" s="191"/>
      <c r="E204" s="165">
        <f t="shared" si="7"/>
        <v>28</v>
      </c>
      <c r="F204" s="26" t="s">
        <v>193</v>
      </c>
      <c r="G204" s="60" t="s">
        <v>194</v>
      </c>
      <c r="H204" s="448">
        <f t="shared" si="6"/>
        <v>1.1598094133349846</v>
      </c>
      <c r="I204" s="116">
        <v>1.1598094133349846</v>
      </c>
      <c r="J204" s="116">
        <v>1.1598094133349846</v>
      </c>
    </row>
    <row r="205" spans="1:10" s="164" customFormat="1" ht="14.5" x14ac:dyDescent="0.35">
      <c r="A205" s="191"/>
      <c r="B205" s="191"/>
      <c r="C205" s="191"/>
      <c r="D205" s="191"/>
      <c r="E205" s="165">
        <f t="shared" si="7"/>
        <v>29</v>
      </c>
      <c r="F205" s="26" t="s">
        <v>193</v>
      </c>
      <c r="G205" s="60" t="s">
        <v>194</v>
      </c>
      <c r="H205" s="448">
        <f t="shared" si="6"/>
        <v>1.1487592142800616</v>
      </c>
      <c r="I205" s="116">
        <v>1.1487592142800616</v>
      </c>
      <c r="J205" s="116">
        <v>1.1487592142800616</v>
      </c>
    </row>
    <row r="206" spans="1:10" s="164" customFormat="1" ht="14.5" x14ac:dyDescent="0.35">
      <c r="A206" s="191"/>
      <c r="B206" s="191"/>
      <c r="C206" s="191"/>
      <c r="D206" s="191"/>
      <c r="E206" s="165">
        <f t="shared" si="7"/>
        <v>30</v>
      </c>
      <c r="F206" s="26" t="s">
        <v>193</v>
      </c>
      <c r="G206" s="60" t="s">
        <v>194</v>
      </c>
      <c r="H206" s="448">
        <f t="shared" si="6"/>
        <v>1.1379175917237405</v>
      </c>
      <c r="I206" s="116">
        <v>1.1379175917237405</v>
      </c>
      <c r="J206" s="116">
        <v>1.1379175917237405</v>
      </c>
    </row>
    <row r="207" spans="1:10" s="164" customFormat="1" ht="14.5" x14ac:dyDescent="0.35">
      <c r="A207" s="191"/>
      <c r="B207" s="191"/>
      <c r="C207" s="191"/>
      <c r="D207" s="191"/>
      <c r="E207" s="165">
        <f t="shared" si="7"/>
        <v>31</v>
      </c>
      <c r="F207" s="26" t="s">
        <v>193</v>
      </c>
      <c r="G207" s="60" t="s">
        <v>194</v>
      </c>
      <c r="H207" s="448">
        <f t="shared" si="6"/>
        <v>1.1287184597404878</v>
      </c>
      <c r="I207" s="116">
        <v>1.1287184597404878</v>
      </c>
      <c r="J207" s="116">
        <v>1.1287184597404878</v>
      </c>
    </row>
    <row r="208" spans="1:10" s="164" customFormat="1" ht="14.5" x14ac:dyDescent="0.35">
      <c r="A208" s="191"/>
      <c r="B208" s="191"/>
      <c r="C208" s="191"/>
      <c r="D208" s="191"/>
      <c r="E208" s="165">
        <f t="shared" si="7"/>
        <v>32</v>
      </c>
      <c r="F208" s="26" t="s">
        <v>193</v>
      </c>
      <c r="G208" s="60" t="s">
        <v>194</v>
      </c>
      <c r="H208" s="448">
        <f t="shared" si="6"/>
        <v>1.1196668698991923</v>
      </c>
      <c r="I208" s="116">
        <v>1.1196668698991923</v>
      </c>
      <c r="J208" s="116">
        <v>1.1196668698991923</v>
      </c>
    </row>
    <row r="209" spans="1:10" s="164" customFormat="1" ht="14.5" x14ac:dyDescent="0.35">
      <c r="A209" s="191"/>
      <c r="B209" s="191"/>
      <c r="C209" s="191"/>
      <c r="D209" s="191"/>
      <c r="E209" s="165">
        <f t="shared" si="7"/>
        <v>33</v>
      </c>
      <c r="F209" s="26" t="s">
        <v>193</v>
      </c>
      <c r="G209" s="60" t="s">
        <v>194</v>
      </c>
      <c r="H209" s="448">
        <f t="shared" si="6"/>
        <v>1.1107593008618986</v>
      </c>
      <c r="I209" s="116">
        <v>1.1107593008618986</v>
      </c>
      <c r="J209" s="116">
        <v>1.1107593008618986</v>
      </c>
    </row>
    <row r="210" spans="1:10" s="164" customFormat="1" ht="14.5" x14ac:dyDescent="0.35">
      <c r="A210" s="191"/>
      <c r="B210" s="191"/>
      <c r="C210" s="191"/>
      <c r="D210" s="191"/>
      <c r="E210" s="165">
        <f t="shared" si="7"/>
        <v>34</v>
      </c>
      <c r="F210" s="26" t="s">
        <v>193</v>
      </c>
      <c r="G210" s="60" t="s">
        <v>194</v>
      </c>
      <c r="H210" s="448">
        <f t="shared" si="6"/>
        <v>1.1019923424629763</v>
      </c>
      <c r="I210" s="116">
        <v>1.1019923424629763</v>
      </c>
      <c r="J210" s="116">
        <v>1.1019923424629763</v>
      </c>
    </row>
    <row r="211" spans="1:10" s="164" customFormat="1" ht="14.5" x14ac:dyDescent="0.35">
      <c r="A211" s="191"/>
      <c r="B211" s="191"/>
      <c r="C211" s="191"/>
      <c r="D211" s="191"/>
      <c r="E211" s="165">
        <f t="shared" si="7"/>
        <v>35</v>
      </c>
      <c r="F211" s="26" t="s">
        <v>193</v>
      </c>
      <c r="G211" s="60" t="s">
        <v>194</v>
      </c>
      <c r="H211" s="448">
        <f t="shared" si="6"/>
        <v>1.0933626913561922</v>
      </c>
      <c r="I211" s="116">
        <v>1.0933626913561922</v>
      </c>
      <c r="J211" s="116">
        <v>1.0933626913561922</v>
      </c>
    </row>
    <row r="212" spans="1:10" s="164" customFormat="1" ht="14.5" x14ac:dyDescent="0.35">
      <c r="A212" s="191"/>
      <c r="B212" s="191"/>
      <c r="C212" s="191"/>
      <c r="D212" s="191"/>
      <c r="E212" s="165">
        <f t="shared" si="7"/>
        <v>36</v>
      </c>
      <c r="F212" s="26" t="s">
        <v>193</v>
      </c>
      <c r="G212" s="60" t="s">
        <v>194</v>
      </c>
      <c r="H212" s="448">
        <f t="shared" si="6"/>
        <v>1.0851945214082315</v>
      </c>
      <c r="I212" s="116">
        <v>1.0851945214082315</v>
      </c>
      <c r="J212" s="116">
        <v>1.0851945214082315</v>
      </c>
    </row>
    <row r="213" spans="1:10" s="164" customFormat="1" ht="14.5" x14ac:dyDescent="0.35">
      <c r="A213" s="191"/>
      <c r="B213" s="191"/>
      <c r="C213" s="191"/>
      <c r="D213" s="191"/>
      <c r="E213" s="165">
        <f t="shared" si="7"/>
        <v>37</v>
      </c>
      <c r="F213" s="26" t="s">
        <v>193</v>
      </c>
      <c r="G213" s="60" t="s">
        <v>194</v>
      </c>
      <c r="H213" s="448">
        <f t="shared" si="6"/>
        <v>1.07714749014579</v>
      </c>
      <c r="I213" s="116">
        <v>1.07714749014579</v>
      </c>
      <c r="J213" s="116">
        <v>1.07714749014579</v>
      </c>
    </row>
    <row r="214" spans="1:10" s="164" customFormat="1" ht="14.5" x14ac:dyDescent="0.35">
      <c r="A214" s="191"/>
      <c r="B214" s="191"/>
      <c r="C214" s="191"/>
      <c r="D214" s="191"/>
      <c r="E214" s="165">
        <f t="shared" si="7"/>
        <v>38</v>
      </c>
      <c r="F214" s="26" t="s">
        <v>193</v>
      </c>
      <c r="G214" s="60" t="s">
        <v>194</v>
      </c>
      <c r="H214" s="448">
        <f t="shared" si="6"/>
        <v>1.0692189225695861</v>
      </c>
      <c r="I214" s="116">
        <v>1.0692189225695861</v>
      </c>
      <c r="J214" s="116">
        <v>1.0692189225695861</v>
      </c>
    </row>
    <row r="215" spans="1:10" s="164" customFormat="1" ht="14.5" x14ac:dyDescent="0.35">
      <c r="A215" s="191"/>
      <c r="B215" s="191"/>
      <c r="C215" s="191"/>
      <c r="D215" s="191"/>
      <c r="E215" s="165">
        <f t="shared" si="7"/>
        <v>39</v>
      </c>
      <c r="F215" s="26" t="s">
        <v>193</v>
      </c>
      <c r="G215" s="60" t="s">
        <v>194</v>
      </c>
      <c r="H215" s="448">
        <f t="shared" si="6"/>
        <v>1.0614062218643967</v>
      </c>
      <c r="I215" s="116">
        <v>1.0614062218643967</v>
      </c>
      <c r="J215" s="116">
        <v>1.0614062218643967</v>
      </c>
    </row>
    <row r="216" spans="1:10" s="164" customFormat="1" ht="14.5" x14ac:dyDescent="0.35">
      <c r="A216" s="191"/>
      <c r="B216" s="191"/>
      <c r="C216" s="191"/>
      <c r="D216" s="191"/>
      <c r="E216" s="165">
        <f t="shared" si="7"/>
        <v>40</v>
      </c>
      <c r="F216" s="26" t="s">
        <v>193</v>
      </c>
      <c r="G216" s="60" t="s">
        <v>194</v>
      </c>
      <c r="H216" s="448">
        <f t="shared" si="6"/>
        <v>1.0537068665633531</v>
      </c>
      <c r="I216" s="116">
        <v>1.0537068665633531</v>
      </c>
      <c r="J216" s="116">
        <v>1.0537068665633531</v>
      </c>
    </row>
    <row r="217" spans="1:10" s="164" customFormat="1" ht="14.5" x14ac:dyDescent="0.35">
      <c r="A217" s="191"/>
      <c r="B217" s="191"/>
      <c r="C217" s="191"/>
      <c r="D217" s="191"/>
      <c r="E217" s="165">
        <f t="shared" si="7"/>
        <v>41</v>
      </c>
      <c r="F217" s="26" t="s">
        <v>193</v>
      </c>
      <c r="G217" s="60" t="s">
        <v>194</v>
      </c>
      <c r="H217" s="448">
        <f t="shared" si="6"/>
        <v>1.0489555383846256</v>
      </c>
      <c r="I217" s="116">
        <v>1.0489555383846256</v>
      </c>
      <c r="J217" s="116">
        <v>1.0489555383846256</v>
      </c>
    </row>
    <row r="218" spans="1:10" s="164" customFormat="1" ht="14.5" x14ac:dyDescent="0.35">
      <c r="A218" s="191"/>
      <c r="B218" s="191"/>
      <c r="C218" s="191"/>
      <c r="D218" s="191"/>
      <c r="E218" s="165">
        <f t="shared" si="7"/>
        <v>42</v>
      </c>
      <c r="F218" s="26" t="s">
        <v>193</v>
      </c>
      <c r="G218" s="60" t="s">
        <v>194</v>
      </c>
      <c r="H218" s="448">
        <f t="shared" si="6"/>
        <v>1.0442468668163796</v>
      </c>
      <c r="I218" s="116">
        <v>1.0442468668163796</v>
      </c>
      <c r="J218" s="116">
        <v>1.0442468668163796</v>
      </c>
    </row>
    <row r="219" spans="1:10" s="164" customFormat="1" ht="14.5" x14ac:dyDescent="0.35">
      <c r="A219" s="191"/>
      <c r="B219" s="191"/>
      <c r="C219" s="191"/>
      <c r="D219" s="191"/>
      <c r="E219" s="165">
        <f t="shared" si="7"/>
        <v>43</v>
      </c>
      <c r="F219" s="26" t="s">
        <v>193</v>
      </c>
      <c r="G219" s="60" t="s">
        <v>194</v>
      </c>
      <c r="H219" s="448">
        <f t="shared" si="6"/>
        <v>1.0395802799801157</v>
      </c>
      <c r="I219" s="116">
        <v>1.0395802799801157</v>
      </c>
      <c r="J219" s="116">
        <v>1.0395802799801157</v>
      </c>
    </row>
    <row r="220" spans="1:10" s="164" customFormat="1" ht="14.5" x14ac:dyDescent="0.35">
      <c r="A220" s="191"/>
      <c r="B220" s="191"/>
      <c r="C220" s="191"/>
      <c r="D220" s="191"/>
      <c r="E220" s="165">
        <f t="shared" si="7"/>
        <v>44</v>
      </c>
      <c r="F220" s="26" t="s">
        <v>193</v>
      </c>
      <c r="G220" s="60" t="s">
        <v>194</v>
      </c>
      <c r="H220" s="448">
        <f t="shared" si="6"/>
        <v>1.0349552161744213</v>
      </c>
      <c r="I220" s="116">
        <v>1.0349552161744213</v>
      </c>
      <c r="J220" s="116">
        <v>1.0349552161744213</v>
      </c>
    </row>
    <row r="221" spans="1:10" s="164" customFormat="1" ht="14.5" x14ac:dyDescent="0.35">
      <c r="A221" s="191"/>
      <c r="B221" s="191"/>
      <c r="C221" s="191"/>
      <c r="D221" s="191"/>
      <c r="E221" s="165">
        <f t="shared" si="7"/>
        <v>45</v>
      </c>
      <c r="F221" s="26" t="s">
        <v>193</v>
      </c>
      <c r="G221" s="60" t="s">
        <v>194</v>
      </c>
      <c r="H221" s="448">
        <f t="shared" si="6"/>
        <v>1.0303711236495852</v>
      </c>
      <c r="I221" s="116">
        <v>1.0303711236495852</v>
      </c>
      <c r="J221" s="116">
        <v>1.0303711236495852</v>
      </c>
    </row>
    <row r="222" spans="1:10" s="164" customFormat="1" ht="14.5" x14ac:dyDescent="0.35">
      <c r="A222" s="191"/>
      <c r="B222" s="191"/>
      <c r="C222" s="191"/>
      <c r="D222" s="191"/>
      <c r="E222" s="165">
        <f t="shared" si="7"/>
        <v>46</v>
      </c>
      <c r="F222" s="26" t="s">
        <v>193</v>
      </c>
      <c r="G222" s="60" t="s">
        <v>194</v>
      </c>
      <c r="H222" s="448">
        <f t="shared" si="6"/>
        <v>1.0279358917075732</v>
      </c>
      <c r="I222" s="116">
        <v>1.0279358917075732</v>
      </c>
      <c r="J222" s="116">
        <v>1.0279358917075732</v>
      </c>
    </row>
    <row r="223" spans="1:10" s="164" customFormat="1" ht="14.5" x14ac:dyDescent="0.35">
      <c r="A223" s="191"/>
      <c r="B223" s="191"/>
      <c r="C223" s="191"/>
      <c r="D223" s="191"/>
      <c r="E223" s="165">
        <f t="shared" si="7"/>
        <v>47</v>
      </c>
      <c r="F223" s="26" t="s">
        <v>193</v>
      </c>
      <c r="G223" s="60" t="s">
        <v>194</v>
      </c>
      <c r="H223" s="448">
        <f t="shared" si="6"/>
        <v>1.0255121437278341</v>
      </c>
      <c r="I223" s="116">
        <v>1.0255121437278341</v>
      </c>
      <c r="J223" s="116">
        <v>1.0255121437278341</v>
      </c>
    </row>
    <row r="224" spans="1:10" s="164" customFormat="1" ht="14.5" x14ac:dyDescent="0.35">
      <c r="A224" s="191"/>
      <c r="B224" s="191"/>
      <c r="C224" s="191"/>
      <c r="D224" s="191"/>
      <c r="E224" s="165">
        <f t="shared" si="7"/>
        <v>48</v>
      </c>
      <c r="F224" s="26" t="s">
        <v>193</v>
      </c>
      <c r="G224" s="60" t="s">
        <v>194</v>
      </c>
      <c r="H224" s="448">
        <f t="shared" si="6"/>
        <v>1.023099798668091</v>
      </c>
      <c r="I224" s="116">
        <v>1.023099798668091</v>
      </c>
      <c r="J224" s="116">
        <v>1.023099798668091</v>
      </c>
    </row>
    <row r="225" spans="1:11" s="164" customFormat="1" ht="14.5" x14ac:dyDescent="0.35">
      <c r="A225" s="191"/>
      <c r="B225" s="191"/>
      <c r="C225" s="191"/>
      <c r="D225" s="191"/>
      <c r="E225" s="165">
        <f t="shared" si="7"/>
        <v>49</v>
      </c>
      <c r="F225" s="26" t="s">
        <v>193</v>
      </c>
      <c r="G225" s="60" t="s">
        <v>194</v>
      </c>
      <c r="H225" s="448">
        <f t="shared" si="6"/>
        <v>1.0206987762468311</v>
      </c>
      <c r="I225" s="116">
        <v>1.0206987762468311</v>
      </c>
      <c r="J225" s="116">
        <v>1.0206987762468311</v>
      </c>
    </row>
    <row r="226" spans="1:11" s="164" customFormat="1" ht="14.5" x14ac:dyDescent="0.35">
      <c r="A226" s="191"/>
      <c r="B226" s="191"/>
      <c r="C226" s="191"/>
      <c r="D226" s="191"/>
      <c r="E226" s="165">
        <f t="shared" si="7"/>
        <v>50</v>
      </c>
      <c r="F226" s="26" t="s">
        <v>193</v>
      </c>
      <c r="G226" s="60" t="s">
        <v>194</v>
      </c>
      <c r="H226" s="448">
        <f t="shared" si="6"/>
        <v>1.0183089969343997</v>
      </c>
      <c r="I226" s="116">
        <v>1.0183089969343997</v>
      </c>
      <c r="J226" s="116">
        <v>1.0183089969343997</v>
      </c>
    </row>
    <row r="227" spans="1:11" s="164" customFormat="1" ht="14.5" x14ac:dyDescent="0.35">
      <c r="A227" s="191"/>
      <c r="B227" s="191"/>
      <c r="C227" s="191"/>
      <c r="D227" s="191"/>
      <c r="E227" s="165">
        <f t="shared" si="7"/>
        <v>51</v>
      </c>
      <c r="F227" s="26" t="s">
        <v>193</v>
      </c>
      <c r="G227" s="60" t="s">
        <v>194</v>
      </c>
      <c r="H227" s="448">
        <f t="shared" si="6"/>
        <v>1.0183089969343997</v>
      </c>
      <c r="I227" s="116">
        <v>1.0183089969343997</v>
      </c>
      <c r="J227" s="116">
        <v>1.0183089969343997</v>
      </c>
    </row>
    <row r="228" spans="1:11" s="164" customFormat="1" ht="14.5" x14ac:dyDescent="0.35">
      <c r="A228" s="191"/>
      <c r="B228" s="191"/>
      <c r="C228" s="191"/>
      <c r="D228" s="191"/>
      <c r="E228" s="165">
        <f t="shared" si="7"/>
        <v>52</v>
      </c>
      <c r="F228" s="26" t="s">
        <v>193</v>
      </c>
      <c r="G228" s="60" t="s">
        <v>194</v>
      </c>
      <c r="H228" s="448">
        <f t="shared" si="6"/>
        <v>1.0183089969343997</v>
      </c>
      <c r="I228" s="116">
        <v>1.0183089969343997</v>
      </c>
      <c r="J228" s="116">
        <v>1.0183089969343997</v>
      </c>
    </row>
    <row r="229" spans="1:11" s="164" customFormat="1" ht="14.5" x14ac:dyDescent="0.35">
      <c r="A229" s="191"/>
      <c r="B229" s="191"/>
      <c r="C229" s="191"/>
      <c r="D229" s="191"/>
      <c r="E229" s="165">
        <f t="shared" si="7"/>
        <v>53</v>
      </c>
      <c r="F229" s="26" t="s">
        <v>193</v>
      </c>
      <c r="G229" s="60" t="s">
        <v>194</v>
      </c>
      <c r="H229" s="448">
        <f t="shared" si="6"/>
        <v>1.0183089969343997</v>
      </c>
      <c r="I229" s="116">
        <v>1.0183089969343997</v>
      </c>
      <c r="J229" s="116">
        <v>1.0183089969343997</v>
      </c>
    </row>
    <row r="230" spans="1:11" s="164" customFormat="1" ht="14.5" x14ac:dyDescent="0.35">
      <c r="A230" s="191"/>
      <c r="B230" s="191"/>
      <c r="C230" s="191"/>
      <c r="D230" s="191"/>
      <c r="E230" s="165">
        <f t="shared" si="7"/>
        <v>54</v>
      </c>
      <c r="F230" s="26" t="s">
        <v>193</v>
      </c>
      <c r="G230" s="60" t="s">
        <v>194</v>
      </c>
      <c r="H230" s="448">
        <f t="shared" si="6"/>
        <v>1.0183089969343997</v>
      </c>
      <c r="I230" s="116">
        <v>1.0183089969343997</v>
      </c>
      <c r="J230" s="116">
        <v>1.0183089969343997</v>
      </c>
    </row>
    <row r="231" spans="1:11" s="164" customFormat="1" ht="14.5" x14ac:dyDescent="0.35">
      <c r="A231" s="191"/>
      <c r="B231" s="191"/>
      <c r="C231" s="191"/>
      <c r="D231" s="191"/>
      <c r="E231" s="165">
        <f t="shared" si="7"/>
        <v>55</v>
      </c>
      <c r="F231" s="26" t="s">
        <v>193</v>
      </c>
      <c r="G231" s="60" t="s">
        <v>194</v>
      </c>
      <c r="H231" s="448">
        <f t="shared" si="6"/>
        <v>1</v>
      </c>
      <c r="I231" s="116">
        <v>1</v>
      </c>
      <c r="J231" s="116">
        <v>1</v>
      </c>
    </row>
    <row r="232" spans="1:11" s="164" customFormat="1" ht="14.5" x14ac:dyDescent="0.35">
      <c r="A232" s="191"/>
      <c r="B232" s="191"/>
      <c r="C232" s="191"/>
      <c r="D232" s="191"/>
      <c r="E232" s="165">
        <f t="shared" si="7"/>
        <v>56</v>
      </c>
      <c r="F232" s="26" t="s">
        <v>193</v>
      </c>
      <c r="G232" s="60" t="s">
        <v>194</v>
      </c>
      <c r="H232" s="448">
        <f t="shared" si="6"/>
        <v>0.99650221555625684</v>
      </c>
      <c r="I232" s="116">
        <v>0.99650221555625684</v>
      </c>
      <c r="J232" s="116">
        <v>0.99650221555625684</v>
      </c>
    </row>
    <row r="233" spans="1:11" s="164" customFormat="1" ht="14.5" x14ac:dyDescent="0.35">
      <c r="A233" s="191"/>
      <c r="B233" s="191"/>
      <c r="C233" s="191"/>
      <c r="D233" s="191"/>
      <c r="E233" s="165">
        <f t="shared" si="7"/>
        <v>57</v>
      </c>
      <c r="F233" s="26" t="s">
        <v>193</v>
      </c>
      <c r="G233" s="60" t="s">
        <v>194</v>
      </c>
      <c r="H233" s="448">
        <f t="shared" si="6"/>
        <v>0.99302881481560612</v>
      </c>
      <c r="I233" s="116">
        <v>0.99302881481560612</v>
      </c>
      <c r="J233" s="116">
        <v>0.99302881481560612</v>
      </c>
    </row>
    <row r="234" spans="1:11" s="164" customFormat="1" ht="14.5" x14ac:dyDescent="0.35">
      <c r="A234" s="191"/>
      <c r="B234" s="191"/>
      <c r="C234" s="191"/>
      <c r="D234" s="191"/>
      <c r="E234" s="165">
        <f t="shared" si="7"/>
        <v>58</v>
      </c>
      <c r="F234" s="26" t="s">
        <v>193</v>
      </c>
      <c r="G234" s="60" t="s">
        <v>194</v>
      </c>
      <c r="H234" s="448">
        <f t="shared" si="6"/>
        <v>0.98957954368873513</v>
      </c>
      <c r="I234" s="116">
        <v>0.98957954368873513</v>
      </c>
      <c r="J234" s="116">
        <v>0.98957954368873513</v>
      </c>
    </row>
    <row r="235" spans="1:11" s="164" customFormat="1" ht="14.5" x14ac:dyDescent="0.35">
      <c r="A235" s="191"/>
      <c r="B235" s="191"/>
      <c r="C235" s="191"/>
      <c r="D235" s="191"/>
      <c r="E235" s="165">
        <f t="shared" si="7"/>
        <v>59</v>
      </c>
      <c r="F235" s="26" t="s">
        <v>193</v>
      </c>
      <c r="G235" s="60" t="s">
        <v>194</v>
      </c>
      <c r="H235" s="448">
        <f t="shared" si="6"/>
        <v>0.986154151604413</v>
      </c>
      <c r="I235" s="116">
        <v>0.986154151604413</v>
      </c>
      <c r="J235" s="116">
        <v>0.986154151604413</v>
      </c>
    </row>
    <row r="236" spans="1:11" s="164" customFormat="1" ht="14.5" x14ac:dyDescent="0.35">
      <c r="A236" s="109"/>
      <c r="B236" s="513"/>
      <c r="C236" s="513"/>
      <c r="D236" s="109"/>
      <c r="E236" s="165">
        <f t="shared" si="7"/>
        <v>60</v>
      </c>
      <c r="F236" s="26" t="s">
        <v>193</v>
      </c>
      <c r="G236" s="60" t="s">
        <v>194</v>
      </c>
      <c r="H236" s="448">
        <f t="shared" si="6"/>
        <v>0.98275239144881321</v>
      </c>
      <c r="I236" s="116">
        <v>0.98275239144881321</v>
      </c>
      <c r="J236" s="116">
        <v>0.98275239144881321</v>
      </c>
      <c r="K236" s="109"/>
    </row>
    <row r="237" spans="1:11" s="164" customFormat="1" ht="14.5" x14ac:dyDescent="0.35">
      <c r="A237" s="109"/>
      <c r="B237" s="513"/>
      <c r="C237" s="513"/>
      <c r="D237" s="109"/>
      <c r="E237" s="165">
        <f t="shared" si="7"/>
        <v>61</v>
      </c>
      <c r="F237" s="26" t="s">
        <v>193</v>
      </c>
      <c r="G237" s="60" t="s">
        <v>194</v>
      </c>
      <c r="H237" s="448">
        <f t="shared" si="6"/>
        <v>0.98222226488593734</v>
      </c>
      <c r="I237" s="116">
        <v>0.98222226488593734</v>
      </c>
      <c r="J237" s="116">
        <v>0.98222226488593734</v>
      </c>
      <c r="K237" s="109"/>
    </row>
    <row r="238" spans="1:11" s="164" customFormat="1" ht="14.5" x14ac:dyDescent="0.35">
      <c r="A238" s="109"/>
      <c r="B238" s="513"/>
      <c r="C238" s="513"/>
      <c r="D238" s="109"/>
      <c r="E238" s="165">
        <f t="shared" si="7"/>
        <v>62</v>
      </c>
      <c r="F238" s="26" t="s">
        <v>193</v>
      </c>
      <c r="G238" s="60" t="s">
        <v>194</v>
      </c>
      <c r="H238" s="448">
        <f t="shared" si="6"/>
        <v>0.98169270994752844</v>
      </c>
      <c r="I238" s="116">
        <v>0.98169270994752844</v>
      </c>
      <c r="J238" s="116">
        <v>0.98169270994752844</v>
      </c>
      <c r="K238" s="109"/>
    </row>
    <row r="239" spans="1:11" s="164" customFormat="1" ht="14.5" x14ac:dyDescent="0.35">
      <c r="A239" s="109"/>
      <c r="B239" s="513"/>
      <c r="C239" s="513"/>
      <c r="D239" s="109"/>
      <c r="E239" s="165">
        <f t="shared" si="7"/>
        <v>63</v>
      </c>
      <c r="F239" s="26" t="s">
        <v>193</v>
      </c>
      <c r="G239" s="60" t="s">
        <v>194</v>
      </c>
      <c r="H239" s="448">
        <f t="shared" si="6"/>
        <v>0.9811637257095287</v>
      </c>
      <c r="I239" s="116">
        <v>0.9811637257095287</v>
      </c>
      <c r="J239" s="116">
        <v>0.9811637257095287</v>
      </c>
      <c r="K239" s="109"/>
    </row>
    <row r="240" spans="1:11" s="164" customFormat="1" ht="14.5" x14ac:dyDescent="0.35">
      <c r="A240" s="109"/>
      <c r="B240" s="513"/>
      <c r="C240" s="513"/>
      <c r="D240" s="109"/>
      <c r="E240" s="165">
        <f t="shared" si="7"/>
        <v>64</v>
      </c>
      <c r="F240" s="26" t="s">
        <v>193</v>
      </c>
      <c r="G240" s="60" t="s">
        <v>194</v>
      </c>
      <c r="H240" s="448">
        <f t="shared" si="6"/>
        <v>0.98063531124987058</v>
      </c>
      <c r="I240" s="116">
        <v>0.98063531124987058</v>
      </c>
      <c r="J240" s="116">
        <v>0.98063531124987058</v>
      </c>
      <c r="K240" s="109"/>
    </row>
    <row r="241" spans="1:11" s="164" customFormat="1" ht="14.5" x14ac:dyDescent="0.35">
      <c r="A241" s="109"/>
      <c r="B241" s="513"/>
      <c r="C241" s="513"/>
      <c r="D241" s="109"/>
      <c r="E241" s="165">
        <f t="shared" si="7"/>
        <v>65</v>
      </c>
      <c r="F241" s="26" t="s">
        <v>193</v>
      </c>
      <c r="G241" s="60" t="s">
        <v>194</v>
      </c>
      <c r="H241" s="448">
        <f t="shared" si="6"/>
        <v>0.98010746564847251</v>
      </c>
      <c r="I241" s="116">
        <v>0.98010746564847251</v>
      </c>
      <c r="J241" s="116">
        <v>0.98010746564847251</v>
      </c>
      <c r="K241" s="109"/>
    </row>
    <row r="242" spans="1:11" s="164" customFormat="1" ht="14.5" x14ac:dyDescent="0.35">
      <c r="A242" s="26"/>
      <c r="B242" s="47"/>
      <c r="C242" s="47"/>
      <c r="D242" s="26"/>
      <c r="E242" s="165">
        <f t="shared" si="7"/>
        <v>66</v>
      </c>
      <c r="F242" s="26" t="s">
        <v>193</v>
      </c>
      <c r="G242" s="60" t="s">
        <v>194</v>
      </c>
      <c r="H242" s="448">
        <f t="shared" si="6"/>
        <v>0.97903598239237843</v>
      </c>
      <c r="I242" s="116">
        <v>0.97903598239237843</v>
      </c>
      <c r="J242" s="116">
        <v>0.97903598239237843</v>
      </c>
      <c r="K242" s="109"/>
    </row>
    <row r="243" spans="1:11" s="164" customFormat="1" ht="14.5" x14ac:dyDescent="0.35">
      <c r="A243" s="26"/>
      <c r="B243" s="47"/>
      <c r="C243" s="47"/>
      <c r="D243" s="26"/>
      <c r="E243" s="165">
        <f t="shared" si="7"/>
        <v>67</v>
      </c>
      <c r="F243" s="26" t="s">
        <v>193</v>
      </c>
      <c r="G243" s="60" t="s">
        <v>194</v>
      </c>
      <c r="H243" s="448">
        <f t="shared" si="6"/>
        <v>0.97796683933400119</v>
      </c>
      <c r="I243" s="116">
        <v>0.97796683933400119</v>
      </c>
      <c r="J243" s="116">
        <v>0.97796683933400119</v>
      </c>
      <c r="K243" s="109"/>
    </row>
    <row r="244" spans="1:11" s="164" customFormat="1" ht="14.5" x14ac:dyDescent="0.35">
      <c r="A244" s="26"/>
      <c r="B244" s="47"/>
      <c r="C244" s="47"/>
      <c r="D244" s="26"/>
      <c r="E244" s="165">
        <f t="shared" si="7"/>
        <v>68</v>
      </c>
      <c r="F244" s="26" t="s">
        <v>193</v>
      </c>
      <c r="G244" s="60" t="s">
        <v>194</v>
      </c>
      <c r="H244" s="448">
        <f t="shared" si="6"/>
        <v>0.97690002881496008</v>
      </c>
      <c r="I244" s="116">
        <v>0.97690002881496008</v>
      </c>
      <c r="J244" s="116">
        <v>0.97690002881496008</v>
      </c>
      <c r="K244" s="109"/>
    </row>
    <row r="245" spans="1:11" s="164" customFormat="1" ht="14.5" x14ac:dyDescent="0.35">
      <c r="A245" s="26"/>
      <c r="B245" s="47"/>
      <c r="C245" s="47"/>
      <c r="D245" s="26"/>
      <c r="E245" s="165">
        <f t="shared" si="7"/>
        <v>69</v>
      </c>
      <c r="F245" s="26" t="s">
        <v>193</v>
      </c>
      <c r="G245" s="60" t="s">
        <v>194</v>
      </c>
      <c r="H245" s="448">
        <f t="shared" ref="H245:H246" si="8">IF($H$10=$I$6, $I245, $J245)</f>
        <v>0.97583554321025401</v>
      </c>
      <c r="I245" s="116">
        <v>0.97583554321025401</v>
      </c>
      <c r="J245" s="116">
        <v>0.97583554321025401</v>
      </c>
      <c r="K245" s="109"/>
    </row>
    <row r="246" spans="1:11" s="164" customFormat="1" ht="14.5" x14ac:dyDescent="0.35">
      <c r="A246" s="26"/>
      <c r="B246" s="47"/>
      <c r="C246" s="47"/>
      <c r="D246" s="26"/>
      <c r="E246" s="165">
        <f t="shared" si="7"/>
        <v>70</v>
      </c>
      <c r="F246" s="26" t="s">
        <v>193</v>
      </c>
      <c r="G246" s="60" t="s">
        <v>194</v>
      </c>
      <c r="H246" s="448">
        <f t="shared" si="8"/>
        <v>0.97477337492808003</v>
      </c>
      <c r="I246" s="116">
        <v>0.97477337492808003</v>
      </c>
      <c r="J246" s="116">
        <v>0.97477337492808003</v>
      </c>
      <c r="K246" s="109"/>
    </row>
    <row r="247" spans="1:11" ht="5.25" customHeight="1" x14ac:dyDescent="0.35">
      <c r="A247" s="219"/>
      <c r="B247" s="220"/>
      <c r="C247" s="220"/>
      <c r="D247" s="219"/>
      <c r="E247" s="219"/>
      <c r="F247" s="219"/>
      <c r="G247" s="221"/>
      <c r="H247" s="449"/>
      <c r="I247" s="219"/>
      <c r="J247" s="219"/>
      <c r="K247" s="208"/>
    </row>
    <row r="248" spans="1:11" ht="14.5" x14ac:dyDescent="0.35">
      <c r="A248" s="672" t="s">
        <v>196</v>
      </c>
      <c r="B248" s="673"/>
      <c r="C248" s="673"/>
      <c r="D248" s="673"/>
      <c r="E248" s="673"/>
      <c r="F248" s="673"/>
      <c r="G248" s="673"/>
      <c r="H248" s="673"/>
      <c r="I248" s="673"/>
      <c r="J248" s="673"/>
      <c r="K248" s="674"/>
    </row>
    <row r="249" spans="1:11" ht="5.25" customHeight="1" x14ac:dyDescent="0.35">
      <c r="A249" s="209"/>
      <c r="B249" s="210"/>
      <c r="C249" s="210"/>
      <c r="D249" s="209"/>
      <c r="E249" s="209"/>
      <c r="F249" s="209"/>
      <c r="G249" s="215"/>
      <c r="H249" s="433"/>
      <c r="I249" s="209"/>
      <c r="J249" s="209"/>
      <c r="K249" s="213"/>
    </row>
    <row r="250" spans="1:11" ht="15" customHeight="1" x14ac:dyDescent="0.35">
      <c r="C250" s="2" t="s">
        <v>197</v>
      </c>
      <c r="K250" s="10"/>
    </row>
    <row r="251" spans="1:11" ht="5.25" customHeight="1" x14ac:dyDescent="0.35">
      <c r="H251" s="37" t="s">
        <v>170</v>
      </c>
    </row>
    <row r="252" spans="1:11" ht="15" customHeight="1" x14ac:dyDescent="0.35">
      <c r="C252" s="2"/>
      <c r="E252" s="4" t="s">
        <v>198</v>
      </c>
      <c r="F252" s="10" t="s">
        <v>133</v>
      </c>
      <c r="G252" s="43" t="s">
        <v>121</v>
      </c>
      <c r="H252" s="444">
        <f>IF($H$10=$I$6, $I252, $J252)</f>
        <v>2055</v>
      </c>
      <c r="I252" s="24">
        <v>2055</v>
      </c>
      <c r="J252" s="24">
        <v>2055</v>
      </c>
    </row>
    <row r="253" spans="1:11" ht="5.25" customHeight="1" x14ac:dyDescent="0.35">
      <c r="C253" s="2"/>
      <c r="F253" s="10"/>
      <c r="H253" s="445"/>
    </row>
    <row r="254" spans="1:11" ht="14.5" x14ac:dyDescent="0.35">
      <c r="C254" s="2"/>
      <c r="E254" s="4" t="s">
        <v>199</v>
      </c>
      <c r="F254" s="10" t="s">
        <v>133</v>
      </c>
      <c r="G254" s="43" t="s">
        <v>200</v>
      </c>
      <c r="H254" s="450">
        <f>IF($H$10=$I$6, $I254, $J254)</f>
        <v>0</v>
      </c>
      <c r="I254" s="161">
        <v>0</v>
      </c>
      <c r="J254" s="161">
        <v>0</v>
      </c>
    </row>
    <row r="255" spans="1:11" ht="5.25" customHeight="1" x14ac:dyDescent="0.35">
      <c r="C255" s="2"/>
      <c r="F255" s="10"/>
      <c r="H255" s="445"/>
    </row>
    <row r="256" spans="1:11" ht="15" customHeight="1" x14ac:dyDescent="0.35">
      <c r="C256" s="2"/>
      <c r="E256" s="4" t="s">
        <v>201</v>
      </c>
      <c r="G256" s="43" t="s">
        <v>180</v>
      </c>
      <c r="H256" s="450">
        <f>IF($H$10=$I$6, $I256, $J256)</f>
        <v>0</v>
      </c>
      <c r="I256" s="161">
        <v>0</v>
      </c>
      <c r="J256" s="161">
        <v>0</v>
      </c>
    </row>
    <row r="257" spans="1:11" ht="5.25" customHeight="1" x14ac:dyDescent="0.35">
      <c r="C257" s="2"/>
    </row>
    <row r="258" spans="1:11" ht="14.5" x14ac:dyDescent="0.35">
      <c r="C258" s="2"/>
      <c r="E258" s="4" t="s">
        <v>202</v>
      </c>
      <c r="F258" s="4" t="s">
        <v>203</v>
      </c>
      <c r="G258" s="43" t="s">
        <v>204</v>
      </c>
      <c r="H258" s="151">
        <f>IF($H$10=$I$6, $I258, $J258)</f>
        <v>8780</v>
      </c>
      <c r="I258" s="163">
        <v>8780</v>
      </c>
      <c r="J258" s="163">
        <v>8780</v>
      </c>
    </row>
    <row r="259" spans="1:11" ht="5.25" customHeight="1" x14ac:dyDescent="0.35">
      <c r="C259" s="2"/>
      <c r="H259" s="451"/>
    </row>
    <row r="260" spans="1:11" ht="14.5" x14ac:dyDescent="0.35">
      <c r="C260" s="2"/>
      <c r="E260" s="4" t="s">
        <v>205</v>
      </c>
      <c r="F260" s="4" t="s">
        <v>203</v>
      </c>
      <c r="G260" s="43" t="s">
        <v>206</v>
      </c>
      <c r="H260" s="151">
        <f>IF($H$10=$I$6, $I260, $J260)</f>
        <v>10217</v>
      </c>
      <c r="I260" s="163">
        <v>10217</v>
      </c>
      <c r="J260" s="163">
        <v>10217</v>
      </c>
    </row>
    <row r="261" spans="1:11" ht="5.25" customHeight="1" x14ac:dyDescent="0.35">
      <c r="C261" s="2"/>
    </row>
    <row r="262" spans="1:11" ht="14.5" x14ac:dyDescent="0.35">
      <c r="C262" s="2"/>
      <c r="E262" s="4" t="s">
        <v>207</v>
      </c>
      <c r="F262" s="4" t="s">
        <v>203</v>
      </c>
      <c r="G262" s="43" t="s">
        <v>208</v>
      </c>
      <c r="H262" s="151">
        <f>IF($H$10=$I$6, $I262, $J262)</f>
        <v>9750</v>
      </c>
      <c r="I262" s="163">
        <v>9750</v>
      </c>
      <c r="J262" s="163">
        <v>9750</v>
      </c>
    </row>
    <row r="263" spans="1:11" ht="5.25" customHeight="1" x14ac:dyDescent="0.35">
      <c r="E263" s="26"/>
      <c r="F263" s="26"/>
      <c r="H263" s="151"/>
    </row>
    <row r="264" spans="1:11" ht="15" customHeight="1" x14ac:dyDescent="0.35">
      <c r="C264" s="2" t="s">
        <v>209</v>
      </c>
    </row>
    <row r="265" spans="1:11" ht="5.25" customHeight="1" x14ac:dyDescent="0.35">
      <c r="C265" s="2"/>
    </row>
    <row r="266" spans="1:11" ht="15" customHeight="1" x14ac:dyDescent="0.35">
      <c r="C266" s="2"/>
      <c r="E266" s="4" t="s">
        <v>210</v>
      </c>
      <c r="F266" s="10" t="s">
        <v>133</v>
      </c>
      <c r="G266" s="43" t="s">
        <v>121</v>
      </c>
      <c r="H266" s="444">
        <f>IF($H$10=$I$6, $I266, $J266)</f>
        <v>2055</v>
      </c>
      <c r="I266" s="24">
        <v>2055</v>
      </c>
      <c r="J266" s="24">
        <v>2055</v>
      </c>
    </row>
    <row r="267" spans="1:11" ht="5.25" customHeight="1" x14ac:dyDescent="0.35">
      <c r="H267" s="37" t="s">
        <v>170</v>
      </c>
    </row>
    <row r="268" spans="1:11" ht="15" customHeight="1" x14ac:dyDescent="0.35">
      <c r="A268" s="22"/>
      <c r="C268" s="2"/>
      <c r="E268" s="4" t="s">
        <v>211</v>
      </c>
      <c r="G268" s="43" t="s">
        <v>180</v>
      </c>
      <c r="H268" s="450">
        <f>IF($H$10=$I$6, $I268, $J268)</f>
        <v>0</v>
      </c>
      <c r="I268" s="161">
        <v>0</v>
      </c>
      <c r="J268" s="161">
        <v>0</v>
      </c>
      <c r="K268" s="10"/>
    </row>
    <row r="269" spans="1:11" ht="5.25" customHeight="1" x14ac:dyDescent="0.35">
      <c r="A269" s="22"/>
      <c r="C269" s="2"/>
      <c r="H269" s="445"/>
      <c r="K269" s="10"/>
    </row>
    <row r="270" spans="1:11" ht="14.5" hidden="1" x14ac:dyDescent="0.35">
      <c r="A270" s="672" t="s">
        <v>212</v>
      </c>
      <c r="B270" s="673"/>
      <c r="C270" s="673"/>
      <c r="D270" s="673"/>
      <c r="E270" s="673"/>
      <c r="F270" s="673"/>
      <c r="G270" s="673"/>
      <c r="H270" s="673"/>
      <c r="I270" s="673"/>
      <c r="J270" s="673"/>
      <c r="K270" s="674"/>
    </row>
    <row r="271" spans="1:11" ht="5.25" customHeight="1" x14ac:dyDescent="0.35">
      <c r="A271" s="209"/>
      <c r="B271" s="210"/>
      <c r="C271" s="210"/>
      <c r="D271" s="209"/>
      <c r="E271" s="209"/>
      <c r="F271" s="209"/>
      <c r="G271" s="215"/>
      <c r="H271" s="433"/>
      <c r="I271" s="209"/>
      <c r="J271" s="209"/>
      <c r="K271" s="213"/>
    </row>
    <row r="272" spans="1:11" ht="14.5" x14ac:dyDescent="0.35">
      <c r="A272" s="209"/>
      <c r="B272" s="210"/>
      <c r="C272" s="210" t="s">
        <v>213</v>
      </c>
      <c r="D272" s="209"/>
      <c r="E272" s="209"/>
      <c r="F272" s="209"/>
      <c r="G272" s="215"/>
      <c r="H272" s="433"/>
      <c r="I272" s="209"/>
      <c r="J272" s="209"/>
      <c r="K272" s="213"/>
    </row>
    <row r="273" spans="1:11" ht="5.25" customHeight="1" x14ac:dyDescent="0.35">
      <c r="A273" s="209"/>
      <c r="B273" s="210"/>
      <c r="C273" s="210"/>
      <c r="D273" s="209"/>
      <c r="E273" s="209"/>
      <c r="F273" s="209"/>
      <c r="G273" s="215"/>
      <c r="H273" s="433"/>
      <c r="I273" s="209"/>
      <c r="J273" s="209"/>
      <c r="K273" s="213"/>
    </row>
    <row r="274" spans="1:11" ht="14.5" x14ac:dyDescent="0.35">
      <c r="A274" s="209"/>
      <c r="B274" s="210"/>
      <c r="C274" s="210"/>
      <c r="D274" s="209"/>
      <c r="E274" s="209" t="s">
        <v>214</v>
      </c>
      <c r="F274" s="209" t="s">
        <v>215</v>
      </c>
      <c r="G274" s="215"/>
      <c r="H274" s="452">
        <f t="shared" ref="H274:H282" si="9">IF($H$10=$I$6, $I274, $J274)</f>
        <v>0.88</v>
      </c>
      <c r="I274" s="161">
        <v>0.88</v>
      </c>
      <c r="J274" s="161">
        <v>0.88</v>
      </c>
      <c r="K274" s="213"/>
    </row>
    <row r="275" spans="1:11" ht="14.5" x14ac:dyDescent="0.35">
      <c r="A275" s="209"/>
      <c r="B275" s="210"/>
      <c r="C275" s="210"/>
      <c r="D275" s="209"/>
      <c r="E275" s="209" t="s">
        <v>216</v>
      </c>
      <c r="F275" s="209" t="s">
        <v>215</v>
      </c>
      <c r="G275" s="215"/>
      <c r="H275" s="452">
        <f t="shared" si="9"/>
        <v>7.0000000000000007E-2</v>
      </c>
      <c r="I275" s="161">
        <v>7.0000000000000007E-2</v>
      </c>
      <c r="J275" s="161">
        <v>7.0000000000000007E-2</v>
      </c>
      <c r="K275" s="213"/>
    </row>
    <row r="276" spans="1:11" ht="14.5" x14ac:dyDescent="0.35">
      <c r="A276" s="209"/>
      <c r="B276" s="210"/>
      <c r="C276" s="210"/>
      <c r="D276" s="209"/>
      <c r="E276" s="209" t="s">
        <v>217</v>
      </c>
      <c r="F276" s="209" t="s">
        <v>215</v>
      </c>
      <c r="G276" s="215"/>
      <c r="H276" s="452">
        <f t="shared" si="9"/>
        <v>0.02</v>
      </c>
      <c r="I276" s="161">
        <v>0.02</v>
      </c>
      <c r="J276" s="161">
        <v>0.02</v>
      </c>
      <c r="K276" s="213"/>
    </row>
    <row r="277" spans="1:11" ht="5.25" customHeight="1" x14ac:dyDescent="0.35">
      <c r="A277" s="209"/>
      <c r="B277" s="210"/>
      <c r="C277" s="210"/>
      <c r="D277" s="209"/>
      <c r="E277" s="209"/>
      <c r="F277" s="209"/>
      <c r="G277" s="215"/>
      <c r="H277" s="433"/>
      <c r="I277" s="209"/>
      <c r="J277" s="209"/>
      <c r="K277" s="213"/>
    </row>
    <row r="278" spans="1:11" ht="14.5" x14ac:dyDescent="0.35">
      <c r="A278" s="209"/>
      <c r="B278" s="210"/>
      <c r="C278" s="210"/>
      <c r="D278" s="209"/>
      <c r="E278" s="209" t="s">
        <v>218</v>
      </c>
      <c r="F278" s="209" t="s">
        <v>219</v>
      </c>
      <c r="G278" s="215"/>
      <c r="H278" s="452">
        <f>H274/SUM($H$274:$H$276)</f>
        <v>0.90721649484536082</v>
      </c>
      <c r="I278" s="230"/>
      <c r="J278" s="230"/>
      <c r="K278" s="209"/>
    </row>
    <row r="279" spans="1:11" ht="14.5" x14ac:dyDescent="0.35">
      <c r="A279" s="209"/>
      <c r="B279" s="210"/>
      <c r="C279" s="210"/>
      <c r="D279" s="209"/>
      <c r="E279" s="209" t="s">
        <v>220</v>
      </c>
      <c r="F279" s="209" t="s">
        <v>219</v>
      </c>
      <c r="G279" s="215"/>
      <c r="H279" s="452">
        <f>H275/SUM($H$274:$H$276)</f>
        <v>7.2164948453608255E-2</v>
      </c>
      <c r="I279" s="230"/>
      <c r="J279" s="230"/>
      <c r="K279" s="209"/>
    </row>
    <row r="280" spans="1:11" ht="14.5" x14ac:dyDescent="0.35">
      <c r="A280" s="209"/>
      <c r="B280" s="210"/>
      <c r="C280" s="210"/>
      <c r="D280" s="209"/>
      <c r="E280" s="209" t="s">
        <v>221</v>
      </c>
      <c r="F280" s="209" t="s">
        <v>219</v>
      </c>
      <c r="G280" s="215"/>
      <c r="H280" s="452">
        <f>H276/SUM($H$274:$H$276)</f>
        <v>2.0618556701030927E-2</v>
      </c>
      <c r="I280" s="230"/>
      <c r="J280" s="230"/>
      <c r="K280" s="209"/>
    </row>
    <row r="281" spans="1:11" ht="5.25" customHeight="1" x14ac:dyDescent="0.35">
      <c r="A281" s="209"/>
      <c r="B281" s="210"/>
      <c r="C281" s="210"/>
      <c r="D281" s="209"/>
      <c r="E281" s="209"/>
      <c r="F281" s="209"/>
      <c r="G281" s="215"/>
      <c r="H281" s="433"/>
      <c r="I281" s="209"/>
      <c r="J281" s="209"/>
      <c r="K281" s="213"/>
    </row>
    <row r="282" spans="1:11" ht="14.5" x14ac:dyDescent="0.35">
      <c r="A282" s="209"/>
      <c r="B282" s="210"/>
      <c r="C282" s="210"/>
      <c r="D282" s="209"/>
      <c r="E282" s="209" t="s">
        <v>222</v>
      </c>
      <c r="F282" s="209" t="s">
        <v>215</v>
      </c>
      <c r="G282" s="215"/>
      <c r="H282" s="452">
        <f t="shared" si="9"/>
        <v>0.03</v>
      </c>
      <c r="I282" s="161">
        <v>0.03</v>
      </c>
      <c r="J282" s="161">
        <v>0.03</v>
      </c>
      <c r="K282" s="213"/>
    </row>
    <row r="283" spans="1:11" ht="5.25" customHeight="1" x14ac:dyDescent="0.35">
      <c r="H283" s="37" t="s">
        <v>170</v>
      </c>
    </row>
    <row r="284" spans="1:11" ht="14.5" x14ac:dyDescent="0.35">
      <c r="C284" s="210"/>
      <c r="D284" s="209"/>
      <c r="E284" s="209" t="s">
        <v>223</v>
      </c>
      <c r="F284" s="209" t="s">
        <v>219</v>
      </c>
      <c r="G284" s="215"/>
      <c r="H284" s="453">
        <f>H282/H282</f>
        <v>1</v>
      </c>
      <c r="I284" s="234"/>
      <c r="J284" s="234"/>
    </row>
    <row r="285" spans="1:11" ht="5.25" customHeight="1" x14ac:dyDescent="0.35">
      <c r="C285" s="210"/>
      <c r="D285" s="209"/>
      <c r="E285" s="209"/>
      <c r="F285" s="209"/>
      <c r="G285" s="215"/>
      <c r="H285" s="433"/>
      <c r="I285" s="209"/>
      <c r="J285" s="209"/>
    </row>
    <row r="286" spans="1:11" ht="15" customHeight="1" x14ac:dyDescent="0.35">
      <c r="C286" s="2" t="s">
        <v>224</v>
      </c>
    </row>
    <row r="287" spans="1:11" ht="5.25" customHeight="1" x14ac:dyDescent="0.35"/>
    <row r="288" spans="1:11" ht="14.5" x14ac:dyDescent="0.35">
      <c r="D288" s="3" t="s">
        <v>225</v>
      </c>
    </row>
    <row r="289" spans="3:10" ht="5.25" customHeight="1" x14ac:dyDescent="0.35"/>
    <row r="290" spans="3:10" ht="15" customHeight="1" x14ac:dyDescent="0.35">
      <c r="E290" s="4" t="s">
        <v>226</v>
      </c>
      <c r="F290" s="4" t="s">
        <v>227</v>
      </c>
      <c r="G290" s="43" t="s">
        <v>228</v>
      </c>
      <c r="H290" s="454">
        <f>IF($H$10=$I$6, $I290, $J290)</f>
        <v>2242</v>
      </c>
      <c r="I290" s="163">
        <v>2242</v>
      </c>
      <c r="J290" s="163">
        <v>2242</v>
      </c>
    </row>
    <row r="291" spans="3:10" ht="15" customHeight="1" x14ac:dyDescent="0.35">
      <c r="E291" s="4" t="s">
        <v>229</v>
      </c>
      <c r="F291" s="4" t="s">
        <v>227</v>
      </c>
      <c r="G291" s="43" t="s">
        <v>228</v>
      </c>
      <c r="H291" s="454">
        <f>IF($H$10=$I$6, $I291, $J291)</f>
        <v>1628</v>
      </c>
      <c r="I291" s="163">
        <v>1628</v>
      </c>
      <c r="J291" s="163">
        <v>1628</v>
      </c>
    </row>
    <row r="292" spans="3:10" ht="5.25" customHeight="1" x14ac:dyDescent="0.35">
      <c r="C292" s="206"/>
      <c r="D292" s="126"/>
      <c r="E292" s="126"/>
      <c r="F292" s="126"/>
      <c r="G292" s="216"/>
      <c r="H292" s="432"/>
      <c r="I292" s="126"/>
      <c r="J292" s="126"/>
    </row>
    <row r="293" spans="3:10" ht="14.5" x14ac:dyDescent="0.35">
      <c r="C293" s="206"/>
      <c r="D293" s="126"/>
      <c r="E293" s="126" t="s">
        <v>230</v>
      </c>
      <c r="F293" s="126" t="s">
        <v>231</v>
      </c>
      <c r="G293" s="216" t="s">
        <v>232</v>
      </c>
      <c r="H293" s="454">
        <f>IF($H$10=$I$6, $I293, $J293)</f>
        <v>137381</v>
      </c>
      <c r="I293" s="163">
        <v>137381</v>
      </c>
      <c r="J293" s="163">
        <v>137381</v>
      </c>
    </row>
    <row r="294" spans="3:10" ht="5.25" customHeight="1" x14ac:dyDescent="0.35">
      <c r="C294" s="206"/>
      <c r="D294" s="126"/>
      <c r="E294" s="126"/>
      <c r="F294" s="126"/>
      <c r="G294" s="216"/>
      <c r="H294" s="432"/>
      <c r="I294" s="126"/>
      <c r="J294" s="126"/>
    </row>
    <row r="295" spans="3:10" ht="14.5" x14ac:dyDescent="0.35">
      <c r="C295" s="206"/>
      <c r="D295" s="126"/>
      <c r="E295" s="4" t="s">
        <v>226</v>
      </c>
      <c r="F295" s="126" t="s">
        <v>219</v>
      </c>
      <c r="G295" s="216" t="s">
        <v>233</v>
      </c>
      <c r="H295" s="455">
        <f>IF($H$10=$I$6, $I295, $J295)</f>
        <v>1.6319578398759655E-2</v>
      </c>
      <c r="I295" s="235">
        <f>I290/I$293</f>
        <v>1.6319578398759655E-2</v>
      </c>
      <c r="J295" s="235">
        <f>J290/J$293</f>
        <v>1.6319578398759655E-2</v>
      </c>
    </row>
    <row r="296" spans="3:10" ht="14.5" x14ac:dyDescent="0.35">
      <c r="C296" s="206"/>
      <c r="D296" s="126"/>
      <c r="E296" s="4" t="s">
        <v>229</v>
      </c>
      <c r="F296" s="126" t="s">
        <v>219</v>
      </c>
      <c r="G296" s="216" t="s">
        <v>233</v>
      </c>
      <c r="H296" s="455">
        <f>IF($H$10=$I$6, $I296, $J296)</f>
        <v>1.1850255857796929E-2</v>
      </c>
      <c r="I296" s="235">
        <f>I291/I$293</f>
        <v>1.1850255857796929E-2</v>
      </c>
      <c r="J296" s="235">
        <f>J291/J$293</f>
        <v>1.1850255857796929E-2</v>
      </c>
    </row>
    <row r="297" spans="3:10" ht="5.25" customHeight="1" x14ac:dyDescent="0.35">
      <c r="C297" s="206"/>
      <c r="D297" s="126"/>
      <c r="E297" s="126"/>
      <c r="F297" s="126"/>
      <c r="G297" s="216"/>
      <c r="H297" s="432"/>
      <c r="I297" s="126"/>
      <c r="J297" s="126"/>
    </row>
    <row r="298" spans="3:10" ht="15" customHeight="1" x14ac:dyDescent="0.35">
      <c r="E298" s="4" t="s">
        <v>234</v>
      </c>
      <c r="F298" s="4" t="s">
        <v>227</v>
      </c>
      <c r="G298" s="43" t="s">
        <v>228</v>
      </c>
      <c r="H298" s="454">
        <f>IF($H$10=$I$6, $I298, $J298)</f>
        <v>1196</v>
      </c>
      <c r="I298" s="163">
        <v>1196</v>
      </c>
      <c r="J298" s="163">
        <v>1196</v>
      </c>
    </row>
    <row r="300" spans="3:10" ht="15" customHeight="1" x14ac:dyDescent="0.35">
      <c r="D300" s="126"/>
      <c r="E300" s="126" t="s">
        <v>235</v>
      </c>
      <c r="F300" s="126" t="s">
        <v>231</v>
      </c>
      <c r="G300" s="216" t="s">
        <v>236</v>
      </c>
      <c r="H300" s="454">
        <f>IF($H$10=$I$6, $I300, $J300)</f>
        <v>3412</v>
      </c>
      <c r="I300" s="163">
        <v>3412</v>
      </c>
      <c r="J300" s="163">
        <v>3412</v>
      </c>
    </row>
    <row r="301" spans="3:10" ht="5.25" customHeight="1" x14ac:dyDescent="0.35">
      <c r="D301" s="126"/>
      <c r="E301" s="126"/>
      <c r="F301" s="126"/>
      <c r="G301" s="216"/>
      <c r="H301" s="432"/>
      <c r="I301" s="126"/>
      <c r="J301" s="126"/>
    </row>
    <row r="302" spans="3:10" ht="14.5" x14ac:dyDescent="0.35">
      <c r="D302" s="126"/>
      <c r="E302" s="4" t="s">
        <v>234</v>
      </c>
      <c r="F302" s="126" t="s">
        <v>219</v>
      </c>
      <c r="G302" s="216" t="s">
        <v>237</v>
      </c>
      <c r="H302" s="455">
        <f>IF($H$10=$I$6, $I302, $J302)</f>
        <v>0.35052754982415008</v>
      </c>
      <c r="I302" s="235">
        <f>I298/I$300</f>
        <v>0.35052754982415008</v>
      </c>
      <c r="J302" s="235">
        <f>J298/J$300</f>
        <v>0.35052754982415008</v>
      </c>
    </row>
    <row r="303" spans="3:10" ht="5.25" customHeight="1" x14ac:dyDescent="0.35">
      <c r="D303" s="126"/>
      <c r="E303" s="126"/>
      <c r="F303" s="126"/>
      <c r="G303" s="216"/>
      <c r="H303" s="432"/>
      <c r="I303" s="126"/>
      <c r="J303" s="126"/>
    </row>
    <row r="304" spans="3:10" ht="14.5" x14ac:dyDescent="0.35">
      <c r="D304" s="206" t="s">
        <v>238</v>
      </c>
      <c r="E304" s="126"/>
      <c r="F304" s="126"/>
      <c r="G304" s="216"/>
      <c r="H304" s="432"/>
      <c r="I304" s="126"/>
      <c r="J304" s="126"/>
    </row>
    <row r="305" spans="1:11" ht="5.25" customHeight="1" x14ac:dyDescent="0.35">
      <c r="D305" s="126"/>
      <c r="E305" s="126"/>
      <c r="F305" s="126"/>
      <c r="G305" s="216"/>
      <c r="H305" s="432"/>
      <c r="I305" s="126"/>
      <c r="J305" s="126"/>
    </row>
    <row r="306" spans="1:11" ht="14.5" x14ac:dyDescent="0.35">
      <c r="E306" s="4" t="s">
        <v>239</v>
      </c>
      <c r="F306" s="4" t="s">
        <v>240</v>
      </c>
      <c r="G306" s="43" t="s">
        <v>241</v>
      </c>
      <c r="H306" s="133">
        <f>IF($H$10=$I$6, $I306, $J306)</f>
        <v>1.88</v>
      </c>
      <c r="I306" s="18">
        <v>1.88</v>
      </c>
      <c r="J306" s="18">
        <v>1.88</v>
      </c>
    </row>
    <row r="307" spans="1:11" ht="14.5" x14ac:dyDescent="0.35">
      <c r="E307" s="4" t="s">
        <v>242</v>
      </c>
      <c r="F307" s="4" t="s">
        <v>243</v>
      </c>
      <c r="G307" s="43" t="s">
        <v>241</v>
      </c>
      <c r="H307" s="133">
        <f>IF($H$10=$I$6, $I307, $J307)</f>
        <v>0.8</v>
      </c>
      <c r="I307" s="18">
        <v>0.8</v>
      </c>
      <c r="J307" s="18">
        <v>0.8</v>
      </c>
    </row>
    <row r="308" spans="1:11" ht="14.5" x14ac:dyDescent="0.35">
      <c r="E308" s="4" t="s">
        <v>244</v>
      </c>
      <c r="F308" s="4" t="s">
        <v>240</v>
      </c>
      <c r="G308" s="43" t="s">
        <v>245</v>
      </c>
      <c r="H308" s="456">
        <f>IF($H$10=$I$6, $I308, $J308)</f>
        <v>1.0529999999999999</v>
      </c>
      <c r="I308" s="135">
        <v>1.0529999999999999</v>
      </c>
      <c r="J308" s="135">
        <v>1.0529999999999999</v>
      </c>
    </row>
    <row r="309" spans="1:11" ht="14.5" x14ac:dyDescent="0.35">
      <c r="E309" s="4" t="s">
        <v>246</v>
      </c>
      <c r="F309" s="4" t="s">
        <v>240</v>
      </c>
      <c r="G309" s="43" t="s">
        <v>245</v>
      </c>
      <c r="H309" s="133">
        <f>IF($H$10=$I$6, $I309, $J309)</f>
        <v>0.97</v>
      </c>
      <c r="I309" s="18">
        <v>0.97</v>
      </c>
      <c r="J309" s="18">
        <v>0.97</v>
      </c>
    </row>
    <row r="310" spans="1:11" ht="5.25" customHeight="1" x14ac:dyDescent="0.35"/>
    <row r="311" spans="1:11" ht="14.5" x14ac:dyDescent="0.35">
      <c r="D311" s="206" t="s">
        <v>247</v>
      </c>
    </row>
    <row r="312" spans="1:11" ht="5.25" customHeight="1" x14ac:dyDescent="0.35"/>
    <row r="313" spans="1:11" ht="14.5" x14ac:dyDescent="0.35">
      <c r="E313" s="4" t="s">
        <v>248</v>
      </c>
      <c r="F313" s="4" t="s">
        <v>249</v>
      </c>
      <c r="G313" s="43" t="s">
        <v>250</v>
      </c>
      <c r="H313" s="133">
        <f>IF($H$10=$I$6, $I313, $J313)</f>
        <v>0.29180303217573172</v>
      </c>
      <c r="I313" s="135">
        <v>0.29180303217573172</v>
      </c>
      <c r="J313" s="135">
        <v>0.29180303217573172</v>
      </c>
    </row>
    <row r="314" spans="1:11" ht="14.5" x14ac:dyDescent="0.35">
      <c r="E314" s="4" t="s">
        <v>251</v>
      </c>
      <c r="F314" s="4" t="s">
        <v>249</v>
      </c>
      <c r="G314" s="43" t="s">
        <v>250</v>
      </c>
      <c r="H314" s="133">
        <f>IF($H$10=$I$6, $I314, $J314)</f>
        <v>0.11693358883768595</v>
      </c>
      <c r="I314" s="135">
        <v>0.11693358883768595</v>
      </c>
      <c r="J314" s="135">
        <v>0.11693358883768595</v>
      </c>
    </row>
    <row r="315" spans="1:11" ht="14.5" x14ac:dyDescent="0.35">
      <c r="E315" s="4" t="s">
        <v>252</v>
      </c>
      <c r="F315" s="4" t="s">
        <v>249</v>
      </c>
      <c r="G315" s="43" t="s">
        <v>250</v>
      </c>
      <c r="H315" s="133">
        <f>IF($H$10=$I$6, $I315, $J315)</f>
        <v>0.18090050460267507</v>
      </c>
      <c r="I315" s="135">
        <v>0.18090050460267507</v>
      </c>
      <c r="J315" s="135">
        <v>0.18090050460267507</v>
      </c>
    </row>
    <row r="316" spans="1:11" ht="5.25" customHeight="1" x14ac:dyDescent="0.35">
      <c r="H316" s="37" t="s">
        <v>170</v>
      </c>
    </row>
    <row r="317" spans="1:11" ht="15" customHeight="1" x14ac:dyDescent="0.35">
      <c r="C317" s="2" t="s">
        <v>253</v>
      </c>
      <c r="K317" s="10"/>
    </row>
    <row r="318" spans="1:11" ht="5.25" customHeight="1" x14ac:dyDescent="0.35">
      <c r="C318" s="2"/>
      <c r="K318" s="10"/>
    </row>
    <row r="319" spans="1:11" ht="14.5" x14ac:dyDescent="0.35">
      <c r="C319" s="2"/>
      <c r="E319" s="4" t="s">
        <v>254</v>
      </c>
      <c r="F319" s="4" t="s">
        <v>240</v>
      </c>
      <c r="G319" s="43" t="s">
        <v>255</v>
      </c>
      <c r="H319" s="151">
        <f>IF($H$10=$I$6, $I319, $J319)</f>
        <v>400</v>
      </c>
      <c r="I319" s="163">
        <v>400</v>
      </c>
      <c r="J319" s="163">
        <v>400</v>
      </c>
      <c r="K319" s="10"/>
    </row>
    <row r="320" spans="1:11" ht="14.5" x14ac:dyDescent="0.35">
      <c r="A320" s="147"/>
      <c r="B320" s="148"/>
      <c r="C320" s="149"/>
      <c r="D320" s="146"/>
      <c r="E320" s="4" t="s">
        <v>256</v>
      </c>
      <c r="F320" s="26" t="s">
        <v>257</v>
      </c>
      <c r="G320" s="60" t="s">
        <v>258</v>
      </c>
      <c r="H320" s="457">
        <f>IF($H$10=$I$6, $I320, $J320)</f>
        <v>4</v>
      </c>
      <c r="I320" s="229">
        <v>4</v>
      </c>
      <c r="J320" s="229">
        <v>4</v>
      </c>
      <c r="K320" s="10"/>
    </row>
    <row r="321" spans="1:11" ht="5.25" customHeight="1" x14ac:dyDescent="0.35">
      <c r="C321" s="2"/>
      <c r="K321" s="10"/>
    </row>
    <row r="322" spans="1:11" ht="14.5" x14ac:dyDescent="0.35">
      <c r="C322" s="2"/>
      <c r="E322" s="4" t="s">
        <v>239</v>
      </c>
      <c r="F322" s="4" t="s">
        <v>240</v>
      </c>
      <c r="G322" s="43" t="s">
        <v>241</v>
      </c>
      <c r="H322" s="133">
        <f>IF($H$10=$I$6, $I322, $J322)</f>
        <v>1.88</v>
      </c>
      <c r="I322" s="18">
        <v>1.88</v>
      </c>
      <c r="J322" s="18">
        <v>1.88</v>
      </c>
      <c r="K322" s="10"/>
    </row>
    <row r="323" spans="1:11" ht="14.5" x14ac:dyDescent="0.35">
      <c r="C323" s="2"/>
      <c r="E323" s="4" t="s">
        <v>242</v>
      </c>
      <c r="F323" s="4" t="s">
        <v>243</v>
      </c>
      <c r="G323" s="43" t="s">
        <v>241</v>
      </c>
      <c r="H323" s="133">
        <f>IF($H$10=$I$6, $I323, $J323)</f>
        <v>0.8</v>
      </c>
      <c r="I323" s="18">
        <v>0.8</v>
      </c>
      <c r="J323" s="18">
        <v>0.8</v>
      </c>
      <c r="K323" s="10"/>
    </row>
    <row r="324" spans="1:11" ht="14.5" x14ac:dyDescent="0.35">
      <c r="C324" s="2"/>
      <c r="E324" s="4" t="s">
        <v>244</v>
      </c>
      <c r="F324" s="4" t="s">
        <v>240</v>
      </c>
      <c r="G324" s="43" t="s">
        <v>245</v>
      </c>
      <c r="H324" s="456">
        <f>IF($H$10=$I$6, $I324, $J324)</f>
        <v>1.0529999999999999</v>
      </c>
      <c r="I324" s="135">
        <v>1.0529999999999999</v>
      </c>
      <c r="J324" s="135">
        <v>1.0529999999999999</v>
      </c>
      <c r="K324" s="10"/>
    </row>
    <row r="325" spans="1:11" ht="14.5" x14ac:dyDescent="0.35">
      <c r="C325" s="2"/>
      <c r="E325" s="4" t="s">
        <v>246</v>
      </c>
      <c r="F325" s="4" t="s">
        <v>240</v>
      </c>
      <c r="G325" s="43" t="s">
        <v>245</v>
      </c>
      <c r="H325" s="133">
        <f>IF($H$10=$I$6, $I325, $J325)</f>
        <v>0.97</v>
      </c>
      <c r="I325" s="18">
        <v>0.97</v>
      </c>
      <c r="J325" s="18">
        <v>0.97</v>
      </c>
      <c r="K325" s="10"/>
    </row>
    <row r="326" spans="1:11" ht="5.25" customHeight="1" x14ac:dyDescent="0.35">
      <c r="C326" s="2"/>
      <c r="K326" s="10"/>
    </row>
    <row r="327" spans="1:11" ht="14.5" hidden="1" x14ac:dyDescent="0.35">
      <c r="A327" s="672" t="s">
        <v>259</v>
      </c>
      <c r="B327" s="673"/>
      <c r="C327" s="673"/>
      <c r="D327" s="673"/>
      <c r="E327" s="673"/>
      <c r="F327" s="673"/>
      <c r="G327" s="673"/>
      <c r="H327" s="673"/>
      <c r="I327" s="673"/>
      <c r="J327" s="673"/>
      <c r="K327" s="674"/>
    </row>
    <row r="328" spans="1:11" ht="5.25" customHeight="1" x14ac:dyDescent="0.35">
      <c r="A328" s="209"/>
      <c r="B328" s="210"/>
      <c r="C328" s="210"/>
      <c r="D328" s="209"/>
      <c r="E328" s="209"/>
      <c r="F328" s="209"/>
      <c r="G328" s="215"/>
      <c r="H328" s="433"/>
      <c r="I328" s="209"/>
      <c r="J328" s="209"/>
      <c r="K328" s="213"/>
    </row>
    <row r="329" spans="1:11" ht="15" customHeight="1" x14ac:dyDescent="0.35">
      <c r="C329" s="2" t="s">
        <v>260</v>
      </c>
      <c r="K329" s="10"/>
    </row>
    <row r="330" spans="1:11" ht="5.25" customHeight="1" x14ac:dyDescent="0.35">
      <c r="K330" s="10"/>
    </row>
    <row r="331" spans="1:11" ht="14.5" x14ac:dyDescent="0.35">
      <c r="D331" s="3" t="s">
        <v>225</v>
      </c>
      <c r="K331" s="10"/>
    </row>
    <row r="332" spans="1:11" ht="5.25" customHeight="1" x14ac:dyDescent="0.35">
      <c r="H332" s="37" t="s">
        <v>170</v>
      </c>
    </row>
    <row r="333" spans="1:11" ht="14.5" x14ac:dyDescent="0.35">
      <c r="E333" s="4" t="s">
        <v>261</v>
      </c>
      <c r="F333" s="4" t="s">
        <v>262</v>
      </c>
      <c r="G333" s="43" t="s">
        <v>263</v>
      </c>
      <c r="H333" s="451">
        <f>IF($H$10=$I$6, $I333, $J333)</f>
        <v>2010921105.8</v>
      </c>
      <c r="I333" s="163">
        <v>2010921105.8</v>
      </c>
      <c r="J333" s="163">
        <v>2010921105.8</v>
      </c>
    </row>
    <row r="334" spans="1:11" ht="14.5" x14ac:dyDescent="0.35">
      <c r="E334" s="4" t="s">
        <v>264</v>
      </c>
      <c r="F334" s="4" t="s">
        <v>262</v>
      </c>
      <c r="G334" s="43" t="s">
        <v>263</v>
      </c>
      <c r="H334" s="451">
        <f>IF($H$10=$I$6, $I334, $J334)</f>
        <v>13644674748.4</v>
      </c>
      <c r="I334" s="163">
        <v>13644674748.4</v>
      </c>
      <c r="J334" s="163">
        <v>13644674748.4</v>
      </c>
    </row>
    <row r="335" spans="1:11" ht="14.5" x14ac:dyDescent="0.35">
      <c r="E335" s="4" t="s">
        <v>265</v>
      </c>
      <c r="F335" s="4" t="s">
        <v>262</v>
      </c>
      <c r="G335" s="43" t="s">
        <v>263</v>
      </c>
      <c r="H335" s="451">
        <f>IF($H$10=$I$6, $I335, $J335)</f>
        <v>60991420.399999999</v>
      </c>
      <c r="I335" s="163">
        <v>60991420.399999999</v>
      </c>
      <c r="J335" s="163">
        <v>60991420.399999999</v>
      </c>
    </row>
    <row r="336" spans="1:11" ht="5.25" customHeight="1" x14ac:dyDescent="0.35"/>
    <row r="337" spans="1:11" ht="14.5" x14ac:dyDescent="0.35">
      <c r="E337" s="4" t="s">
        <v>266</v>
      </c>
      <c r="F337" s="4" t="s">
        <v>262</v>
      </c>
      <c r="G337" s="43" t="s">
        <v>267</v>
      </c>
      <c r="H337" s="451">
        <f>IF($H$10=$I$6, $I337, $J337)</f>
        <v>923847969.20000005</v>
      </c>
      <c r="I337" s="163">
        <v>923847969.20000005</v>
      </c>
      <c r="J337" s="163">
        <v>923847969.20000005</v>
      </c>
    </row>
    <row r="338" spans="1:11" ht="14.5" x14ac:dyDescent="0.35">
      <c r="E338" s="4" t="s">
        <v>268</v>
      </c>
      <c r="F338" s="4" t="s">
        <v>262</v>
      </c>
      <c r="G338" s="43" t="s">
        <v>267</v>
      </c>
      <c r="H338" s="451">
        <f>IF($H$10=$I$6, $I338, $J338)</f>
        <v>3711841807.4000001</v>
      </c>
      <c r="I338" s="163">
        <v>3711841807.4000001</v>
      </c>
      <c r="J338" s="163">
        <v>3711841807.4000001</v>
      </c>
    </row>
    <row r="339" spans="1:11" ht="14.5" x14ac:dyDescent="0.35">
      <c r="E339" s="4" t="s">
        <v>269</v>
      </c>
      <c r="F339" s="4" t="s">
        <v>262</v>
      </c>
      <c r="G339" s="43" t="s">
        <v>267</v>
      </c>
      <c r="H339" s="451">
        <f>IF($H$10=$I$6, $I339, $J339)</f>
        <v>35896164.399999999</v>
      </c>
      <c r="I339" s="163">
        <v>35896164.399999999</v>
      </c>
      <c r="J339" s="163">
        <v>35896164.399999999</v>
      </c>
    </row>
    <row r="340" spans="1:11" ht="5.25" customHeight="1" x14ac:dyDescent="0.35"/>
    <row r="341" spans="1:11" ht="15" customHeight="1" x14ac:dyDescent="0.35">
      <c r="E341" s="4" t="s">
        <v>270</v>
      </c>
      <c r="F341" s="4" t="s">
        <v>219</v>
      </c>
      <c r="G341" s="43" t="s">
        <v>237</v>
      </c>
      <c r="H341" s="458">
        <f>IF($H$10=$I$6, $I341, $J341)</f>
        <v>0.29723920717507651</v>
      </c>
      <c r="I341" s="236">
        <f>SUM(I337:I339)/SUM(I333:I335)</f>
        <v>0.29723920717507651</v>
      </c>
      <c r="J341" s="236">
        <f>SUM(J337:J339)/SUM(J333:J335)</f>
        <v>0.29723920717507651</v>
      </c>
    </row>
    <row r="342" spans="1:11" ht="5.25" customHeight="1" x14ac:dyDescent="0.35">
      <c r="D342" s="126"/>
      <c r="E342" s="126"/>
      <c r="F342" s="126"/>
      <c r="G342" s="216"/>
      <c r="H342" s="432"/>
      <c r="I342" s="126"/>
      <c r="J342" s="126"/>
    </row>
    <row r="343" spans="1:11" ht="14.5" x14ac:dyDescent="0.35">
      <c r="D343" s="206" t="s">
        <v>247</v>
      </c>
    </row>
    <row r="344" spans="1:11" ht="5.25" customHeight="1" x14ac:dyDescent="0.35"/>
    <row r="345" spans="1:11" ht="14.5" x14ac:dyDescent="0.35">
      <c r="E345" s="4" t="s">
        <v>271</v>
      </c>
      <c r="F345" s="4" t="s">
        <v>272</v>
      </c>
      <c r="G345" s="43" t="s">
        <v>250</v>
      </c>
      <c r="H345" s="133">
        <f>IF($H$10=$I$6, $I345, $J345)</f>
        <v>366.11399999999998</v>
      </c>
      <c r="I345" s="135">
        <v>366.11399999999998</v>
      </c>
      <c r="J345" s="135">
        <v>366.11399999999998</v>
      </c>
    </row>
    <row r="346" spans="1:11" ht="14.5" x14ac:dyDescent="0.35">
      <c r="E346" s="4" t="s">
        <v>273</v>
      </c>
      <c r="F346" s="4" t="s">
        <v>272</v>
      </c>
      <c r="G346" s="43" t="s">
        <v>250</v>
      </c>
      <c r="H346" s="133">
        <f>IF($H$10=$I$6, $I346, $J346)</f>
        <v>202.86500000000001</v>
      </c>
      <c r="I346" s="135">
        <v>202.86500000000001</v>
      </c>
      <c r="J346" s="135">
        <v>202.86500000000001</v>
      </c>
    </row>
    <row r="347" spans="1:11" ht="14.5" x14ac:dyDescent="0.35">
      <c r="E347" s="4" t="s">
        <v>274</v>
      </c>
      <c r="F347" s="4" t="s">
        <v>272</v>
      </c>
      <c r="G347" s="43" t="s">
        <v>250</v>
      </c>
      <c r="H347" s="133">
        <f>IF($H$10=$I$6, $I347, $J347)</f>
        <v>267.05599999999998</v>
      </c>
      <c r="I347" s="135">
        <v>267.05599999999998</v>
      </c>
      <c r="J347" s="135">
        <v>267.05599999999998</v>
      </c>
    </row>
    <row r="348" spans="1:11" ht="5.25" customHeight="1" x14ac:dyDescent="0.35">
      <c r="H348" s="37" t="s">
        <v>170</v>
      </c>
    </row>
    <row r="349" spans="1:11" ht="14.5" hidden="1" x14ac:dyDescent="0.35">
      <c r="A349" s="672" t="s">
        <v>275</v>
      </c>
      <c r="B349" s="673"/>
      <c r="C349" s="673"/>
      <c r="D349" s="673"/>
      <c r="E349" s="673"/>
      <c r="F349" s="673"/>
      <c r="G349" s="673"/>
      <c r="H349" s="673"/>
      <c r="I349" s="673"/>
      <c r="J349" s="673"/>
      <c r="K349" s="674"/>
    </row>
    <row r="350" spans="1:11" ht="5.25" customHeight="1" x14ac:dyDescent="0.35">
      <c r="C350" s="2"/>
      <c r="K350" s="10"/>
    </row>
    <row r="351" spans="1:11" ht="14.5" x14ac:dyDescent="0.35">
      <c r="C351" s="2"/>
      <c r="E351" s="4" t="s">
        <v>276</v>
      </c>
      <c r="F351" s="4" t="s">
        <v>277</v>
      </c>
      <c r="G351" s="43" t="s">
        <v>278</v>
      </c>
      <c r="H351" s="133">
        <f>IF($H$10=$I$6, $I351, $J351)</f>
        <v>0.3</v>
      </c>
      <c r="I351" s="135">
        <v>0.3</v>
      </c>
      <c r="J351" s="135">
        <v>0.3</v>
      </c>
      <c r="K351" s="10"/>
    </row>
    <row r="352" spans="1:11" ht="5.25" customHeight="1" x14ac:dyDescent="0.35">
      <c r="C352" s="2"/>
      <c r="K352" s="10"/>
    </row>
    <row r="353" spans="1:11" ht="14.5" hidden="1" x14ac:dyDescent="0.35">
      <c r="A353" s="672" t="s">
        <v>279</v>
      </c>
      <c r="B353" s="673"/>
      <c r="C353" s="673"/>
      <c r="D353" s="673"/>
      <c r="E353" s="673"/>
      <c r="F353" s="673"/>
      <c r="G353" s="673"/>
      <c r="H353" s="673"/>
      <c r="I353" s="673"/>
      <c r="J353" s="673"/>
      <c r="K353" s="674"/>
    </row>
    <row r="354" spans="1:11" ht="5.25" customHeight="1" x14ac:dyDescent="0.35">
      <c r="A354" s="209"/>
      <c r="B354" s="210"/>
      <c r="C354" s="211"/>
      <c r="D354" s="209"/>
      <c r="E354" s="209"/>
      <c r="F354" s="209"/>
      <c r="G354" s="215"/>
      <c r="H354" s="433"/>
      <c r="I354" s="209"/>
      <c r="J354" s="209"/>
      <c r="K354" s="213"/>
    </row>
    <row r="355" spans="1:11" ht="14.5" x14ac:dyDescent="0.35">
      <c r="E355" s="4" t="s">
        <v>280</v>
      </c>
      <c r="F355" s="10" t="s">
        <v>133</v>
      </c>
      <c r="G355" s="43" t="str">
        <f>$H$13&amp;"$ / VMT"</f>
        <v>2024$ / VMT</v>
      </c>
      <c r="H355" s="458">
        <f>IF($H$10=$I$6, $I355, $J355)</f>
        <v>0.56000000000000005</v>
      </c>
      <c r="I355" s="28">
        <v>0.56000000000000005</v>
      </c>
      <c r="J355" s="28">
        <v>0.56000000000000005</v>
      </c>
      <c r="K355" s="10"/>
    </row>
    <row r="356" spans="1:11" ht="14.5" x14ac:dyDescent="0.35">
      <c r="E356" s="4" t="s">
        <v>281</v>
      </c>
      <c r="F356" s="10" t="s">
        <v>133</v>
      </c>
      <c r="G356" s="43" t="str">
        <f>$H$13&amp;"$ / VMT"</f>
        <v>2024$ / VMT</v>
      </c>
      <c r="H356" s="458">
        <f>IF($H$10=$I$6, $I356, $J356)</f>
        <v>1.23</v>
      </c>
      <c r="I356" s="28">
        <v>1.23</v>
      </c>
      <c r="J356" s="28">
        <v>1.23</v>
      </c>
      <c r="K356" s="10"/>
    </row>
    <row r="357" spans="1:11" ht="5.25" customHeight="1" x14ac:dyDescent="0.35">
      <c r="A357" s="126"/>
      <c r="B357" s="205"/>
      <c r="C357" s="206"/>
      <c r="D357" s="126"/>
      <c r="E357" s="126"/>
      <c r="F357" s="126"/>
      <c r="G357" s="216"/>
      <c r="H357" s="459"/>
      <c r="I357" s="126"/>
      <c r="J357" s="126"/>
      <c r="K357" s="208"/>
    </row>
    <row r="358" spans="1:11" ht="14.5" x14ac:dyDescent="0.35">
      <c r="A358" s="672" t="s">
        <v>282</v>
      </c>
      <c r="B358" s="673"/>
      <c r="C358" s="673"/>
      <c r="D358" s="673"/>
      <c r="E358" s="673"/>
      <c r="F358" s="673"/>
      <c r="G358" s="673"/>
      <c r="H358" s="673"/>
      <c r="I358" s="673"/>
      <c r="J358" s="673"/>
      <c r="K358" s="674"/>
    </row>
    <row r="359" spans="1:11" ht="5.25" customHeight="1" x14ac:dyDescent="0.35">
      <c r="A359" s="209"/>
      <c r="B359" s="210"/>
      <c r="C359" s="211"/>
      <c r="D359" s="209"/>
      <c r="E359" s="209"/>
      <c r="F359" s="209"/>
      <c r="G359" s="215"/>
      <c r="H359" s="433"/>
      <c r="I359" s="209"/>
      <c r="J359" s="209"/>
      <c r="K359" s="213"/>
    </row>
    <row r="360" spans="1:11" ht="14.5" x14ac:dyDescent="0.35">
      <c r="A360" s="209"/>
      <c r="B360" s="210"/>
      <c r="C360" s="210" t="s">
        <v>283</v>
      </c>
      <c r="D360" s="209"/>
      <c r="E360" s="209"/>
      <c r="F360" s="209"/>
      <c r="G360" s="215"/>
      <c r="H360" s="433"/>
      <c r="I360" s="209"/>
      <c r="J360" s="209"/>
      <c r="K360" s="213"/>
    </row>
    <row r="361" spans="1:11" ht="5.25" customHeight="1" x14ac:dyDescent="0.35">
      <c r="A361" s="209"/>
      <c r="B361" s="210"/>
      <c r="C361" s="211"/>
      <c r="D361" s="209"/>
      <c r="E361" s="209"/>
      <c r="F361" s="209"/>
      <c r="G361" s="215"/>
      <c r="H361" s="433"/>
      <c r="I361" s="209"/>
      <c r="J361" s="209"/>
      <c r="K361" s="213"/>
    </row>
    <row r="362" spans="1:11" ht="14.5" x14ac:dyDescent="0.35">
      <c r="E362" s="4" t="s">
        <v>284</v>
      </c>
      <c r="F362" s="10" t="s">
        <v>133</v>
      </c>
      <c r="G362" s="43" t="str">
        <f>$H$13&amp;"$ / vehicle-hour"</f>
        <v>2024$ / vehicle-hour</v>
      </c>
      <c r="H362" s="460">
        <f>IF($H$10=$I$6, $I362, $J362)</f>
        <v>259</v>
      </c>
      <c r="I362" s="291">
        <v>259</v>
      </c>
      <c r="J362" s="291">
        <v>259</v>
      </c>
      <c r="K362" s="10"/>
    </row>
    <row r="363" spans="1:11" ht="14.5" x14ac:dyDescent="0.35">
      <c r="E363" s="4" t="s">
        <v>285</v>
      </c>
      <c r="F363" s="10" t="s">
        <v>133</v>
      </c>
      <c r="G363" s="43" t="str">
        <f t="shared" ref="G363:G365" si="10">$H$13&amp;"$ / vehicle-hour"</f>
        <v>2024$ / vehicle-hour</v>
      </c>
      <c r="H363" s="460">
        <f>IF($H$10=$I$6, $I363, $J363)</f>
        <v>281</v>
      </c>
      <c r="I363" s="291">
        <v>281</v>
      </c>
      <c r="J363" s="291">
        <v>281</v>
      </c>
      <c r="K363" s="10"/>
    </row>
    <row r="364" spans="1:11" ht="14.5" x14ac:dyDescent="0.35">
      <c r="C364" s="206"/>
      <c r="D364" s="126"/>
      <c r="E364" s="4" t="s">
        <v>286</v>
      </c>
      <c r="F364" s="10" t="s">
        <v>133</v>
      </c>
      <c r="G364" s="43" t="str">
        <f t="shared" si="10"/>
        <v>2024$ / vehicle-hour</v>
      </c>
      <c r="H364" s="460">
        <f>IF($H$10=$I$6, $I364, $J364)</f>
        <v>723</v>
      </c>
      <c r="I364" s="292">
        <v>723</v>
      </c>
      <c r="J364" s="292">
        <v>723</v>
      </c>
    </row>
    <row r="365" spans="1:11" ht="14.5" x14ac:dyDescent="0.35">
      <c r="C365" s="206"/>
      <c r="D365" s="126"/>
      <c r="E365" s="4" t="s">
        <v>287</v>
      </c>
      <c r="F365" s="10" t="s">
        <v>133</v>
      </c>
      <c r="G365" s="43" t="str">
        <f t="shared" si="10"/>
        <v>2024$ / vehicle-hour</v>
      </c>
      <c r="H365" s="460">
        <f>IF($H$10=$I$6, $I365, $J365)</f>
        <v>327</v>
      </c>
      <c r="I365" s="292">
        <v>327</v>
      </c>
      <c r="J365" s="292">
        <v>327</v>
      </c>
    </row>
    <row r="366" spans="1:11" s="178" customFormat="1" ht="5.25" customHeight="1" x14ac:dyDescent="0.35">
      <c r="C366" s="225"/>
      <c r="D366" s="208"/>
      <c r="E366" s="208"/>
      <c r="F366" s="208"/>
      <c r="G366" s="259"/>
      <c r="H366" s="461"/>
      <c r="I366" s="293"/>
      <c r="J366" s="293"/>
    </row>
    <row r="367" spans="1:11" s="178" customFormat="1" ht="14.5" x14ac:dyDescent="0.35">
      <c r="C367" s="290" t="s">
        <v>288</v>
      </c>
      <c r="D367" s="213"/>
      <c r="E367" s="213"/>
      <c r="F367" s="213"/>
      <c r="G367" s="304"/>
      <c r="H367" s="462"/>
      <c r="I367" s="294"/>
      <c r="J367" s="294"/>
    </row>
    <row r="368" spans="1:11" ht="5.25" customHeight="1" x14ac:dyDescent="0.35">
      <c r="C368" s="211"/>
      <c r="D368" s="209"/>
      <c r="E368" s="209"/>
      <c r="F368" s="213"/>
      <c r="G368" s="215"/>
      <c r="H368" s="463"/>
      <c r="I368" s="295"/>
      <c r="J368" s="295"/>
    </row>
    <row r="369" spans="3:10" ht="14.5" x14ac:dyDescent="0.35">
      <c r="E369" s="4" t="s">
        <v>289</v>
      </c>
      <c r="F369" s="10" t="s">
        <v>133</v>
      </c>
      <c r="G369" s="43" t="str">
        <f>$H$13&amp;"$ / vehicle-hour"</f>
        <v>2024$ / vehicle-hour</v>
      </c>
      <c r="H369" s="460">
        <f>IF($H$10=$I$6, $I369, $J369)</f>
        <v>655</v>
      </c>
      <c r="I369" s="291">
        <v>655</v>
      </c>
      <c r="J369" s="291">
        <v>655</v>
      </c>
    </row>
    <row r="370" spans="3:10" ht="14.5" x14ac:dyDescent="0.35">
      <c r="E370" s="4" t="s">
        <v>290</v>
      </c>
      <c r="F370" s="10" t="s">
        <v>133</v>
      </c>
      <c r="G370" s="43" t="str">
        <f t="shared" ref="G370:G372" si="11">$H$13&amp;"$ / vehicle-hour"</f>
        <v>2024$ / vehicle-hour</v>
      </c>
      <c r="H370" s="460">
        <f>IF($H$10=$I$6, $I370, $J370)</f>
        <v>642</v>
      </c>
      <c r="I370" s="291">
        <v>642</v>
      </c>
      <c r="J370" s="291">
        <v>642</v>
      </c>
    </row>
    <row r="371" spans="3:10" ht="14.5" x14ac:dyDescent="0.35">
      <c r="C371" s="206"/>
      <c r="D371" s="126"/>
      <c r="E371" s="4" t="s">
        <v>291</v>
      </c>
      <c r="F371" s="10" t="s">
        <v>133</v>
      </c>
      <c r="G371" s="43" t="str">
        <f t="shared" si="11"/>
        <v>2024$ / vehicle-hour</v>
      </c>
      <c r="H371" s="460">
        <f>IF($H$10=$I$6, $I371, $J371)</f>
        <v>1084</v>
      </c>
      <c r="I371" s="292">
        <v>1084</v>
      </c>
      <c r="J371" s="292">
        <v>1084</v>
      </c>
    </row>
    <row r="372" spans="3:10" ht="14.5" x14ac:dyDescent="0.35">
      <c r="C372" s="206"/>
      <c r="D372" s="126"/>
      <c r="E372" s="4" t="s">
        <v>292</v>
      </c>
      <c r="F372" s="10" t="s">
        <v>133</v>
      </c>
      <c r="G372" s="43" t="str">
        <f t="shared" si="11"/>
        <v>2024$ / vehicle-hour</v>
      </c>
      <c r="H372" s="460">
        <f>IF($H$10=$I$6, $I372, $J372)</f>
        <v>688</v>
      </c>
      <c r="I372" s="292">
        <v>688</v>
      </c>
      <c r="J372" s="292">
        <v>688</v>
      </c>
    </row>
    <row r="373" spans="3:10" s="178" customFormat="1" ht="5.25" customHeight="1" x14ac:dyDescent="0.35">
      <c r="C373" s="225"/>
      <c r="D373" s="208"/>
      <c r="E373" s="208"/>
      <c r="F373" s="208"/>
      <c r="G373" s="259"/>
      <c r="H373" s="464"/>
      <c r="I373" s="293"/>
      <c r="J373" s="293"/>
    </row>
    <row r="374" spans="3:10" s="178" customFormat="1" ht="14.5" x14ac:dyDescent="0.35">
      <c r="C374" s="290" t="s">
        <v>293</v>
      </c>
      <c r="D374" s="213"/>
      <c r="E374" s="213"/>
      <c r="F374" s="213"/>
      <c r="G374" s="304"/>
      <c r="H374" s="462"/>
      <c r="I374" s="294"/>
      <c r="J374" s="294"/>
    </row>
    <row r="375" spans="3:10" ht="5.25" customHeight="1" x14ac:dyDescent="0.35">
      <c r="C375" s="211"/>
      <c r="D375" s="209"/>
      <c r="E375" s="209"/>
      <c r="F375" s="213"/>
      <c r="G375" s="215"/>
      <c r="H375" s="463"/>
      <c r="I375" s="295"/>
      <c r="J375" s="295"/>
    </row>
    <row r="376" spans="3:10" ht="14.5" x14ac:dyDescent="0.35">
      <c r="E376" s="4" t="s">
        <v>294</v>
      </c>
      <c r="F376" s="10" t="s">
        <v>133</v>
      </c>
      <c r="G376" s="43" t="str">
        <f t="shared" ref="G376" si="12">$H$13&amp;"$ / vehicle-hour"</f>
        <v>2024$ / vehicle-hour</v>
      </c>
      <c r="H376" s="460">
        <f>IF($H$10=$I$6, $I376, $J376)</f>
        <v>1.0900000000000001</v>
      </c>
      <c r="I376" s="291">
        <v>1.0900000000000001</v>
      </c>
      <c r="J376" s="291">
        <v>1.0900000000000001</v>
      </c>
    </row>
    <row r="377" spans="3:10" s="178" customFormat="1" ht="5.25" customHeight="1" x14ac:dyDescent="0.35">
      <c r="C377" s="225"/>
      <c r="D377" s="208"/>
      <c r="E377" s="208"/>
      <c r="F377" s="208"/>
      <c r="G377" s="259"/>
      <c r="H377" s="464"/>
      <c r="I377" s="293"/>
      <c r="J377" s="293"/>
    </row>
    <row r="378" spans="3:10" s="178" customFormat="1" ht="14.5" x14ac:dyDescent="0.35">
      <c r="C378" s="290" t="s">
        <v>295</v>
      </c>
      <c r="D378" s="213"/>
      <c r="E378" s="213"/>
      <c r="F378" s="213"/>
      <c r="G378" s="304"/>
      <c r="H378" s="465"/>
      <c r="I378" s="294"/>
      <c r="J378" s="294"/>
    </row>
    <row r="379" spans="3:10" ht="5.25" customHeight="1" x14ac:dyDescent="0.35">
      <c r="H379" s="37" t="s">
        <v>170</v>
      </c>
    </row>
    <row r="380" spans="3:10" ht="14.5" x14ac:dyDescent="0.35">
      <c r="E380" s="4" t="s">
        <v>296</v>
      </c>
      <c r="F380" s="10" t="s">
        <v>133</v>
      </c>
      <c r="G380" s="43" t="str">
        <f t="shared" ref="G380:G383" si="13">$H$13&amp;"$ / vehicle-hour"</f>
        <v>2024$ / vehicle-hour</v>
      </c>
      <c r="H380" s="460">
        <f>IF($H$10=$I$6, $I380, $J380)</f>
        <v>799</v>
      </c>
      <c r="I380" s="291">
        <v>799</v>
      </c>
      <c r="J380" s="291">
        <v>799</v>
      </c>
    </row>
    <row r="381" spans="3:10" ht="14.5" x14ac:dyDescent="0.35">
      <c r="E381" s="4" t="s">
        <v>297</v>
      </c>
      <c r="F381" s="10" t="s">
        <v>133</v>
      </c>
      <c r="G381" s="43" t="str">
        <f t="shared" si="13"/>
        <v>2024$ / vehicle-hour</v>
      </c>
      <c r="H381" s="460">
        <f>IF($H$10=$I$6, $I381, $J381)</f>
        <v>109</v>
      </c>
      <c r="I381" s="291">
        <v>109</v>
      </c>
      <c r="J381" s="291">
        <v>109</v>
      </c>
    </row>
    <row r="382" spans="3:10" ht="14.5" x14ac:dyDescent="0.35">
      <c r="C382" s="206"/>
      <c r="D382" s="126"/>
      <c r="E382" s="4" t="s">
        <v>298</v>
      </c>
      <c r="F382" s="10" t="s">
        <v>133</v>
      </c>
      <c r="G382" s="43" t="str">
        <f t="shared" si="13"/>
        <v>2024$ / vehicle-hour</v>
      </c>
      <c r="H382" s="460">
        <f>IF($H$10=$I$6, $I382, $J382)</f>
        <v>109</v>
      </c>
      <c r="I382" s="291">
        <v>109</v>
      </c>
      <c r="J382" s="291">
        <v>109</v>
      </c>
    </row>
    <row r="383" spans="3:10" ht="14.5" x14ac:dyDescent="0.35">
      <c r="C383" s="206"/>
      <c r="D383" s="126"/>
      <c r="E383" s="4" t="s">
        <v>299</v>
      </c>
      <c r="F383" s="10" t="s">
        <v>133</v>
      </c>
      <c r="G383" s="43" t="str">
        <f t="shared" si="13"/>
        <v>2024$ / vehicle-hour</v>
      </c>
      <c r="H383" s="460">
        <f>IF($H$10=$I$6, $I383, $J383)</f>
        <v>109</v>
      </c>
      <c r="I383" s="291">
        <v>109</v>
      </c>
      <c r="J383" s="291">
        <v>109</v>
      </c>
    </row>
    <row r="384" spans="3:10" s="178" customFormat="1" ht="5.25" customHeight="1" x14ac:dyDescent="0.35">
      <c r="C384" s="225"/>
      <c r="D384" s="208"/>
      <c r="E384" s="208"/>
      <c r="F384" s="208"/>
      <c r="G384" s="259"/>
      <c r="H384" s="461"/>
      <c r="I384" s="296"/>
      <c r="J384" s="296"/>
    </row>
    <row r="385" spans="1:11" ht="14.5" x14ac:dyDescent="0.35">
      <c r="C385" s="210" t="s">
        <v>300</v>
      </c>
      <c r="D385" s="209"/>
      <c r="E385" s="209"/>
      <c r="F385" s="213"/>
      <c r="G385" s="215"/>
      <c r="H385" s="462"/>
      <c r="I385" s="297"/>
      <c r="J385" s="297"/>
    </row>
    <row r="386" spans="1:11" ht="5.25" customHeight="1" x14ac:dyDescent="0.35">
      <c r="C386" s="211"/>
      <c r="D386" s="209"/>
      <c r="E386" s="209"/>
      <c r="F386" s="213"/>
      <c r="G386" s="215"/>
      <c r="H386" s="463"/>
      <c r="I386" s="297"/>
      <c r="J386" s="297"/>
    </row>
    <row r="387" spans="1:11" ht="14.5" x14ac:dyDescent="0.35">
      <c r="E387" s="4" t="s">
        <v>301</v>
      </c>
      <c r="F387" s="10" t="s">
        <v>133</v>
      </c>
      <c r="G387" s="43" t="str">
        <f t="shared" ref="G387:G390" si="14">$H$13&amp;"$ / vehicle-hour"</f>
        <v>2024$ / vehicle-hour</v>
      </c>
      <c r="H387" s="460">
        <f>IF($H$10=$I$6, $I387, $J387)</f>
        <v>2356</v>
      </c>
      <c r="I387" s="291">
        <v>2356</v>
      </c>
      <c r="J387" s="291">
        <v>2356</v>
      </c>
    </row>
    <row r="388" spans="1:11" ht="14.5" x14ac:dyDescent="0.35">
      <c r="E388" s="4" t="s">
        <v>302</v>
      </c>
      <c r="F388" s="10" t="s">
        <v>133</v>
      </c>
      <c r="G388" s="43" t="str">
        <f t="shared" si="14"/>
        <v>2024$ / vehicle-hour</v>
      </c>
      <c r="H388" s="460">
        <f>IF($H$10=$I$6, $I388, $J388)</f>
        <v>780</v>
      </c>
      <c r="I388" s="291">
        <v>780</v>
      </c>
      <c r="J388" s="291">
        <v>780</v>
      </c>
    </row>
    <row r="389" spans="1:11" ht="14.5" x14ac:dyDescent="0.35">
      <c r="C389" s="206"/>
      <c r="D389" s="126"/>
      <c r="E389" s="4" t="s">
        <v>303</v>
      </c>
      <c r="F389" s="10" t="s">
        <v>133</v>
      </c>
      <c r="G389" s="43" t="str">
        <f t="shared" si="14"/>
        <v>2024$ / vehicle-hour</v>
      </c>
      <c r="H389" s="460">
        <f>IF($H$10=$I$6, $I389, $J389)</f>
        <v>780</v>
      </c>
      <c r="I389" s="291">
        <v>780</v>
      </c>
      <c r="J389" s="291">
        <v>780</v>
      </c>
    </row>
    <row r="390" spans="1:11" ht="14.5" x14ac:dyDescent="0.35">
      <c r="C390" s="206"/>
      <c r="D390" s="126"/>
      <c r="E390" s="4" t="s">
        <v>304</v>
      </c>
      <c r="F390" s="10" t="s">
        <v>133</v>
      </c>
      <c r="G390" s="43" t="str">
        <f t="shared" si="14"/>
        <v>2024$ / vehicle-hour</v>
      </c>
      <c r="H390" s="460">
        <f>IF($H$10=$I$6, $I390, $J390)</f>
        <v>780</v>
      </c>
      <c r="I390" s="291">
        <v>780</v>
      </c>
      <c r="J390" s="291">
        <v>780</v>
      </c>
    </row>
    <row r="391" spans="1:11" s="178" customFormat="1" ht="5.25" customHeight="1" x14ac:dyDescent="0.35">
      <c r="C391" s="225"/>
      <c r="D391" s="208"/>
      <c r="E391" s="208"/>
      <c r="F391" s="208"/>
      <c r="G391" s="259"/>
      <c r="H391" s="464"/>
      <c r="I391" s="296"/>
      <c r="J391" s="296"/>
    </row>
    <row r="392" spans="1:11" ht="14.5" x14ac:dyDescent="0.35">
      <c r="C392" s="210" t="s">
        <v>305</v>
      </c>
      <c r="D392" s="209"/>
      <c r="E392" s="209"/>
      <c r="F392" s="209"/>
      <c r="G392" s="215"/>
      <c r="H392" s="466"/>
      <c r="I392" s="297"/>
      <c r="J392" s="297"/>
    </row>
    <row r="393" spans="1:11" ht="5.25" customHeight="1" x14ac:dyDescent="0.35">
      <c r="C393" s="211"/>
      <c r="D393" s="209"/>
      <c r="E393" s="209"/>
      <c r="F393" s="209"/>
      <c r="G393" s="215"/>
      <c r="H393" s="466"/>
      <c r="I393" s="297"/>
      <c r="J393" s="297"/>
    </row>
    <row r="394" spans="1:11" ht="14.5" x14ac:dyDescent="0.35">
      <c r="E394" s="4" t="s">
        <v>306</v>
      </c>
      <c r="F394" s="10" t="s">
        <v>133</v>
      </c>
      <c r="G394" s="43" t="str">
        <f t="shared" ref="G394:G397" si="15">$H$13&amp;"$ / vehicle-hour"</f>
        <v>2024$ / vehicle-hour</v>
      </c>
      <c r="H394" s="460">
        <f>IF($H$10=$I$6, $I394, $J394)</f>
        <v>0</v>
      </c>
      <c r="I394" s="291"/>
      <c r="J394" s="291"/>
    </row>
    <row r="395" spans="1:11" ht="14.5" x14ac:dyDescent="0.35">
      <c r="E395" s="4" t="s">
        <v>307</v>
      </c>
      <c r="F395" s="10" t="s">
        <v>133</v>
      </c>
      <c r="G395" s="43" t="str">
        <f t="shared" si="15"/>
        <v>2024$ / vehicle-hour</v>
      </c>
      <c r="H395" s="460">
        <f>IF($H$10=$I$6, $I395, $J395)</f>
        <v>0</v>
      </c>
      <c r="I395" s="291"/>
      <c r="J395" s="291"/>
    </row>
    <row r="396" spans="1:11" ht="14.5" x14ac:dyDescent="0.35">
      <c r="A396" s="126"/>
      <c r="B396" s="205"/>
      <c r="C396" s="206"/>
      <c r="D396" s="126"/>
      <c r="E396" s="4" t="s">
        <v>308</v>
      </c>
      <c r="F396" s="10" t="s">
        <v>133</v>
      </c>
      <c r="G396" s="43" t="str">
        <f t="shared" si="15"/>
        <v>2024$ / vehicle-hour</v>
      </c>
      <c r="H396" s="460">
        <f>IF($H$10=$I$6, $I396, $J396)</f>
        <v>0</v>
      </c>
      <c r="I396" s="292"/>
      <c r="J396" s="292"/>
      <c r="K396" s="208"/>
    </row>
    <row r="397" spans="1:11" ht="14.5" x14ac:dyDescent="0.35">
      <c r="A397" s="126"/>
      <c r="B397" s="205"/>
      <c r="C397" s="206"/>
      <c r="D397" s="126"/>
      <c r="E397" s="4" t="s">
        <v>309</v>
      </c>
      <c r="F397" s="10" t="s">
        <v>133</v>
      </c>
      <c r="G397" s="43" t="str">
        <f t="shared" si="15"/>
        <v>2024$ / vehicle-hour</v>
      </c>
      <c r="H397" s="460">
        <f>IF($H$10=$I$6, $I397, $J397)</f>
        <v>0</v>
      </c>
      <c r="I397" s="292"/>
      <c r="J397" s="292"/>
      <c r="K397" s="208"/>
    </row>
    <row r="398" spans="1:11" s="178" customFormat="1" ht="5.25" customHeight="1" x14ac:dyDescent="0.35">
      <c r="A398" s="208"/>
      <c r="B398" s="224"/>
      <c r="C398" s="225"/>
      <c r="D398" s="208"/>
      <c r="E398" s="208"/>
      <c r="F398" s="208"/>
      <c r="G398" s="259"/>
      <c r="H398" s="461"/>
      <c r="I398" s="296"/>
      <c r="J398" s="296"/>
      <c r="K398" s="208"/>
    </row>
    <row r="399" spans="1:11" s="178" customFormat="1" ht="14.5" x14ac:dyDescent="0.35">
      <c r="A399" s="213"/>
      <c r="B399" s="290"/>
      <c r="C399" s="290" t="s">
        <v>310</v>
      </c>
      <c r="D399" s="213"/>
      <c r="E399" s="213"/>
      <c r="F399" s="213"/>
      <c r="G399" s="304"/>
      <c r="H399" s="462"/>
      <c r="I399" s="298"/>
      <c r="J399" s="298"/>
      <c r="K399" s="213"/>
    </row>
    <row r="400" spans="1:11" ht="5.25" customHeight="1" x14ac:dyDescent="0.35">
      <c r="A400" s="209"/>
      <c r="B400" s="210"/>
      <c r="C400" s="211"/>
      <c r="D400" s="209"/>
      <c r="E400" s="209"/>
      <c r="F400" s="213"/>
      <c r="G400" s="215"/>
      <c r="H400" s="463"/>
      <c r="I400" s="297"/>
      <c r="J400" s="297"/>
      <c r="K400" s="213"/>
    </row>
    <row r="401" spans="1:11" ht="14.5" x14ac:dyDescent="0.35">
      <c r="E401" s="4" t="s">
        <v>311</v>
      </c>
      <c r="F401" s="10" t="s">
        <v>133</v>
      </c>
      <c r="G401" s="43" t="str">
        <f t="shared" ref="G401:G403" si="16">$H$13&amp;"$ / vehicle-hour"</f>
        <v>2024$ / vehicle-hour</v>
      </c>
      <c r="H401" s="460">
        <f>IF($H$10=$I$6, $I401, $J401)</f>
        <v>0</v>
      </c>
      <c r="I401" s="291"/>
      <c r="J401" s="291"/>
      <c r="K401" s="10"/>
    </row>
    <row r="402" spans="1:11" ht="14.5" x14ac:dyDescent="0.35">
      <c r="E402" s="4" t="s">
        <v>312</v>
      </c>
      <c r="F402" s="10" t="s">
        <v>133</v>
      </c>
      <c r="G402" s="43" t="str">
        <f t="shared" si="16"/>
        <v>2024$ / vehicle-hour</v>
      </c>
      <c r="H402" s="460">
        <f>IF($H$10=$I$6, $I402, $J402)</f>
        <v>0</v>
      </c>
      <c r="I402" s="291"/>
      <c r="J402" s="291"/>
      <c r="K402" s="10"/>
    </row>
    <row r="403" spans="1:11" ht="14.5" x14ac:dyDescent="0.35">
      <c r="A403" s="126"/>
      <c r="B403" s="205"/>
      <c r="C403" s="206"/>
      <c r="D403" s="126"/>
      <c r="E403" s="4" t="s">
        <v>313</v>
      </c>
      <c r="F403" s="10" t="s">
        <v>133</v>
      </c>
      <c r="G403" s="43" t="str">
        <f t="shared" si="16"/>
        <v>2024$ / vehicle-hour</v>
      </c>
      <c r="H403" s="460">
        <f>IF($H$10=$I$6, $I403, $J403)</f>
        <v>0</v>
      </c>
      <c r="I403" s="292"/>
      <c r="J403" s="292"/>
      <c r="K403" s="208"/>
    </row>
    <row r="404" spans="1:11" ht="14.5" x14ac:dyDescent="0.35">
      <c r="A404" s="126"/>
      <c r="B404" s="205"/>
      <c r="C404" s="206"/>
      <c r="D404" s="126"/>
      <c r="E404" s="4" t="s">
        <v>314</v>
      </c>
      <c r="F404" s="10" t="s">
        <v>133</v>
      </c>
      <c r="G404" s="43" t="str">
        <f>$H$13&amp;"$ / vehicle-hour"</f>
        <v>2024$ / vehicle-hour</v>
      </c>
      <c r="H404" s="460">
        <f>IF($H$10=$I$6, $I404, $J404)</f>
        <v>0</v>
      </c>
      <c r="I404" s="292"/>
      <c r="J404" s="292"/>
      <c r="K404" s="208"/>
    </row>
    <row r="405" spans="1:11" ht="5.25" customHeight="1" x14ac:dyDescent="0.35">
      <c r="A405" s="126"/>
      <c r="B405" s="205"/>
      <c r="C405" s="206"/>
      <c r="D405" s="126"/>
      <c r="E405" s="126"/>
      <c r="F405" s="208"/>
      <c r="G405" s="216"/>
      <c r="H405" s="459"/>
      <c r="I405" s="126"/>
      <c r="J405" s="126"/>
      <c r="K405" s="208"/>
    </row>
    <row r="406" spans="1:11" ht="14.5" x14ac:dyDescent="0.35">
      <c r="A406" s="672" t="s">
        <v>315</v>
      </c>
      <c r="B406" s="673"/>
      <c r="C406" s="673"/>
      <c r="D406" s="673"/>
      <c r="E406" s="673"/>
      <c r="F406" s="673"/>
      <c r="G406" s="673"/>
      <c r="H406" s="673"/>
      <c r="I406" s="673"/>
      <c r="J406" s="673"/>
      <c r="K406" s="674"/>
    </row>
    <row r="407" spans="1:11" ht="5.25" customHeight="1" x14ac:dyDescent="0.35">
      <c r="A407" s="209"/>
      <c r="B407" s="210"/>
      <c r="C407" s="211"/>
      <c r="D407" s="209"/>
      <c r="E407" s="209"/>
      <c r="F407" s="209"/>
      <c r="G407" s="215"/>
      <c r="H407" s="467"/>
      <c r="I407" s="209"/>
      <c r="J407" s="209"/>
      <c r="K407" s="213"/>
    </row>
    <row r="408" spans="1:11" ht="14.5" x14ac:dyDescent="0.35">
      <c r="B408" s="1" t="s">
        <v>316</v>
      </c>
      <c r="H408" s="468"/>
      <c r="K408" s="10"/>
    </row>
    <row r="409" spans="1:11" ht="5.25" customHeight="1" x14ac:dyDescent="0.35">
      <c r="H409" s="468"/>
      <c r="K409" s="10"/>
    </row>
    <row r="410" spans="1:11" ht="14.5" x14ac:dyDescent="0.35">
      <c r="E410" s="4" t="s">
        <v>317</v>
      </c>
      <c r="F410" s="4" t="s">
        <v>318</v>
      </c>
      <c r="G410" s="43" t="s">
        <v>319</v>
      </c>
      <c r="H410" s="458">
        <f t="shared" ref="H410:H417" si="17">IF($H$10=$I$6, $I410, $J410)</f>
        <v>1.9717911399488118E-4</v>
      </c>
      <c r="I410" s="28">
        <v>1.9717911399488118E-4</v>
      </c>
      <c r="J410" s="28">
        <v>1.9717911399488118E-4</v>
      </c>
      <c r="K410" s="10"/>
    </row>
    <row r="411" spans="1:11" ht="14.5" x14ac:dyDescent="0.35">
      <c r="E411" s="4" t="s">
        <v>320</v>
      </c>
      <c r="F411" s="4" t="s">
        <v>318</v>
      </c>
      <c r="G411" s="43" t="s">
        <v>319</v>
      </c>
      <c r="H411" s="458">
        <f t="shared" si="17"/>
        <v>1.7746120259539389E-3</v>
      </c>
      <c r="I411" s="28">
        <v>1.7746120259539389E-3</v>
      </c>
      <c r="J411" s="28">
        <v>1.7746120259539389E-3</v>
      </c>
      <c r="K411" s="10"/>
    </row>
    <row r="412" spans="1:11" ht="14.5" x14ac:dyDescent="0.35">
      <c r="E412" s="4" t="s">
        <v>321</v>
      </c>
      <c r="F412" s="4" t="s">
        <v>318</v>
      </c>
      <c r="G412" s="43" t="s">
        <v>319</v>
      </c>
      <c r="H412" s="458">
        <f t="shared" si="17"/>
        <v>1.4139022318125772E-2</v>
      </c>
      <c r="I412" s="28">
        <v>1.4139022318125772E-2</v>
      </c>
      <c r="J412" s="28">
        <v>1.4139022318125772E-2</v>
      </c>
    </row>
    <row r="413" spans="1:11" ht="14.5" x14ac:dyDescent="0.35">
      <c r="E413" s="4" t="s">
        <v>322</v>
      </c>
      <c r="F413" s="4" t="s">
        <v>318</v>
      </c>
      <c r="G413" s="43" t="s">
        <v>319</v>
      </c>
      <c r="H413" s="458">
        <f t="shared" si="17"/>
        <v>4.3830969186189894E-2</v>
      </c>
      <c r="I413" s="28">
        <v>4.3830969186189894E-2</v>
      </c>
      <c r="J413" s="28">
        <v>4.3830969186189894E-2</v>
      </c>
    </row>
    <row r="414" spans="1:11" ht="14.5" x14ac:dyDescent="0.35">
      <c r="E414" s="4" t="s">
        <v>323</v>
      </c>
      <c r="F414" s="4" t="s">
        <v>318</v>
      </c>
      <c r="G414" s="43" t="s">
        <v>319</v>
      </c>
      <c r="H414" s="458">
        <f t="shared" si="17"/>
        <v>7.9178524981504309E-2</v>
      </c>
      <c r="I414" s="28">
        <v>7.9178524981504309E-2</v>
      </c>
      <c r="J414" s="28">
        <v>7.9178524981504309E-2</v>
      </c>
    </row>
    <row r="415" spans="1:11" ht="14.5" x14ac:dyDescent="0.35">
      <c r="E415" s="4" t="s">
        <v>324</v>
      </c>
      <c r="F415" s="4" t="s">
        <v>318</v>
      </c>
      <c r="G415" s="43" t="s">
        <v>319</v>
      </c>
      <c r="H415" s="458">
        <f t="shared" si="17"/>
        <v>0.25591630395807646</v>
      </c>
      <c r="I415" s="28">
        <v>0.25591630395807646</v>
      </c>
      <c r="J415" s="28">
        <v>0.25591630395807646</v>
      </c>
    </row>
    <row r="416" spans="1:11" ht="14.5" x14ac:dyDescent="0.35">
      <c r="E416" s="4" t="s">
        <v>325</v>
      </c>
      <c r="F416" s="4" t="s">
        <v>318</v>
      </c>
      <c r="G416" s="43" t="s">
        <v>319</v>
      </c>
      <c r="H416" s="458">
        <f t="shared" si="17"/>
        <v>4.6658773649815043E-2</v>
      </c>
      <c r="I416" s="28">
        <v>4.6658773649815043E-2</v>
      </c>
      <c r="J416" s="28">
        <v>4.6658773649815043E-2</v>
      </c>
    </row>
    <row r="417" spans="2:10" ht="14.5" x14ac:dyDescent="0.35">
      <c r="E417" s="4" t="s">
        <v>326</v>
      </c>
      <c r="F417" s="4" t="s">
        <v>318</v>
      </c>
      <c r="G417" s="43" t="s">
        <v>319</v>
      </c>
      <c r="H417" s="458">
        <f t="shared" si="17"/>
        <v>0.14845973434032059</v>
      </c>
      <c r="I417" s="28">
        <v>0.14845973434032059</v>
      </c>
      <c r="J417" s="28">
        <v>0.14845973434032059</v>
      </c>
    </row>
    <row r="418" spans="2:10" ht="5.25" customHeight="1" x14ac:dyDescent="0.35">
      <c r="I418" s="30">
        <v>0</v>
      </c>
      <c r="J418" s="30">
        <v>0</v>
      </c>
    </row>
    <row r="419" spans="2:10" ht="15" customHeight="1" x14ac:dyDescent="0.35">
      <c r="E419" s="4" t="s">
        <v>327</v>
      </c>
      <c r="F419" s="3" t="s">
        <v>157</v>
      </c>
      <c r="G419" s="43" t="s">
        <v>319</v>
      </c>
      <c r="H419" s="469">
        <f>IF($H$10=$I$6, $I419, $J419)</f>
        <v>1.7746120259539389E-3</v>
      </c>
      <c r="I419" s="30">
        <v>1.7746120259539389E-3</v>
      </c>
      <c r="J419" s="30">
        <v>1.7746120259539389E-3</v>
      </c>
    </row>
    <row r="420" spans="2:10" ht="15" customHeight="1" x14ac:dyDescent="0.35">
      <c r="E420" s="4" t="s">
        <v>328</v>
      </c>
      <c r="F420" s="3" t="s">
        <v>157</v>
      </c>
      <c r="G420" s="43" t="s">
        <v>319</v>
      </c>
      <c r="H420" s="469">
        <f>IF($H$10=$I$6, $I420, $J420)</f>
        <v>0.14940233582819565</v>
      </c>
      <c r="I420" s="30">
        <v>0.14940233582819565</v>
      </c>
      <c r="J420" s="30">
        <v>0.14940233582819565</v>
      </c>
    </row>
    <row r="421" spans="2:10" ht="5.25" customHeight="1" x14ac:dyDescent="0.35">
      <c r="I421" s="30"/>
      <c r="J421" s="30"/>
    </row>
    <row r="422" spans="2:10" ht="14.5" x14ac:dyDescent="0.35">
      <c r="B422" s="1" t="s">
        <v>329</v>
      </c>
      <c r="H422" s="456"/>
    </row>
    <row r="423" spans="2:10" ht="5.25" customHeight="1" x14ac:dyDescent="0.35">
      <c r="H423" s="468"/>
    </row>
    <row r="424" spans="2:10" ht="14.5" x14ac:dyDescent="0.35">
      <c r="E424" s="4" t="s">
        <v>330</v>
      </c>
      <c r="F424" s="10" t="s">
        <v>133</v>
      </c>
      <c r="G424" s="43" t="str">
        <f>$H$13&amp;"$ / vehicle-mile"</f>
        <v>2024$ / vehicle-mile</v>
      </c>
      <c r="H424" s="458">
        <f t="shared" ref="H424:H432" si="18">IF($H$10=$I$6, $I424, $J424)</f>
        <v>2.0999999999999999E-3</v>
      </c>
      <c r="I424" s="200">
        <v>2.0999999999999999E-3</v>
      </c>
      <c r="J424" s="200">
        <v>2.0999999999999999E-3</v>
      </c>
    </row>
    <row r="425" spans="2:10" ht="14.5" x14ac:dyDescent="0.35">
      <c r="E425" s="4" t="s">
        <v>331</v>
      </c>
      <c r="F425" s="10" t="s">
        <v>133</v>
      </c>
      <c r="G425" s="43" t="str">
        <f t="shared" ref="G425:G432" si="19">$H$13&amp;"$ / vehicle-mile"</f>
        <v>2024$ / vehicle-mile</v>
      </c>
      <c r="H425" s="458">
        <f t="shared" si="18"/>
        <v>2.0000000000000001E-4</v>
      </c>
      <c r="I425" s="200">
        <v>2.0000000000000001E-4</v>
      </c>
      <c r="J425" s="200">
        <v>2.0000000000000001E-4</v>
      </c>
    </row>
    <row r="426" spans="2:10" ht="15" customHeight="1" x14ac:dyDescent="0.35">
      <c r="E426" s="4" t="s">
        <v>332</v>
      </c>
      <c r="F426" s="10" t="s">
        <v>133</v>
      </c>
      <c r="G426" s="43" t="str">
        <f t="shared" si="19"/>
        <v>2024$ / vehicle-mile</v>
      </c>
      <c r="H426" s="458">
        <f t="shared" si="18"/>
        <v>1.1000000000000001E-3</v>
      </c>
      <c r="I426" s="200">
        <v>1.1000000000000001E-3</v>
      </c>
      <c r="J426" s="200">
        <v>1.1000000000000001E-3</v>
      </c>
    </row>
    <row r="427" spans="2:10" ht="15" customHeight="1" x14ac:dyDescent="0.35">
      <c r="E427" s="4" t="s">
        <v>333</v>
      </c>
      <c r="F427" s="10" t="s">
        <v>133</v>
      </c>
      <c r="G427" s="43" t="str">
        <f t="shared" si="19"/>
        <v>2024$ / vehicle-mile</v>
      </c>
      <c r="H427" s="458">
        <f t="shared" si="18"/>
        <v>4.65E-2</v>
      </c>
      <c r="I427" s="200">
        <v>4.65E-2</v>
      </c>
      <c r="J427" s="200">
        <v>4.65E-2</v>
      </c>
    </row>
    <row r="428" spans="2:10" ht="15" customHeight="1" x14ac:dyDescent="0.35">
      <c r="E428" s="4" t="s">
        <v>334</v>
      </c>
      <c r="F428" s="10" t="s">
        <v>133</v>
      </c>
      <c r="G428" s="43" t="str">
        <f t="shared" si="19"/>
        <v>2024$ / vehicle-mile</v>
      </c>
      <c r="H428" s="458">
        <f t="shared" si="18"/>
        <v>3.8999999999999998E-3</v>
      </c>
      <c r="I428" s="200">
        <v>3.8999999999999998E-3</v>
      </c>
      <c r="J428" s="200">
        <v>3.8999999999999998E-3</v>
      </c>
    </row>
    <row r="429" spans="2:10" ht="15" customHeight="1" x14ac:dyDescent="0.35">
      <c r="E429" s="4" t="s">
        <v>335</v>
      </c>
      <c r="F429" s="10" t="s">
        <v>133</v>
      </c>
      <c r="G429" s="43" t="str">
        <f t="shared" si="19"/>
        <v>2024$ / vehicle-mile</v>
      </c>
      <c r="H429" s="458">
        <f t="shared" si="18"/>
        <v>2.3400000000000001E-2</v>
      </c>
      <c r="I429" s="200">
        <v>2.3400000000000001E-2</v>
      </c>
      <c r="J429" s="200">
        <v>2.3400000000000001E-2</v>
      </c>
    </row>
    <row r="430" spans="2:10" ht="15" customHeight="1" x14ac:dyDescent="0.35">
      <c r="E430" s="4" t="s">
        <v>336</v>
      </c>
      <c r="F430" s="10" t="s">
        <v>133</v>
      </c>
      <c r="G430" s="43" t="str">
        <f t="shared" si="19"/>
        <v>2024$ / vehicle-mile</v>
      </c>
      <c r="H430" s="458">
        <f t="shared" si="18"/>
        <v>5.4000000000000003E-3</v>
      </c>
      <c r="I430" s="200">
        <v>5.4000000000000003E-3</v>
      </c>
      <c r="J430" s="200">
        <v>5.4000000000000003E-3</v>
      </c>
    </row>
    <row r="431" spans="2:10" ht="15" customHeight="1" x14ac:dyDescent="0.35">
      <c r="E431" s="4" t="s">
        <v>337</v>
      </c>
      <c r="F431" s="10" t="s">
        <v>133</v>
      </c>
      <c r="G431" s="43" t="str">
        <f t="shared" si="19"/>
        <v>2024$ / vehicle-mile</v>
      </c>
      <c r="H431" s="458">
        <f t="shared" si="18"/>
        <v>6.9999999999999999E-4</v>
      </c>
      <c r="I431" s="200">
        <v>6.9999999999999999E-4</v>
      </c>
      <c r="J431" s="200">
        <v>6.9999999999999999E-4</v>
      </c>
    </row>
    <row r="432" spans="2:10" ht="15" customHeight="1" x14ac:dyDescent="0.35">
      <c r="E432" s="4" t="s">
        <v>338</v>
      </c>
      <c r="F432" s="10" t="s">
        <v>133</v>
      </c>
      <c r="G432" s="43" t="str">
        <f t="shared" si="19"/>
        <v>2024$ / vehicle-mile</v>
      </c>
      <c r="H432" s="458">
        <f t="shared" si="18"/>
        <v>3.3E-3</v>
      </c>
      <c r="I432" s="200">
        <v>3.3E-3</v>
      </c>
      <c r="J432" s="200">
        <v>3.3E-3</v>
      </c>
    </row>
    <row r="433" spans="2:11" ht="15" customHeight="1" x14ac:dyDescent="0.35">
      <c r="H433" s="458"/>
      <c r="I433" s="30"/>
      <c r="J433" s="30"/>
    </row>
    <row r="434" spans="2:11" ht="15" customHeight="1" x14ac:dyDescent="0.35">
      <c r="E434" s="4" t="s">
        <v>339</v>
      </c>
      <c r="F434" s="3" t="s">
        <v>157</v>
      </c>
      <c r="G434" s="43" t="s">
        <v>340</v>
      </c>
      <c r="H434" s="469">
        <f>IF($H$10=$I$6, $I434, $J434)</f>
        <v>1.1000000000000001E-3</v>
      </c>
      <c r="I434" s="30">
        <f>I426</f>
        <v>1.1000000000000001E-3</v>
      </c>
      <c r="J434" s="30">
        <f>J426</f>
        <v>1.1000000000000001E-3</v>
      </c>
    </row>
    <row r="435" spans="2:11" ht="15" customHeight="1" x14ac:dyDescent="0.35">
      <c r="E435" s="4" t="s">
        <v>341</v>
      </c>
      <c r="F435" s="3" t="s">
        <v>157</v>
      </c>
      <c r="G435" s="43" t="s">
        <v>340</v>
      </c>
      <c r="H435" s="469">
        <f>IF($H$10=$I$6, $I435, $J435)</f>
        <v>2.3400000000000001E-2</v>
      </c>
      <c r="I435" s="30">
        <f>I429</f>
        <v>2.3400000000000001E-2</v>
      </c>
      <c r="J435" s="30">
        <f>J429</f>
        <v>2.3400000000000001E-2</v>
      </c>
    </row>
    <row r="436" spans="2:11" ht="5.25" customHeight="1" x14ac:dyDescent="0.35">
      <c r="H436" s="468"/>
    </row>
    <row r="437" spans="2:11" ht="14.5" x14ac:dyDescent="0.35">
      <c r="B437" s="1" t="s">
        <v>342</v>
      </c>
      <c r="H437" s="468"/>
    </row>
    <row r="438" spans="2:11" ht="5.25" customHeight="1" x14ac:dyDescent="0.35">
      <c r="H438" s="468"/>
    </row>
    <row r="439" spans="2:11" ht="14.5" x14ac:dyDescent="0.35">
      <c r="E439" s="4" t="s">
        <v>330</v>
      </c>
      <c r="F439" s="10" t="s">
        <v>133</v>
      </c>
      <c r="G439" s="43" t="str">
        <f t="shared" ref="G439:G447" si="20">$H$13&amp;"$ / vehicle-mile"</f>
        <v>2024$ / vehicle-mile</v>
      </c>
      <c r="H439" s="458">
        <f t="shared" ref="H439:H447" si="21">IF($H$10=$I$6, $I439, $J439)</f>
        <v>0.14699999999999999</v>
      </c>
      <c r="I439" s="28">
        <v>0.14699999999999999</v>
      </c>
      <c r="J439" s="28">
        <v>0.14699999999999999</v>
      </c>
    </row>
    <row r="440" spans="2:11" ht="14.5" x14ac:dyDescent="0.35">
      <c r="E440" s="4" t="s">
        <v>331</v>
      </c>
      <c r="F440" s="10" t="s">
        <v>133</v>
      </c>
      <c r="G440" s="43" t="str">
        <f t="shared" si="20"/>
        <v>2024$ / vehicle-mile</v>
      </c>
      <c r="H440" s="458">
        <f t="shared" si="21"/>
        <v>3.1E-2</v>
      </c>
      <c r="I440" s="28">
        <v>3.1E-2</v>
      </c>
      <c r="J440" s="28">
        <v>3.1E-2</v>
      </c>
    </row>
    <row r="441" spans="2:11" ht="15" customHeight="1" x14ac:dyDescent="0.35">
      <c r="E441" s="4" t="s">
        <v>332</v>
      </c>
      <c r="F441" s="10" t="s">
        <v>133</v>
      </c>
      <c r="G441" s="43" t="str">
        <f t="shared" si="20"/>
        <v>2024$ / vehicle-mile</v>
      </c>
      <c r="H441" s="458">
        <f t="shared" si="21"/>
        <v>0.124</v>
      </c>
      <c r="I441" s="28">
        <v>0.124</v>
      </c>
      <c r="J441" s="28">
        <v>0.124</v>
      </c>
    </row>
    <row r="442" spans="2:11" ht="15" customHeight="1" x14ac:dyDescent="0.35">
      <c r="E442" s="4" t="s">
        <v>333</v>
      </c>
      <c r="F442" s="10" t="s">
        <v>133</v>
      </c>
      <c r="G442" s="43" t="str">
        <f t="shared" si="20"/>
        <v>2024$ / vehicle-mile</v>
      </c>
      <c r="H442" s="458">
        <f t="shared" si="21"/>
        <v>0.36699999999999999</v>
      </c>
      <c r="I442" s="28">
        <v>0.36699999999999999</v>
      </c>
      <c r="J442" s="28">
        <v>0.36699999999999999</v>
      </c>
    </row>
    <row r="443" spans="2:11" ht="15" customHeight="1" x14ac:dyDescent="0.35">
      <c r="E443" s="4" t="s">
        <v>334</v>
      </c>
      <c r="F443" s="10" t="s">
        <v>133</v>
      </c>
      <c r="G443" s="43" t="str">
        <f t="shared" si="20"/>
        <v>2024$ / vehicle-mile</v>
      </c>
      <c r="H443" s="458">
        <f t="shared" si="21"/>
        <v>0.08</v>
      </c>
      <c r="I443" s="28">
        <v>0.08</v>
      </c>
      <c r="J443" s="28">
        <v>0.08</v>
      </c>
    </row>
    <row r="444" spans="2:11" ht="15" customHeight="1" x14ac:dyDescent="0.35">
      <c r="E444" s="4" t="s">
        <v>335</v>
      </c>
      <c r="F444" s="10" t="s">
        <v>133</v>
      </c>
      <c r="G444" s="43" t="str">
        <f t="shared" si="20"/>
        <v>2024$ / vehicle-mile</v>
      </c>
      <c r="H444" s="458">
        <f t="shared" si="21"/>
        <v>0.251</v>
      </c>
      <c r="I444" s="28">
        <v>0.251</v>
      </c>
      <c r="J444" s="28">
        <v>0.251</v>
      </c>
      <c r="K444" s="10"/>
    </row>
    <row r="445" spans="2:11" ht="15" customHeight="1" x14ac:dyDescent="0.35">
      <c r="E445" s="4" t="s">
        <v>336</v>
      </c>
      <c r="F445" s="10" t="s">
        <v>133</v>
      </c>
      <c r="G445" s="43" t="str">
        <f t="shared" si="20"/>
        <v>2024$ / vehicle-mile</v>
      </c>
      <c r="H445" s="458">
        <f t="shared" si="21"/>
        <v>0.16300000000000001</v>
      </c>
      <c r="I445" s="28">
        <v>0.16300000000000001</v>
      </c>
      <c r="J445" s="28">
        <v>0.16300000000000001</v>
      </c>
      <c r="K445" s="10"/>
    </row>
    <row r="446" spans="2:11" ht="15" customHeight="1" x14ac:dyDescent="0.35">
      <c r="E446" s="4" t="s">
        <v>337</v>
      </c>
      <c r="F446" s="10" t="s">
        <v>133</v>
      </c>
      <c r="G446" s="43" t="str">
        <f t="shared" si="20"/>
        <v>2024$ / vehicle-mile</v>
      </c>
      <c r="H446" s="458">
        <f t="shared" si="21"/>
        <v>3.7999999999999999E-2</v>
      </c>
      <c r="I446" s="28">
        <v>3.7999999999999999E-2</v>
      </c>
      <c r="J446" s="28">
        <v>3.7999999999999999E-2</v>
      </c>
      <c r="K446" s="10"/>
    </row>
    <row r="447" spans="2:11" ht="15" customHeight="1" x14ac:dyDescent="0.35">
      <c r="E447" s="4" t="s">
        <v>338</v>
      </c>
      <c r="F447" s="10" t="s">
        <v>133</v>
      </c>
      <c r="G447" s="43" t="str">
        <f t="shared" si="20"/>
        <v>2024$ / vehicle-mile</v>
      </c>
      <c r="H447" s="458">
        <f t="shared" si="21"/>
        <v>0.13600000000000001</v>
      </c>
      <c r="I447" s="28">
        <v>0.13600000000000001</v>
      </c>
      <c r="J447" s="28">
        <v>0.13600000000000001</v>
      </c>
      <c r="K447" s="10"/>
    </row>
    <row r="448" spans="2:11" ht="5.25" customHeight="1" x14ac:dyDescent="0.35">
      <c r="I448" s="30">
        <v>0</v>
      </c>
      <c r="J448" s="30">
        <v>0</v>
      </c>
      <c r="K448" s="10"/>
    </row>
    <row r="449" spans="2:11" ht="15" customHeight="1" x14ac:dyDescent="0.35">
      <c r="E449" s="4" t="s">
        <v>343</v>
      </c>
      <c r="F449" s="3" t="s">
        <v>157</v>
      </c>
      <c r="G449" s="43" t="s">
        <v>340</v>
      </c>
      <c r="H449" s="469">
        <f>IF($H$10=$I$6, $I449, $J449)</f>
        <v>0.124</v>
      </c>
      <c r="I449" s="30">
        <f>I441</f>
        <v>0.124</v>
      </c>
      <c r="J449" s="30">
        <f>J441</f>
        <v>0.124</v>
      </c>
      <c r="K449" s="10"/>
    </row>
    <row r="450" spans="2:11" ht="15" customHeight="1" x14ac:dyDescent="0.35">
      <c r="E450" s="4" t="s">
        <v>344</v>
      </c>
      <c r="F450" s="3" t="s">
        <v>157</v>
      </c>
      <c r="G450" s="43" t="s">
        <v>340</v>
      </c>
      <c r="H450" s="469">
        <f>IF($H$10=$I$6, $I450, $J450)</f>
        <v>0.251</v>
      </c>
      <c r="I450" s="30">
        <f>I444</f>
        <v>0.251</v>
      </c>
      <c r="J450" s="30">
        <f>J444</f>
        <v>0.251</v>
      </c>
      <c r="K450" s="10"/>
    </row>
    <row r="451" spans="2:11" ht="5.25" customHeight="1" x14ac:dyDescent="0.35">
      <c r="I451" s="30">
        <v>0</v>
      </c>
      <c r="J451" s="30">
        <v>0</v>
      </c>
      <c r="K451" s="10"/>
    </row>
    <row r="452" spans="2:11" ht="14.5" x14ac:dyDescent="0.35">
      <c r="B452" s="1" t="s">
        <v>345</v>
      </c>
      <c r="H452" s="468"/>
      <c r="K452" s="10"/>
    </row>
    <row r="453" spans="2:11" ht="5.25" customHeight="1" x14ac:dyDescent="0.35">
      <c r="H453" s="468"/>
      <c r="K453" s="10"/>
    </row>
    <row r="454" spans="2:11" ht="14.5" x14ac:dyDescent="0.35">
      <c r="E454" s="4" t="s">
        <v>330</v>
      </c>
      <c r="F454" s="10" t="s">
        <v>133</v>
      </c>
      <c r="G454" s="43" t="str">
        <f t="shared" ref="G454:G462" si="22">$H$13&amp;"$ / vehicle-mile"</f>
        <v>2024$ / vehicle-mile</v>
      </c>
      <c r="H454" s="458">
        <f t="shared" ref="H454:H462" si="23">IF($H$10=$I$6, $I454, $J454)</f>
        <v>1.9E-2</v>
      </c>
      <c r="I454" s="28">
        <v>1.9E-2</v>
      </c>
      <c r="J454" s="28">
        <v>1.9E-2</v>
      </c>
      <c r="K454" s="10"/>
    </row>
    <row r="455" spans="2:11" ht="14.5" x14ac:dyDescent="0.35">
      <c r="E455" s="4" t="s">
        <v>331</v>
      </c>
      <c r="F455" s="10" t="s">
        <v>133</v>
      </c>
      <c r="G455" s="43" t="str">
        <f t="shared" si="22"/>
        <v>2024$ / vehicle-mile</v>
      </c>
      <c r="H455" s="458">
        <f t="shared" si="23"/>
        <v>0.105</v>
      </c>
      <c r="I455" s="28">
        <v>0.105</v>
      </c>
      <c r="J455" s="28">
        <v>0.105</v>
      </c>
      <c r="K455" s="10"/>
    </row>
    <row r="456" spans="2:11" ht="15" customHeight="1" x14ac:dyDescent="0.35">
      <c r="E456" s="4" t="s">
        <v>332</v>
      </c>
      <c r="F456" s="10" t="s">
        <v>133</v>
      </c>
      <c r="G456" s="43" t="str">
        <f t="shared" si="22"/>
        <v>2024$ / vehicle-mile</v>
      </c>
      <c r="H456" s="458">
        <f t="shared" si="23"/>
        <v>4.2999999999999997E-2</v>
      </c>
      <c r="I456" s="28">
        <v>4.2999999999999997E-2</v>
      </c>
      <c r="J456" s="28">
        <v>4.2999999999999997E-2</v>
      </c>
      <c r="K456" s="10"/>
    </row>
    <row r="457" spans="2:11" ht="15" customHeight="1" x14ac:dyDescent="0.35">
      <c r="E457" s="4" t="s">
        <v>333</v>
      </c>
      <c r="F457" s="10" t="s">
        <v>133</v>
      </c>
      <c r="G457" s="43" t="str">
        <f t="shared" si="22"/>
        <v>2024$ / vehicle-mile</v>
      </c>
      <c r="H457" s="458">
        <f t="shared" si="23"/>
        <v>1.7000000000000001E-2</v>
      </c>
      <c r="I457" s="28">
        <v>1.7000000000000001E-2</v>
      </c>
      <c r="J457" s="28">
        <v>1.7000000000000001E-2</v>
      </c>
      <c r="K457" s="10"/>
    </row>
    <row r="458" spans="2:11" ht="15" customHeight="1" x14ac:dyDescent="0.35">
      <c r="E458" s="4" t="s">
        <v>334</v>
      </c>
      <c r="F458" s="10" t="s">
        <v>133</v>
      </c>
      <c r="G458" s="43" t="str">
        <f t="shared" si="22"/>
        <v>2024$ / vehicle-mile</v>
      </c>
      <c r="H458" s="458">
        <f t="shared" si="23"/>
        <v>0.03</v>
      </c>
      <c r="I458" s="28">
        <v>0.03</v>
      </c>
      <c r="J458" s="28">
        <v>0.03</v>
      </c>
      <c r="K458" s="10"/>
    </row>
    <row r="459" spans="2:11" ht="15" customHeight="1" x14ac:dyDescent="0.35">
      <c r="E459" s="4" t="s">
        <v>335</v>
      </c>
      <c r="F459" s="10" t="s">
        <v>133</v>
      </c>
      <c r="G459" s="43" t="str">
        <f t="shared" si="22"/>
        <v>2024$ / vehicle-mile</v>
      </c>
      <c r="H459" s="458">
        <f t="shared" si="23"/>
        <v>2.3E-2</v>
      </c>
      <c r="I459" s="28">
        <v>2.3E-2</v>
      </c>
      <c r="J459" s="28">
        <v>2.3E-2</v>
      </c>
      <c r="K459" s="10"/>
    </row>
    <row r="460" spans="2:11" ht="15" customHeight="1" x14ac:dyDescent="0.35">
      <c r="E460" s="4" t="s">
        <v>336</v>
      </c>
      <c r="F460" s="10" t="s">
        <v>133</v>
      </c>
      <c r="G460" s="43" t="str">
        <f t="shared" si="22"/>
        <v>2024$ / vehicle-mile</v>
      </c>
      <c r="H460" s="458">
        <f t="shared" si="23"/>
        <v>1.9E-2</v>
      </c>
      <c r="I460" s="28">
        <v>1.9E-2</v>
      </c>
      <c r="J460" s="28">
        <v>1.9E-2</v>
      </c>
      <c r="K460" s="10"/>
    </row>
    <row r="461" spans="2:11" ht="15" customHeight="1" x14ac:dyDescent="0.35">
      <c r="E461" s="4" t="s">
        <v>337</v>
      </c>
      <c r="F461" s="10" t="s">
        <v>133</v>
      </c>
      <c r="G461" s="43" t="str">
        <f t="shared" si="22"/>
        <v>2024$ / vehicle-mile</v>
      </c>
      <c r="H461" s="458">
        <f t="shared" si="23"/>
        <v>9.4E-2</v>
      </c>
      <c r="I461" s="28">
        <v>9.4E-2</v>
      </c>
      <c r="J461" s="28">
        <v>9.4E-2</v>
      </c>
      <c r="K461" s="10"/>
    </row>
    <row r="462" spans="2:11" ht="15" customHeight="1" x14ac:dyDescent="0.35">
      <c r="E462" s="4" t="s">
        <v>338</v>
      </c>
      <c r="F462" s="10" t="s">
        <v>133</v>
      </c>
      <c r="G462" s="43" t="str">
        <f t="shared" si="22"/>
        <v>2024$ / vehicle-mile</v>
      </c>
      <c r="H462" s="458">
        <f t="shared" si="23"/>
        <v>4.1000000000000002E-2</v>
      </c>
      <c r="I462" s="28">
        <v>4.1000000000000002E-2</v>
      </c>
      <c r="J462" s="28">
        <v>4.1000000000000002E-2</v>
      </c>
      <c r="K462" s="10"/>
    </row>
    <row r="463" spans="2:11" ht="5.25" customHeight="1" x14ac:dyDescent="0.35">
      <c r="I463" s="30">
        <v>0</v>
      </c>
      <c r="J463" s="30">
        <v>0</v>
      </c>
      <c r="K463" s="10"/>
    </row>
    <row r="464" spans="2:11" ht="15" customHeight="1" x14ac:dyDescent="0.35">
      <c r="E464" s="4" t="s">
        <v>346</v>
      </c>
      <c r="F464" s="3" t="s">
        <v>157</v>
      </c>
      <c r="G464" s="43" t="s">
        <v>340</v>
      </c>
      <c r="H464" s="469">
        <f>IF($H$10=$I$6, $I464, $J464)</f>
        <v>4.2999999999999997E-2</v>
      </c>
      <c r="I464" s="30">
        <f>I456</f>
        <v>4.2999999999999997E-2</v>
      </c>
      <c r="J464" s="30">
        <f>J456</f>
        <v>4.2999999999999997E-2</v>
      </c>
      <c r="K464" s="10"/>
    </row>
    <row r="465" spans="1:11" ht="15" customHeight="1" x14ac:dyDescent="0.35">
      <c r="E465" s="4" t="s">
        <v>347</v>
      </c>
      <c r="F465" s="3" t="s">
        <v>157</v>
      </c>
      <c r="G465" s="43" t="s">
        <v>340</v>
      </c>
      <c r="H465" s="469">
        <f>IF($H$10=$I$6, $I465, $J465)</f>
        <v>2.3E-2</v>
      </c>
      <c r="I465" s="30">
        <f>I459</f>
        <v>2.3E-2</v>
      </c>
      <c r="J465" s="30">
        <f>J459</f>
        <v>2.3E-2</v>
      </c>
      <c r="K465" s="10"/>
    </row>
    <row r="466" spans="1:11" ht="5.25" customHeight="1" x14ac:dyDescent="0.35">
      <c r="A466" s="126"/>
      <c r="B466" s="205"/>
      <c r="C466" s="206"/>
      <c r="D466" s="126"/>
      <c r="E466" s="126"/>
      <c r="F466" s="126"/>
      <c r="G466" s="216"/>
      <c r="H466" s="432"/>
      <c r="I466" s="218">
        <v>0</v>
      </c>
      <c r="J466" s="218">
        <v>0</v>
      </c>
      <c r="K466" s="208"/>
    </row>
    <row r="467" spans="1:11" ht="14.5" x14ac:dyDescent="0.35">
      <c r="B467" s="1" t="s">
        <v>348</v>
      </c>
      <c r="H467" s="468"/>
      <c r="K467" s="10"/>
    </row>
    <row r="468" spans="1:11" ht="5.25" customHeight="1" x14ac:dyDescent="0.35">
      <c r="H468" s="468"/>
      <c r="K468" s="10"/>
    </row>
    <row r="469" spans="1:11" ht="15" customHeight="1" x14ac:dyDescent="0.35">
      <c r="E469" s="4" t="s">
        <v>332</v>
      </c>
      <c r="F469" s="10" t="s">
        <v>133</v>
      </c>
      <c r="G469" s="43" t="str">
        <f t="shared" ref="G469:G471" si="24">$H$13&amp;"$ / vehicle-mile"</f>
        <v>2024$ / vehicle-mile</v>
      </c>
      <c r="H469" s="458">
        <f>IF($H$10=$I$6, $I469, $J469)</f>
        <v>1.2999999999999999E-2</v>
      </c>
      <c r="I469" s="28">
        <v>1.2999999999999999E-2</v>
      </c>
      <c r="J469" s="28">
        <v>1.2999999999999999E-2</v>
      </c>
      <c r="K469" s="10"/>
    </row>
    <row r="470" spans="1:11" ht="15" customHeight="1" x14ac:dyDescent="0.35">
      <c r="E470" s="4" t="s">
        <v>335</v>
      </c>
      <c r="F470" s="10" t="s">
        <v>133</v>
      </c>
      <c r="G470" s="43" t="str">
        <f t="shared" si="24"/>
        <v>2024$ / vehicle-mile</v>
      </c>
      <c r="H470" s="458">
        <f>IF($H$10=$I$6, $I470, $J470)</f>
        <v>3.7999999999999999E-2</v>
      </c>
      <c r="I470" s="28">
        <v>3.7999999999999999E-2</v>
      </c>
      <c r="J470" s="28">
        <v>3.7999999999999999E-2</v>
      </c>
      <c r="K470" s="10"/>
    </row>
    <row r="471" spans="1:11" ht="15" customHeight="1" x14ac:dyDescent="0.35">
      <c r="E471" s="4" t="s">
        <v>338</v>
      </c>
      <c r="F471" s="10" t="s">
        <v>133</v>
      </c>
      <c r="G471" s="43" t="str">
        <f t="shared" si="24"/>
        <v>2024$ / vehicle-mile</v>
      </c>
      <c r="H471" s="458">
        <f>IF($H$10=$I$6, $I471, $J471)</f>
        <v>1.6E-2</v>
      </c>
      <c r="I471" s="28">
        <v>1.6E-2</v>
      </c>
      <c r="J471" s="28">
        <v>1.6E-2</v>
      </c>
      <c r="K471" s="10"/>
    </row>
    <row r="472" spans="1:11" ht="5.25" customHeight="1" x14ac:dyDescent="0.35">
      <c r="I472" s="30"/>
      <c r="J472" s="30"/>
      <c r="K472" s="10"/>
    </row>
    <row r="473" spans="1:11" ht="14.5" x14ac:dyDescent="0.35">
      <c r="B473" s="1" t="s">
        <v>349</v>
      </c>
      <c r="H473" s="468"/>
      <c r="K473" s="10"/>
    </row>
    <row r="474" spans="1:11" ht="5.25" customHeight="1" x14ac:dyDescent="0.35">
      <c r="H474" s="468"/>
      <c r="K474" s="10"/>
    </row>
    <row r="475" spans="1:11" ht="15" customHeight="1" x14ac:dyDescent="0.35">
      <c r="E475" s="4" t="s">
        <v>330</v>
      </c>
      <c r="F475" s="10" t="s">
        <v>133</v>
      </c>
      <c r="G475" s="43" t="s">
        <v>350</v>
      </c>
      <c r="H475" s="458">
        <f t="shared" ref="H475:H483" si="25">IF($H$10=$I$6, $I475, $J475)</f>
        <v>0</v>
      </c>
      <c r="I475" s="28"/>
      <c r="J475" s="28"/>
      <c r="K475" s="10"/>
    </row>
    <row r="476" spans="1:11" ht="15" customHeight="1" x14ac:dyDescent="0.35">
      <c r="E476" s="4" t="s">
        <v>331</v>
      </c>
      <c r="F476" s="10" t="s">
        <v>133</v>
      </c>
      <c r="G476" s="43" t="s">
        <v>350</v>
      </c>
      <c r="H476" s="458">
        <f t="shared" si="25"/>
        <v>0</v>
      </c>
      <c r="I476" s="28"/>
      <c r="J476" s="28"/>
      <c r="K476" s="10"/>
    </row>
    <row r="477" spans="1:11" ht="15" customHeight="1" x14ac:dyDescent="0.35">
      <c r="E477" s="4" t="s">
        <v>332</v>
      </c>
      <c r="F477" s="10" t="s">
        <v>133</v>
      </c>
      <c r="G477" s="43" t="s">
        <v>350</v>
      </c>
      <c r="H477" s="458">
        <f t="shared" si="25"/>
        <v>0</v>
      </c>
      <c r="I477" s="28"/>
      <c r="J477" s="28"/>
      <c r="K477" s="10"/>
    </row>
    <row r="478" spans="1:11" ht="15" customHeight="1" x14ac:dyDescent="0.35">
      <c r="E478" s="4" t="s">
        <v>333</v>
      </c>
      <c r="F478" s="10" t="s">
        <v>133</v>
      </c>
      <c r="G478" s="43" t="s">
        <v>350</v>
      </c>
      <c r="H478" s="458">
        <f t="shared" si="25"/>
        <v>0</v>
      </c>
      <c r="I478" s="28"/>
      <c r="J478" s="28"/>
      <c r="K478" s="10"/>
    </row>
    <row r="479" spans="1:11" ht="15" customHeight="1" x14ac:dyDescent="0.35">
      <c r="E479" s="4" t="s">
        <v>334</v>
      </c>
      <c r="F479" s="10" t="s">
        <v>133</v>
      </c>
      <c r="G479" s="43" t="s">
        <v>350</v>
      </c>
      <c r="H479" s="458">
        <f t="shared" si="25"/>
        <v>0</v>
      </c>
      <c r="I479" s="28"/>
      <c r="J479" s="28"/>
      <c r="K479" s="10"/>
    </row>
    <row r="480" spans="1:11" ht="15" customHeight="1" x14ac:dyDescent="0.35">
      <c r="E480" s="4" t="s">
        <v>335</v>
      </c>
      <c r="F480" s="10" t="s">
        <v>133</v>
      </c>
      <c r="G480" s="43" t="s">
        <v>350</v>
      </c>
      <c r="H480" s="458">
        <f t="shared" si="25"/>
        <v>0</v>
      </c>
      <c r="I480" s="28"/>
      <c r="J480" s="28"/>
      <c r="K480" s="10"/>
    </row>
    <row r="481" spans="1:11" ht="15" customHeight="1" x14ac:dyDescent="0.35">
      <c r="E481" s="4" t="s">
        <v>336</v>
      </c>
      <c r="F481" s="10" t="s">
        <v>133</v>
      </c>
      <c r="G481" s="43" t="s">
        <v>350</v>
      </c>
      <c r="H481" s="458">
        <f t="shared" si="25"/>
        <v>0</v>
      </c>
      <c r="I481" s="28"/>
      <c r="J481" s="28"/>
      <c r="K481" s="10"/>
    </row>
    <row r="482" spans="1:11" ht="15" customHeight="1" x14ac:dyDescent="0.35">
      <c r="E482" s="4" t="s">
        <v>337</v>
      </c>
      <c r="F482" s="10" t="s">
        <v>133</v>
      </c>
      <c r="G482" s="43" t="s">
        <v>350</v>
      </c>
      <c r="H482" s="458">
        <f t="shared" si="25"/>
        <v>0</v>
      </c>
      <c r="I482" s="28"/>
      <c r="J482" s="28"/>
      <c r="K482" s="10"/>
    </row>
    <row r="483" spans="1:11" ht="15" customHeight="1" x14ac:dyDescent="0.35">
      <c r="E483" s="4" t="s">
        <v>338</v>
      </c>
      <c r="F483" s="10" t="s">
        <v>133</v>
      </c>
      <c r="G483" s="43" t="s">
        <v>350</v>
      </c>
      <c r="H483" s="458">
        <f t="shared" si="25"/>
        <v>0</v>
      </c>
      <c r="I483" s="28"/>
      <c r="J483" s="28"/>
      <c r="K483" s="10"/>
    </row>
    <row r="484" spans="1:11" ht="5.25" customHeight="1" x14ac:dyDescent="0.35">
      <c r="A484" s="209"/>
      <c r="B484" s="210"/>
      <c r="C484" s="211"/>
      <c r="D484" s="209"/>
      <c r="E484" s="209"/>
      <c r="F484" s="209"/>
      <c r="G484" s="215"/>
      <c r="H484" s="433"/>
      <c r="I484" s="217"/>
      <c r="J484" s="217"/>
      <c r="K484" s="213"/>
    </row>
    <row r="485" spans="1:11" ht="14.5" x14ac:dyDescent="0.35">
      <c r="A485" s="672" t="s">
        <v>351</v>
      </c>
      <c r="B485" s="673"/>
      <c r="C485" s="673"/>
      <c r="D485" s="673"/>
      <c r="E485" s="673"/>
      <c r="F485" s="673"/>
      <c r="G485" s="673"/>
      <c r="H485" s="673"/>
      <c r="I485" s="673"/>
      <c r="J485" s="673"/>
      <c r="K485" s="674"/>
    </row>
    <row r="486" spans="1:11" ht="5.25" customHeight="1" x14ac:dyDescent="0.35">
      <c r="A486" s="209"/>
      <c r="B486" s="210"/>
      <c r="C486" s="211"/>
      <c r="D486" s="209"/>
      <c r="E486" s="209"/>
      <c r="F486" s="209"/>
      <c r="G486" s="215"/>
      <c r="H486" s="433"/>
      <c r="I486" s="217"/>
      <c r="J486" s="217"/>
      <c r="K486" s="213"/>
    </row>
    <row r="487" spans="1:11" ht="14.5" x14ac:dyDescent="0.35">
      <c r="E487" s="4" t="s">
        <v>352</v>
      </c>
      <c r="F487" s="10" t="s">
        <v>133</v>
      </c>
      <c r="G487" s="43" t="s">
        <v>353</v>
      </c>
      <c r="H487" s="470">
        <f>IF($H$10=$I$6, $I487, $J487)</f>
        <v>3.2</v>
      </c>
      <c r="I487" s="20">
        <v>3.2</v>
      </c>
      <c r="J487" s="20">
        <v>3.2</v>
      </c>
      <c r="K487" s="10"/>
    </row>
    <row r="488" spans="1:11" ht="14.5" x14ac:dyDescent="0.35">
      <c r="E488" s="4" t="s">
        <v>354</v>
      </c>
      <c r="F488" s="10" t="s">
        <v>133</v>
      </c>
      <c r="G488" s="43" t="s">
        <v>353</v>
      </c>
      <c r="H488" s="470">
        <f>IF($H$10=$I$6, $I488, $J488)</f>
        <v>9.8000000000000007</v>
      </c>
      <c r="I488" s="20">
        <v>9.8000000000000007</v>
      </c>
      <c r="J488" s="20">
        <v>9.8000000000000007</v>
      </c>
      <c r="K488" s="10"/>
    </row>
    <row r="489" spans="1:11" ht="14.5" x14ac:dyDescent="0.35">
      <c r="E489" s="4" t="s">
        <v>355</v>
      </c>
      <c r="F489" s="10" t="s">
        <v>133</v>
      </c>
      <c r="G489" s="43" t="s">
        <v>353</v>
      </c>
      <c r="H489" s="470">
        <f>IF($H$10=$I$6, $I489, $J489)</f>
        <v>12.1</v>
      </c>
      <c r="I489" s="20">
        <v>12.1</v>
      </c>
      <c r="J489" s="20">
        <v>12.1</v>
      </c>
      <c r="K489" s="10"/>
    </row>
    <row r="490" spans="1:11" ht="5.25" customHeight="1" x14ac:dyDescent="0.35">
      <c r="I490" s="30"/>
      <c r="J490" s="30"/>
      <c r="K490" s="10"/>
    </row>
    <row r="491" spans="1:11" ht="14.5" x14ac:dyDescent="0.35">
      <c r="E491" s="4" t="s">
        <v>356</v>
      </c>
      <c r="F491" s="10" t="s">
        <v>133</v>
      </c>
      <c r="G491" s="43" t="s">
        <v>357</v>
      </c>
      <c r="H491" s="470">
        <f>IF($H$10=$I$6, $I491, $J491)</f>
        <v>0.86</v>
      </c>
      <c r="I491" s="20">
        <v>0.86</v>
      </c>
      <c r="J491" s="20">
        <v>0.86</v>
      </c>
      <c r="K491" s="10"/>
    </row>
    <row r="492" spans="1:11" ht="14.5" x14ac:dyDescent="0.35">
      <c r="E492" s="4" t="s">
        <v>358</v>
      </c>
      <c r="F492" s="10" t="s">
        <v>133</v>
      </c>
      <c r="G492" s="43" t="s">
        <v>357</v>
      </c>
      <c r="H492" s="470">
        <f>IF($H$10=$I$6, $I492, $J492)</f>
        <v>2.38</v>
      </c>
      <c r="I492" s="20">
        <v>2.38</v>
      </c>
      <c r="J492" s="20">
        <v>2.38</v>
      </c>
      <c r="K492" s="10"/>
    </row>
    <row r="493" spans="1:11" ht="5.25" customHeight="1" x14ac:dyDescent="0.35">
      <c r="I493" s="30"/>
      <c r="J493" s="30"/>
      <c r="K493" s="10"/>
    </row>
    <row r="494" spans="1:11" s="178" customFormat="1" ht="14.5" x14ac:dyDescent="0.35">
      <c r="B494" s="224"/>
      <c r="C494" s="255"/>
      <c r="D494" s="253"/>
      <c r="E494" s="249" t="s">
        <v>359</v>
      </c>
      <c r="F494" s="252" t="s">
        <v>360</v>
      </c>
      <c r="G494" s="260" t="s">
        <v>200</v>
      </c>
      <c r="H494" s="472">
        <f>IF($H$10=$I$6, $I494, $J494)</f>
        <v>0.01</v>
      </c>
      <c r="I494" s="301">
        <v>0.01</v>
      </c>
      <c r="J494" s="301">
        <v>0.01</v>
      </c>
    </row>
    <row r="495" spans="1:11" s="178" customFormat="1" ht="14.5" x14ac:dyDescent="0.35">
      <c r="B495" s="224"/>
      <c r="C495" s="255"/>
      <c r="D495" s="253"/>
      <c r="E495" s="249" t="s">
        <v>361</v>
      </c>
      <c r="F495" s="252" t="s">
        <v>360</v>
      </c>
      <c r="G495" s="260" t="s">
        <v>200</v>
      </c>
      <c r="H495" s="472">
        <f>IF($H$10=$I$6, $I495, $J495)</f>
        <v>0.01</v>
      </c>
      <c r="I495" s="301">
        <v>0.01</v>
      </c>
      <c r="J495" s="301">
        <v>0.01</v>
      </c>
    </row>
    <row r="496" spans="1:11" s="178" customFormat="1" ht="5.25" customHeight="1" x14ac:dyDescent="0.35">
      <c r="B496" s="224"/>
      <c r="C496" s="255"/>
      <c r="D496" s="253"/>
      <c r="E496" s="253"/>
      <c r="F496" s="253"/>
      <c r="G496" s="256"/>
      <c r="H496" s="473"/>
      <c r="I496" s="253"/>
      <c r="J496" s="253"/>
    </row>
    <row r="497" spans="2:10" s="178" customFormat="1" ht="14.5" x14ac:dyDescent="0.35">
      <c r="B497" s="224"/>
      <c r="C497" s="255"/>
      <c r="D497" s="253"/>
      <c r="E497" s="253" t="s">
        <v>362</v>
      </c>
      <c r="F497" s="10" t="s">
        <v>133</v>
      </c>
      <c r="G497" s="43" t="s">
        <v>200</v>
      </c>
      <c r="H497" s="474">
        <f>IF($H$10=$I$6, $I497, $J497)</f>
        <v>0.5</v>
      </c>
      <c r="I497" s="300">
        <v>0.5</v>
      </c>
      <c r="J497" s="300">
        <v>0.5</v>
      </c>
    </row>
    <row r="498" spans="2:10" s="178" customFormat="1" ht="5.25" customHeight="1" x14ac:dyDescent="0.35">
      <c r="B498" s="224"/>
      <c r="C498" s="255"/>
      <c r="D498" s="253"/>
      <c r="E498" s="253"/>
      <c r="F498" s="253"/>
      <c r="G498" s="256"/>
      <c r="H498" s="473"/>
      <c r="I498" s="253"/>
      <c r="J498" s="253"/>
    </row>
    <row r="499" spans="2:10" s="178" customFormat="1" ht="14.5" x14ac:dyDescent="0.35">
      <c r="B499" s="1" t="s">
        <v>363</v>
      </c>
      <c r="C499" s="255"/>
      <c r="D499" s="253"/>
      <c r="E499" s="253"/>
      <c r="F499" s="253"/>
      <c r="G499" s="256"/>
      <c r="H499" s="473"/>
      <c r="I499" s="253"/>
      <c r="J499" s="253"/>
    </row>
    <row r="500" spans="2:10" ht="5.25" customHeight="1" x14ac:dyDescent="0.35">
      <c r="B500" s="205"/>
      <c r="C500" s="206"/>
      <c r="D500" s="126"/>
      <c r="E500" s="126"/>
      <c r="F500" s="126"/>
      <c r="G500" s="216"/>
      <c r="H500" s="432"/>
      <c r="I500" s="126"/>
      <c r="J500" s="126"/>
    </row>
    <row r="501" spans="2:10" s="178" customFormat="1" ht="14.5" x14ac:dyDescent="0.35">
      <c r="B501" s="254"/>
      <c r="C501" s="255"/>
      <c r="D501" s="253"/>
      <c r="E501" s="253" t="s">
        <v>364</v>
      </c>
      <c r="F501" s="4" t="s">
        <v>365</v>
      </c>
      <c r="G501" s="43" t="s">
        <v>200</v>
      </c>
      <c r="H501" s="475">
        <f>IF($H$10=$I$6, $I501, $J501)</f>
        <v>7.0000000000000007E-2</v>
      </c>
      <c r="I501" s="257">
        <v>7.0000000000000007E-2</v>
      </c>
      <c r="J501" s="257">
        <v>7.0000000000000007E-2</v>
      </c>
    </row>
    <row r="502" spans="2:10" s="178" customFormat="1" ht="14.5" x14ac:dyDescent="0.35">
      <c r="B502" s="254"/>
      <c r="C502" s="255"/>
      <c r="D502" s="253"/>
      <c r="E502" s="253" t="s">
        <v>366</v>
      </c>
      <c r="F502" s="4" t="s">
        <v>365</v>
      </c>
      <c r="G502" s="43" t="s">
        <v>200</v>
      </c>
      <c r="H502" s="475">
        <f>IF($H$10=$I$6, $I502, $J502)</f>
        <v>0.92999999999999994</v>
      </c>
      <c r="I502" s="258">
        <f>1-I501</f>
        <v>0.92999999999999994</v>
      </c>
      <c r="J502" s="258">
        <f>1-J501</f>
        <v>0.92999999999999994</v>
      </c>
    </row>
    <row r="503" spans="2:10" ht="5.25" customHeight="1" x14ac:dyDescent="0.35">
      <c r="H503" s="475"/>
      <c r="I503" s="258"/>
      <c r="J503" s="258"/>
    </row>
    <row r="504" spans="2:10" s="178" customFormat="1" ht="14.5" x14ac:dyDescent="0.35">
      <c r="B504" s="254"/>
      <c r="C504" s="255"/>
      <c r="D504" s="253"/>
      <c r="E504" s="253" t="s">
        <v>367</v>
      </c>
      <c r="F504" s="4" t="s">
        <v>365</v>
      </c>
      <c r="G504" s="43" t="s">
        <v>200</v>
      </c>
      <c r="H504" s="475">
        <f>IF($H$10=$I$6, $I504, $J504)</f>
        <v>0.20200000000000001</v>
      </c>
      <c r="I504" s="257">
        <v>0.20200000000000001</v>
      </c>
      <c r="J504" s="257">
        <v>0.20200000000000001</v>
      </c>
    </row>
    <row r="505" spans="2:10" s="178" customFormat="1" ht="14.5" x14ac:dyDescent="0.35">
      <c r="B505" s="254"/>
      <c r="C505" s="255"/>
      <c r="D505" s="253"/>
      <c r="E505" s="253" t="s">
        <v>368</v>
      </c>
      <c r="F505" s="4" t="s">
        <v>365</v>
      </c>
      <c r="G505" s="43" t="s">
        <v>200</v>
      </c>
      <c r="H505" s="475">
        <f>IF($H$10=$I$6, $I505, $J505)</f>
        <v>0.79800000000000004</v>
      </c>
      <c r="I505" s="258">
        <f>1-I504</f>
        <v>0.79800000000000004</v>
      </c>
      <c r="J505" s="258">
        <f>1-J504</f>
        <v>0.79800000000000004</v>
      </c>
    </row>
    <row r="506" spans="2:10" ht="5.25" customHeight="1" x14ac:dyDescent="0.35">
      <c r="I506" s="30"/>
      <c r="J506" s="30"/>
    </row>
    <row r="507" spans="2:10" s="178" customFormat="1" ht="14.5" x14ac:dyDescent="0.35">
      <c r="B507" s="1" t="s">
        <v>369</v>
      </c>
      <c r="C507" s="255"/>
      <c r="D507" s="253"/>
      <c r="E507" s="253"/>
      <c r="F507" s="253"/>
      <c r="G507" s="256"/>
      <c r="H507" s="473"/>
      <c r="I507" s="253"/>
      <c r="J507" s="253"/>
    </row>
    <row r="508" spans="2:10" ht="5.25" customHeight="1" x14ac:dyDescent="0.35">
      <c r="B508" s="205"/>
      <c r="C508" s="206"/>
      <c r="D508" s="126"/>
      <c r="E508" s="126"/>
      <c r="F508" s="126"/>
      <c r="G508" s="216"/>
      <c r="H508" s="432"/>
      <c r="I508" s="126"/>
      <c r="J508" s="126"/>
    </row>
    <row r="509" spans="2:10" s="178" customFormat="1" ht="14.5" x14ac:dyDescent="0.35">
      <c r="B509" s="254"/>
      <c r="C509" s="255"/>
      <c r="D509" s="253"/>
      <c r="E509" s="253" t="s">
        <v>370</v>
      </c>
      <c r="F509" s="4" t="s">
        <v>365</v>
      </c>
      <c r="G509" s="43" t="s">
        <v>200</v>
      </c>
      <c r="H509" s="475">
        <f>IF($H$10=$I$6, $I509, $J509)</f>
        <v>0.82599999999999996</v>
      </c>
      <c r="I509" s="257">
        <v>0.82599999999999996</v>
      </c>
      <c r="J509" s="257">
        <v>0.82599999999999996</v>
      </c>
    </row>
    <row r="510" spans="2:10" s="178" customFormat="1" ht="14.5" x14ac:dyDescent="0.35">
      <c r="B510" s="254"/>
      <c r="C510" s="255"/>
      <c r="D510" s="253"/>
      <c r="E510" s="253" t="s">
        <v>371</v>
      </c>
      <c r="F510" s="4" t="s">
        <v>365</v>
      </c>
      <c r="G510" s="43" t="s">
        <v>200</v>
      </c>
      <c r="H510" s="475">
        <f>IF($H$10=$I$6, $I510, $J510)</f>
        <v>2.5000000000000001E-2</v>
      </c>
      <c r="I510" s="257">
        <v>2.5000000000000001E-2</v>
      </c>
      <c r="J510" s="257">
        <v>2.5000000000000001E-2</v>
      </c>
    </row>
    <row r="511" spans="2:10" s="178" customFormat="1" ht="14.5" x14ac:dyDescent="0.35">
      <c r="B511" s="254"/>
      <c r="C511" s="255"/>
      <c r="D511" s="253"/>
      <c r="E511" s="253" t="s">
        <v>372</v>
      </c>
      <c r="F511" s="4" t="s">
        <v>365</v>
      </c>
      <c r="G511" s="43" t="s">
        <v>200</v>
      </c>
      <c r="H511" s="475">
        <f>IF($H$10=$I$6, $I511, $J511)</f>
        <v>0.105</v>
      </c>
      <c r="I511" s="257">
        <v>0.105</v>
      </c>
      <c r="J511" s="257">
        <v>0.105</v>
      </c>
    </row>
    <row r="512" spans="2:10" s="178" customFormat="1" ht="14.5" x14ac:dyDescent="0.35">
      <c r="B512" s="254"/>
      <c r="C512" s="255"/>
      <c r="D512" s="253"/>
      <c r="E512" s="253" t="s">
        <v>373</v>
      </c>
      <c r="F512" s="4" t="s">
        <v>365</v>
      </c>
      <c r="G512" s="43" t="s">
        <v>200</v>
      </c>
      <c r="H512" s="475">
        <f>IF($H$10=$I$6, $I512, $J512)</f>
        <v>4.3999999999999997E-2</v>
      </c>
      <c r="I512" s="257">
        <v>4.3999999999999997E-2</v>
      </c>
      <c r="J512" s="257">
        <v>4.3999999999999997E-2</v>
      </c>
    </row>
    <row r="513" spans="2:10" ht="5.25" customHeight="1" x14ac:dyDescent="0.35">
      <c r="I513" s="30"/>
      <c r="J513" s="30"/>
    </row>
    <row r="514" spans="2:10" s="178" customFormat="1" ht="14.5" x14ac:dyDescent="0.35">
      <c r="B514" s="254"/>
      <c r="C514" s="255"/>
      <c r="D514" s="253"/>
      <c r="E514" s="253" t="s">
        <v>374</v>
      </c>
      <c r="F514" s="4" t="s">
        <v>219</v>
      </c>
      <c r="G514" s="43" t="s">
        <v>200</v>
      </c>
      <c r="H514" s="475">
        <f>IF($H$10=$I$6, $I514, $J514)</f>
        <v>0.92290502793296081</v>
      </c>
      <c r="I514" s="258">
        <f>I509/SUM($I$512,$I$509,$I$510)</f>
        <v>0.92290502793296081</v>
      </c>
      <c r="J514" s="258">
        <f>J509/SUM($I$512,$I$509,$I$510)</f>
        <v>0.92290502793296081</v>
      </c>
    </row>
    <row r="515" spans="2:10" s="178" customFormat="1" ht="14.5" x14ac:dyDescent="0.35">
      <c r="B515" s="254"/>
      <c r="C515" s="255"/>
      <c r="D515" s="253"/>
      <c r="E515" s="253" t="s">
        <v>375</v>
      </c>
      <c r="F515" s="4" t="s">
        <v>219</v>
      </c>
      <c r="G515" s="43" t="s">
        <v>200</v>
      </c>
      <c r="H515" s="475">
        <f>IF($H$10=$I$6, $I515, $J515)</f>
        <v>2.793296089385475E-2</v>
      </c>
      <c r="I515" s="258">
        <f>I510/SUM($I$512,$I$509,$I$510)</f>
        <v>2.793296089385475E-2</v>
      </c>
      <c r="J515" s="258">
        <f>J510/SUM($I$512,$I$509,$I$510)</f>
        <v>2.793296089385475E-2</v>
      </c>
    </row>
    <row r="516" spans="2:10" s="178" customFormat="1" ht="14.5" x14ac:dyDescent="0.35">
      <c r="B516" s="254"/>
      <c r="C516" s="255"/>
      <c r="D516" s="253"/>
      <c r="E516" s="253" t="s">
        <v>376</v>
      </c>
      <c r="F516" s="4" t="s">
        <v>219</v>
      </c>
      <c r="G516" s="43" t="s">
        <v>200</v>
      </c>
      <c r="H516" s="475">
        <f>IF($H$10=$I$6, $I516, $J516)</f>
        <v>4.9162011173184354E-2</v>
      </c>
      <c r="I516" s="258">
        <f>I512/SUM($I$512,$I$509,$I$510)</f>
        <v>4.9162011173184354E-2</v>
      </c>
      <c r="J516" s="258">
        <f>J512/SUM($I$512,$I$509,$I$510)</f>
        <v>4.9162011173184354E-2</v>
      </c>
    </row>
    <row r="517" spans="2:10" ht="5.25" customHeight="1" x14ac:dyDescent="0.35">
      <c r="I517" s="30"/>
      <c r="J517" s="30"/>
    </row>
    <row r="518" spans="2:10" ht="14.5" x14ac:dyDescent="0.35">
      <c r="B518" s="1" t="s">
        <v>377</v>
      </c>
      <c r="H518" s="133"/>
      <c r="I518" s="30"/>
      <c r="J518" s="30"/>
    </row>
    <row r="519" spans="2:10" ht="5.25" customHeight="1" x14ac:dyDescent="0.35"/>
    <row r="520" spans="2:10" ht="14.5" x14ac:dyDescent="0.35">
      <c r="E520" s="4" t="s">
        <v>378</v>
      </c>
      <c r="F520" s="10" t="s">
        <v>133</v>
      </c>
      <c r="G520" s="43" t="str">
        <f>$H$13&amp;"$ / induced person-trip"</f>
        <v>2024$ / induced person-trip</v>
      </c>
      <c r="H520" s="442">
        <f>IF($H$10=$I$6, $I520, $J520)</f>
        <v>8.36</v>
      </c>
      <c r="I520" s="20">
        <v>8.36</v>
      </c>
      <c r="J520" s="20">
        <v>8.36</v>
      </c>
    </row>
    <row r="521" spans="2:10" ht="14.5" x14ac:dyDescent="0.35">
      <c r="E521" s="4" t="s">
        <v>379</v>
      </c>
      <c r="F521" s="10" t="s">
        <v>133</v>
      </c>
      <c r="G521" s="43" t="str">
        <f>$H$13&amp;"$ / induced person-trip"</f>
        <v>2024$ / induced person-trip</v>
      </c>
      <c r="H521" s="442">
        <f>IF($H$10=$I$6, $I521, $J521)</f>
        <v>7.45</v>
      </c>
      <c r="I521" s="20">
        <v>7.45</v>
      </c>
      <c r="J521" s="20">
        <v>7.45</v>
      </c>
    </row>
    <row r="522" spans="2:10" ht="5.25" customHeight="1" x14ac:dyDescent="0.35">
      <c r="H522" s="37" t="s">
        <v>170</v>
      </c>
    </row>
    <row r="523" spans="2:10" ht="14.5" x14ac:dyDescent="0.35">
      <c r="E523" s="4" t="s">
        <v>380</v>
      </c>
      <c r="F523" s="10" t="s">
        <v>133</v>
      </c>
      <c r="G523" s="43" t="s">
        <v>200</v>
      </c>
      <c r="H523" s="452">
        <f>IF($H$10=$I$6, $I523, $J523)</f>
        <v>0.68</v>
      </c>
      <c r="I523" s="20">
        <v>0.68</v>
      </c>
      <c r="J523" s="20">
        <v>0.68</v>
      </c>
    </row>
    <row r="524" spans="2:10" ht="14.5" x14ac:dyDescent="0.35">
      <c r="E524" s="4" t="s">
        <v>381</v>
      </c>
      <c r="F524" s="10" t="s">
        <v>133</v>
      </c>
      <c r="G524" s="43" t="s">
        <v>200</v>
      </c>
      <c r="H524" s="452">
        <f>IF($H$10=$I$6, $I524, $J524)</f>
        <v>0.59</v>
      </c>
      <c r="I524" s="20">
        <v>0.59</v>
      </c>
      <c r="J524" s="20">
        <v>0.59</v>
      </c>
    </row>
    <row r="525" spans="2:10" ht="5.25" customHeight="1" x14ac:dyDescent="0.35">
      <c r="H525" s="37" t="s">
        <v>170</v>
      </c>
    </row>
    <row r="526" spans="2:10" ht="14.5" x14ac:dyDescent="0.35">
      <c r="B526" s="1" t="s">
        <v>382</v>
      </c>
      <c r="H526" s="438"/>
      <c r="I526" s="21"/>
      <c r="J526" s="21"/>
    </row>
    <row r="527" spans="2:10" ht="5.25" customHeight="1" x14ac:dyDescent="0.35"/>
    <row r="528" spans="2:10" ht="15" customHeight="1" x14ac:dyDescent="0.35">
      <c r="E528" s="4" t="s">
        <v>383</v>
      </c>
      <c r="F528" s="10" t="s">
        <v>133</v>
      </c>
      <c r="G528" s="43" t="str">
        <f>$H$13&amp;"$ / person-mile"</f>
        <v>2024$ / person-mile</v>
      </c>
      <c r="H528" s="442">
        <f>IF($H$10=$I$6, $I528, $J528)</f>
        <v>0.13</v>
      </c>
      <c r="I528" s="20">
        <v>0.13</v>
      </c>
      <c r="J528" s="20">
        <v>0.13</v>
      </c>
    </row>
    <row r="529" spans="2:10" ht="15" customHeight="1" x14ac:dyDescent="0.35">
      <c r="E529" s="4" t="s">
        <v>384</v>
      </c>
      <c r="F529" s="10" t="s">
        <v>133</v>
      </c>
      <c r="G529" s="43" t="str">
        <f t="shared" ref="G529:G531" si="26">$H$13&amp;"$ / person-mile"</f>
        <v>2024$ / person-mile</v>
      </c>
      <c r="H529" s="442">
        <f>IF($H$10=$I$6, $I529, $J529)</f>
        <v>1.24</v>
      </c>
      <c r="I529" s="20">
        <v>1.24</v>
      </c>
      <c r="J529" s="20">
        <v>1.24</v>
      </c>
    </row>
    <row r="530" spans="2:10" ht="15" customHeight="1" x14ac:dyDescent="0.35">
      <c r="E530" s="4" t="s">
        <v>385</v>
      </c>
      <c r="F530" s="10" t="s">
        <v>133</v>
      </c>
      <c r="G530" s="43" t="str">
        <f t="shared" si="26"/>
        <v>2024$ / person-mile</v>
      </c>
      <c r="H530" s="442">
        <f>IF($H$10=$I$6, $I530, $J530)</f>
        <v>0.1</v>
      </c>
      <c r="I530" s="20">
        <v>0.1</v>
      </c>
      <c r="J530" s="20">
        <v>0.1</v>
      </c>
    </row>
    <row r="531" spans="2:10" ht="15" customHeight="1" x14ac:dyDescent="0.35">
      <c r="E531" s="4" t="s">
        <v>386</v>
      </c>
      <c r="F531" s="10" t="s">
        <v>133</v>
      </c>
      <c r="G531" s="43" t="str">
        <f t="shared" si="26"/>
        <v>2024$ / person-mile</v>
      </c>
      <c r="H531" s="442">
        <f>IF($H$10=$I$6, $I531, $J531)</f>
        <v>1.1000000000000001E-3</v>
      </c>
      <c r="I531" s="200">
        <v>1.1000000000000001E-3</v>
      </c>
      <c r="J531" s="200">
        <v>1.1000000000000001E-3</v>
      </c>
    </row>
    <row r="532" spans="2:10" ht="5.25" customHeight="1" x14ac:dyDescent="0.35">
      <c r="F532" s="10"/>
      <c r="H532" s="37" t="s">
        <v>170</v>
      </c>
    </row>
    <row r="533" spans="2:10" ht="15" customHeight="1" x14ac:dyDescent="0.35">
      <c r="E533" s="4" t="s">
        <v>387</v>
      </c>
      <c r="F533" s="10" t="s">
        <v>133</v>
      </c>
      <c r="G533" s="43" t="str">
        <f>$H$13&amp;"$ / person-use"</f>
        <v>2024$ / person-use</v>
      </c>
      <c r="H533" s="442">
        <f>IF($H$10=$I$6, $I533, $J533)</f>
        <v>0.22</v>
      </c>
      <c r="I533" s="20">
        <v>0.22</v>
      </c>
      <c r="J533" s="20">
        <v>0.22</v>
      </c>
    </row>
    <row r="534" spans="2:10" ht="15" customHeight="1" x14ac:dyDescent="0.35">
      <c r="E534" s="4" t="s">
        <v>388</v>
      </c>
      <c r="F534" s="10" t="s">
        <v>133</v>
      </c>
      <c r="G534" s="43" t="str">
        <f>$H$13&amp;"$ / person-use"</f>
        <v>2024$ / person-use</v>
      </c>
      <c r="H534" s="442">
        <f>IF($H$10=$I$6, $I534, $J534)</f>
        <v>0.56999999999999995</v>
      </c>
      <c r="I534" s="20">
        <v>0.56999999999999995</v>
      </c>
      <c r="J534" s="20">
        <v>0.56999999999999995</v>
      </c>
    </row>
    <row r="535" spans="2:10" ht="5.25" customHeight="1" x14ac:dyDescent="0.35"/>
    <row r="536" spans="2:10" ht="14.5" x14ac:dyDescent="0.35">
      <c r="B536" s="1" t="s">
        <v>389</v>
      </c>
      <c r="H536" s="438"/>
      <c r="I536" s="21"/>
      <c r="J536" s="21"/>
    </row>
    <row r="537" spans="2:10" ht="5.25" customHeight="1" x14ac:dyDescent="0.35"/>
    <row r="538" spans="2:10" ht="14.5" x14ac:dyDescent="0.35">
      <c r="E538" s="4" t="s">
        <v>390</v>
      </c>
      <c r="F538" s="10" t="s">
        <v>133</v>
      </c>
      <c r="G538" s="43" t="str">
        <f>$H$13&amp;"$ / cycling-mile"</f>
        <v>2024$ / cycling-mile</v>
      </c>
      <c r="H538" s="442">
        <f t="shared" ref="H538:H543" si="27">IF($H$10=$I$6, $I538, $J538)</f>
        <v>0</v>
      </c>
      <c r="I538" s="20">
        <v>0</v>
      </c>
      <c r="J538" s="20">
        <v>0</v>
      </c>
    </row>
    <row r="539" spans="2:10" ht="15" customHeight="1" x14ac:dyDescent="0.35">
      <c r="E539" s="4" t="s">
        <v>391</v>
      </c>
      <c r="F539" s="10" t="s">
        <v>133</v>
      </c>
      <c r="G539" s="43" t="str">
        <f t="shared" ref="G539:G543" si="28">$H$13&amp;"$ / cycling-mile"</f>
        <v>2024$ / cycling-mile</v>
      </c>
      <c r="H539" s="442">
        <f t="shared" si="27"/>
        <v>1.76</v>
      </c>
      <c r="I539" s="20">
        <v>1.76</v>
      </c>
      <c r="J539" s="20">
        <v>1.76</v>
      </c>
    </row>
    <row r="540" spans="2:10" ht="15" customHeight="1" x14ac:dyDescent="0.35">
      <c r="E540" s="4" t="s">
        <v>392</v>
      </c>
      <c r="F540" s="10" t="s">
        <v>133</v>
      </c>
      <c r="G540" s="43" t="str">
        <f t="shared" si="28"/>
        <v>2024$ / cycling-mile</v>
      </c>
      <c r="H540" s="442">
        <f t="shared" si="27"/>
        <v>2.21</v>
      </c>
      <c r="I540" s="20">
        <v>2.21</v>
      </c>
      <c r="J540" s="20">
        <v>2.21</v>
      </c>
    </row>
    <row r="541" spans="2:10" ht="15" customHeight="1" x14ac:dyDescent="0.35">
      <c r="E541" s="4" t="s">
        <v>393</v>
      </c>
      <c r="F541" s="10" t="s">
        <v>133</v>
      </c>
      <c r="G541" s="43" t="str">
        <f t="shared" si="28"/>
        <v>2024$ / cycling-mile</v>
      </c>
      <c r="H541" s="442">
        <f t="shared" si="27"/>
        <v>2.09</v>
      </c>
      <c r="I541" s="20">
        <v>2.09</v>
      </c>
      <c r="J541" s="20">
        <v>2.09</v>
      </c>
    </row>
    <row r="542" spans="2:10" ht="15" customHeight="1" x14ac:dyDescent="0.35">
      <c r="E542" s="4" t="s">
        <v>394</v>
      </c>
      <c r="F542" s="10" t="s">
        <v>133</v>
      </c>
      <c r="G542" s="43" t="str">
        <f t="shared" si="28"/>
        <v>2024$ / cycling-mile</v>
      </c>
      <c r="H542" s="442">
        <f t="shared" si="27"/>
        <v>0.33</v>
      </c>
      <c r="I542" s="20">
        <v>0.33</v>
      </c>
      <c r="J542" s="20">
        <v>0.33</v>
      </c>
    </row>
    <row r="543" spans="2:10" ht="15" customHeight="1" x14ac:dyDescent="0.35">
      <c r="E543" s="4" t="s">
        <v>395</v>
      </c>
      <c r="F543" s="10" t="s">
        <v>133</v>
      </c>
      <c r="G543" s="43" t="str">
        <f t="shared" si="28"/>
        <v>2024$ / cycling-mile</v>
      </c>
      <c r="H543" s="442">
        <f t="shared" si="27"/>
        <v>2.09</v>
      </c>
      <c r="I543" s="20">
        <v>2.09</v>
      </c>
      <c r="J543" s="20">
        <v>2.09</v>
      </c>
    </row>
    <row r="544" spans="2:10" ht="5.25" customHeight="1" x14ac:dyDescent="0.35">
      <c r="B544" s="205"/>
      <c r="C544" s="206"/>
      <c r="D544" s="126"/>
      <c r="E544" s="126"/>
      <c r="F544" s="126"/>
      <c r="G544" s="216"/>
      <c r="H544" s="432"/>
      <c r="I544" s="126"/>
      <c r="J544" s="126"/>
    </row>
    <row r="545" spans="2:10" s="178" customFormat="1" ht="14.5" x14ac:dyDescent="0.35">
      <c r="B545" s="266" t="s">
        <v>396</v>
      </c>
      <c r="C545" s="255"/>
      <c r="D545" s="253"/>
      <c r="E545" s="253"/>
      <c r="F545" s="253"/>
      <c r="G545" s="256"/>
      <c r="H545" s="473"/>
      <c r="I545" s="253"/>
      <c r="J545" s="253"/>
    </row>
    <row r="546" spans="2:10" ht="5.25" customHeight="1" x14ac:dyDescent="0.35">
      <c r="B546" s="205"/>
      <c r="C546" s="206"/>
      <c r="D546" s="126"/>
      <c r="E546" s="126"/>
      <c r="F546" s="126"/>
      <c r="G546" s="216"/>
      <c r="H546" s="432"/>
      <c r="I546" s="126"/>
      <c r="J546" s="126"/>
    </row>
    <row r="547" spans="2:10" s="178" customFormat="1" ht="14.5" x14ac:dyDescent="0.35">
      <c r="B547" s="224"/>
      <c r="C547" s="255"/>
      <c r="D547" s="253"/>
      <c r="E547" s="249" t="s">
        <v>397</v>
      </c>
      <c r="F547" s="250" t="s">
        <v>398</v>
      </c>
      <c r="G547" s="260" t="s">
        <v>245</v>
      </c>
      <c r="H547" s="442">
        <f>IF($H$10=$I$6, $I547, $J547)</f>
        <v>2.93</v>
      </c>
      <c r="I547" s="20">
        <v>2.93</v>
      </c>
      <c r="J547" s="20">
        <v>2.93</v>
      </c>
    </row>
    <row r="548" spans="2:10" s="178" customFormat="1" ht="14.5" x14ac:dyDescent="0.35">
      <c r="B548" s="224"/>
      <c r="C548" s="255"/>
      <c r="D548" s="253"/>
      <c r="E548" s="249" t="s">
        <v>399</v>
      </c>
      <c r="F548" s="250" t="s">
        <v>398</v>
      </c>
      <c r="G548" s="260" t="s">
        <v>245</v>
      </c>
      <c r="H548" s="442">
        <f>IF($H$10=$I$6, $I548, $J548)</f>
        <v>2.11</v>
      </c>
      <c r="I548" s="20">
        <v>2.11</v>
      </c>
      <c r="J548" s="20">
        <v>2.11</v>
      </c>
    </row>
    <row r="549" spans="2:10" s="178" customFormat="1" ht="14.5" x14ac:dyDescent="0.35">
      <c r="B549" s="224"/>
      <c r="C549" s="255"/>
      <c r="D549" s="253"/>
      <c r="E549" s="249" t="s">
        <v>400</v>
      </c>
      <c r="F549" s="250" t="s">
        <v>398</v>
      </c>
      <c r="G549" s="260" t="s">
        <v>245</v>
      </c>
      <c r="H549" s="442">
        <f>IF($H$10=$I$6, $I549, $J549)</f>
        <v>1.39</v>
      </c>
      <c r="I549" s="20">
        <v>1.39</v>
      </c>
      <c r="J549" s="20">
        <v>1.39</v>
      </c>
    </row>
    <row r="550" spans="2:10" ht="5.25" customHeight="1" x14ac:dyDescent="0.35">
      <c r="B550" s="205"/>
      <c r="C550" s="206"/>
      <c r="D550" s="126"/>
      <c r="E550" s="126"/>
      <c r="F550" s="126"/>
      <c r="G550" s="216"/>
      <c r="H550" s="432"/>
      <c r="I550" s="126"/>
      <c r="J550" s="126"/>
    </row>
    <row r="551" spans="2:10" s="178" customFormat="1" ht="14.5" x14ac:dyDescent="0.35">
      <c r="B551" s="266" t="s">
        <v>401</v>
      </c>
      <c r="C551" s="255"/>
      <c r="D551" s="253"/>
      <c r="E551" s="253"/>
      <c r="F551" s="253"/>
      <c r="G551" s="256"/>
      <c r="H551" s="473"/>
      <c r="I551" s="253"/>
      <c r="J551" s="253"/>
    </row>
    <row r="552" spans="2:10" ht="5.25" customHeight="1" x14ac:dyDescent="0.35">
      <c r="B552" s="205"/>
      <c r="C552" s="206"/>
      <c r="D552" s="126"/>
      <c r="E552" s="126"/>
      <c r="F552" s="126"/>
      <c r="G552" s="216"/>
      <c r="H552" s="432"/>
      <c r="I552" s="126"/>
      <c r="J552" s="126"/>
    </row>
    <row r="553" spans="2:10" s="178" customFormat="1" ht="14.5" x14ac:dyDescent="0.35">
      <c r="B553" s="224"/>
      <c r="C553" s="255"/>
      <c r="D553" s="253"/>
      <c r="E553" s="249" t="s">
        <v>402</v>
      </c>
      <c r="F553" s="250" t="s">
        <v>398</v>
      </c>
      <c r="G553" s="260" t="s">
        <v>245</v>
      </c>
      <c r="H553" s="442">
        <f>IF($H$10=$I$6, $I553, $J553)</f>
        <v>3.0979999999999999</v>
      </c>
      <c r="I553" s="20">
        <v>3.0979999999999999</v>
      </c>
      <c r="J553" s="20">
        <v>3.0979999999999999</v>
      </c>
    </row>
    <row r="554" spans="2:10" s="178" customFormat="1" ht="14.5" x14ac:dyDescent="0.35">
      <c r="B554" s="224"/>
      <c r="C554" s="255"/>
      <c r="D554" s="253"/>
      <c r="E554" s="249" t="s">
        <v>403</v>
      </c>
      <c r="F554" s="250" t="s">
        <v>398</v>
      </c>
      <c r="G554" s="260" t="s">
        <v>245</v>
      </c>
      <c r="H554" s="442">
        <f>IF($H$10=$I$6, $I554, $J554)</f>
        <v>1.653</v>
      </c>
      <c r="I554" s="20">
        <v>1.653</v>
      </c>
      <c r="J554" s="20">
        <v>1.653</v>
      </c>
    </row>
    <row r="555" spans="2:10" s="178" customFormat="1" ht="14.5" x14ac:dyDescent="0.35">
      <c r="B555" s="224"/>
      <c r="C555" s="255"/>
      <c r="D555" s="253"/>
      <c r="E555" s="249" t="s">
        <v>404</v>
      </c>
      <c r="F555" s="250" t="s">
        <v>398</v>
      </c>
      <c r="G555" s="260" t="s">
        <v>245</v>
      </c>
      <c r="H555" s="442">
        <f>IF($H$10=$I$6, $I555, $J555)</f>
        <v>1.448</v>
      </c>
      <c r="I555" s="20">
        <v>1.448</v>
      </c>
      <c r="J555" s="20">
        <v>1.448</v>
      </c>
    </row>
    <row r="556" spans="2:10" ht="5.25" customHeight="1" x14ac:dyDescent="0.35">
      <c r="H556" s="37" t="s">
        <v>170</v>
      </c>
    </row>
    <row r="557" spans="2:10" s="178" customFormat="1" ht="14.5" x14ac:dyDescent="0.35">
      <c r="B557" s="1" t="s">
        <v>405</v>
      </c>
      <c r="C557" s="255"/>
      <c r="D557" s="253"/>
      <c r="E557" s="253"/>
      <c r="F557" s="253"/>
      <c r="G557" s="256"/>
      <c r="H557" s="473"/>
      <c r="I557" s="253"/>
      <c r="J557" s="253"/>
    </row>
    <row r="558" spans="2:10" s="178" customFormat="1" ht="5.25" customHeight="1" x14ac:dyDescent="0.35">
      <c r="B558" s="224"/>
      <c r="C558" s="225"/>
      <c r="D558" s="208"/>
      <c r="E558" s="208"/>
      <c r="F558" s="208"/>
      <c r="G558" s="259"/>
      <c r="H558" s="471"/>
      <c r="I558" s="208"/>
      <c r="J558" s="208"/>
    </row>
    <row r="559" spans="2:10" s="178" customFormat="1" ht="14.5" x14ac:dyDescent="0.35">
      <c r="B559" s="254"/>
      <c r="C559" s="254" t="s">
        <v>406</v>
      </c>
      <c r="E559" s="253"/>
      <c r="F559" s="253"/>
      <c r="G559" s="256"/>
      <c r="H559" s="471"/>
      <c r="I559" s="208"/>
      <c r="J559" s="208"/>
    </row>
    <row r="560" spans="2:10" s="178" customFormat="1" ht="5.25" customHeight="1" x14ac:dyDescent="0.35">
      <c r="B560" s="254"/>
      <c r="C560" s="255"/>
      <c r="D560" s="253"/>
      <c r="E560" s="253"/>
      <c r="F560" s="253"/>
      <c r="G560" s="256"/>
      <c r="H560" s="471"/>
      <c r="I560" s="208"/>
      <c r="J560" s="208"/>
    </row>
    <row r="561" spans="2:10" s="178" customFormat="1" ht="14.5" x14ac:dyDescent="0.35">
      <c r="B561" s="254"/>
      <c r="C561" s="255"/>
      <c r="D561" s="253"/>
      <c r="E561" s="253" t="s">
        <v>407</v>
      </c>
      <c r="F561" s="253" t="s">
        <v>408</v>
      </c>
      <c r="G561" s="256" t="s">
        <v>200</v>
      </c>
      <c r="H561" s="475">
        <f>IF($H$10=$I$6, $I561, $J561)</f>
        <v>9.3070096100840254E-4</v>
      </c>
      <c r="I561" s="257">
        <v>9.3070096100840254E-4</v>
      </c>
      <c r="J561" s="257">
        <v>9.3070096100840254E-4</v>
      </c>
    </row>
    <row r="562" spans="2:10" s="178" customFormat="1" ht="14.5" x14ac:dyDescent="0.35">
      <c r="B562" s="254"/>
      <c r="C562" s="255"/>
      <c r="D562" s="253"/>
      <c r="E562" s="253" t="s">
        <v>409</v>
      </c>
      <c r="F562" s="253" t="s">
        <v>408</v>
      </c>
      <c r="G562" s="256" t="s">
        <v>200</v>
      </c>
      <c r="H562" s="475">
        <f t="shared" ref="H562:H612" si="29">IF($H$10=$I$6, $I562, $J562)</f>
        <v>8.0907944801600507E-3</v>
      </c>
      <c r="I562" s="257">
        <v>8.0907944801600507E-3</v>
      </c>
      <c r="J562" s="257">
        <v>8.0907944801600507E-3</v>
      </c>
    </row>
    <row r="563" spans="2:10" s="178" customFormat="1" ht="14.5" x14ac:dyDescent="0.35">
      <c r="B563" s="254"/>
      <c r="C563" s="255"/>
      <c r="D563" s="253"/>
      <c r="E563" s="253" t="s">
        <v>410</v>
      </c>
      <c r="F563" s="253" t="s">
        <v>408</v>
      </c>
      <c r="G563" s="256" t="s">
        <v>200</v>
      </c>
      <c r="H563" s="475">
        <f t="shared" si="29"/>
        <v>7.3066313457786636E-3</v>
      </c>
      <c r="I563" s="257">
        <v>7.3066313457786636E-3</v>
      </c>
      <c r="J563" s="257">
        <v>7.3066313457786636E-3</v>
      </c>
    </row>
    <row r="564" spans="2:10" s="178" customFormat="1" ht="14.5" x14ac:dyDescent="0.35">
      <c r="B564" s="254"/>
      <c r="C564" s="255"/>
      <c r="D564" s="253"/>
      <c r="E564" s="253" t="s">
        <v>411</v>
      </c>
      <c r="F564" s="253" t="s">
        <v>408</v>
      </c>
      <c r="G564" s="256" t="s">
        <v>200</v>
      </c>
      <c r="H564" s="475">
        <f t="shared" si="29"/>
        <v>1.8143955953982788E-3</v>
      </c>
      <c r="I564" s="257">
        <v>1.8143955953982788E-3</v>
      </c>
      <c r="J564" s="257">
        <v>1.8143955953982788E-3</v>
      </c>
    </row>
    <row r="565" spans="2:10" s="178" customFormat="1" ht="14.5" x14ac:dyDescent="0.35">
      <c r="B565" s="254"/>
      <c r="C565" s="255"/>
      <c r="D565" s="253"/>
      <c r="E565" s="253" t="s">
        <v>412</v>
      </c>
      <c r="F565" s="253" t="s">
        <v>408</v>
      </c>
      <c r="G565" s="256" t="s">
        <v>200</v>
      </c>
      <c r="H565" s="475">
        <f t="shared" si="29"/>
        <v>8.4248854105057197E-3</v>
      </c>
      <c r="I565" s="257">
        <v>8.4248854105057197E-3</v>
      </c>
      <c r="J565" s="257">
        <v>8.4248854105057197E-3</v>
      </c>
    </row>
    <row r="566" spans="2:10" s="178" customFormat="1" ht="14.5" x14ac:dyDescent="0.35">
      <c r="B566" s="254"/>
      <c r="C566" s="255"/>
      <c r="D566" s="253"/>
      <c r="E566" s="253" t="s">
        <v>413</v>
      </c>
      <c r="F566" s="253" t="s">
        <v>408</v>
      </c>
      <c r="G566" s="256" t="s">
        <v>200</v>
      </c>
      <c r="H566" s="475">
        <f t="shared" si="29"/>
        <v>1.0866441979145226E-2</v>
      </c>
      <c r="I566" s="257">
        <v>1.0866441979145226E-2</v>
      </c>
      <c r="J566" s="257">
        <v>1.0866441979145226E-2</v>
      </c>
    </row>
    <row r="567" spans="2:10" s="178" customFormat="1" ht="14.5" x14ac:dyDescent="0.35">
      <c r="B567" s="254"/>
      <c r="C567" s="255"/>
      <c r="D567" s="253"/>
      <c r="E567" s="253" t="s">
        <v>414</v>
      </c>
      <c r="F567" s="253" t="s">
        <v>408</v>
      </c>
      <c r="G567" s="256" t="s">
        <v>200</v>
      </c>
      <c r="H567" s="475">
        <f t="shared" si="29"/>
        <v>2.3779654247090129E-3</v>
      </c>
      <c r="I567" s="257">
        <v>2.3779654247090129E-3</v>
      </c>
      <c r="J567" s="257">
        <v>2.3779654247090129E-3</v>
      </c>
    </row>
    <row r="568" spans="2:10" s="178" customFormat="1" ht="14.5" x14ac:dyDescent="0.35">
      <c r="B568" s="254"/>
      <c r="C568" s="255"/>
      <c r="D568" s="253"/>
      <c r="E568" s="253" t="s">
        <v>415</v>
      </c>
      <c r="F568" s="253" t="s">
        <v>408</v>
      </c>
      <c r="G568" s="256" t="s">
        <v>200</v>
      </c>
      <c r="H568" s="475">
        <f t="shared" si="29"/>
        <v>2.7017637804335657E-3</v>
      </c>
      <c r="I568" s="257">
        <v>2.7017637804335657E-3</v>
      </c>
      <c r="J568" s="257">
        <v>2.7017637804335657E-3</v>
      </c>
    </row>
    <row r="569" spans="2:10" s="178" customFormat="1" ht="14.5" x14ac:dyDescent="0.35">
      <c r="B569" s="254"/>
      <c r="C569" s="255"/>
      <c r="D569" s="253"/>
      <c r="E569" s="253" t="s">
        <v>416</v>
      </c>
      <c r="F569" s="253" t="s">
        <v>408</v>
      </c>
      <c r="G569" s="256" t="s">
        <v>200</v>
      </c>
      <c r="H569" s="475">
        <f t="shared" si="29"/>
        <v>4.2237990978395631E-2</v>
      </c>
      <c r="I569" s="257">
        <v>4.2237990978395631E-2</v>
      </c>
      <c r="J569" s="257">
        <v>4.2237990978395631E-2</v>
      </c>
    </row>
    <row r="570" spans="2:10" s="178" customFormat="1" ht="14.5" x14ac:dyDescent="0.35">
      <c r="B570" s="254"/>
      <c r="C570" s="255"/>
      <c r="D570" s="253"/>
      <c r="E570" s="253" t="s">
        <v>417</v>
      </c>
      <c r="F570" s="253" t="s">
        <v>408</v>
      </c>
      <c r="G570" s="256" t="s">
        <v>200</v>
      </c>
      <c r="H570" s="475">
        <f t="shared" si="29"/>
        <v>5.6234716524579658E-3</v>
      </c>
      <c r="I570" s="257">
        <v>5.6234716524579658E-3</v>
      </c>
      <c r="J570" s="257">
        <v>5.6234716524579658E-3</v>
      </c>
    </row>
    <row r="571" spans="2:10" s="178" customFormat="1" ht="14.5" x14ac:dyDescent="0.35">
      <c r="B571" s="254"/>
      <c r="C571" s="255"/>
      <c r="D571" s="253"/>
      <c r="E571" s="253" t="s">
        <v>418</v>
      </c>
      <c r="F571" s="253" t="s">
        <v>408</v>
      </c>
      <c r="G571" s="256" t="s">
        <v>200</v>
      </c>
      <c r="H571" s="475">
        <f t="shared" si="29"/>
        <v>2.1307618828771365E-3</v>
      </c>
      <c r="I571" s="257">
        <v>2.1307618828771365E-3</v>
      </c>
      <c r="J571" s="257">
        <v>2.1307618828771365E-3</v>
      </c>
    </row>
    <row r="572" spans="2:10" s="178" customFormat="1" ht="14.5" x14ac:dyDescent="0.35">
      <c r="B572" s="254"/>
      <c r="C572" s="255"/>
      <c r="D572" s="253"/>
      <c r="E572" s="253" t="s">
        <v>419</v>
      </c>
      <c r="F572" s="253" t="s">
        <v>408</v>
      </c>
      <c r="G572" s="256" t="s">
        <v>200</v>
      </c>
      <c r="H572" s="475">
        <f t="shared" si="29"/>
        <v>7.7702959069568993E-3</v>
      </c>
      <c r="I572" s="257">
        <v>7.7702959069568993E-3</v>
      </c>
      <c r="J572" s="257">
        <v>7.7702959069568993E-3</v>
      </c>
    </row>
    <row r="573" spans="2:10" s="178" customFormat="1" ht="14.5" x14ac:dyDescent="0.35">
      <c r="E573" s="253" t="s">
        <v>420</v>
      </c>
      <c r="F573" s="253" t="s">
        <v>408</v>
      </c>
      <c r="G573" s="256" t="s">
        <v>200</v>
      </c>
      <c r="H573" s="475">
        <f t="shared" si="29"/>
        <v>8.4993241426647489E-3</v>
      </c>
      <c r="I573" s="257">
        <v>8.4993241426647489E-3</v>
      </c>
      <c r="J573" s="257">
        <v>8.4993241426647489E-3</v>
      </c>
    </row>
    <row r="574" spans="2:10" s="178" customFormat="1" ht="14.5" x14ac:dyDescent="0.35">
      <c r="E574" s="253" t="s">
        <v>421</v>
      </c>
      <c r="F574" s="253" t="s">
        <v>408</v>
      </c>
      <c r="G574" s="256" t="s">
        <v>200</v>
      </c>
      <c r="H574" s="475">
        <f t="shared" si="29"/>
        <v>5.8779516202504215E-3</v>
      </c>
      <c r="I574" s="257">
        <v>5.8779516202504215E-3</v>
      </c>
      <c r="J574" s="257">
        <v>5.8779516202504215E-3</v>
      </c>
    </row>
    <row r="575" spans="2:10" s="178" customFormat="1" ht="14.5" x14ac:dyDescent="0.35">
      <c r="E575" s="253" t="s">
        <v>422</v>
      </c>
      <c r="F575" s="253" t="s">
        <v>408</v>
      </c>
      <c r="G575" s="256" t="s">
        <v>200</v>
      </c>
      <c r="H575" s="475">
        <f t="shared" si="29"/>
        <v>3.7876377506294526E-3</v>
      </c>
      <c r="I575" s="257">
        <v>3.7876377506294526E-3</v>
      </c>
      <c r="J575" s="257">
        <v>3.7876377506294526E-3</v>
      </c>
    </row>
    <row r="576" spans="2:10" s="178" customFormat="1" ht="14.5" x14ac:dyDescent="0.35">
      <c r="E576" s="253" t="s">
        <v>423</v>
      </c>
      <c r="F576" s="253" t="s">
        <v>408</v>
      </c>
      <c r="G576" s="256" t="s">
        <v>200</v>
      </c>
      <c r="H576" s="475">
        <f t="shared" si="29"/>
        <v>4.0381218912933798E-3</v>
      </c>
      <c r="I576" s="257">
        <v>4.0381218912933798E-3</v>
      </c>
      <c r="J576" s="257">
        <v>4.0381218912933798E-3</v>
      </c>
    </row>
    <row r="577" spans="5:10" s="178" customFormat="1" ht="14.5" x14ac:dyDescent="0.35">
      <c r="E577" s="253" t="s">
        <v>424</v>
      </c>
      <c r="F577" s="253" t="s">
        <v>408</v>
      </c>
      <c r="G577" s="256" t="s">
        <v>200</v>
      </c>
      <c r="H577" s="475">
        <f t="shared" si="29"/>
        <v>3.4220566727668749E-3</v>
      </c>
      <c r="I577" s="257">
        <v>3.4220566727668749E-3</v>
      </c>
      <c r="J577" s="257">
        <v>3.4220566727668749E-3</v>
      </c>
    </row>
    <row r="578" spans="5:10" s="178" customFormat="1" ht="14.5" x14ac:dyDescent="0.35">
      <c r="E578" s="253" t="s">
        <v>425</v>
      </c>
      <c r="F578" s="253" t="s">
        <v>408</v>
      </c>
      <c r="G578" s="256" t="s">
        <v>200</v>
      </c>
      <c r="H578" s="475">
        <f t="shared" si="29"/>
        <v>1.7813250286357169E-3</v>
      </c>
      <c r="I578" s="257">
        <v>1.7813250286357169E-3</v>
      </c>
      <c r="J578" s="257">
        <v>1.7813250286357169E-3</v>
      </c>
    </row>
    <row r="579" spans="5:10" s="178" customFormat="1" ht="14.5" x14ac:dyDescent="0.35">
      <c r="E579" s="253" t="s">
        <v>426</v>
      </c>
      <c r="F579" s="253" t="s">
        <v>408</v>
      </c>
      <c r="G579" s="256" t="s">
        <v>200</v>
      </c>
      <c r="H579" s="475">
        <f t="shared" si="29"/>
        <v>4.6176474112417177E-3</v>
      </c>
      <c r="I579" s="257">
        <v>4.6176474112417177E-3</v>
      </c>
      <c r="J579" s="257">
        <v>4.6176474112417177E-3</v>
      </c>
    </row>
    <row r="580" spans="5:10" s="178" customFormat="1" ht="14.5" x14ac:dyDescent="0.35">
      <c r="E580" s="253" t="s">
        <v>427</v>
      </c>
      <c r="F580" s="253" t="s">
        <v>408</v>
      </c>
      <c r="G580" s="256" t="s">
        <v>200</v>
      </c>
      <c r="H580" s="475">
        <f t="shared" si="29"/>
        <v>3.1469465562443118E-3</v>
      </c>
      <c r="I580" s="257">
        <v>3.1469465562443118E-3</v>
      </c>
      <c r="J580" s="257">
        <v>3.1469465562443118E-3</v>
      </c>
    </row>
    <row r="581" spans="5:10" s="178" customFormat="1" ht="14.5" x14ac:dyDescent="0.35">
      <c r="E581" s="253" t="s">
        <v>428</v>
      </c>
      <c r="F581" s="253" t="s">
        <v>408</v>
      </c>
      <c r="G581" s="256" t="s">
        <v>200</v>
      </c>
      <c r="H581" s="475">
        <f t="shared" si="29"/>
        <v>3.0313949733386894E-3</v>
      </c>
      <c r="I581" s="257">
        <v>3.0313949733386894E-3</v>
      </c>
      <c r="J581" s="257">
        <v>3.0313949733386894E-3</v>
      </c>
    </row>
    <row r="582" spans="5:10" s="178" customFormat="1" ht="14.5" x14ac:dyDescent="0.35">
      <c r="E582" s="253" t="s">
        <v>429</v>
      </c>
      <c r="F582" s="253" t="s">
        <v>408</v>
      </c>
      <c r="G582" s="256" t="s">
        <v>200</v>
      </c>
      <c r="H582" s="475">
        <f t="shared" si="29"/>
        <v>8.0856175997751894E-3</v>
      </c>
      <c r="I582" s="257">
        <v>8.0856175997751894E-3</v>
      </c>
      <c r="J582" s="257">
        <v>8.0856175997751894E-3</v>
      </c>
    </row>
    <row r="583" spans="5:10" s="178" customFormat="1" ht="14.5" x14ac:dyDescent="0.35">
      <c r="E583" s="253" t="s">
        <v>430</v>
      </c>
      <c r="F583" s="253" t="s">
        <v>408</v>
      </c>
      <c r="G583" s="256" t="s">
        <v>200</v>
      </c>
      <c r="H583" s="475">
        <f t="shared" si="29"/>
        <v>3.9931949923247426E-3</v>
      </c>
      <c r="I583" s="257">
        <v>3.9931949923247426E-3</v>
      </c>
      <c r="J583" s="257">
        <v>3.9931949923247426E-3</v>
      </c>
    </row>
    <row r="584" spans="5:10" s="178" customFormat="1" ht="14.5" x14ac:dyDescent="0.35">
      <c r="E584" s="253" t="s">
        <v>431</v>
      </c>
      <c r="F584" s="253" t="s">
        <v>408</v>
      </c>
      <c r="G584" s="256" t="s">
        <v>200</v>
      </c>
      <c r="H584" s="475">
        <f t="shared" si="29"/>
        <v>6.1003628527515012E-3</v>
      </c>
      <c r="I584" s="257">
        <v>6.1003628527515012E-3</v>
      </c>
      <c r="J584" s="257">
        <v>6.1003628527515012E-3</v>
      </c>
    </row>
    <row r="585" spans="5:10" s="178" customFormat="1" ht="14.5" x14ac:dyDescent="0.35">
      <c r="E585" s="253" t="s">
        <v>432</v>
      </c>
      <c r="F585" s="253" t="s">
        <v>408</v>
      </c>
      <c r="G585" s="256" t="s">
        <v>200</v>
      </c>
      <c r="H585" s="475">
        <f t="shared" si="29"/>
        <v>9.0174109144791994E-4</v>
      </c>
      <c r="I585" s="257">
        <v>9.0174109144791994E-4</v>
      </c>
      <c r="J585" s="257">
        <v>9.0174109144791994E-4</v>
      </c>
    </row>
    <row r="586" spans="5:10" s="178" customFormat="1" ht="14.5" x14ac:dyDescent="0.35">
      <c r="E586" s="253" t="s">
        <v>433</v>
      </c>
      <c r="F586" s="253" t="s">
        <v>408</v>
      </c>
      <c r="G586" s="256" t="s">
        <v>200</v>
      </c>
      <c r="H586" s="475">
        <f t="shared" si="29"/>
        <v>1.991998186080654E-3</v>
      </c>
      <c r="I586" s="257">
        <v>1.991998186080654E-3</v>
      </c>
      <c r="J586" s="257">
        <v>1.991998186080654E-3</v>
      </c>
    </row>
    <row r="587" spans="5:10" s="178" customFormat="1" ht="14.5" x14ac:dyDescent="0.35">
      <c r="E587" s="253" t="s">
        <v>434</v>
      </c>
      <c r="F587" s="253" t="s">
        <v>408</v>
      </c>
      <c r="G587" s="256" t="s">
        <v>200</v>
      </c>
      <c r="H587" s="475">
        <f t="shared" si="29"/>
        <v>1.1415418135813605E-2</v>
      </c>
      <c r="I587" s="257">
        <v>1.1415418135813605E-2</v>
      </c>
      <c r="J587" s="257">
        <v>1.1415418135813605E-2</v>
      </c>
    </row>
    <row r="588" spans="5:10" s="178" customFormat="1" ht="14.5" x14ac:dyDescent="0.35">
      <c r="E588" s="253" t="s">
        <v>435</v>
      </c>
      <c r="F588" s="253" t="s">
        <v>408</v>
      </c>
      <c r="G588" s="256" t="s">
        <v>200</v>
      </c>
      <c r="H588" s="475">
        <f t="shared" si="29"/>
        <v>3.4105085789277556E-3</v>
      </c>
      <c r="I588" s="257">
        <v>3.4105085789277556E-3</v>
      </c>
      <c r="J588" s="257">
        <v>3.4105085789277556E-3</v>
      </c>
    </row>
    <row r="589" spans="5:10" s="178" customFormat="1" ht="14.5" x14ac:dyDescent="0.35">
      <c r="E589" s="253" t="s">
        <v>436</v>
      </c>
      <c r="F589" s="253" t="s">
        <v>408</v>
      </c>
      <c r="G589" s="256" t="s">
        <v>200</v>
      </c>
      <c r="H589" s="475">
        <f t="shared" si="29"/>
        <v>2.9331388364265327E-3</v>
      </c>
      <c r="I589" s="257">
        <v>2.9331388364265327E-3</v>
      </c>
      <c r="J589" s="257">
        <v>2.9331388364265327E-3</v>
      </c>
    </row>
    <row r="590" spans="5:10" s="178" customFormat="1" ht="14.5" x14ac:dyDescent="0.35">
      <c r="E590" s="253" t="s">
        <v>437</v>
      </c>
      <c r="F590" s="253" t="s">
        <v>408</v>
      </c>
      <c r="G590" s="256" t="s">
        <v>200</v>
      </c>
      <c r="H590" s="475">
        <f t="shared" si="29"/>
        <v>2.5350632508063567E-3</v>
      </c>
      <c r="I590" s="257">
        <v>2.5350632508063567E-3</v>
      </c>
      <c r="J590" s="257">
        <v>2.5350632508063567E-3</v>
      </c>
    </row>
    <row r="591" spans="5:10" s="178" customFormat="1" ht="14.5" x14ac:dyDescent="0.35">
      <c r="E591" s="253" t="s">
        <v>438</v>
      </c>
      <c r="F591" s="253" t="s">
        <v>408</v>
      </c>
      <c r="G591" s="256" t="s">
        <v>200</v>
      </c>
      <c r="H591" s="475">
        <f t="shared" si="29"/>
        <v>2.7707231231893876E-3</v>
      </c>
      <c r="I591" s="257">
        <v>2.7707231231893876E-3</v>
      </c>
      <c r="J591" s="257">
        <v>2.7707231231893876E-3</v>
      </c>
    </row>
    <row r="592" spans="5:10" s="178" customFormat="1" ht="14.5" x14ac:dyDescent="0.35">
      <c r="E592" s="253" t="s">
        <v>439</v>
      </c>
      <c r="F592" s="253" t="s">
        <v>408</v>
      </c>
      <c r="G592" s="256" t="s">
        <v>200</v>
      </c>
      <c r="H592" s="475">
        <f t="shared" si="29"/>
        <v>5.5797589589264293E-3</v>
      </c>
      <c r="I592" s="257">
        <v>5.5797589589264293E-3</v>
      </c>
      <c r="J592" s="257">
        <v>5.5797589589264293E-3</v>
      </c>
    </row>
    <row r="593" spans="3:10" s="178" customFormat="1" ht="14.5" x14ac:dyDescent="0.35">
      <c r="E593" s="253" t="s">
        <v>440</v>
      </c>
      <c r="F593" s="253" t="s">
        <v>408</v>
      </c>
      <c r="G593" s="256" t="s">
        <v>200</v>
      </c>
      <c r="H593" s="475">
        <f t="shared" si="29"/>
        <v>7.2222387942325788E-3</v>
      </c>
      <c r="I593" s="257">
        <v>7.2222387942325788E-3</v>
      </c>
      <c r="J593" s="257">
        <v>7.2222387942325788E-3</v>
      </c>
    </row>
    <row r="594" spans="3:10" s="178" customFormat="1" ht="14.5" x14ac:dyDescent="0.35">
      <c r="E594" s="253" t="s">
        <v>441</v>
      </c>
      <c r="F594" s="253" t="s">
        <v>408</v>
      </c>
      <c r="G594" s="256" t="s">
        <v>200</v>
      </c>
      <c r="H594" s="475">
        <f t="shared" si="29"/>
        <v>1.6603711702914688E-3</v>
      </c>
      <c r="I594" s="257">
        <v>1.6603711702914688E-3</v>
      </c>
      <c r="J594" s="257">
        <v>1.6603711702914688E-3</v>
      </c>
    </row>
    <row r="595" spans="3:10" s="178" customFormat="1" ht="14.5" x14ac:dyDescent="0.35">
      <c r="E595" s="253" t="s">
        <v>442</v>
      </c>
      <c r="F595" s="253" t="s">
        <v>408</v>
      </c>
      <c r="G595" s="256" t="s">
        <v>200</v>
      </c>
      <c r="H595" s="475">
        <f t="shared" si="29"/>
        <v>3.5197926014557783E-3</v>
      </c>
      <c r="I595" s="257">
        <v>3.5197926014557783E-3</v>
      </c>
      <c r="J595" s="257">
        <v>3.5197926014557783E-3</v>
      </c>
    </row>
    <row r="596" spans="3:10" s="178" customFormat="1" ht="14.5" x14ac:dyDescent="0.35">
      <c r="E596" s="253" t="s">
        <v>443</v>
      </c>
      <c r="F596" s="253" t="s">
        <v>408</v>
      </c>
      <c r="G596" s="256" t="s">
        <v>200</v>
      </c>
      <c r="H596" s="475">
        <f t="shared" si="29"/>
        <v>2.7884855396093393E-3</v>
      </c>
      <c r="I596" s="257">
        <v>2.7884855396093393E-3</v>
      </c>
      <c r="J596" s="257">
        <v>2.7884855396093393E-3</v>
      </c>
    </row>
    <row r="597" spans="3:10" s="178" customFormat="1" ht="14.5" x14ac:dyDescent="0.35">
      <c r="E597" s="253" t="s">
        <v>444</v>
      </c>
      <c r="F597" s="253" t="s">
        <v>408</v>
      </c>
      <c r="G597" s="256" t="s">
        <v>200</v>
      </c>
      <c r="H597" s="475">
        <f t="shared" si="29"/>
        <v>2.3660658931516573E-3</v>
      </c>
      <c r="I597" s="257">
        <v>2.3660658931516573E-3</v>
      </c>
      <c r="J597" s="257">
        <v>2.3660658931516573E-3</v>
      </c>
    </row>
    <row r="598" spans="3:10" s="178" customFormat="1" ht="14.5" x14ac:dyDescent="0.35">
      <c r="E598" s="253" t="s">
        <v>445</v>
      </c>
      <c r="F598" s="253" t="s">
        <v>408</v>
      </c>
      <c r="G598" s="256" t="s">
        <v>200</v>
      </c>
      <c r="H598" s="475">
        <f t="shared" si="29"/>
        <v>1.9740863531850124E-2</v>
      </c>
      <c r="I598" s="257">
        <v>1.9740863531850124E-2</v>
      </c>
      <c r="J598" s="257">
        <v>1.9740863531850124E-2</v>
      </c>
    </row>
    <row r="599" spans="3:10" s="178" customFormat="1" ht="14.5" x14ac:dyDescent="0.35">
      <c r="E599" s="253" t="s">
        <v>446</v>
      </c>
      <c r="F599" s="253" t="s">
        <v>408</v>
      </c>
      <c r="G599" s="256" t="s">
        <v>200</v>
      </c>
      <c r="H599" s="475">
        <f t="shared" si="29"/>
        <v>4.7489639677165095E-3</v>
      </c>
      <c r="I599" s="257">
        <v>4.7489639677165095E-3</v>
      </c>
      <c r="J599" s="257">
        <v>4.7489639677165095E-3</v>
      </c>
    </row>
    <row r="600" spans="3:10" s="178" customFormat="1" ht="14.5" x14ac:dyDescent="0.35">
      <c r="E600" s="253" t="s">
        <v>447</v>
      </c>
      <c r="F600" s="253" t="s">
        <v>408</v>
      </c>
      <c r="G600" s="256" t="s">
        <v>200</v>
      </c>
      <c r="H600" s="475">
        <f t="shared" si="29"/>
        <v>1.8588215531308995E-3</v>
      </c>
      <c r="I600" s="257">
        <v>1.8588215531308995E-3</v>
      </c>
      <c r="J600" s="257">
        <v>1.8588215531308995E-3</v>
      </c>
    </row>
    <row r="601" spans="3:10" s="178" customFormat="1" ht="14.5" x14ac:dyDescent="0.35">
      <c r="E601" s="253" t="s">
        <v>448</v>
      </c>
      <c r="F601" s="253" t="s">
        <v>408</v>
      </c>
      <c r="G601" s="256" t="s">
        <v>200</v>
      </c>
      <c r="H601" s="475">
        <f t="shared" si="29"/>
        <v>3.3098306740226937E-3</v>
      </c>
      <c r="I601" s="257">
        <v>3.3098306740226937E-3</v>
      </c>
      <c r="J601" s="257">
        <v>3.3098306740226937E-3</v>
      </c>
    </row>
    <row r="602" spans="3:10" s="178" customFormat="1" ht="14.5" x14ac:dyDescent="0.35">
      <c r="E602" s="253" t="s">
        <v>449</v>
      </c>
      <c r="F602" s="253" t="s">
        <v>408</v>
      </c>
      <c r="G602" s="256" t="s">
        <v>200</v>
      </c>
      <c r="H602" s="475">
        <f t="shared" si="29"/>
        <v>2.0562486871776534E-3</v>
      </c>
      <c r="I602" s="257">
        <v>2.0562486871776534E-3</v>
      </c>
      <c r="J602" s="257">
        <v>2.0562486871776534E-3</v>
      </c>
    </row>
    <row r="603" spans="3:10" s="178" customFormat="1" ht="14.5" x14ac:dyDescent="0.35">
      <c r="E603" s="253" t="s">
        <v>450</v>
      </c>
      <c r="F603" s="253" t="s">
        <v>408</v>
      </c>
      <c r="G603" s="256" t="s">
        <v>200</v>
      </c>
      <c r="H603" s="475">
        <f t="shared" si="29"/>
        <v>3.4054142234386754E-3</v>
      </c>
      <c r="I603" s="257">
        <v>3.4054142234386754E-3</v>
      </c>
      <c r="J603" s="257">
        <v>3.4054142234386754E-3</v>
      </c>
    </row>
    <row r="604" spans="3:10" s="178" customFormat="1" ht="14.5" x14ac:dyDescent="0.35">
      <c r="E604" s="253" t="s">
        <v>451</v>
      </c>
      <c r="F604" s="253" t="s">
        <v>408</v>
      </c>
      <c r="G604" s="256" t="s">
        <v>200</v>
      </c>
      <c r="H604" s="475">
        <f t="shared" si="29"/>
        <v>1.2260627757030124E-3</v>
      </c>
      <c r="I604" s="257">
        <v>1.2260627757030124E-3</v>
      </c>
      <c r="J604" s="257">
        <v>1.2260627757030124E-3</v>
      </c>
    </row>
    <row r="605" spans="3:10" s="178" customFormat="1" ht="14.5" x14ac:dyDescent="0.35">
      <c r="C605" s="255"/>
      <c r="D605" s="253"/>
      <c r="E605" s="253" t="s">
        <v>452</v>
      </c>
      <c r="F605" s="253" t="s">
        <v>408</v>
      </c>
      <c r="G605" s="256" t="s">
        <v>200</v>
      </c>
      <c r="H605" s="475">
        <f t="shared" si="29"/>
        <v>2.4139516848967961E-3</v>
      </c>
      <c r="I605" s="257">
        <v>2.4139516848967961E-3</v>
      </c>
      <c r="J605" s="257">
        <v>2.4139516848967961E-3</v>
      </c>
    </row>
    <row r="606" spans="3:10" s="178" customFormat="1" ht="14.5" x14ac:dyDescent="0.35">
      <c r="C606" s="255"/>
      <c r="D606" s="253"/>
      <c r="E606" s="253" t="s">
        <v>453</v>
      </c>
      <c r="F606" s="253" t="s">
        <v>408</v>
      </c>
      <c r="G606" s="256" t="s">
        <v>200</v>
      </c>
      <c r="H606" s="475">
        <f t="shared" si="29"/>
        <v>5.7216534260047828E-3</v>
      </c>
      <c r="I606" s="257">
        <v>5.7216534260047828E-3</v>
      </c>
      <c r="J606" s="257">
        <v>5.7216534260047828E-3</v>
      </c>
    </row>
    <row r="607" spans="3:10" s="178" customFormat="1" ht="14.5" x14ac:dyDescent="0.35">
      <c r="C607" s="255"/>
      <c r="D607" s="253"/>
      <c r="E607" s="253" t="s">
        <v>454</v>
      </c>
      <c r="F607" s="253" t="s">
        <v>408</v>
      </c>
      <c r="G607" s="256" t="s">
        <v>200</v>
      </c>
      <c r="H607" s="475">
        <f t="shared" si="29"/>
        <v>7.6618361087310164E-3</v>
      </c>
      <c r="I607" s="257">
        <v>7.6618361087310164E-3</v>
      </c>
      <c r="J607" s="257">
        <v>7.6618361087310164E-3</v>
      </c>
    </row>
    <row r="608" spans="3:10" s="178" customFormat="1" ht="14.5" x14ac:dyDescent="0.35">
      <c r="C608" s="255"/>
      <c r="D608" s="253"/>
      <c r="E608" s="253" t="s">
        <v>455</v>
      </c>
      <c r="F608" s="253" t="s">
        <v>408</v>
      </c>
      <c r="G608" s="256" t="s">
        <v>200</v>
      </c>
      <c r="H608" s="475">
        <f t="shared" si="29"/>
        <v>3.720584329852204E-3</v>
      </c>
      <c r="I608" s="257">
        <v>3.720584329852204E-3</v>
      </c>
      <c r="J608" s="257">
        <v>3.720584329852204E-3</v>
      </c>
    </row>
    <row r="609" spans="3:10" s="178" customFormat="1" ht="14.5" x14ac:dyDescent="0.35">
      <c r="C609" s="255"/>
      <c r="D609" s="253"/>
      <c r="E609" s="253" t="s">
        <v>456</v>
      </c>
      <c r="F609" s="253" t="s">
        <v>408</v>
      </c>
      <c r="G609" s="256" t="s">
        <v>200</v>
      </c>
      <c r="H609" s="475">
        <f t="shared" si="29"/>
        <v>7.7850142402412469E-3</v>
      </c>
      <c r="I609" s="257">
        <v>7.7850142402412469E-3</v>
      </c>
      <c r="J609" s="257">
        <v>7.7850142402412469E-3</v>
      </c>
    </row>
    <row r="610" spans="3:10" s="178" customFormat="1" ht="14.5" x14ac:dyDescent="0.35">
      <c r="C610" s="255"/>
      <c r="D610" s="253"/>
      <c r="E610" s="253" t="s">
        <v>457</v>
      </c>
      <c r="F610" s="253" t="s">
        <v>408</v>
      </c>
      <c r="G610" s="256" t="s">
        <v>200</v>
      </c>
      <c r="H610" s="475">
        <f t="shared" si="29"/>
        <v>1.3745986760588449E-3</v>
      </c>
      <c r="I610" s="257">
        <v>1.3745986760588449E-3</v>
      </c>
      <c r="J610" s="257">
        <v>1.3745986760588449E-3</v>
      </c>
    </row>
    <row r="611" spans="3:10" s="178" customFormat="1" ht="14.5" x14ac:dyDescent="0.35">
      <c r="C611" s="255"/>
      <c r="D611" s="253"/>
      <c r="E611" s="253" t="s">
        <v>458</v>
      </c>
      <c r="F611" s="253" t="s">
        <v>408</v>
      </c>
      <c r="G611" s="256" t="s">
        <v>200</v>
      </c>
      <c r="H611" s="475">
        <f t="shared" si="29"/>
        <v>5.845787612239973E-3</v>
      </c>
      <c r="I611" s="257">
        <v>5.845787612239973E-3</v>
      </c>
      <c r="J611" s="257">
        <v>5.845787612239973E-3</v>
      </c>
    </row>
    <row r="612" spans="3:10" s="178" customFormat="1" ht="14.5" x14ac:dyDescent="0.35">
      <c r="C612" s="255"/>
      <c r="D612" s="253"/>
      <c r="E612" s="253" t="s">
        <v>459</v>
      </c>
      <c r="F612" s="253" t="s">
        <v>408</v>
      </c>
      <c r="G612" s="256" t="s">
        <v>200</v>
      </c>
      <c r="H612" s="475">
        <f t="shared" si="29"/>
        <v>8.0899839464929936E-3</v>
      </c>
      <c r="I612" s="257">
        <v>8.0899839464929936E-3</v>
      </c>
      <c r="J612" s="257">
        <v>8.0899839464929936E-3</v>
      </c>
    </row>
    <row r="613" spans="3:10" s="178" customFormat="1" ht="14.5" x14ac:dyDescent="0.35">
      <c r="C613" s="255"/>
      <c r="D613" s="253"/>
      <c r="E613" s="253"/>
      <c r="F613" s="253"/>
      <c r="G613" s="256"/>
      <c r="H613" s="473"/>
      <c r="I613" s="253"/>
      <c r="J613" s="253"/>
    </row>
    <row r="614" spans="3:10" s="178" customFormat="1" ht="14.5" x14ac:dyDescent="0.35">
      <c r="C614" s="254" t="s">
        <v>460</v>
      </c>
      <c r="E614" s="253"/>
      <c r="F614" s="253"/>
      <c r="G614" s="256"/>
      <c r="H614" s="471"/>
      <c r="I614" s="208"/>
      <c r="J614" s="208"/>
    </row>
    <row r="615" spans="3:10" s="178" customFormat="1" ht="5.25" customHeight="1" x14ac:dyDescent="0.35">
      <c r="C615" s="255"/>
      <c r="D615" s="253"/>
      <c r="E615" s="253"/>
      <c r="F615" s="253"/>
      <c r="G615" s="256"/>
      <c r="H615" s="471"/>
      <c r="I615" s="208"/>
      <c r="J615" s="208"/>
    </row>
    <row r="616" spans="3:10" s="178" customFormat="1" ht="14.5" x14ac:dyDescent="0.35">
      <c r="C616" s="255"/>
      <c r="D616" s="253"/>
      <c r="E616" s="253" t="s">
        <v>407</v>
      </c>
      <c r="F616" s="253" t="s">
        <v>408</v>
      </c>
      <c r="G616" s="256" t="s">
        <v>200</v>
      </c>
      <c r="H616" s="475">
        <f>IF($H$10=$I$6, $I616, $J616)</f>
        <v>1.1103978388646402E-2</v>
      </c>
      <c r="I616" s="257">
        <v>1.1103978388646402E-2</v>
      </c>
      <c r="J616" s="257">
        <v>1.1103978388646402E-2</v>
      </c>
    </row>
    <row r="617" spans="3:10" s="178" customFormat="1" ht="14.5" x14ac:dyDescent="0.35">
      <c r="C617" s="255"/>
      <c r="D617" s="253"/>
      <c r="E617" s="253" t="s">
        <v>409</v>
      </c>
      <c r="F617" s="253" t="s">
        <v>408</v>
      </c>
      <c r="G617" s="256" t="s">
        <v>200</v>
      </c>
      <c r="H617" s="475">
        <f t="shared" ref="H617:H667" si="30">IF($H$10=$I$6, $I617, $J617)</f>
        <v>7.6237880172004086E-2</v>
      </c>
      <c r="I617" s="257">
        <v>7.6237880172004086E-2</v>
      </c>
      <c r="J617" s="257">
        <v>7.6237880172004086E-2</v>
      </c>
    </row>
    <row r="618" spans="3:10" s="178" customFormat="1" ht="14.5" x14ac:dyDescent="0.35">
      <c r="C618" s="255"/>
      <c r="D618" s="253"/>
      <c r="E618" s="253" t="s">
        <v>410</v>
      </c>
      <c r="F618" s="253" t="s">
        <v>408</v>
      </c>
      <c r="G618" s="256" t="s">
        <v>200</v>
      </c>
      <c r="H618" s="475">
        <f t="shared" si="30"/>
        <v>1.8448497289926879E-2</v>
      </c>
      <c r="I618" s="257">
        <v>1.8448497289926879E-2</v>
      </c>
      <c r="J618" s="257">
        <v>1.8448497289926879E-2</v>
      </c>
    </row>
    <row r="619" spans="3:10" s="178" customFormat="1" ht="14.5" x14ac:dyDescent="0.35">
      <c r="C619" s="255"/>
      <c r="D619" s="253"/>
      <c r="E619" s="253" t="s">
        <v>411</v>
      </c>
      <c r="F619" s="253" t="s">
        <v>408</v>
      </c>
      <c r="G619" s="256" t="s">
        <v>200</v>
      </c>
      <c r="H619" s="475">
        <f t="shared" si="30"/>
        <v>1.6365091306812827E-2</v>
      </c>
      <c r="I619" s="257">
        <v>1.6365091306812827E-2</v>
      </c>
      <c r="J619" s="257">
        <v>1.6365091306812827E-2</v>
      </c>
    </row>
    <row r="620" spans="3:10" s="178" customFormat="1" ht="14.5" x14ac:dyDescent="0.35">
      <c r="C620" s="255"/>
      <c r="D620" s="253"/>
      <c r="E620" s="253" t="s">
        <v>412</v>
      </c>
      <c r="F620" s="253" t="s">
        <v>408</v>
      </c>
      <c r="G620" s="256" t="s">
        <v>200</v>
      </c>
      <c r="H620" s="475">
        <f t="shared" si="30"/>
        <v>2.5328000845619043E-2</v>
      </c>
      <c r="I620" s="257">
        <v>2.5328000845619043E-2</v>
      </c>
      <c r="J620" s="257">
        <v>2.5328000845619043E-2</v>
      </c>
    </row>
    <row r="621" spans="3:10" s="178" customFormat="1" ht="14.5" x14ac:dyDescent="0.35">
      <c r="E621" s="253" t="s">
        <v>413</v>
      </c>
      <c r="F621" s="253" t="s">
        <v>408</v>
      </c>
      <c r="G621" s="256" t="s">
        <v>200</v>
      </c>
      <c r="H621" s="475">
        <f t="shared" si="30"/>
        <v>2.8009796202413294E-2</v>
      </c>
      <c r="I621" s="257">
        <v>2.8009796202413294E-2</v>
      </c>
      <c r="J621" s="257">
        <v>2.8009796202413294E-2</v>
      </c>
    </row>
    <row r="622" spans="3:10" s="178" customFormat="1" ht="14.5" x14ac:dyDescent="0.35">
      <c r="E622" s="253" t="s">
        <v>414</v>
      </c>
      <c r="F622" s="253" t="s">
        <v>408</v>
      </c>
      <c r="G622" s="256" t="s">
        <v>200</v>
      </c>
      <c r="H622" s="475">
        <f t="shared" si="30"/>
        <v>2.6563229577456864E-2</v>
      </c>
      <c r="I622" s="257">
        <v>2.6563229577456864E-2</v>
      </c>
      <c r="J622" s="257">
        <v>2.6563229577456864E-2</v>
      </c>
    </row>
    <row r="623" spans="3:10" s="178" customFormat="1" ht="14.5" x14ac:dyDescent="0.35">
      <c r="E623" s="253" t="s">
        <v>415</v>
      </c>
      <c r="F623" s="253" t="s">
        <v>408</v>
      </c>
      <c r="G623" s="256" t="s">
        <v>200</v>
      </c>
      <c r="H623" s="475">
        <f t="shared" si="30"/>
        <v>2.1136156945701409E-2</v>
      </c>
      <c r="I623" s="257">
        <v>2.1136156945701409E-2</v>
      </c>
      <c r="J623" s="257">
        <v>2.1136156945701409E-2</v>
      </c>
    </row>
    <row r="624" spans="3:10" s="178" customFormat="1" ht="14.5" x14ac:dyDescent="0.35">
      <c r="E624" s="253" t="s">
        <v>416</v>
      </c>
      <c r="F624" s="253" t="s">
        <v>408</v>
      </c>
      <c r="G624" s="256" t="s">
        <v>200</v>
      </c>
      <c r="H624" s="475">
        <f t="shared" si="30"/>
        <v>0.12482260149304915</v>
      </c>
      <c r="I624" s="257">
        <v>0.12482260149304915</v>
      </c>
      <c r="J624" s="257">
        <v>0.12482260149304915</v>
      </c>
    </row>
    <row r="625" spans="5:10" s="178" customFormat="1" ht="14.5" x14ac:dyDescent="0.35">
      <c r="E625" s="253" t="s">
        <v>417</v>
      </c>
      <c r="F625" s="253" t="s">
        <v>408</v>
      </c>
      <c r="G625" s="256" t="s">
        <v>200</v>
      </c>
      <c r="H625" s="475">
        <f t="shared" si="30"/>
        <v>1.3905380191308291E-2</v>
      </c>
      <c r="I625" s="257">
        <v>1.3905380191308291E-2</v>
      </c>
      <c r="J625" s="257">
        <v>1.3905380191308291E-2</v>
      </c>
    </row>
    <row r="626" spans="5:10" s="178" customFormat="1" ht="14.5" x14ac:dyDescent="0.35">
      <c r="E626" s="253" t="s">
        <v>418</v>
      </c>
      <c r="F626" s="253" t="s">
        <v>408</v>
      </c>
      <c r="G626" s="256" t="s">
        <v>200</v>
      </c>
      <c r="H626" s="475">
        <f t="shared" si="30"/>
        <v>1.4725112344672735E-2</v>
      </c>
      <c r="I626" s="257">
        <v>1.4725112344672735E-2</v>
      </c>
      <c r="J626" s="257">
        <v>1.4725112344672735E-2</v>
      </c>
    </row>
    <row r="627" spans="5:10" s="178" customFormat="1" ht="14.5" x14ac:dyDescent="0.35">
      <c r="E627" s="253" t="s">
        <v>419</v>
      </c>
      <c r="F627" s="253" t="s">
        <v>408</v>
      </c>
      <c r="G627" s="256" t="s">
        <v>200</v>
      </c>
      <c r="H627" s="475">
        <f t="shared" si="30"/>
        <v>4.6289601376804226E-2</v>
      </c>
      <c r="I627" s="257">
        <v>4.6289601376804226E-2</v>
      </c>
      <c r="J627" s="257">
        <v>4.6289601376804226E-2</v>
      </c>
    </row>
    <row r="628" spans="5:10" s="178" customFormat="1" ht="14.5" x14ac:dyDescent="0.35">
      <c r="E628" s="253" t="s">
        <v>420</v>
      </c>
      <c r="F628" s="253" t="s">
        <v>408</v>
      </c>
      <c r="G628" s="256" t="s">
        <v>200</v>
      </c>
      <c r="H628" s="475">
        <f t="shared" si="30"/>
        <v>2.484751394768827E-2</v>
      </c>
      <c r="I628" s="257">
        <v>2.484751394768827E-2</v>
      </c>
      <c r="J628" s="257">
        <v>2.484751394768827E-2</v>
      </c>
    </row>
    <row r="629" spans="5:10" s="178" customFormat="1" ht="14.5" x14ac:dyDescent="0.35">
      <c r="E629" s="253" t="s">
        <v>421</v>
      </c>
      <c r="F629" s="253" t="s">
        <v>408</v>
      </c>
      <c r="G629" s="256" t="s">
        <v>200</v>
      </c>
      <c r="H629" s="475">
        <f t="shared" si="30"/>
        <v>2.8354708691674051E-2</v>
      </c>
      <c r="I629" s="257">
        <v>2.8354708691674051E-2</v>
      </c>
      <c r="J629" s="257">
        <v>2.8354708691674051E-2</v>
      </c>
    </row>
    <row r="630" spans="5:10" s="178" customFormat="1" ht="14.5" x14ac:dyDescent="0.35">
      <c r="E630" s="253" t="s">
        <v>422</v>
      </c>
      <c r="F630" s="253" t="s">
        <v>408</v>
      </c>
      <c r="G630" s="256" t="s">
        <v>200</v>
      </c>
      <c r="H630" s="475">
        <f t="shared" si="30"/>
        <v>2.1018160336366547E-2</v>
      </c>
      <c r="I630" s="257">
        <v>2.1018160336366547E-2</v>
      </c>
      <c r="J630" s="257">
        <v>2.1018160336366547E-2</v>
      </c>
    </row>
    <row r="631" spans="5:10" s="178" customFormat="1" ht="14.5" x14ac:dyDescent="0.35">
      <c r="E631" s="253" t="s">
        <v>423</v>
      </c>
      <c r="F631" s="253" t="s">
        <v>408</v>
      </c>
      <c r="G631" s="256" t="s">
        <v>200</v>
      </c>
      <c r="H631" s="475">
        <f t="shared" si="30"/>
        <v>3.1069859192994442E-2</v>
      </c>
      <c r="I631" s="257">
        <v>3.1069859192994442E-2</v>
      </c>
      <c r="J631" s="257">
        <v>3.1069859192994442E-2</v>
      </c>
    </row>
    <row r="632" spans="5:10" s="178" customFormat="1" ht="14.5" x14ac:dyDescent="0.35">
      <c r="E632" s="253" t="s">
        <v>424</v>
      </c>
      <c r="F632" s="253" t="s">
        <v>408</v>
      </c>
      <c r="G632" s="256" t="s">
        <v>200</v>
      </c>
      <c r="H632" s="475">
        <f t="shared" si="30"/>
        <v>2.2406257156838926E-2</v>
      </c>
      <c r="I632" s="257">
        <v>2.2406257156838926E-2</v>
      </c>
      <c r="J632" s="257">
        <v>2.2406257156838926E-2</v>
      </c>
    </row>
    <row r="633" spans="5:10" s="178" customFormat="1" ht="14.5" x14ac:dyDescent="0.35">
      <c r="E633" s="253" t="s">
        <v>425</v>
      </c>
      <c r="F633" s="253" t="s">
        <v>408</v>
      </c>
      <c r="G633" s="256" t="s">
        <v>200</v>
      </c>
      <c r="H633" s="475">
        <f t="shared" si="30"/>
        <v>2.1297432364678404E-2</v>
      </c>
      <c r="I633" s="257">
        <v>2.1297432364678404E-2</v>
      </c>
      <c r="J633" s="257">
        <v>2.1297432364678404E-2</v>
      </c>
    </row>
    <row r="634" spans="5:10" s="178" customFormat="1" ht="14.5" x14ac:dyDescent="0.35">
      <c r="E634" s="253" t="s">
        <v>426</v>
      </c>
      <c r="F634" s="253" t="s">
        <v>408</v>
      </c>
      <c r="G634" s="256" t="s">
        <v>200</v>
      </c>
      <c r="H634" s="475">
        <f t="shared" si="30"/>
        <v>1.8415671144022271E-2</v>
      </c>
      <c r="I634" s="257">
        <v>1.8415671144022271E-2</v>
      </c>
      <c r="J634" s="257">
        <v>1.8415671144022271E-2</v>
      </c>
    </row>
    <row r="635" spans="5:10" s="178" customFormat="1" ht="14.5" x14ac:dyDescent="0.35">
      <c r="E635" s="253" t="s">
        <v>427</v>
      </c>
      <c r="F635" s="253" t="s">
        <v>408</v>
      </c>
      <c r="G635" s="256" t="s">
        <v>200</v>
      </c>
      <c r="H635" s="475">
        <f t="shared" si="30"/>
        <v>3.6575518416051993E-2</v>
      </c>
      <c r="I635" s="257">
        <v>3.6575518416051993E-2</v>
      </c>
      <c r="J635" s="257">
        <v>3.6575518416051993E-2</v>
      </c>
    </row>
    <row r="636" spans="5:10" s="178" customFormat="1" ht="14.5" x14ac:dyDescent="0.35">
      <c r="E636" s="253" t="s">
        <v>428</v>
      </c>
      <c r="F636" s="253" t="s">
        <v>408</v>
      </c>
      <c r="G636" s="256" t="s">
        <v>200</v>
      </c>
      <c r="H636" s="475">
        <f t="shared" si="30"/>
        <v>2.1291307966362905E-2</v>
      </c>
      <c r="I636" s="257">
        <v>2.1291307966362905E-2</v>
      </c>
      <c r="J636" s="257">
        <v>2.1291307966362905E-2</v>
      </c>
    </row>
    <row r="637" spans="5:10" s="178" customFormat="1" ht="14.5" x14ac:dyDescent="0.35">
      <c r="E637" s="253" t="s">
        <v>429</v>
      </c>
      <c r="F637" s="253" t="s">
        <v>408</v>
      </c>
      <c r="G637" s="256" t="s">
        <v>200</v>
      </c>
      <c r="H637" s="475">
        <f t="shared" si="30"/>
        <v>4.8124914299450559E-2</v>
      </c>
      <c r="I637" s="257">
        <v>4.8124914299450559E-2</v>
      </c>
      <c r="J637" s="257">
        <v>4.8124914299450559E-2</v>
      </c>
    </row>
    <row r="638" spans="5:10" s="178" customFormat="1" ht="14.5" x14ac:dyDescent="0.35">
      <c r="E638" s="253" t="s">
        <v>430</v>
      </c>
      <c r="F638" s="253" t="s">
        <v>408</v>
      </c>
      <c r="G638" s="256" t="s">
        <v>200</v>
      </c>
      <c r="H638" s="475">
        <f t="shared" si="30"/>
        <v>2.1913238564019718E-2</v>
      </c>
      <c r="I638" s="257">
        <v>2.1913238564019718E-2</v>
      </c>
      <c r="J638" s="257">
        <v>2.1913238564019718E-2</v>
      </c>
    </row>
    <row r="639" spans="5:10" s="178" customFormat="1" ht="14.5" x14ac:dyDescent="0.35">
      <c r="E639" s="253" t="s">
        <v>431</v>
      </c>
      <c r="F639" s="253" t="s">
        <v>408</v>
      </c>
      <c r="G639" s="256" t="s">
        <v>200</v>
      </c>
      <c r="H639" s="475">
        <f t="shared" si="30"/>
        <v>2.587401217868035E-2</v>
      </c>
      <c r="I639" s="257">
        <v>2.587401217868035E-2</v>
      </c>
      <c r="J639" s="257">
        <v>2.587401217868035E-2</v>
      </c>
    </row>
    <row r="640" spans="5:10" s="178" customFormat="1" ht="14.5" x14ac:dyDescent="0.35">
      <c r="E640" s="253" t="s">
        <v>432</v>
      </c>
      <c r="F640" s="253" t="s">
        <v>408</v>
      </c>
      <c r="G640" s="256" t="s">
        <v>200</v>
      </c>
      <c r="H640" s="475">
        <f t="shared" si="30"/>
        <v>1.345137747044564E-2</v>
      </c>
      <c r="I640" s="257">
        <v>1.345137747044564E-2</v>
      </c>
      <c r="J640" s="257">
        <v>1.345137747044564E-2</v>
      </c>
    </row>
    <row r="641" spans="5:10" s="178" customFormat="1" ht="14.5" x14ac:dyDescent="0.35">
      <c r="E641" s="253" t="s">
        <v>433</v>
      </c>
      <c r="F641" s="253" t="s">
        <v>408</v>
      </c>
      <c r="G641" s="256" t="s">
        <v>200</v>
      </c>
      <c r="H641" s="475">
        <f t="shared" si="30"/>
        <v>1.9030277889268782E-2</v>
      </c>
      <c r="I641" s="257">
        <v>1.9030277889268782E-2</v>
      </c>
      <c r="J641" s="257">
        <v>1.9030277889268782E-2</v>
      </c>
    </row>
    <row r="642" spans="5:10" s="178" customFormat="1" ht="14.5" x14ac:dyDescent="0.35">
      <c r="E642" s="253" t="s">
        <v>434</v>
      </c>
      <c r="F642" s="253" t="s">
        <v>408</v>
      </c>
      <c r="G642" s="256" t="s">
        <v>200</v>
      </c>
      <c r="H642" s="475">
        <f t="shared" si="30"/>
        <v>4.6212236578537375E-2</v>
      </c>
      <c r="I642" s="257">
        <v>4.6212236578537375E-2</v>
      </c>
      <c r="J642" s="257">
        <v>4.6212236578537375E-2</v>
      </c>
    </row>
    <row r="643" spans="5:10" s="178" customFormat="1" ht="14.5" x14ac:dyDescent="0.35">
      <c r="E643" s="253" t="s">
        <v>435</v>
      </c>
      <c r="F643" s="253" t="s">
        <v>408</v>
      </c>
      <c r="G643" s="256" t="s">
        <v>200</v>
      </c>
      <c r="H643" s="475">
        <f t="shared" si="30"/>
        <v>2.5153513390904231E-2</v>
      </c>
      <c r="I643" s="257">
        <v>2.5153513390904231E-2</v>
      </c>
      <c r="J643" s="257">
        <v>2.5153513390904231E-2</v>
      </c>
    </row>
    <row r="644" spans="5:10" s="178" customFormat="1" ht="14.5" x14ac:dyDescent="0.35">
      <c r="E644" s="253" t="s">
        <v>436</v>
      </c>
      <c r="F644" s="253" t="s">
        <v>408</v>
      </c>
      <c r="G644" s="256" t="s">
        <v>200</v>
      </c>
      <c r="H644" s="475">
        <f t="shared" si="30"/>
        <v>1.6327616065387466E-2</v>
      </c>
      <c r="I644" s="257">
        <v>1.6327616065387466E-2</v>
      </c>
      <c r="J644" s="257">
        <v>1.6327616065387466E-2</v>
      </c>
    </row>
    <row r="645" spans="5:10" s="178" customFormat="1" ht="14.5" x14ac:dyDescent="0.35">
      <c r="E645" s="253" t="s">
        <v>437</v>
      </c>
      <c r="F645" s="253" t="s">
        <v>408</v>
      </c>
      <c r="G645" s="256" t="s">
        <v>200</v>
      </c>
      <c r="H645" s="475">
        <f t="shared" si="30"/>
        <v>2.5318490030241877E-2</v>
      </c>
      <c r="I645" s="257">
        <v>2.5318490030241877E-2</v>
      </c>
      <c r="J645" s="257">
        <v>2.5318490030241877E-2</v>
      </c>
    </row>
    <row r="646" spans="5:10" s="178" customFormat="1" ht="14.5" x14ac:dyDescent="0.35">
      <c r="E646" s="253" t="s">
        <v>438</v>
      </c>
      <c r="F646" s="253" t="s">
        <v>408</v>
      </c>
      <c r="G646" s="256" t="s">
        <v>200</v>
      </c>
      <c r="H646" s="475">
        <f t="shared" si="30"/>
        <v>2.6300172904756048E-2</v>
      </c>
      <c r="I646" s="257">
        <v>2.6300172904756048E-2</v>
      </c>
      <c r="J646" s="257">
        <v>2.6300172904756048E-2</v>
      </c>
    </row>
    <row r="647" spans="5:10" s="178" customFormat="1" ht="14.5" x14ac:dyDescent="0.35">
      <c r="E647" s="253" t="s">
        <v>439</v>
      </c>
      <c r="F647" s="253" t="s">
        <v>408</v>
      </c>
      <c r="G647" s="256" t="s">
        <v>200</v>
      </c>
      <c r="H647" s="475">
        <f t="shared" si="30"/>
        <v>1.9359337605318657E-2</v>
      </c>
      <c r="I647" s="257">
        <v>1.9359337605318657E-2</v>
      </c>
      <c r="J647" s="257">
        <v>1.9359337605318657E-2</v>
      </c>
    </row>
    <row r="648" spans="5:10" s="178" customFormat="1" ht="14.5" x14ac:dyDescent="0.35">
      <c r="E648" s="253" t="s">
        <v>440</v>
      </c>
      <c r="F648" s="253" t="s">
        <v>408</v>
      </c>
      <c r="G648" s="256" t="s">
        <v>200</v>
      </c>
      <c r="H648" s="475">
        <f t="shared" si="30"/>
        <v>5.9498374285784014E-2</v>
      </c>
      <c r="I648" s="257">
        <v>5.9498374285784014E-2</v>
      </c>
      <c r="J648" s="257">
        <v>5.9498374285784014E-2</v>
      </c>
    </row>
    <row r="649" spans="5:10" s="178" customFormat="1" ht="14.5" x14ac:dyDescent="0.35">
      <c r="E649" s="253" t="s">
        <v>441</v>
      </c>
      <c r="F649" s="253" t="s">
        <v>408</v>
      </c>
      <c r="G649" s="256" t="s">
        <v>200</v>
      </c>
      <c r="H649" s="475">
        <f t="shared" si="30"/>
        <v>1.7474790579759206E-2</v>
      </c>
      <c r="I649" s="257">
        <v>1.7474790579759206E-2</v>
      </c>
      <c r="J649" s="257">
        <v>1.7474790579759206E-2</v>
      </c>
    </row>
    <row r="650" spans="5:10" s="178" customFormat="1" ht="14.5" x14ac:dyDescent="0.35">
      <c r="E650" s="253" t="s">
        <v>442</v>
      </c>
      <c r="F650" s="253" t="s">
        <v>408</v>
      </c>
      <c r="G650" s="256" t="s">
        <v>200</v>
      </c>
      <c r="H650" s="475">
        <f t="shared" si="30"/>
        <v>3.1937381593379201E-2</v>
      </c>
      <c r="I650" s="257">
        <v>3.1937381593379201E-2</v>
      </c>
      <c r="J650" s="257">
        <v>3.1937381593379201E-2</v>
      </c>
    </row>
    <row r="651" spans="5:10" s="178" customFormat="1" ht="14.5" x14ac:dyDescent="0.35">
      <c r="E651" s="253" t="s">
        <v>443</v>
      </c>
      <c r="F651" s="253" t="s">
        <v>408</v>
      </c>
      <c r="G651" s="256" t="s">
        <v>200</v>
      </c>
      <c r="H651" s="475">
        <f t="shared" si="30"/>
        <v>2.7884855396093393E-3</v>
      </c>
      <c r="I651" s="257">
        <v>2.7884855396093393E-3</v>
      </c>
      <c r="J651" s="257">
        <v>2.7884855396093393E-3</v>
      </c>
    </row>
    <row r="652" spans="5:10" s="178" customFormat="1" ht="14.5" x14ac:dyDescent="0.35">
      <c r="E652" s="253" t="s">
        <v>444</v>
      </c>
      <c r="F652" s="253" t="s">
        <v>408</v>
      </c>
      <c r="G652" s="256" t="s">
        <v>200</v>
      </c>
      <c r="H652" s="475">
        <f t="shared" si="30"/>
        <v>2.3660658931516573E-3</v>
      </c>
      <c r="I652" s="257">
        <v>2.3660658931516573E-3</v>
      </c>
      <c r="J652" s="257">
        <v>2.3660658931516573E-3</v>
      </c>
    </row>
    <row r="653" spans="5:10" s="178" customFormat="1" ht="14.5" x14ac:dyDescent="0.35">
      <c r="E653" s="253" t="s">
        <v>445</v>
      </c>
      <c r="F653" s="253" t="s">
        <v>408</v>
      </c>
      <c r="G653" s="256" t="s">
        <v>200</v>
      </c>
      <c r="H653" s="475">
        <f t="shared" si="30"/>
        <v>1.9740863531850124E-2</v>
      </c>
      <c r="I653" s="257">
        <v>1.9740863531850124E-2</v>
      </c>
      <c r="J653" s="257">
        <v>1.9740863531850124E-2</v>
      </c>
    </row>
    <row r="654" spans="5:10" s="178" customFormat="1" ht="14.5" x14ac:dyDescent="0.35">
      <c r="E654" s="253" t="s">
        <v>446</v>
      </c>
      <c r="F654" s="253" t="s">
        <v>408</v>
      </c>
      <c r="G654" s="256" t="s">
        <v>200</v>
      </c>
      <c r="H654" s="475">
        <f t="shared" si="30"/>
        <v>4.7489639677165095E-3</v>
      </c>
      <c r="I654" s="257">
        <v>4.7489639677165095E-3</v>
      </c>
      <c r="J654" s="257">
        <v>4.7489639677165095E-3</v>
      </c>
    </row>
    <row r="655" spans="5:10" s="178" customFormat="1" ht="14.5" x14ac:dyDescent="0.35">
      <c r="E655" s="253" t="s">
        <v>447</v>
      </c>
      <c r="F655" s="253" t="s">
        <v>408</v>
      </c>
      <c r="G655" s="256" t="s">
        <v>200</v>
      </c>
      <c r="H655" s="475">
        <f t="shared" si="30"/>
        <v>2.6403465267334336E-2</v>
      </c>
      <c r="I655" s="257">
        <v>2.6403465267334336E-2</v>
      </c>
      <c r="J655" s="257">
        <v>2.6403465267334336E-2</v>
      </c>
    </row>
    <row r="656" spans="5:10" s="178" customFormat="1" ht="14.5" x14ac:dyDescent="0.35">
      <c r="E656" s="253" t="s">
        <v>448</v>
      </c>
      <c r="F656" s="253" t="s">
        <v>408</v>
      </c>
      <c r="G656" s="256" t="s">
        <v>200</v>
      </c>
      <c r="H656" s="475">
        <f t="shared" si="30"/>
        <v>3.1385207059954671E-2</v>
      </c>
      <c r="I656" s="257">
        <v>3.1385207059954671E-2</v>
      </c>
      <c r="J656" s="257">
        <v>3.1385207059954671E-2</v>
      </c>
    </row>
    <row r="657" spans="1:11" s="178" customFormat="1" ht="14.5" x14ac:dyDescent="0.35">
      <c r="E657" s="253" t="s">
        <v>449</v>
      </c>
      <c r="F657" s="253" t="s">
        <v>408</v>
      </c>
      <c r="G657" s="256" t="s">
        <v>200</v>
      </c>
      <c r="H657" s="475">
        <f t="shared" si="30"/>
        <v>1.9487491515478718E-2</v>
      </c>
      <c r="I657" s="257">
        <v>1.9487491515478718E-2</v>
      </c>
      <c r="J657" s="257">
        <v>1.9487491515478718E-2</v>
      </c>
    </row>
    <row r="658" spans="1:11" s="178" customFormat="1" ht="14.5" x14ac:dyDescent="0.35">
      <c r="E658" s="253" t="s">
        <v>450</v>
      </c>
      <c r="F658" s="253" t="s">
        <v>408</v>
      </c>
      <c r="G658" s="256" t="s">
        <v>200</v>
      </c>
      <c r="H658" s="475">
        <f t="shared" si="30"/>
        <v>3.5128105203056037E-2</v>
      </c>
      <c r="I658" s="257">
        <v>3.5128105203056037E-2</v>
      </c>
      <c r="J658" s="257">
        <v>3.5128105203056037E-2</v>
      </c>
    </row>
    <row r="659" spans="1:11" s="178" customFormat="1" ht="14.5" x14ac:dyDescent="0.35">
      <c r="E659" s="253" t="s">
        <v>451</v>
      </c>
      <c r="F659" s="253" t="s">
        <v>408</v>
      </c>
      <c r="G659" s="256" t="s">
        <v>200</v>
      </c>
      <c r="H659" s="475">
        <f t="shared" si="30"/>
        <v>1.2544829430662202E-2</v>
      </c>
      <c r="I659" s="257">
        <v>1.2544829430662202E-2</v>
      </c>
      <c r="J659" s="257">
        <v>1.2544829430662202E-2</v>
      </c>
    </row>
    <row r="660" spans="1:11" s="178" customFormat="1" ht="14.5" x14ac:dyDescent="0.35">
      <c r="E660" s="253" t="s">
        <v>452</v>
      </c>
      <c r="F660" s="253" t="s">
        <v>408</v>
      </c>
      <c r="G660" s="256" t="s">
        <v>200</v>
      </c>
      <c r="H660" s="475">
        <f t="shared" si="30"/>
        <v>1.5272880841381342E-2</v>
      </c>
      <c r="I660" s="257">
        <v>1.5272880841381342E-2</v>
      </c>
      <c r="J660" s="257">
        <v>1.5272880841381342E-2</v>
      </c>
    </row>
    <row r="661" spans="1:11" s="178" customFormat="1" ht="14.5" x14ac:dyDescent="0.35">
      <c r="E661" s="253" t="s">
        <v>453</v>
      </c>
      <c r="F661" s="253" t="s">
        <v>408</v>
      </c>
      <c r="G661" s="256" t="s">
        <v>200</v>
      </c>
      <c r="H661" s="475">
        <f t="shared" si="30"/>
        <v>2.3381655377167701E-2</v>
      </c>
      <c r="I661" s="257">
        <v>2.3381655377167701E-2</v>
      </c>
      <c r="J661" s="257">
        <v>2.3381655377167701E-2</v>
      </c>
    </row>
    <row r="662" spans="1:11" s="178" customFormat="1" ht="14.5" x14ac:dyDescent="0.35">
      <c r="E662" s="253" t="s">
        <v>454</v>
      </c>
      <c r="F662" s="253" t="s">
        <v>408</v>
      </c>
      <c r="G662" s="256" t="s">
        <v>200</v>
      </c>
      <c r="H662" s="475">
        <f t="shared" si="30"/>
        <v>5.1953333581691068E-2</v>
      </c>
      <c r="I662" s="257">
        <v>5.1953333581691068E-2</v>
      </c>
      <c r="J662" s="257">
        <v>5.1953333581691068E-2</v>
      </c>
    </row>
    <row r="663" spans="1:11" s="178" customFormat="1" ht="14.5" x14ac:dyDescent="0.35">
      <c r="E663" s="253" t="s">
        <v>455</v>
      </c>
      <c r="F663" s="253" t="s">
        <v>408</v>
      </c>
      <c r="G663" s="256" t="s">
        <v>200</v>
      </c>
      <c r="H663" s="475">
        <f t="shared" si="30"/>
        <v>2.3557625623864761E-2</v>
      </c>
      <c r="I663" s="257">
        <v>2.3557625623864761E-2</v>
      </c>
      <c r="J663" s="257">
        <v>2.3557625623864761E-2</v>
      </c>
    </row>
    <row r="664" spans="1:11" s="178" customFormat="1" ht="14.5" x14ac:dyDescent="0.35">
      <c r="E664" s="253" t="s">
        <v>456</v>
      </c>
      <c r="F664" s="253" t="s">
        <v>408</v>
      </c>
      <c r="G664" s="256" t="s">
        <v>200</v>
      </c>
      <c r="H664" s="475">
        <f t="shared" si="30"/>
        <v>3.5569190819232703E-2</v>
      </c>
      <c r="I664" s="257">
        <v>3.5569190819232703E-2</v>
      </c>
      <c r="J664" s="257">
        <v>3.5569190819232703E-2</v>
      </c>
    </row>
    <row r="665" spans="1:11" s="178" customFormat="1" ht="14.5" x14ac:dyDescent="0.35">
      <c r="E665" s="253" t="s">
        <v>457</v>
      </c>
      <c r="F665" s="253" t="s">
        <v>408</v>
      </c>
      <c r="G665" s="256" t="s">
        <v>200</v>
      </c>
      <c r="H665" s="475">
        <f t="shared" si="30"/>
        <v>2.761793276240938E-2</v>
      </c>
      <c r="I665" s="257">
        <v>2.761793276240938E-2</v>
      </c>
      <c r="J665" s="257">
        <v>2.761793276240938E-2</v>
      </c>
    </row>
    <row r="666" spans="1:11" s="178" customFormat="1" ht="14.5" x14ac:dyDescent="0.35">
      <c r="E666" s="253" t="s">
        <v>458</v>
      </c>
      <c r="F666" s="253" t="s">
        <v>408</v>
      </c>
      <c r="G666" s="256" t="s">
        <v>200</v>
      </c>
      <c r="H666" s="475">
        <f t="shared" si="30"/>
        <v>2.9072029293267253E-2</v>
      </c>
      <c r="I666" s="257">
        <v>2.9072029293267253E-2</v>
      </c>
      <c r="J666" s="257">
        <v>2.9072029293267253E-2</v>
      </c>
    </row>
    <row r="667" spans="1:11" s="178" customFormat="1" ht="14.5" x14ac:dyDescent="0.35">
      <c r="E667" s="253" t="s">
        <v>459</v>
      </c>
      <c r="F667" s="253" t="s">
        <v>408</v>
      </c>
      <c r="G667" s="256" t="s">
        <v>200</v>
      </c>
      <c r="H667" s="475">
        <f t="shared" si="30"/>
        <v>3.6880912485553599E-2</v>
      </c>
      <c r="I667" s="257">
        <v>3.6880912485553599E-2</v>
      </c>
      <c r="J667" s="257">
        <v>3.6880912485553599E-2</v>
      </c>
    </row>
    <row r="668" spans="1:11" ht="5.25" customHeight="1" x14ac:dyDescent="0.35">
      <c r="K668" s="10"/>
    </row>
    <row r="669" spans="1:11" ht="14.5" x14ac:dyDescent="0.35">
      <c r="A669" s="672" t="s">
        <v>461</v>
      </c>
      <c r="B669" s="673"/>
      <c r="C669" s="673"/>
      <c r="D669" s="673"/>
      <c r="E669" s="673"/>
      <c r="F669" s="673"/>
      <c r="G669" s="673"/>
      <c r="H669" s="673"/>
      <c r="I669" s="673"/>
      <c r="J669" s="673"/>
      <c r="K669" s="674"/>
    </row>
    <row r="670" spans="1:11" ht="5.25" customHeight="1" x14ac:dyDescent="0.35">
      <c r="K670" s="10"/>
    </row>
    <row r="671" spans="1:11" ht="15" customHeight="1" x14ac:dyDescent="0.35">
      <c r="A671" s="1"/>
      <c r="B671" s="1" t="s">
        <v>462</v>
      </c>
      <c r="H671" s="442"/>
      <c r="I671" s="21"/>
      <c r="J671" s="21"/>
    </row>
    <row r="672" spans="1:11" ht="5.25" customHeight="1" x14ac:dyDescent="0.35">
      <c r="K672" s="10"/>
    </row>
    <row r="673" spans="1:11" ht="15" customHeight="1" x14ac:dyDescent="0.35">
      <c r="A673" s="1"/>
      <c r="C673" s="2" t="s">
        <v>463</v>
      </c>
      <c r="H673" s="442"/>
      <c r="I673" s="21"/>
      <c r="J673" s="21"/>
    </row>
    <row r="674" spans="1:11" ht="5.25" customHeight="1" x14ac:dyDescent="0.35">
      <c r="K674" s="10"/>
    </row>
    <row r="675" spans="1:11" ht="15" customHeight="1" x14ac:dyDescent="0.35">
      <c r="A675" s="1"/>
      <c r="E675" s="4" t="s">
        <v>464</v>
      </c>
      <c r="F675" s="10" t="s">
        <v>133</v>
      </c>
      <c r="G675" s="43" t="str">
        <f>$H$13&amp;"$ / user-trip"</f>
        <v>2024$ / user-trip</v>
      </c>
      <c r="H675" s="442">
        <f>IF($H$10=$I$6, $I675, $J675)</f>
        <v>0.04</v>
      </c>
      <c r="I675" s="18">
        <v>0.04</v>
      </c>
      <c r="J675" s="18">
        <v>0.04</v>
      </c>
    </row>
    <row r="676" spans="1:11" ht="15" customHeight="1" x14ac:dyDescent="0.35">
      <c r="A676" s="1"/>
      <c r="E676" s="4" t="s">
        <v>465</v>
      </c>
      <c r="F676" s="10" t="s">
        <v>133</v>
      </c>
      <c r="G676" s="43" t="str">
        <f t="shared" ref="G676:G689" si="31">$H$13&amp;"$ / user-trip"</f>
        <v>2024$ / user-trip</v>
      </c>
      <c r="H676" s="442">
        <f t="shared" ref="H676:H689" si="32">IF($H$10=$I$6, $I676, $J676)</f>
        <v>0.36</v>
      </c>
      <c r="I676" s="18">
        <v>0.36</v>
      </c>
      <c r="J676" s="18">
        <v>0.36</v>
      </c>
    </row>
    <row r="677" spans="1:11" ht="15" customHeight="1" x14ac:dyDescent="0.35">
      <c r="A677" s="1"/>
      <c r="E677" s="4" t="s">
        <v>466</v>
      </c>
      <c r="F677" s="10" t="s">
        <v>133</v>
      </c>
      <c r="G677" s="43" t="str">
        <f t="shared" si="31"/>
        <v>2024$ / user-trip</v>
      </c>
      <c r="H677" s="442">
        <f t="shared" si="32"/>
        <v>0.27</v>
      </c>
      <c r="I677" s="18">
        <v>0.27</v>
      </c>
      <c r="J677" s="18">
        <v>0.27</v>
      </c>
    </row>
    <row r="678" spans="1:11" ht="15" customHeight="1" x14ac:dyDescent="0.35">
      <c r="A678" s="1"/>
      <c r="E678" s="4" t="s">
        <v>467</v>
      </c>
      <c r="F678" s="10" t="s">
        <v>133</v>
      </c>
      <c r="G678" s="43" t="str">
        <f t="shared" si="31"/>
        <v>2024$ / user-trip</v>
      </c>
      <c r="H678" s="442">
        <f t="shared" si="32"/>
        <v>0.36</v>
      </c>
      <c r="I678" s="18">
        <v>0.36</v>
      </c>
      <c r="J678" s="18">
        <v>0.36</v>
      </c>
    </row>
    <row r="679" spans="1:11" ht="15" customHeight="1" x14ac:dyDescent="0.35">
      <c r="A679" s="1"/>
      <c r="E679" s="4" t="s">
        <v>468</v>
      </c>
      <c r="F679" s="10" t="s">
        <v>133</v>
      </c>
      <c r="G679" s="43" t="str">
        <f t="shared" si="31"/>
        <v>2024$ / user-trip</v>
      </c>
      <c r="H679" s="442">
        <f t="shared" si="32"/>
        <v>0.22</v>
      </c>
      <c r="I679" s="18">
        <v>0.22</v>
      </c>
      <c r="J679" s="18">
        <v>0.22</v>
      </c>
    </row>
    <row r="680" spans="1:11" ht="15" customHeight="1" x14ac:dyDescent="0.35">
      <c r="A680" s="1"/>
      <c r="E680" s="4" t="s">
        <v>469</v>
      </c>
      <c r="F680" s="10" t="s">
        <v>133</v>
      </c>
      <c r="G680" s="43" t="str">
        <f t="shared" si="31"/>
        <v>2024$ / user-trip</v>
      </c>
      <c r="H680" s="442">
        <f t="shared" si="32"/>
        <v>0.28999999999999998</v>
      </c>
      <c r="I680" s="18">
        <v>0.28999999999999998</v>
      </c>
      <c r="J680" s="18">
        <v>0.28999999999999998</v>
      </c>
    </row>
    <row r="681" spans="1:11" ht="15" customHeight="1" x14ac:dyDescent="0.35">
      <c r="A681" s="1"/>
      <c r="E681" s="4" t="s">
        <v>470</v>
      </c>
      <c r="F681" s="10" t="s">
        <v>133</v>
      </c>
      <c r="G681" s="43" t="str">
        <f t="shared" si="31"/>
        <v>2024$ / user-trip</v>
      </c>
      <c r="H681" s="442">
        <f t="shared" si="32"/>
        <v>0.17</v>
      </c>
      <c r="I681" s="18">
        <v>0.17</v>
      </c>
      <c r="J681" s="18">
        <v>0.17</v>
      </c>
    </row>
    <row r="682" spans="1:11" ht="15" customHeight="1" x14ac:dyDescent="0.35">
      <c r="A682" s="1"/>
      <c r="E682" s="4" t="s">
        <v>471</v>
      </c>
      <c r="F682" s="10" t="s">
        <v>133</v>
      </c>
      <c r="G682" s="43" t="str">
        <f t="shared" si="31"/>
        <v>2024$ / user-trip</v>
      </c>
      <c r="H682" s="442">
        <f t="shared" si="32"/>
        <v>0.13</v>
      </c>
      <c r="I682" s="18">
        <v>0.13</v>
      </c>
      <c r="J682" s="18">
        <v>0.13</v>
      </c>
    </row>
    <row r="683" spans="1:11" ht="15" customHeight="1" x14ac:dyDescent="0.35">
      <c r="A683" s="1"/>
      <c r="E683" s="4" t="s">
        <v>472</v>
      </c>
      <c r="F683" s="10" t="s">
        <v>133</v>
      </c>
      <c r="G683" s="43" t="str">
        <f t="shared" si="31"/>
        <v>2024$ / user-trip</v>
      </c>
      <c r="H683" s="442">
        <f t="shared" si="32"/>
        <v>0.09</v>
      </c>
      <c r="I683" s="18">
        <v>0.09</v>
      </c>
      <c r="J683" s="18">
        <v>0.09</v>
      </c>
    </row>
    <row r="684" spans="1:11" ht="15" customHeight="1" x14ac:dyDescent="0.35">
      <c r="A684" s="1"/>
      <c r="E684" s="4" t="s">
        <v>473</v>
      </c>
      <c r="F684" s="10" t="s">
        <v>133</v>
      </c>
      <c r="G684" s="43" t="str">
        <f t="shared" si="31"/>
        <v>2024$ / user-trip</v>
      </c>
      <c r="H684" s="442">
        <f t="shared" si="32"/>
        <v>0.37</v>
      </c>
      <c r="I684" s="18">
        <v>0.37</v>
      </c>
      <c r="J684" s="18">
        <v>0.37</v>
      </c>
    </row>
    <row r="685" spans="1:11" ht="15" customHeight="1" x14ac:dyDescent="0.35">
      <c r="E685" s="4" t="s">
        <v>474</v>
      </c>
      <c r="F685" s="10" t="s">
        <v>133</v>
      </c>
      <c r="G685" s="43" t="str">
        <f t="shared" si="31"/>
        <v>2024$ / user-trip</v>
      </c>
      <c r="H685" s="442">
        <f t="shared" si="32"/>
        <v>0.48</v>
      </c>
      <c r="I685" s="18">
        <v>0.48</v>
      </c>
      <c r="J685" s="18">
        <v>0.48</v>
      </c>
    </row>
    <row r="686" spans="1:11" ht="15" customHeight="1" x14ac:dyDescent="0.35">
      <c r="E686" s="4" t="s">
        <v>475</v>
      </c>
      <c r="F686" s="10" t="s">
        <v>133</v>
      </c>
      <c r="G686" s="43" t="str">
        <f t="shared" si="31"/>
        <v>2024$ / user-trip</v>
      </c>
      <c r="H686" s="442">
        <f t="shared" si="32"/>
        <v>0.36</v>
      </c>
      <c r="I686" s="18">
        <v>0.36</v>
      </c>
      <c r="J686" s="18">
        <v>0.36</v>
      </c>
    </row>
    <row r="687" spans="1:11" ht="15" customHeight="1" x14ac:dyDescent="0.35">
      <c r="E687" s="4" t="s">
        <v>476</v>
      </c>
      <c r="F687" s="10" t="s">
        <v>133</v>
      </c>
      <c r="G687" s="43" t="str">
        <f t="shared" si="31"/>
        <v>2024$ / user-trip</v>
      </c>
      <c r="H687" s="442">
        <f t="shared" si="32"/>
        <v>0.72</v>
      </c>
      <c r="I687" s="18">
        <v>0.72</v>
      </c>
      <c r="J687" s="18">
        <v>0.72</v>
      </c>
    </row>
    <row r="688" spans="1:11" ht="15" customHeight="1" x14ac:dyDescent="0.35">
      <c r="E688" s="4" t="s">
        <v>477</v>
      </c>
      <c r="F688" s="10" t="s">
        <v>133</v>
      </c>
      <c r="G688" s="43" t="str">
        <f t="shared" si="31"/>
        <v>2024$ / user-trip</v>
      </c>
      <c r="H688" s="442">
        <f t="shared" si="32"/>
        <v>0.12</v>
      </c>
      <c r="I688" s="18">
        <v>0.12</v>
      </c>
      <c r="J688" s="18">
        <v>0.12</v>
      </c>
    </row>
    <row r="689" spans="3:10" ht="15" customHeight="1" x14ac:dyDescent="0.35">
      <c r="E689" s="4" t="s">
        <v>478</v>
      </c>
      <c r="F689" s="10" t="s">
        <v>133</v>
      </c>
      <c r="G689" s="43" t="str">
        <f t="shared" si="31"/>
        <v>2024$ / user-trip</v>
      </c>
      <c r="H689" s="442">
        <f t="shared" si="32"/>
        <v>0.27</v>
      </c>
      <c r="I689" s="18">
        <v>0.27</v>
      </c>
      <c r="J689" s="18">
        <v>0.27</v>
      </c>
    </row>
    <row r="690" spans="3:10" ht="5.25" customHeight="1" x14ac:dyDescent="0.35"/>
    <row r="691" spans="3:10" ht="15" customHeight="1" x14ac:dyDescent="0.35">
      <c r="C691" s="2" t="s">
        <v>479</v>
      </c>
      <c r="H691" s="442"/>
      <c r="I691" s="21"/>
      <c r="J691" s="21"/>
    </row>
    <row r="692" spans="3:10" ht="5.25" customHeight="1" x14ac:dyDescent="0.35"/>
    <row r="693" spans="3:10" ht="15" customHeight="1" x14ac:dyDescent="0.35">
      <c r="E693" s="4" t="s">
        <v>464</v>
      </c>
      <c r="F693" s="10" t="s">
        <v>133</v>
      </c>
      <c r="G693" s="43" t="str">
        <f t="shared" ref="G693:G707" si="33">$H$13&amp;"$ / user-trip"</f>
        <v>2024$ / user-trip</v>
      </c>
      <c r="H693" s="442">
        <f t="shared" ref="H693:H707" si="34">IF($H$10=$I$6, $I693, $J693)</f>
        <v>0.04</v>
      </c>
      <c r="I693" s="18">
        <v>0.04</v>
      </c>
      <c r="J693" s="18">
        <v>0.04</v>
      </c>
    </row>
    <row r="694" spans="3:10" ht="15" customHeight="1" x14ac:dyDescent="0.35">
      <c r="E694" s="4" t="s">
        <v>465</v>
      </c>
      <c r="F694" s="10" t="s">
        <v>133</v>
      </c>
      <c r="G694" s="43" t="str">
        <f t="shared" si="33"/>
        <v>2024$ / user-trip</v>
      </c>
      <c r="H694" s="442">
        <f t="shared" si="34"/>
        <v>0.17</v>
      </c>
      <c r="I694" s="18">
        <v>0.17</v>
      </c>
      <c r="J694" s="18">
        <v>0.17</v>
      </c>
    </row>
    <row r="695" spans="3:10" ht="15" customHeight="1" x14ac:dyDescent="0.35">
      <c r="E695" s="4" t="s">
        <v>466</v>
      </c>
      <c r="F695" s="10" t="s">
        <v>133</v>
      </c>
      <c r="G695" s="43" t="str">
        <f t="shared" si="33"/>
        <v>2024$ / user-trip</v>
      </c>
      <c r="H695" s="442">
        <f t="shared" si="34"/>
        <v>0.27</v>
      </c>
      <c r="I695" s="18">
        <v>0.27</v>
      </c>
      <c r="J695" s="18">
        <v>0.27</v>
      </c>
    </row>
    <row r="696" spans="3:10" ht="15" customHeight="1" x14ac:dyDescent="0.35">
      <c r="E696" s="4" t="s">
        <v>467</v>
      </c>
      <c r="F696" s="10" t="s">
        <v>133</v>
      </c>
      <c r="G696" s="43" t="str">
        <f t="shared" si="33"/>
        <v>2024$ / user-trip</v>
      </c>
      <c r="H696" s="442">
        <f t="shared" si="34"/>
        <v>0.06</v>
      </c>
      <c r="I696" s="18">
        <v>0.06</v>
      </c>
      <c r="J696" s="18">
        <v>0.06</v>
      </c>
    </row>
    <row r="697" spans="3:10" ht="15" customHeight="1" x14ac:dyDescent="0.35">
      <c r="E697" s="4" t="s">
        <v>468</v>
      </c>
      <c r="F697" s="10" t="s">
        <v>133</v>
      </c>
      <c r="G697" s="43" t="str">
        <f t="shared" si="33"/>
        <v>2024$ / user-trip</v>
      </c>
      <c r="H697" s="442">
        <f t="shared" si="34"/>
        <v>0.16</v>
      </c>
      <c r="I697" s="18">
        <v>0.16</v>
      </c>
      <c r="J697" s="18">
        <v>0.16</v>
      </c>
    </row>
    <row r="698" spans="3:10" ht="15" customHeight="1" x14ac:dyDescent="0.35">
      <c r="E698" s="4" t="s">
        <v>469</v>
      </c>
      <c r="F698" s="10" t="s">
        <v>133</v>
      </c>
      <c r="G698" s="43" t="str">
        <f t="shared" si="33"/>
        <v>2024$ / user-trip</v>
      </c>
      <c r="H698" s="442">
        <f t="shared" si="34"/>
        <v>0.19</v>
      </c>
      <c r="I698" s="18">
        <v>0.19</v>
      </c>
      <c r="J698" s="18">
        <v>0.19</v>
      </c>
    </row>
    <row r="699" spans="3:10" ht="15" customHeight="1" x14ac:dyDescent="0.35">
      <c r="E699" s="4" t="s">
        <v>470</v>
      </c>
      <c r="F699" s="10" t="s">
        <v>133</v>
      </c>
      <c r="G699" s="43" t="str">
        <f t="shared" si="33"/>
        <v>2024$ / user-trip</v>
      </c>
      <c r="H699" s="442">
        <f t="shared" si="34"/>
        <v>0.17</v>
      </c>
      <c r="I699" s="18">
        <v>0.17</v>
      </c>
      <c r="J699" s="18">
        <v>0.17</v>
      </c>
    </row>
    <row r="700" spans="3:10" ht="15" customHeight="1" x14ac:dyDescent="0.35">
      <c r="E700" s="4" t="s">
        <v>471</v>
      </c>
      <c r="F700" s="10" t="s">
        <v>133</v>
      </c>
      <c r="G700" s="43" t="str">
        <f t="shared" si="33"/>
        <v>2024$ / user-trip</v>
      </c>
      <c r="H700" s="442">
        <f t="shared" si="34"/>
        <v>0.13</v>
      </c>
      <c r="I700" s="18">
        <v>0.13</v>
      </c>
      <c r="J700" s="18">
        <v>0.13</v>
      </c>
    </row>
    <row r="701" spans="3:10" ht="15" customHeight="1" x14ac:dyDescent="0.35">
      <c r="E701" s="4" t="s">
        <v>472</v>
      </c>
      <c r="F701" s="10" t="s">
        <v>133</v>
      </c>
      <c r="G701" s="43" t="str">
        <f t="shared" si="33"/>
        <v>2024$ / user-trip</v>
      </c>
      <c r="H701" s="442">
        <f t="shared" si="34"/>
        <v>0.03</v>
      </c>
      <c r="I701" s="18">
        <v>0.03</v>
      </c>
      <c r="J701" s="18">
        <v>0.03</v>
      </c>
    </row>
    <row r="702" spans="3:10" ht="15" customHeight="1" x14ac:dyDescent="0.35">
      <c r="E702" s="4" t="s">
        <v>473</v>
      </c>
      <c r="F702" s="10" t="s">
        <v>133</v>
      </c>
      <c r="G702" s="43" t="str">
        <f t="shared" si="33"/>
        <v>2024$ / user-trip</v>
      </c>
      <c r="H702" s="442">
        <f t="shared" si="34"/>
        <v>0.37</v>
      </c>
      <c r="I702" s="18">
        <v>0.37</v>
      </c>
      <c r="J702" s="18">
        <v>0.37</v>
      </c>
    </row>
    <row r="703" spans="3:10" ht="15" customHeight="1" x14ac:dyDescent="0.35">
      <c r="E703" s="4" t="s">
        <v>474</v>
      </c>
      <c r="F703" s="10" t="s">
        <v>133</v>
      </c>
      <c r="G703" s="43" t="str">
        <f t="shared" si="33"/>
        <v>2024$ / user-trip</v>
      </c>
      <c r="H703" s="442">
        <f t="shared" si="34"/>
        <v>0.09</v>
      </c>
      <c r="I703" s="18">
        <v>0.09</v>
      </c>
      <c r="J703" s="18">
        <v>0.09</v>
      </c>
    </row>
    <row r="704" spans="3:10" ht="15" customHeight="1" x14ac:dyDescent="0.35">
      <c r="E704" s="4" t="s">
        <v>475</v>
      </c>
      <c r="F704" s="10" t="s">
        <v>133</v>
      </c>
      <c r="G704" s="43" t="str">
        <f t="shared" si="33"/>
        <v>2024$ / user-trip</v>
      </c>
      <c r="H704" s="442">
        <f t="shared" si="34"/>
        <v>0.36</v>
      </c>
      <c r="I704" s="18">
        <v>0.36</v>
      </c>
      <c r="J704" s="18">
        <v>0.36</v>
      </c>
    </row>
    <row r="705" spans="3:10" ht="15" customHeight="1" x14ac:dyDescent="0.35">
      <c r="E705" s="4" t="s">
        <v>476</v>
      </c>
      <c r="F705" s="10" t="s">
        <v>133</v>
      </c>
      <c r="G705" s="43" t="str">
        <f t="shared" si="33"/>
        <v>2024$ / user-trip</v>
      </c>
      <c r="H705" s="442">
        <v>0.1</v>
      </c>
      <c r="I705" s="18">
        <v>0.72</v>
      </c>
      <c r="J705" s="18">
        <v>0.72</v>
      </c>
    </row>
    <row r="706" spans="3:10" ht="15" customHeight="1" x14ac:dyDescent="0.35">
      <c r="E706" s="4" t="s">
        <v>477</v>
      </c>
      <c r="F706" s="10" t="s">
        <v>133</v>
      </c>
      <c r="G706" s="43" t="str">
        <f t="shared" si="33"/>
        <v>2024$ / user-trip</v>
      </c>
      <c r="H706" s="442">
        <v>0.1</v>
      </c>
      <c r="I706" s="18">
        <v>0.12</v>
      </c>
      <c r="J706" s="18">
        <v>0.12</v>
      </c>
    </row>
    <row r="707" spans="3:10" ht="15" customHeight="1" x14ac:dyDescent="0.35">
      <c r="E707" s="4" t="s">
        <v>478</v>
      </c>
      <c r="F707" s="10" t="s">
        <v>133</v>
      </c>
      <c r="G707" s="43" t="str">
        <f t="shared" si="33"/>
        <v>2024$ / user-trip</v>
      </c>
      <c r="H707" s="442">
        <f t="shared" si="34"/>
        <v>0.11</v>
      </c>
      <c r="I707" s="18">
        <v>0.11</v>
      </c>
      <c r="J707" s="18">
        <v>0.11</v>
      </c>
    </row>
    <row r="708" spans="3:10" ht="5.25" customHeight="1" x14ac:dyDescent="0.35"/>
    <row r="709" spans="3:10" ht="15" customHeight="1" x14ac:dyDescent="0.35">
      <c r="C709" s="2" t="s">
        <v>480</v>
      </c>
      <c r="H709" s="442"/>
      <c r="I709" s="21"/>
      <c r="J709" s="21"/>
    </row>
    <row r="710" spans="3:10" ht="5.25" customHeight="1" x14ac:dyDescent="0.35"/>
    <row r="711" spans="3:10" ht="15" customHeight="1" x14ac:dyDescent="0.35">
      <c r="E711" s="4" t="s">
        <v>464</v>
      </c>
      <c r="F711" s="10" t="s">
        <v>133</v>
      </c>
      <c r="G711" s="43" t="str">
        <f t="shared" ref="G711:G732" si="35">$H$13&amp;"$ / user-trip"</f>
        <v>2024$ / user-trip</v>
      </c>
      <c r="H711" s="442">
        <f t="shared" ref="H711:H732" si="36">IF($H$10=$I$6, $I711, $J711)</f>
        <v>7.0000000000000007E-2</v>
      </c>
      <c r="I711" s="18">
        <v>7.0000000000000007E-2</v>
      </c>
      <c r="J711" s="18">
        <v>7.0000000000000007E-2</v>
      </c>
    </row>
    <row r="712" spans="3:10" ht="15" customHeight="1" x14ac:dyDescent="0.35">
      <c r="E712" s="4" t="s">
        <v>465</v>
      </c>
      <c r="F712" s="10" t="s">
        <v>133</v>
      </c>
      <c r="G712" s="43" t="str">
        <f t="shared" si="35"/>
        <v>2024$ / user-trip</v>
      </c>
      <c r="H712" s="442">
        <f t="shared" si="36"/>
        <v>1</v>
      </c>
      <c r="I712" s="18">
        <v>1</v>
      </c>
      <c r="J712" s="18">
        <v>1</v>
      </c>
    </row>
    <row r="713" spans="3:10" ht="15" customHeight="1" x14ac:dyDescent="0.35">
      <c r="E713" s="4" t="s">
        <v>466</v>
      </c>
      <c r="F713" s="10" t="s">
        <v>133</v>
      </c>
      <c r="G713" s="43" t="str">
        <f t="shared" si="35"/>
        <v>2024$ / user-trip</v>
      </c>
      <c r="H713" s="442">
        <f t="shared" si="36"/>
        <v>0.13</v>
      </c>
      <c r="I713" s="18">
        <v>0.13</v>
      </c>
      <c r="J713" s="18">
        <v>0.13</v>
      </c>
    </row>
    <row r="714" spans="3:10" ht="15" customHeight="1" x14ac:dyDescent="0.35">
      <c r="E714" s="4" t="s">
        <v>467</v>
      </c>
      <c r="F714" s="10" t="s">
        <v>133</v>
      </c>
      <c r="G714" s="43" t="str">
        <f t="shared" si="35"/>
        <v>2024$ / user-trip</v>
      </c>
      <c r="H714" s="442">
        <f t="shared" si="36"/>
        <v>0.12</v>
      </c>
      <c r="I714" s="18">
        <v>0.12</v>
      </c>
      <c r="J714" s="18">
        <v>0.12</v>
      </c>
    </row>
    <row r="715" spans="3:10" ht="15" customHeight="1" x14ac:dyDescent="0.35">
      <c r="E715" s="4" t="s">
        <v>468</v>
      </c>
      <c r="F715" s="10" t="s">
        <v>133</v>
      </c>
      <c r="G715" s="43" t="str">
        <f t="shared" si="35"/>
        <v>2024$ / user-trip</v>
      </c>
      <c r="H715" s="442">
        <f t="shared" si="36"/>
        <v>0.15</v>
      </c>
      <c r="I715" s="18">
        <v>0.15</v>
      </c>
      <c r="J715" s="18">
        <v>0.15</v>
      </c>
    </row>
    <row r="716" spans="3:10" ht="15" customHeight="1" x14ac:dyDescent="0.35">
      <c r="E716" s="4" t="s">
        <v>469</v>
      </c>
      <c r="F716" s="10" t="s">
        <v>133</v>
      </c>
      <c r="G716" s="43" t="str">
        <f t="shared" si="35"/>
        <v>2024$ / user-trip</v>
      </c>
      <c r="H716" s="442">
        <f t="shared" si="36"/>
        <v>0.15</v>
      </c>
      <c r="I716" s="18">
        <v>0.15</v>
      </c>
      <c r="J716" s="18">
        <v>0.15</v>
      </c>
    </row>
    <row r="717" spans="3:10" ht="15" customHeight="1" x14ac:dyDescent="0.35">
      <c r="E717" s="4" t="s">
        <v>470</v>
      </c>
      <c r="F717" s="10" t="s">
        <v>133</v>
      </c>
      <c r="G717" s="43" t="str">
        <f t="shared" si="35"/>
        <v>2024$ / user-trip</v>
      </c>
      <c r="H717" s="442">
        <f t="shared" si="36"/>
        <v>0.12</v>
      </c>
      <c r="I717" s="18">
        <v>0.12</v>
      </c>
      <c r="J717" s="18">
        <v>0.12</v>
      </c>
    </row>
    <row r="718" spans="3:10" ht="15" customHeight="1" x14ac:dyDescent="0.35">
      <c r="E718" s="4" t="s">
        <v>471</v>
      </c>
      <c r="F718" s="10" t="s">
        <v>133</v>
      </c>
      <c r="G718" s="43" t="str">
        <f t="shared" si="35"/>
        <v>2024$ / user-trip</v>
      </c>
      <c r="H718" s="442">
        <f t="shared" si="36"/>
        <v>7.0000000000000007E-2</v>
      </c>
      <c r="I718" s="18">
        <v>7.0000000000000007E-2</v>
      </c>
      <c r="J718" s="18">
        <v>7.0000000000000007E-2</v>
      </c>
    </row>
    <row r="719" spans="3:10" ht="15" customHeight="1" x14ac:dyDescent="0.35">
      <c r="E719" s="4" t="s">
        <v>472</v>
      </c>
      <c r="F719" s="10" t="s">
        <v>133</v>
      </c>
      <c r="G719" s="43" t="str">
        <f t="shared" si="35"/>
        <v>2024$ / user-trip</v>
      </c>
      <c r="H719" s="442">
        <f t="shared" si="36"/>
        <v>0.21</v>
      </c>
      <c r="I719" s="18">
        <v>0.21</v>
      </c>
      <c r="J719" s="18">
        <v>0.21</v>
      </c>
    </row>
    <row r="720" spans="3:10" ht="15" customHeight="1" x14ac:dyDescent="0.35">
      <c r="E720" s="4" t="s">
        <v>473</v>
      </c>
      <c r="F720" s="10" t="s">
        <v>133</v>
      </c>
      <c r="G720" s="43" t="str">
        <f t="shared" si="35"/>
        <v>2024$ / user-trip</v>
      </c>
      <c r="H720" s="442">
        <f t="shared" si="36"/>
        <v>0.23</v>
      </c>
      <c r="I720" s="18">
        <v>0.23</v>
      </c>
      <c r="J720" s="18">
        <v>0.23</v>
      </c>
    </row>
    <row r="721" spans="2:10" ht="15" customHeight="1" x14ac:dyDescent="0.35">
      <c r="E721" s="4" t="s">
        <v>474</v>
      </c>
      <c r="F721" s="10" t="s">
        <v>133</v>
      </c>
      <c r="G721" s="43" t="str">
        <f t="shared" si="35"/>
        <v>2024$ / user-trip</v>
      </c>
      <c r="H721" s="442">
        <f t="shared" si="36"/>
        <v>0.08</v>
      </c>
      <c r="I721" s="18">
        <v>0.08</v>
      </c>
      <c r="J721" s="18">
        <v>0.08</v>
      </c>
    </row>
    <row r="722" spans="2:10" ht="15" customHeight="1" x14ac:dyDescent="0.35">
      <c r="E722" s="4" t="s">
        <v>475</v>
      </c>
      <c r="F722" s="10" t="s">
        <v>133</v>
      </c>
      <c r="G722" s="43" t="str">
        <f t="shared" si="35"/>
        <v>2024$ / user-trip</v>
      </c>
      <c r="H722" s="442">
        <f t="shared" si="36"/>
        <v>0.37</v>
      </c>
      <c r="I722" s="18">
        <v>0.37</v>
      </c>
      <c r="J722" s="18">
        <v>0.37</v>
      </c>
    </row>
    <row r="723" spans="2:10" ht="15" customHeight="1" x14ac:dyDescent="0.35">
      <c r="E723" s="4" t="s">
        <v>476</v>
      </c>
      <c r="F723" s="10" t="s">
        <v>133</v>
      </c>
      <c r="G723" s="43" t="str">
        <f t="shared" si="35"/>
        <v>2024$ / user-trip</v>
      </c>
      <c r="H723" s="442">
        <f t="shared" si="36"/>
        <v>0.72</v>
      </c>
      <c r="I723" s="18">
        <v>0.72</v>
      </c>
      <c r="J723" s="18">
        <v>0.72</v>
      </c>
    </row>
    <row r="724" spans="2:10" ht="15" customHeight="1" x14ac:dyDescent="0.35">
      <c r="E724" s="4" t="s">
        <v>477</v>
      </c>
      <c r="F724" s="10" t="s">
        <v>133</v>
      </c>
      <c r="G724" s="43" t="str">
        <f t="shared" si="35"/>
        <v>2024$ / user-trip</v>
      </c>
      <c r="H724" s="442">
        <f t="shared" si="36"/>
        <v>0.08</v>
      </c>
      <c r="I724" s="18">
        <v>0.08</v>
      </c>
      <c r="J724" s="18">
        <v>0.08</v>
      </c>
    </row>
    <row r="725" spans="2:10" ht="15" customHeight="1" x14ac:dyDescent="0.35">
      <c r="E725" s="4" t="s">
        <v>478</v>
      </c>
      <c r="F725" s="10" t="s">
        <v>133</v>
      </c>
      <c r="G725" s="43" t="str">
        <f t="shared" si="35"/>
        <v>2024$ / user-trip</v>
      </c>
      <c r="H725" s="442">
        <f t="shared" si="36"/>
        <v>0.55000000000000004</v>
      </c>
      <c r="I725" s="18">
        <v>0.55000000000000004</v>
      </c>
      <c r="J725" s="18">
        <v>0.55000000000000004</v>
      </c>
    </row>
    <row r="726" spans="2:10" ht="15" customHeight="1" x14ac:dyDescent="0.35">
      <c r="E726" s="4" t="s">
        <v>481</v>
      </c>
      <c r="F726" s="10" t="s">
        <v>133</v>
      </c>
      <c r="G726" s="43" t="str">
        <f t="shared" si="35"/>
        <v>2024$ / user-trip</v>
      </c>
      <c r="H726" s="442">
        <f t="shared" si="36"/>
        <v>0.11</v>
      </c>
      <c r="I726" s="18">
        <v>0.11</v>
      </c>
      <c r="J726" s="18">
        <v>0.11</v>
      </c>
    </row>
    <row r="727" spans="2:10" ht="15" customHeight="1" x14ac:dyDescent="0.35">
      <c r="E727" s="4" t="s">
        <v>482</v>
      </c>
      <c r="F727" s="10" t="s">
        <v>133</v>
      </c>
      <c r="G727" s="43" t="str">
        <f t="shared" si="35"/>
        <v>2024$ / user-trip</v>
      </c>
      <c r="H727" s="442">
        <f t="shared" si="36"/>
        <v>0.13</v>
      </c>
      <c r="I727" s="18">
        <v>0.13</v>
      </c>
      <c r="J727" s="18">
        <v>0.13</v>
      </c>
    </row>
    <row r="728" spans="2:10" ht="15" customHeight="1" x14ac:dyDescent="0.35">
      <c r="E728" s="4" t="s">
        <v>483</v>
      </c>
      <c r="F728" s="10" t="s">
        <v>133</v>
      </c>
      <c r="G728" s="43" t="str">
        <f t="shared" si="35"/>
        <v>2024$ / user-trip</v>
      </c>
      <c r="H728" s="442">
        <f t="shared" si="36"/>
        <v>0.08</v>
      </c>
      <c r="I728" s="18">
        <v>0.08</v>
      </c>
      <c r="J728" s="18">
        <v>0.08</v>
      </c>
    </row>
    <row r="729" spans="2:10" ht="15" customHeight="1" x14ac:dyDescent="0.35">
      <c r="E729" s="4" t="s">
        <v>484</v>
      </c>
      <c r="F729" s="10" t="s">
        <v>133</v>
      </c>
      <c r="G729" s="43" t="str">
        <f t="shared" si="35"/>
        <v>2024$ / user-trip</v>
      </c>
      <c r="H729" s="442">
        <f t="shared" si="36"/>
        <v>0.04</v>
      </c>
      <c r="I729" s="18">
        <v>0.04</v>
      </c>
      <c r="J729" s="18">
        <v>0.04</v>
      </c>
    </row>
    <row r="730" spans="2:10" ht="15" customHeight="1" x14ac:dyDescent="0.35">
      <c r="E730" s="4" t="s">
        <v>485</v>
      </c>
      <c r="F730" s="10" t="s">
        <v>133</v>
      </c>
      <c r="G730" s="43" t="str">
        <f t="shared" si="35"/>
        <v>2024$ / user-trip</v>
      </c>
      <c r="H730" s="442">
        <f t="shared" si="36"/>
        <v>0.11</v>
      </c>
      <c r="I730" s="18">
        <v>0.11</v>
      </c>
      <c r="J730" s="18">
        <v>0.11</v>
      </c>
    </row>
    <row r="731" spans="2:10" ht="15" customHeight="1" x14ac:dyDescent="0.35">
      <c r="E731" s="4" t="s">
        <v>486</v>
      </c>
      <c r="F731" s="10" t="s">
        <v>133</v>
      </c>
      <c r="G731" s="43" t="str">
        <f t="shared" si="35"/>
        <v>2024$ / user-trip</v>
      </c>
      <c r="H731" s="442">
        <f t="shared" si="36"/>
        <v>0.06</v>
      </c>
      <c r="I731" s="18">
        <v>0.06</v>
      </c>
      <c r="J731" s="18">
        <v>0.06</v>
      </c>
    </row>
    <row r="732" spans="2:10" ht="15" customHeight="1" x14ac:dyDescent="0.35">
      <c r="E732" s="4" t="s">
        <v>487</v>
      </c>
      <c r="F732" s="10" t="s">
        <v>133</v>
      </c>
      <c r="G732" s="43" t="str">
        <f t="shared" si="35"/>
        <v>2024$ / user-trip</v>
      </c>
      <c r="H732" s="442">
        <f t="shared" si="36"/>
        <v>0.23</v>
      </c>
      <c r="I732" s="18">
        <v>0.23</v>
      </c>
      <c r="J732" s="18">
        <v>0.23</v>
      </c>
    </row>
    <row r="734" spans="2:10" ht="14.5" x14ac:dyDescent="0.35">
      <c r="B734" s="1" t="s">
        <v>488</v>
      </c>
    </row>
    <row r="735" spans="2:10" ht="5.25" customHeight="1" x14ac:dyDescent="0.35"/>
    <row r="736" spans="2:10" ht="14.5" x14ac:dyDescent="0.35">
      <c r="C736" s="2" t="s">
        <v>489</v>
      </c>
    </row>
    <row r="737" spans="3:10" ht="5.25" customHeight="1" x14ac:dyDescent="0.35"/>
    <row r="738" spans="3:10" ht="14.5" x14ac:dyDescent="0.35">
      <c r="E738" s="4" t="s">
        <v>465</v>
      </c>
      <c r="F738" s="10" t="s">
        <v>133</v>
      </c>
      <c r="G738" s="43" t="str">
        <f t="shared" ref="G738:G744" si="37">$H$13&amp;"$ / user-trip"</f>
        <v>2024$ / user-trip</v>
      </c>
      <c r="H738" s="442">
        <f t="shared" ref="H738:H744" si="38">IF($H$10=$I$6, $I738, $J738)</f>
        <v>0.25</v>
      </c>
      <c r="I738" s="18">
        <v>0.25</v>
      </c>
      <c r="J738" s="18">
        <v>0.25</v>
      </c>
    </row>
    <row r="739" spans="3:10" ht="14.5" x14ac:dyDescent="0.35">
      <c r="E739" s="4" t="s">
        <v>490</v>
      </c>
      <c r="F739" s="10" t="s">
        <v>133</v>
      </c>
      <c r="G739" s="43" t="str">
        <f t="shared" si="37"/>
        <v>2024$ / user-trip</v>
      </c>
      <c r="H739" s="442">
        <f t="shared" si="38"/>
        <v>0.15</v>
      </c>
      <c r="I739" s="18">
        <v>0.15</v>
      </c>
      <c r="J739" s="18">
        <v>0.15</v>
      </c>
    </row>
    <row r="740" spans="3:10" ht="14.5" x14ac:dyDescent="0.35">
      <c r="E740" s="4" t="s">
        <v>491</v>
      </c>
      <c r="F740" s="10" t="s">
        <v>133</v>
      </c>
      <c r="G740" s="43" t="str">
        <f t="shared" si="37"/>
        <v>2024$ / user-trip</v>
      </c>
      <c r="H740" s="442">
        <f t="shared" si="38"/>
        <v>0.1</v>
      </c>
      <c r="I740" s="18">
        <v>0.1</v>
      </c>
      <c r="J740" s="18">
        <v>0.1</v>
      </c>
    </row>
    <row r="741" spans="3:10" ht="14.5" x14ac:dyDescent="0.35">
      <c r="E741" s="4" t="s">
        <v>467</v>
      </c>
      <c r="F741" s="10" t="s">
        <v>133</v>
      </c>
      <c r="G741" s="43" t="str">
        <f t="shared" si="37"/>
        <v>2024$ / user-trip</v>
      </c>
      <c r="H741" s="442">
        <f t="shared" si="38"/>
        <v>0.44</v>
      </c>
      <c r="I741" s="18">
        <v>0.44</v>
      </c>
      <c r="J741" s="18">
        <v>0.44</v>
      </c>
    </row>
    <row r="742" spans="3:10" ht="14.5" x14ac:dyDescent="0.35">
      <c r="E742" s="4" t="s">
        <v>475</v>
      </c>
      <c r="F742" s="10" t="s">
        <v>133</v>
      </c>
      <c r="G742" s="43" t="str">
        <f t="shared" si="37"/>
        <v>2024$ / user-trip</v>
      </c>
      <c r="H742" s="442">
        <f t="shared" si="38"/>
        <v>0.25</v>
      </c>
      <c r="I742" s="18">
        <v>0.25</v>
      </c>
      <c r="J742" s="18">
        <v>0.25</v>
      </c>
    </row>
    <row r="743" spans="3:10" ht="14.5" x14ac:dyDescent="0.35">
      <c r="E743" s="4" t="s">
        <v>492</v>
      </c>
      <c r="F743" s="10" t="s">
        <v>133</v>
      </c>
      <c r="G743" s="43" t="str">
        <f t="shared" si="37"/>
        <v>2024$ / user-trip</v>
      </c>
      <c r="H743" s="442">
        <f t="shared" si="38"/>
        <v>0.36</v>
      </c>
      <c r="I743" s="18">
        <v>0.36</v>
      </c>
      <c r="J743" s="18">
        <v>0.36</v>
      </c>
    </row>
    <row r="744" spans="3:10" ht="14.5" x14ac:dyDescent="0.35">
      <c r="E744" s="4" t="s">
        <v>493</v>
      </c>
      <c r="F744" s="10" t="s">
        <v>133</v>
      </c>
      <c r="G744" s="43" t="str">
        <f t="shared" si="37"/>
        <v>2024$ / user-trip</v>
      </c>
      <c r="H744" s="442">
        <f t="shared" si="38"/>
        <v>0.05</v>
      </c>
      <c r="I744" s="18">
        <v>0.05</v>
      </c>
      <c r="J744" s="18">
        <v>0.05</v>
      </c>
    </row>
    <row r="745" spans="3:10" ht="5.25" customHeight="1" x14ac:dyDescent="0.35"/>
    <row r="746" spans="3:10" ht="14.5" x14ac:dyDescent="0.35">
      <c r="C746" s="2" t="s">
        <v>494</v>
      </c>
    </row>
    <row r="747" spans="3:10" ht="5.25" customHeight="1" x14ac:dyDescent="0.35"/>
    <row r="748" spans="3:10" ht="14.5" x14ac:dyDescent="0.35">
      <c r="E748" s="4" t="s">
        <v>465</v>
      </c>
      <c r="F748" s="10" t="s">
        <v>133</v>
      </c>
      <c r="G748" s="43" t="str">
        <f t="shared" ref="G748:G754" si="39">$H$13&amp;"$ / user-trip"</f>
        <v>2024$ / user-trip</v>
      </c>
      <c r="H748" s="442">
        <f t="shared" ref="H748:H754" si="40">IF($H$10=$I$6, $I748, $J748)</f>
        <v>0.25</v>
      </c>
      <c r="I748" s="18">
        <v>0.25</v>
      </c>
      <c r="J748" s="18">
        <v>0.25</v>
      </c>
    </row>
    <row r="749" spans="3:10" ht="14.5" x14ac:dyDescent="0.35">
      <c r="E749" s="4" t="s">
        <v>490</v>
      </c>
      <c r="F749" s="10" t="s">
        <v>133</v>
      </c>
      <c r="G749" s="43" t="str">
        <f t="shared" si="39"/>
        <v>2024$ / user-trip</v>
      </c>
      <c r="H749" s="442">
        <f t="shared" si="40"/>
        <v>0.15</v>
      </c>
      <c r="I749" s="18">
        <v>0.15</v>
      </c>
      <c r="J749" s="18">
        <v>0.15</v>
      </c>
    </row>
    <row r="750" spans="3:10" ht="14.5" x14ac:dyDescent="0.35">
      <c r="E750" s="4" t="s">
        <v>491</v>
      </c>
      <c r="F750" s="10" t="s">
        <v>133</v>
      </c>
      <c r="G750" s="43" t="str">
        <f t="shared" si="39"/>
        <v>2024$ / user-trip</v>
      </c>
      <c r="H750" s="442">
        <f t="shared" si="40"/>
        <v>0.1</v>
      </c>
      <c r="I750" s="18">
        <v>0.1</v>
      </c>
      <c r="J750" s="18">
        <v>0.1</v>
      </c>
    </row>
    <row r="751" spans="3:10" ht="14.5" x14ac:dyDescent="0.35">
      <c r="E751" s="4" t="s">
        <v>467</v>
      </c>
      <c r="F751" s="10" t="s">
        <v>133</v>
      </c>
      <c r="G751" s="43" t="str">
        <f t="shared" si="39"/>
        <v>2024$ / user-trip</v>
      </c>
      <c r="H751" s="442">
        <f t="shared" si="40"/>
        <v>0.44</v>
      </c>
      <c r="I751" s="18">
        <v>0.44</v>
      </c>
      <c r="J751" s="18">
        <v>0.44</v>
      </c>
    </row>
    <row r="752" spans="3:10" ht="14.5" x14ac:dyDescent="0.35">
      <c r="E752" s="4" t="s">
        <v>475</v>
      </c>
      <c r="F752" s="10" t="s">
        <v>133</v>
      </c>
      <c r="G752" s="43" t="str">
        <f t="shared" si="39"/>
        <v>2024$ / user-trip</v>
      </c>
      <c r="H752" s="442">
        <f t="shared" si="40"/>
        <v>0.25</v>
      </c>
      <c r="I752" s="18">
        <v>0.25</v>
      </c>
      <c r="J752" s="18">
        <v>0.25</v>
      </c>
    </row>
    <row r="753" spans="2:10" ht="14.5" x14ac:dyDescent="0.35">
      <c r="E753" s="4" t="s">
        <v>492</v>
      </c>
      <c r="F753" s="10" t="s">
        <v>133</v>
      </c>
      <c r="G753" s="43" t="str">
        <f t="shared" si="39"/>
        <v>2024$ / user-trip</v>
      </c>
      <c r="H753" s="442">
        <f t="shared" si="40"/>
        <v>0.14000000000000001</v>
      </c>
      <c r="I753" s="18">
        <v>0.14000000000000001</v>
      </c>
      <c r="J753" s="18">
        <v>0.14000000000000001</v>
      </c>
    </row>
    <row r="754" spans="2:10" ht="14.5" x14ac:dyDescent="0.35">
      <c r="E754" s="4" t="s">
        <v>493</v>
      </c>
      <c r="F754" s="10" t="s">
        <v>133</v>
      </c>
      <c r="G754" s="43" t="str">
        <f t="shared" si="39"/>
        <v>2024$ / user-trip</v>
      </c>
      <c r="H754" s="442">
        <f t="shared" si="40"/>
        <v>0.05</v>
      </c>
      <c r="I754" s="18">
        <v>0.05</v>
      </c>
      <c r="J754" s="18">
        <v>0.05</v>
      </c>
    </row>
    <row r="755" spans="2:10" ht="5.25" customHeight="1" x14ac:dyDescent="0.35">
      <c r="F755" s="10"/>
    </row>
    <row r="756" spans="2:10" ht="14.5" x14ac:dyDescent="0.35">
      <c r="C756" s="2" t="s">
        <v>495</v>
      </c>
      <c r="F756" s="10"/>
    </row>
    <row r="757" spans="2:10" ht="5.25" customHeight="1" x14ac:dyDescent="0.35">
      <c r="F757" s="10"/>
    </row>
    <row r="758" spans="2:10" ht="14.5" x14ac:dyDescent="0.35">
      <c r="E758" s="4" t="s">
        <v>465</v>
      </c>
      <c r="F758" s="10" t="s">
        <v>133</v>
      </c>
      <c r="G758" s="43" t="str">
        <f t="shared" ref="G758:G765" si="41">$H$13&amp;"$ / user-trip"</f>
        <v>2024$ / user-trip</v>
      </c>
      <c r="H758" s="442">
        <f t="shared" ref="H758:H766" si="42">IF($H$10=$I$6, $I758, $J758)</f>
        <v>0.25</v>
      </c>
      <c r="I758" s="18">
        <v>0.25</v>
      </c>
      <c r="J758" s="18">
        <v>0.25</v>
      </c>
    </row>
    <row r="759" spans="2:10" ht="14.5" x14ac:dyDescent="0.35">
      <c r="E759" s="4" t="s">
        <v>490</v>
      </c>
      <c r="F759" s="10" t="s">
        <v>133</v>
      </c>
      <c r="G759" s="43" t="str">
        <f t="shared" si="41"/>
        <v>2024$ / user-trip</v>
      </c>
      <c r="H759" s="442">
        <f t="shared" si="42"/>
        <v>0.36</v>
      </c>
      <c r="I759" s="18">
        <v>0.36</v>
      </c>
      <c r="J759" s="18">
        <v>0.36</v>
      </c>
    </row>
    <row r="760" spans="2:10" ht="14.5" x14ac:dyDescent="0.35">
      <c r="E760" s="4" t="s">
        <v>491</v>
      </c>
      <c r="F760" s="10" t="s">
        <v>133</v>
      </c>
      <c r="G760" s="43" t="str">
        <f t="shared" si="41"/>
        <v>2024$ / user-trip</v>
      </c>
      <c r="H760" s="442">
        <f t="shared" si="42"/>
        <v>0.1</v>
      </c>
      <c r="I760" s="18">
        <v>0.1</v>
      </c>
      <c r="J760" s="18">
        <v>0.1</v>
      </c>
    </row>
    <row r="761" spans="2:10" ht="14.5" x14ac:dyDescent="0.35">
      <c r="E761" s="4" t="s">
        <v>467</v>
      </c>
      <c r="F761" s="10" t="s">
        <v>133</v>
      </c>
      <c r="G761" s="43" t="str">
        <f t="shared" si="41"/>
        <v>2024$ / user-trip</v>
      </c>
      <c r="H761" s="442">
        <f t="shared" si="42"/>
        <v>0.45</v>
      </c>
      <c r="I761" s="18">
        <v>0.45</v>
      </c>
      <c r="J761" s="18">
        <v>0.45</v>
      </c>
    </row>
    <row r="762" spans="2:10" ht="14.5" x14ac:dyDescent="0.35">
      <c r="E762" s="4" t="s">
        <v>475</v>
      </c>
      <c r="F762" s="10" t="s">
        <v>133</v>
      </c>
      <c r="G762" s="43" t="str">
        <f t="shared" si="41"/>
        <v>2024$ / user-trip</v>
      </c>
      <c r="H762" s="442">
        <f t="shared" si="42"/>
        <v>0.73</v>
      </c>
      <c r="I762" s="18">
        <v>0.73</v>
      </c>
      <c r="J762" s="18">
        <v>0.73</v>
      </c>
    </row>
    <row r="763" spans="2:10" ht="14.5" x14ac:dyDescent="0.35">
      <c r="E763" s="4" t="s">
        <v>492</v>
      </c>
      <c r="F763" s="10" t="s">
        <v>133</v>
      </c>
      <c r="G763" s="43" t="str">
        <f t="shared" si="41"/>
        <v>2024$ / user-trip</v>
      </c>
      <c r="H763" s="442">
        <f t="shared" si="42"/>
        <v>0.55000000000000004</v>
      </c>
      <c r="I763" s="18">
        <v>0.55000000000000004</v>
      </c>
      <c r="J763" s="18">
        <v>0.55000000000000004</v>
      </c>
    </row>
    <row r="764" spans="2:10" ht="14.5" x14ac:dyDescent="0.35">
      <c r="E764" s="4" t="s">
        <v>493</v>
      </c>
      <c r="F764" s="10" t="s">
        <v>133</v>
      </c>
      <c r="G764" s="43" t="str">
        <f t="shared" si="41"/>
        <v>2024$ / user-trip</v>
      </c>
      <c r="H764" s="442">
        <f t="shared" si="42"/>
        <v>0.05</v>
      </c>
      <c r="I764" s="18">
        <v>0.05</v>
      </c>
      <c r="J764" s="18">
        <v>0.05</v>
      </c>
    </row>
    <row r="765" spans="2:10" ht="14.5" x14ac:dyDescent="0.35">
      <c r="E765" s="4" t="s">
        <v>496</v>
      </c>
      <c r="F765" s="10" t="s">
        <v>133</v>
      </c>
      <c r="G765" s="43" t="str">
        <f t="shared" si="41"/>
        <v>2024$ / user-trip</v>
      </c>
      <c r="H765" s="442">
        <f t="shared" si="42"/>
        <v>0.03</v>
      </c>
      <c r="I765" s="18">
        <v>0.03</v>
      </c>
      <c r="J765" s="18">
        <v>0.03</v>
      </c>
    </row>
    <row r="766" spans="2:10" ht="14.5" x14ac:dyDescent="0.35">
      <c r="E766" s="4" t="s">
        <v>470</v>
      </c>
      <c r="F766" s="10" t="s">
        <v>133</v>
      </c>
      <c r="G766" s="43" t="str">
        <f>$H$13&amp;"$ / user-trip"</f>
        <v>2024$ / user-trip</v>
      </c>
      <c r="H766" s="442">
        <f t="shared" si="42"/>
        <v>0.22</v>
      </c>
      <c r="I766" s="18">
        <v>0.22</v>
      </c>
      <c r="J766" s="18">
        <v>0.22</v>
      </c>
    </row>
    <row r="767" spans="2:10" ht="5.25" customHeight="1" x14ac:dyDescent="0.35">
      <c r="F767" s="10"/>
    </row>
    <row r="768" spans="2:10" ht="14.5" x14ac:dyDescent="0.35">
      <c r="B768" s="1" t="s">
        <v>497</v>
      </c>
      <c r="F768" s="10"/>
      <c r="H768" s="442"/>
      <c r="I768" s="21"/>
      <c r="J768" s="21"/>
    </row>
    <row r="769" spans="3:10" ht="5.25" customHeight="1" x14ac:dyDescent="0.35">
      <c r="F769" s="10"/>
    </row>
    <row r="770" spans="3:10" ht="14.5" x14ac:dyDescent="0.35">
      <c r="C770" s="2" t="s">
        <v>498</v>
      </c>
      <c r="F770" s="10"/>
      <c r="H770" s="442"/>
      <c r="I770" s="21"/>
      <c r="J770" s="21"/>
    </row>
    <row r="771" spans="3:10" ht="5.25" customHeight="1" x14ac:dyDescent="0.35">
      <c r="F771" s="10"/>
    </row>
    <row r="772" spans="3:10" ht="14.5" x14ac:dyDescent="0.35">
      <c r="E772" s="4" t="s">
        <v>499</v>
      </c>
      <c r="F772" s="10" t="s">
        <v>133</v>
      </c>
      <c r="G772" s="43" t="str">
        <f>$H$13&amp;"$ / boarding"</f>
        <v>2024$ / boarding</v>
      </c>
      <c r="H772" s="442">
        <f t="shared" ref="H772:H780" si="43">IF($H$10=$I$6, $I772, $J772)</f>
        <v>0</v>
      </c>
      <c r="I772" s="20">
        <v>0</v>
      </c>
      <c r="J772" s="20">
        <v>0</v>
      </c>
    </row>
    <row r="773" spans="3:10" ht="14.5" x14ac:dyDescent="0.35">
      <c r="E773" s="4" t="s">
        <v>500</v>
      </c>
      <c r="F773" s="10" t="s">
        <v>133</v>
      </c>
      <c r="G773" s="43" t="str">
        <f t="shared" ref="G773:G780" si="44">$H$13&amp;"$ / boarding"</f>
        <v>2024$ / boarding</v>
      </c>
      <c r="H773" s="442">
        <f t="shared" si="43"/>
        <v>0.36</v>
      </c>
      <c r="I773" s="18">
        <v>0.36</v>
      </c>
      <c r="J773" s="18">
        <v>0.44</v>
      </c>
    </row>
    <row r="774" spans="3:10" ht="14.5" x14ac:dyDescent="0.35">
      <c r="E774" s="4" t="s">
        <v>501</v>
      </c>
      <c r="F774" s="10" t="s">
        <v>133</v>
      </c>
      <c r="G774" s="43" t="str">
        <f t="shared" si="44"/>
        <v>2024$ / boarding</v>
      </c>
      <c r="H774" s="442">
        <f t="shared" si="43"/>
        <v>0.73</v>
      </c>
      <c r="I774" s="18">
        <v>0.73</v>
      </c>
      <c r="J774" s="18">
        <v>0.87</v>
      </c>
    </row>
    <row r="775" spans="3:10" ht="14.5" x14ac:dyDescent="0.35">
      <c r="E775" s="4" t="s">
        <v>502</v>
      </c>
      <c r="F775" s="10" t="s">
        <v>133</v>
      </c>
      <c r="G775" s="43" t="str">
        <f t="shared" si="44"/>
        <v>2024$ / boarding</v>
      </c>
      <c r="H775" s="442">
        <f t="shared" si="43"/>
        <v>1.82</v>
      </c>
      <c r="I775" s="18">
        <v>1.82</v>
      </c>
      <c r="J775" s="18">
        <v>1.74</v>
      </c>
    </row>
    <row r="776" spans="3:10" ht="14.5" x14ac:dyDescent="0.35">
      <c r="E776" s="4" t="s">
        <v>503</v>
      </c>
      <c r="F776" s="10" t="s">
        <v>133</v>
      </c>
      <c r="G776" s="43" t="str">
        <f t="shared" si="44"/>
        <v>2024$ / boarding</v>
      </c>
      <c r="H776" s="442">
        <f t="shared" si="43"/>
        <v>2.1800000000000002</v>
      </c>
      <c r="I776" s="18">
        <v>2.1800000000000002</v>
      </c>
      <c r="J776" s="18">
        <v>2.1800000000000002</v>
      </c>
    </row>
    <row r="777" spans="3:10" ht="14.5" x14ac:dyDescent="0.35">
      <c r="E777" s="4" t="s">
        <v>504</v>
      </c>
      <c r="F777" s="10" t="s">
        <v>133</v>
      </c>
      <c r="G777" s="43" t="str">
        <f t="shared" si="44"/>
        <v>2024$ / boarding</v>
      </c>
      <c r="H777" s="442">
        <f t="shared" si="43"/>
        <v>3.63</v>
      </c>
      <c r="I777" s="18">
        <v>3.63</v>
      </c>
      <c r="J777" s="18">
        <v>3.92</v>
      </c>
    </row>
    <row r="778" spans="3:10" ht="14.5" x14ac:dyDescent="0.35">
      <c r="E778" s="4" t="s">
        <v>505</v>
      </c>
      <c r="F778" s="10" t="s">
        <v>133</v>
      </c>
      <c r="G778" s="43" t="str">
        <f t="shared" si="44"/>
        <v>2024$ / boarding</v>
      </c>
      <c r="H778" s="442">
        <f t="shared" si="43"/>
        <v>4</v>
      </c>
      <c r="I778" s="18">
        <v>4</v>
      </c>
      <c r="J778" s="18">
        <v>4.3600000000000003</v>
      </c>
    </row>
    <row r="779" spans="3:10" ht="14.5" x14ac:dyDescent="0.35">
      <c r="E779" s="4" t="s">
        <v>506</v>
      </c>
      <c r="F779" s="10" t="s">
        <v>133</v>
      </c>
      <c r="G779" s="43" t="str">
        <f t="shared" si="44"/>
        <v>2024$ / boarding</v>
      </c>
      <c r="H779" s="442">
        <f t="shared" si="43"/>
        <v>5.81</v>
      </c>
      <c r="I779" s="18">
        <v>5.81</v>
      </c>
      <c r="J779" s="18">
        <v>4.3600000000000003</v>
      </c>
    </row>
    <row r="780" spans="3:10" ht="14.5" x14ac:dyDescent="0.35">
      <c r="E780" s="4" t="s">
        <v>507</v>
      </c>
      <c r="F780" s="10" t="s">
        <v>133</v>
      </c>
      <c r="G780" s="43" t="str">
        <f t="shared" si="44"/>
        <v>2024$ / boarding</v>
      </c>
      <c r="H780" s="442">
        <f t="shared" si="43"/>
        <v>4</v>
      </c>
      <c r="I780" s="18">
        <v>4</v>
      </c>
      <c r="J780" s="18">
        <v>4.3600000000000003</v>
      </c>
    </row>
    <row r="781" spans="3:10" ht="0" hidden="1" customHeight="1" x14ac:dyDescent="0.35">
      <c r="F781" s="10"/>
    </row>
    <row r="782" spans="3:10" ht="14.5" x14ac:dyDescent="0.35">
      <c r="C782" s="2" t="s">
        <v>508</v>
      </c>
      <c r="F782" s="10"/>
      <c r="H782" s="442"/>
      <c r="I782" s="21"/>
      <c r="J782" s="21"/>
    </row>
    <row r="783" spans="3:10" ht="5.25" customHeight="1" x14ac:dyDescent="0.35">
      <c r="F783" s="10"/>
    </row>
    <row r="784" spans="3:10" ht="14.5" x14ac:dyDescent="0.35">
      <c r="E784" s="4" t="s">
        <v>499</v>
      </c>
      <c r="F784" s="10" t="s">
        <v>133</v>
      </c>
      <c r="G784" s="43" t="str">
        <f>$H$13&amp;"$ / passenger-hour"</f>
        <v>2024$ / passenger-hour</v>
      </c>
      <c r="H784" s="442">
        <f>IF($H$10=$I$6, $I784, $J784)</f>
        <v>0</v>
      </c>
      <c r="I784" s="20">
        <v>0</v>
      </c>
      <c r="J784" s="20">
        <v>0</v>
      </c>
    </row>
    <row r="785" spans="2:10" ht="14.5" x14ac:dyDescent="0.35">
      <c r="E785" s="4" t="s">
        <v>500</v>
      </c>
      <c r="F785" s="10" t="s">
        <v>133</v>
      </c>
      <c r="G785" s="43" t="str">
        <f t="shared" ref="G785:G792" si="45">$H$13&amp;"$ / passenger-hour"</f>
        <v>2024$ / passenger-hour</v>
      </c>
      <c r="H785" s="442">
        <f t="shared" ref="H785:H792" si="46">IF($H$10=$I$6, $I785, $J785)</f>
        <v>0.44</v>
      </c>
      <c r="I785" s="18">
        <v>0.44</v>
      </c>
      <c r="J785" s="18">
        <v>0.44</v>
      </c>
    </row>
    <row r="786" spans="2:10" ht="14.5" x14ac:dyDescent="0.35">
      <c r="E786" s="4" t="s">
        <v>501</v>
      </c>
      <c r="F786" s="10" t="s">
        <v>133</v>
      </c>
      <c r="G786" s="43" t="str">
        <f t="shared" si="45"/>
        <v>2024$ / passenger-hour</v>
      </c>
      <c r="H786" s="442">
        <f t="shared" si="46"/>
        <v>0.87</v>
      </c>
      <c r="I786" s="18">
        <v>0.87</v>
      </c>
      <c r="J786" s="18">
        <v>0.87</v>
      </c>
    </row>
    <row r="787" spans="2:10" ht="14.5" x14ac:dyDescent="0.35">
      <c r="E787" s="4" t="s">
        <v>502</v>
      </c>
      <c r="F787" s="10" t="s">
        <v>133</v>
      </c>
      <c r="G787" s="43" t="str">
        <f t="shared" si="45"/>
        <v>2024$ / passenger-hour</v>
      </c>
      <c r="H787" s="442">
        <f t="shared" si="46"/>
        <v>1.74</v>
      </c>
      <c r="I787" s="18">
        <v>1.74</v>
      </c>
      <c r="J787" s="18">
        <v>1.74</v>
      </c>
    </row>
    <row r="788" spans="2:10" ht="14.5" x14ac:dyDescent="0.35">
      <c r="E788" s="4" t="s">
        <v>503</v>
      </c>
      <c r="F788" s="10" t="s">
        <v>133</v>
      </c>
      <c r="G788" s="43" t="str">
        <f t="shared" si="45"/>
        <v>2024$ / passenger-hour</v>
      </c>
      <c r="H788" s="442">
        <f t="shared" si="46"/>
        <v>2.1800000000000002</v>
      </c>
      <c r="I788" s="18">
        <v>2.1800000000000002</v>
      </c>
      <c r="J788" s="18">
        <v>2.1800000000000002</v>
      </c>
    </row>
    <row r="789" spans="2:10" ht="14.5" x14ac:dyDescent="0.35">
      <c r="E789" s="4" t="s">
        <v>504</v>
      </c>
      <c r="F789" s="10" t="s">
        <v>133</v>
      </c>
      <c r="G789" s="43" t="str">
        <f t="shared" si="45"/>
        <v>2024$ / passenger-hour</v>
      </c>
      <c r="H789" s="442">
        <f t="shared" si="46"/>
        <v>3.92</v>
      </c>
      <c r="I789" s="18">
        <v>3.92</v>
      </c>
      <c r="J789" s="18">
        <v>3.92</v>
      </c>
    </row>
    <row r="790" spans="2:10" ht="14.5" x14ac:dyDescent="0.35">
      <c r="E790" s="4" t="s">
        <v>505</v>
      </c>
      <c r="F790" s="10" t="s">
        <v>133</v>
      </c>
      <c r="G790" s="43" t="str">
        <f t="shared" si="45"/>
        <v>2024$ / passenger-hour</v>
      </c>
      <c r="H790" s="442">
        <f t="shared" si="46"/>
        <v>4.3600000000000003</v>
      </c>
      <c r="I790" s="18">
        <v>4.3600000000000003</v>
      </c>
      <c r="J790" s="18">
        <v>4.3600000000000003</v>
      </c>
    </row>
    <row r="791" spans="2:10" ht="14.5" x14ac:dyDescent="0.35">
      <c r="E791" s="4" t="s">
        <v>506</v>
      </c>
      <c r="F791" s="10" t="s">
        <v>133</v>
      </c>
      <c r="G791" s="43" t="str">
        <f t="shared" si="45"/>
        <v>2024$ / passenger-hour</v>
      </c>
      <c r="H791" s="442">
        <f t="shared" si="46"/>
        <v>4.3600000000000003</v>
      </c>
      <c r="I791" s="18">
        <v>4.3600000000000003</v>
      </c>
      <c r="J791" s="18">
        <v>4.3600000000000003</v>
      </c>
    </row>
    <row r="792" spans="2:10" ht="14.5" x14ac:dyDescent="0.35">
      <c r="E792" s="4" t="s">
        <v>507</v>
      </c>
      <c r="F792" s="10" t="s">
        <v>133</v>
      </c>
      <c r="G792" s="43" t="str">
        <f t="shared" si="45"/>
        <v>2024$ / passenger-hour</v>
      </c>
      <c r="H792" s="442">
        <f t="shared" si="46"/>
        <v>4.3600000000000003</v>
      </c>
      <c r="I792" s="18">
        <v>4.3600000000000003</v>
      </c>
      <c r="J792" s="18">
        <v>4.3600000000000003</v>
      </c>
    </row>
    <row r="793" spans="2:10" ht="5.25" customHeight="1" x14ac:dyDescent="0.35">
      <c r="B793" s="205"/>
      <c r="C793" s="206"/>
      <c r="D793" s="126"/>
      <c r="E793" s="126"/>
      <c r="F793" s="126"/>
      <c r="G793" s="216"/>
      <c r="H793" s="432"/>
      <c r="I793" s="126"/>
      <c r="J793" s="126"/>
    </row>
    <row r="794" spans="2:10" s="178" customFormat="1" ht="14.5" x14ac:dyDescent="0.35">
      <c r="B794" s="1" t="s">
        <v>509</v>
      </c>
      <c r="C794" s="255"/>
      <c r="D794" s="253"/>
      <c r="E794" s="253"/>
      <c r="F794" s="253"/>
      <c r="G794" s="256"/>
      <c r="H794" s="473"/>
      <c r="I794" s="253"/>
      <c r="J794" s="253"/>
    </row>
    <row r="795" spans="2:10" ht="5.25" customHeight="1" x14ac:dyDescent="0.35">
      <c r="B795" s="205"/>
      <c r="C795" s="206"/>
      <c r="D795" s="126"/>
      <c r="E795" s="126"/>
      <c r="F795" s="126"/>
      <c r="G795" s="216"/>
      <c r="H795" s="432"/>
      <c r="I795" s="126"/>
      <c r="J795" s="126"/>
    </row>
    <row r="796" spans="2:10" s="178" customFormat="1" ht="14.5" x14ac:dyDescent="0.35">
      <c r="B796" s="254"/>
      <c r="C796" s="255"/>
      <c r="D796" s="253"/>
      <c r="E796" s="253" t="s">
        <v>510</v>
      </c>
      <c r="F796" s="4" t="s">
        <v>365</v>
      </c>
      <c r="G796" s="43" t="s">
        <v>200</v>
      </c>
      <c r="H796" s="475">
        <f>IF($H$10=$I$6, $I796, $J796)</f>
        <v>0.374</v>
      </c>
      <c r="I796" s="257">
        <v>0.374</v>
      </c>
      <c r="J796" s="257">
        <v>0.374</v>
      </c>
    </row>
    <row r="797" spans="2:10" s="178" customFormat="1" ht="14.5" x14ac:dyDescent="0.35">
      <c r="B797" s="254"/>
      <c r="C797" s="255"/>
      <c r="D797" s="253"/>
      <c r="E797" s="253" t="s">
        <v>511</v>
      </c>
      <c r="F797" s="4" t="s">
        <v>365</v>
      </c>
      <c r="G797" s="43" t="s">
        <v>200</v>
      </c>
      <c r="H797" s="475">
        <f>IF($H$10=$I$6, $I797, $J797)</f>
        <v>0.626</v>
      </c>
      <c r="I797" s="258">
        <f>1-I796</f>
        <v>0.626</v>
      </c>
      <c r="J797" s="258">
        <f>1-J796</f>
        <v>0.626</v>
      </c>
    </row>
    <row r="798" spans="2:10" ht="5.25" customHeight="1" x14ac:dyDescent="0.35">
      <c r="I798" s="30"/>
      <c r="J798" s="30"/>
    </row>
    <row r="799" spans="2:10" s="178" customFormat="1" ht="14.5" x14ac:dyDescent="0.35">
      <c r="B799" s="1" t="s">
        <v>512</v>
      </c>
      <c r="C799" s="255"/>
      <c r="D799" s="253"/>
      <c r="E799" s="253"/>
      <c r="F799" s="253"/>
      <c r="G799" s="256"/>
      <c r="H799" s="473"/>
      <c r="I799" s="253"/>
      <c r="J799" s="253"/>
    </row>
    <row r="800" spans="2:10" ht="5.25" customHeight="1" x14ac:dyDescent="0.35">
      <c r="B800" s="205"/>
      <c r="C800" s="206"/>
      <c r="D800" s="126"/>
      <c r="E800" s="126"/>
      <c r="F800" s="126"/>
      <c r="G800" s="216"/>
      <c r="H800" s="432"/>
      <c r="I800" s="126"/>
      <c r="J800" s="126"/>
    </row>
    <row r="801" spans="2:10" s="178" customFormat="1" ht="14.5" x14ac:dyDescent="0.35">
      <c r="B801" s="254"/>
      <c r="C801" s="255"/>
      <c r="D801" s="253"/>
      <c r="E801" s="253" t="s">
        <v>513</v>
      </c>
      <c r="F801" s="4" t="s">
        <v>365</v>
      </c>
      <c r="G801" s="43" t="s">
        <v>200</v>
      </c>
      <c r="H801" s="475">
        <f>IF($H$10=$I$6, $I801, $J801)</f>
        <v>0.16035675282125958</v>
      </c>
      <c r="I801" s="257">
        <v>0.16035675282125958</v>
      </c>
      <c r="J801" s="257">
        <v>0.16035675282125958</v>
      </c>
    </row>
    <row r="802" spans="2:10" s="178" customFormat="1" ht="14.5" x14ac:dyDescent="0.35">
      <c r="B802" s="254"/>
      <c r="C802" s="255"/>
      <c r="D802" s="253"/>
      <c r="E802" s="253" t="s">
        <v>514</v>
      </c>
      <c r="F802" s="4" t="s">
        <v>365</v>
      </c>
      <c r="G802" s="43" t="s">
        <v>200</v>
      </c>
      <c r="H802" s="475">
        <f>IF($H$10=$I$6, $I802, $J802)</f>
        <v>0.17091372406261376</v>
      </c>
      <c r="I802" s="257">
        <v>0.17091372406261376</v>
      </c>
      <c r="J802" s="257">
        <v>0.17091372406261376</v>
      </c>
    </row>
    <row r="803" spans="2:10" s="178" customFormat="1" ht="14.5" x14ac:dyDescent="0.35">
      <c r="B803" s="254"/>
      <c r="C803" s="255"/>
      <c r="D803" s="253"/>
      <c r="E803" s="253" t="s">
        <v>515</v>
      </c>
      <c r="F803" s="4" t="s">
        <v>365</v>
      </c>
      <c r="G803" s="43" t="s">
        <v>200</v>
      </c>
      <c r="H803" s="475">
        <f>IF($H$10=$I$6, $I803, $J803)</f>
        <v>0.47215143793228981</v>
      </c>
      <c r="I803" s="257">
        <v>0.47215143793228981</v>
      </c>
      <c r="J803" s="257">
        <v>0.47215143793228981</v>
      </c>
    </row>
    <row r="804" spans="2:10" s="178" customFormat="1" ht="14.5" x14ac:dyDescent="0.35">
      <c r="B804" s="254"/>
      <c r="C804" s="255"/>
      <c r="D804" s="253"/>
      <c r="E804" s="253" t="s">
        <v>516</v>
      </c>
      <c r="F804" s="4" t="s">
        <v>365</v>
      </c>
      <c r="G804" s="43" t="s">
        <v>200</v>
      </c>
      <c r="H804" s="475">
        <f>IF($H$10=$I$6, $I804, $J804)</f>
        <v>0.19657808518383693</v>
      </c>
      <c r="I804" s="257">
        <v>0.19657808518383693</v>
      </c>
      <c r="J804" s="257">
        <v>0.19657808518383693</v>
      </c>
    </row>
    <row r="805" spans="2:10" ht="5.25" customHeight="1" x14ac:dyDescent="0.35">
      <c r="I805" s="30"/>
      <c r="J805" s="30"/>
    </row>
    <row r="806" spans="2:10" s="178" customFormat="1" ht="14.5" x14ac:dyDescent="0.35">
      <c r="B806" s="1" t="s">
        <v>517</v>
      </c>
      <c r="C806" s="255"/>
      <c r="D806" s="253"/>
      <c r="E806" s="253"/>
      <c r="F806" s="253"/>
      <c r="G806" s="256"/>
      <c r="H806" s="473"/>
      <c r="I806" s="253"/>
      <c r="J806" s="253"/>
    </row>
    <row r="807" spans="2:10" s="178" customFormat="1" ht="5.25" customHeight="1" x14ac:dyDescent="0.35">
      <c r="B807" s="224"/>
      <c r="C807" s="225"/>
      <c r="D807" s="208"/>
      <c r="E807" s="208"/>
      <c r="F807" s="208"/>
      <c r="G807" s="259"/>
      <c r="H807" s="471"/>
      <c r="I807" s="208"/>
      <c r="J807" s="208"/>
    </row>
    <row r="808" spans="2:10" s="178" customFormat="1" ht="14.5" x14ac:dyDescent="0.35">
      <c r="B808" s="254"/>
      <c r="C808" s="254" t="s">
        <v>518</v>
      </c>
      <c r="E808" s="253"/>
      <c r="F808" s="253"/>
      <c r="G808" s="256"/>
      <c r="H808" s="471"/>
      <c r="I808" s="208"/>
      <c r="J808" s="208"/>
    </row>
    <row r="809" spans="2:10" s="178" customFormat="1" ht="5.25" customHeight="1" x14ac:dyDescent="0.35">
      <c r="B809" s="254"/>
      <c r="C809" s="255"/>
      <c r="D809" s="253"/>
      <c r="E809" s="253"/>
      <c r="F809" s="253"/>
      <c r="G809" s="256"/>
      <c r="H809" s="471"/>
      <c r="I809" s="208"/>
      <c r="J809" s="208"/>
    </row>
    <row r="810" spans="2:10" s="178" customFormat="1" ht="14.5" x14ac:dyDescent="0.35">
      <c r="B810" s="254"/>
      <c r="C810" s="255"/>
      <c r="D810" s="253"/>
      <c r="E810" s="253" t="s">
        <v>407</v>
      </c>
      <c r="F810" s="253" t="s">
        <v>408</v>
      </c>
      <c r="G810" s="256" t="s">
        <v>200</v>
      </c>
      <c r="H810" s="475">
        <f>IF($H$10=$I$6, $I810, $J810)</f>
        <v>3.3218865069838369E-3</v>
      </c>
      <c r="I810" s="257">
        <v>3.3218865069838369E-3</v>
      </c>
      <c r="J810" s="257">
        <v>3.3218865069838369E-3</v>
      </c>
    </row>
    <row r="811" spans="2:10" s="178" customFormat="1" ht="14.5" x14ac:dyDescent="0.35">
      <c r="B811" s="254"/>
      <c r="C811" s="255"/>
      <c r="D811" s="253"/>
      <c r="E811" s="253" t="s">
        <v>409</v>
      </c>
      <c r="F811" s="253" t="s">
        <v>408</v>
      </c>
      <c r="G811" s="256" t="s">
        <v>200</v>
      </c>
      <c r="H811" s="475">
        <f t="shared" ref="H811:H861" si="47">IF($H$10=$I$6, $I811, $J811)</f>
        <v>1.2086389080984783E-2</v>
      </c>
      <c r="I811" s="257">
        <v>1.2086389080984783E-2</v>
      </c>
      <c r="J811" s="257">
        <v>1.2086389080984783E-2</v>
      </c>
    </row>
    <row r="812" spans="2:10" s="178" customFormat="1" ht="14.5" x14ac:dyDescent="0.35">
      <c r="B812" s="254"/>
      <c r="C812" s="255"/>
      <c r="D812" s="253"/>
      <c r="E812" s="253" t="s">
        <v>410</v>
      </c>
      <c r="F812" s="253" t="s">
        <v>408</v>
      </c>
      <c r="G812" s="256" t="s">
        <v>200</v>
      </c>
      <c r="H812" s="475">
        <f t="shared" si="47"/>
        <v>1.5962009919534288E-2</v>
      </c>
      <c r="I812" s="257">
        <v>1.5962009919534288E-2</v>
      </c>
      <c r="J812" s="257">
        <v>1.5962009919534288E-2</v>
      </c>
    </row>
    <row r="813" spans="2:10" s="178" customFormat="1" ht="14.5" x14ac:dyDescent="0.35">
      <c r="E813" s="253" t="s">
        <v>411</v>
      </c>
      <c r="F813" s="253" t="s">
        <v>408</v>
      </c>
      <c r="G813" s="256" t="s">
        <v>200</v>
      </c>
      <c r="H813" s="475">
        <f t="shared" si="47"/>
        <v>3.0510270761273739E-3</v>
      </c>
      <c r="I813" s="257">
        <v>3.0510270761273739E-3</v>
      </c>
      <c r="J813" s="257">
        <v>3.0510270761273739E-3</v>
      </c>
    </row>
    <row r="814" spans="2:10" s="178" customFormat="1" ht="14.5" x14ac:dyDescent="0.35">
      <c r="E814" s="253" t="s">
        <v>412</v>
      </c>
      <c r="F814" s="253" t="s">
        <v>408</v>
      </c>
      <c r="G814" s="256" t="s">
        <v>200</v>
      </c>
      <c r="H814" s="475">
        <f t="shared" si="47"/>
        <v>4.624468171193119E-2</v>
      </c>
      <c r="I814" s="257">
        <v>4.624468171193119E-2</v>
      </c>
      <c r="J814" s="257">
        <v>4.624468171193119E-2</v>
      </c>
    </row>
    <row r="815" spans="2:10" s="178" customFormat="1" ht="14.5" x14ac:dyDescent="0.35">
      <c r="E815" s="253" t="s">
        <v>413</v>
      </c>
      <c r="F815" s="253" t="s">
        <v>408</v>
      </c>
      <c r="G815" s="256" t="s">
        <v>200</v>
      </c>
      <c r="H815" s="475">
        <f t="shared" si="47"/>
        <v>2.814233467024806E-2</v>
      </c>
      <c r="I815" s="257">
        <v>2.814233467024806E-2</v>
      </c>
      <c r="J815" s="257">
        <v>2.814233467024806E-2</v>
      </c>
    </row>
    <row r="816" spans="2:10" s="178" customFormat="1" ht="14.5" x14ac:dyDescent="0.35">
      <c r="E816" s="253" t="s">
        <v>414</v>
      </c>
      <c r="F816" s="253" t="s">
        <v>408</v>
      </c>
      <c r="G816" s="256" t="s">
        <v>200</v>
      </c>
      <c r="H816" s="475">
        <f t="shared" si="47"/>
        <v>4.3561153709839838E-2</v>
      </c>
      <c r="I816" s="257">
        <v>4.3561153709839838E-2</v>
      </c>
      <c r="J816" s="257">
        <v>4.3561153709839838E-2</v>
      </c>
    </row>
    <row r="817" spans="5:10" s="178" customFormat="1" ht="14.5" x14ac:dyDescent="0.35">
      <c r="E817" s="253" t="s">
        <v>415</v>
      </c>
      <c r="F817" s="253" t="s">
        <v>408</v>
      </c>
      <c r="G817" s="256" t="s">
        <v>200</v>
      </c>
      <c r="H817" s="475">
        <f t="shared" si="47"/>
        <v>2.2007979164776613E-2</v>
      </c>
      <c r="I817" s="257">
        <v>2.2007979164776613E-2</v>
      </c>
      <c r="J817" s="257">
        <v>2.2007979164776613E-2</v>
      </c>
    </row>
    <row r="818" spans="5:10" s="178" customFormat="1" ht="14.5" x14ac:dyDescent="0.35">
      <c r="E818" s="253" t="s">
        <v>416</v>
      </c>
      <c r="F818" s="253" t="s">
        <v>408</v>
      </c>
      <c r="G818" s="256" t="s">
        <v>200</v>
      </c>
      <c r="H818" s="475">
        <f t="shared" si="47"/>
        <v>0.31541058851460074</v>
      </c>
      <c r="I818" s="257">
        <v>0.31541058851460074</v>
      </c>
      <c r="J818" s="257">
        <v>0.31541058851460074</v>
      </c>
    </row>
    <row r="819" spans="5:10" s="178" customFormat="1" ht="14.5" x14ac:dyDescent="0.35">
      <c r="E819" s="253" t="s">
        <v>417</v>
      </c>
      <c r="F819" s="253" t="s">
        <v>408</v>
      </c>
      <c r="G819" s="256" t="s">
        <v>200</v>
      </c>
      <c r="H819" s="475">
        <f t="shared" si="47"/>
        <v>1.6169873845066917E-2</v>
      </c>
      <c r="I819" s="257">
        <v>1.6169873845066917E-2</v>
      </c>
      <c r="J819" s="257">
        <v>1.6169873845066917E-2</v>
      </c>
    </row>
    <row r="820" spans="5:10" s="178" customFormat="1" ht="14.5" x14ac:dyDescent="0.35">
      <c r="E820" s="253" t="s">
        <v>418</v>
      </c>
      <c r="F820" s="253" t="s">
        <v>408</v>
      </c>
      <c r="G820" s="256" t="s">
        <v>200</v>
      </c>
      <c r="H820" s="475">
        <f t="shared" si="47"/>
        <v>1.9369756948058172E-2</v>
      </c>
      <c r="I820" s="257">
        <v>1.9369756948058172E-2</v>
      </c>
      <c r="J820" s="257">
        <v>1.9369756948058172E-2</v>
      </c>
    </row>
    <row r="821" spans="5:10" s="178" customFormat="1" ht="14.5" x14ac:dyDescent="0.35">
      <c r="E821" s="253" t="s">
        <v>419</v>
      </c>
      <c r="F821" s="253" t="s">
        <v>408</v>
      </c>
      <c r="G821" s="256" t="s">
        <v>200</v>
      </c>
      <c r="H821" s="475">
        <f t="shared" si="47"/>
        <v>5.4661246884078411E-2</v>
      </c>
      <c r="I821" s="257">
        <v>5.4661246884078411E-2</v>
      </c>
      <c r="J821" s="257">
        <v>5.4661246884078411E-2</v>
      </c>
    </row>
    <row r="822" spans="5:10" s="178" customFormat="1" ht="14.5" x14ac:dyDescent="0.35">
      <c r="E822" s="253" t="s">
        <v>420</v>
      </c>
      <c r="F822" s="253" t="s">
        <v>408</v>
      </c>
      <c r="G822" s="256" t="s">
        <v>200</v>
      </c>
      <c r="H822" s="475">
        <f t="shared" si="47"/>
        <v>6.3707762013968132E-3</v>
      </c>
      <c r="I822" s="257">
        <v>6.3707762013968132E-3</v>
      </c>
      <c r="J822" s="257">
        <v>6.3707762013968132E-3</v>
      </c>
    </row>
    <row r="823" spans="5:10" s="178" customFormat="1" ht="14.5" x14ac:dyDescent="0.35">
      <c r="E823" s="253" t="s">
        <v>421</v>
      </c>
      <c r="F823" s="253" t="s">
        <v>408</v>
      </c>
      <c r="G823" s="256" t="s">
        <v>200</v>
      </c>
      <c r="H823" s="475">
        <f t="shared" si="47"/>
        <v>8.8074644944116473E-2</v>
      </c>
      <c r="I823" s="257">
        <v>8.8074644944116473E-2</v>
      </c>
      <c r="J823" s="257">
        <v>8.8074644944116473E-2</v>
      </c>
    </row>
    <row r="824" spans="5:10" s="178" customFormat="1" ht="14.5" x14ac:dyDescent="0.35">
      <c r="E824" s="253" t="s">
        <v>422</v>
      </c>
      <c r="F824" s="253" t="s">
        <v>408</v>
      </c>
      <c r="G824" s="256" t="s">
        <v>200</v>
      </c>
      <c r="H824" s="475">
        <f t="shared" si="47"/>
        <v>8.8036301044386346E-3</v>
      </c>
      <c r="I824" s="257">
        <v>8.8036301044386346E-3</v>
      </c>
      <c r="J824" s="257">
        <v>8.8036301044386346E-3</v>
      </c>
    </row>
    <row r="825" spans="5:10" s="178" customFormat="1" ht="14.5" x14ac:dyDescent="0.35">
      <c r="E825" s="253" t="s">
        <v>423</v>
      </c>
      <c r="F825" s="253" t="s">
        <v>408</v>
      </c>
      <c r="G825" s="256" t="s">
        <v>200</v>
      </c>
      <c r="H825" s="475">
        <f t="shared" si="47"/>
        <v>9.0158411827813718E-3</v>
      </c>
      <c r="I825" s="257">
        <v>9.0158411827813718E-3</v>
      </c>
      <c r="J825" s="257">
        <v>9.0158411827813718E-3</v>
      </c>
    </row>
    <row r="826" spans="5:10" s="178" customFormat="1" ht="14.5" x14ac:dyDescent="0.35">
      <c r="E826" s="253" t="s">
        <v>424</v>
      </c>
      <c r="F826" s="253" t="s">
        <v>408</v>
      </c>
      <c r="G826" s="256" t="s">
        <v>200</v>
      </c>
      <c r="H826" s="475">
        <f t="shared" si="47"/>
        <v>4.3116800307400373E-3</v>
      </c>
      <c r="I826" s="257">
        <v>4.3116800307400373E-3</v>
      </c>
      <c r="J826" s="257">
        <v>4.3116800307400373E-3</v>
      </c>
    </row>
    <row r="827" spans="5:10" s="178" customFormat="1" ht="14.5" x14ac:dyDescent="0.35">
      <c r="E827" s="253" t="s">
        <v>425</v>
      </c>
      <c r="F827" s="253" t="s">
        <v>408</v>
      </c>
      <c r="G827" s="256" t="s">
        <v>200</v>
      </c>
      <c r="H827" s="475">
        <f t="shared" si="47"/>
        <v>9.3203653958250955E-3</v>
      </c>
      <c r="I827" s="257">
        <v>9.3203653958250955E-3</v>
      </c>
      <c r="J827" s="257">
        <v>9.3203653958250955E-3</v>
      </c>
    </row>
    <row r="828" spans="5:10" s="178" customFormat="1" ht="14.5" x14ac:dyDescent="0.35">
      <c r="E828" s="253" t="s">
        <v>426</v>
      </c>
      <c r="F828" s="253" t="s">
        <v>408</v>
      </c>
      <c r="G828" s="256" t="s">
        <v>200</v>
      </c>
      <c r="H828" s="475">
        <f t="shared" si="47"/>
        <v>1.0917797987786125E-2</v>
      </c>
      <c r="I828" s="257">
        <v>1.0917797987786125E-2</v>
      </c>
      <c r="J828" s="257">
        <v>1.0917797987786125E-2</v>
      </c>
    </row>
    <row r="829" spans="5:10" s="178" customFormat="1" ht="14.5" x14ac:dyDescent="0.35">
      <c r="E829" s="253" t="s">
        <v>427</v>
      </c>
      <c r="F829" s="253" t="s">
        <v>408</v>
      </c>
      <c r="G829" s="256" t="s">
        <v>200</v>
      </c>
      <c r="H829" s="475">
        <f t="shared" si="47"/>
        <v>5.4199928457905628E-3</v>
      </c>
      <c r="I829" s="257">
        <v>5.4199928457905628E-3</v>
      </c>
      <c r="J829" s="257">
        <v>5.4199928457905628E-3</v>
      </c>
    </row>
    <row r="830" spans="5:10" s="178" customFormat="1" ht="14.5" x14ac:dyDescent="0.35">
      <c r="E830" s="253" t="s">
        <v>428</v>
      </c>
      <c r="F830" s="253" t="s">
        <v>408</v>
      </c>
      <c r="G830" s="256" t="s">
        <v>200</v>
      </c>
      <c r="H830" s="475">
        <f t="shared" si="47"/>
        <v>7.4380593821297011E-2</v>
      </c>
      <c r="I830" s="257">
        <v>7.4380593821297011E-2</v>
      </c>
      <c r="J830" s="257">
        <v>7.4380593821297011E-2</v>
      </c>
    </row>
    <row r="831" spans="5:10" s="178" customFormat="1" ht="14.5" x14ac:dyDescent="0.35">
      <c r="E831" s="253" t="s">
        <v>429</v>
      </c>
      <c r="F831" s="253" t="s">
        <v>408</v>
      </c>
      <c r="G831" s="256" t="s">
        <v>200</v>
      </c>
      <c r="H831" s="475">
        <f t="shared" si="47"/>
        <v>9.5287443169602734E-2</v>
      </c>
      <c r="I831" s="257">
        <v>9.5287443169602734E-2</v>
      </c>
      <c r="J831" s="257">
        <v>9.5287443169602734E-2</v>
      </c>
    </row>
    <row r="832" spans="5:10" s="178" customFormat="1" ht="14.5" x14ac:dyDescent="0.35">
      <c r="E832" s="253" t="s">
        <v>430</v>
      </c>
      <c r="F832" s="253" t="s">
        <v>408</v>
      </c>
      <c r="G832" s="256" t="s">
        <v>200</v>
      </c>
      <c r="H832" s="475">
        <f t="shared" si="47"/>
        <v>1.2857728286015552E-2</v>
      </c>
      <c r="I832" s="257">
        <v>1.2857728286015552E-2</v>
      </c>
      <c r="J832" s="257">
        <v>1.2857728286015552E-2</v>
      </c>
    </row>
    <row r="833" spans="5:10" s="178" customFormat="1" ht="14.5" x14ac:dyDescent="0.35">
      <c r="E833" s="253" t="s">
        <v>431</v>
      </c>
      <c r="F833" s="253" t="s">
        <v>408</v>
      </c>
      <c r="G833" s="256" t="s">
        <v>200</v>
      </c>
      <c r="H833" s="475">
        <f t="shared" si="47"/>
        <v>3.2273020688875984E-2</v>
      </c>
      <c r="I833" s="257">
        <v>3.2273020688875984E-2</v>
      </c>
      <c r="J833" s="257">
        <v>3.2273020688875984E-2</v>
      </c>
    </row>
    <row r="834" spans="5:10" s="178" customFormat="1" ht="14.5" x14ac:dyDescent="0.35">
      <c r="E834" s="253" t="s">
        <v>432</v>
      </c>
      <c r="F834" s="253" t="s">
        <v>408</v>
      </c>
      <c r="G834" s="256" t="s">
        <v>200</v>
      </c>
      <c r="H834" s="475">
        <f t="shared" si="47"/>
        <v>2.7092851711520839E-3</v>
      </c>
      <c r="I834" s="257">
        <v>2.7092851711520839E-3</v>
      </c>
      <c r="J834" s="257">
        <v>2.7092851711520839E-3</v>
      </c>
    </row>
    <row r="835" spans="5:10" s="178" customFormat="1" ht="14.5" x14ac:dyDescent="0.35">
      <c r="E835" s="253" t="s">
        <v>433</v>
      </c>
      <c r="F835" s="253" t="s">
        <v>408</v>
      </c>
      <c r="G835" s="256" t="s">
        <v>200</v>
      </c>
      <c r="H835" s="475">
        <f t="shared" si="47"/>
        <v>1.1577195278978103E-2</v>
      </c>
      <c r="I835" s="257">
        <v>1.1577195278978103E-2</v>
      </c>
      <c r="J835" s="257">
        <v>1.1577195278978103E-2</v>
      </c>
    </row>
    <row r="836" spans="5:10" s="178" customFormat="1" ht="14.5" x14ac:dyDescent="0.35">
      <c r="E836" s="253" t="s">
        <v>434</v>
      </c>
      <c r="F836" s="253" t="s">
        <v>408</v>
      </c>
      <c r="G836" s="256" t="s">
        <v>200</v>
      </c>
      <c r="H836" s="475">
        <f t="shared" si="47"/>
        <v>7.2803308069863066E-3</v>
      </c>
      <c r="I836" s="257">
        <v>7.2803308069863066E-3</v>
      </c>
      <c r="J836" s="257">
        <v>7.2803308069863066E-3</v>
      </c>
    </row>
    <row r="837" spans="5:10" s="178" customFormat="1" ht="14.5" x14ac:dyDescent="0.35">
      <c r="E837" s="253" t="s">
        <v>435</v>
      </c>
      <c r="F837" s="253" t="s">
        <v>408</v>
      </c>
      <c r="G837" s="256" t="s">
        <v>200</v>
      </c>
      <c r="H837" s="475">
        <f t="shared" si="47"/>
        <v>6.3349589280795836E-3</v>
      </c>
      <c r="I837" s="257">
        <v>6.3349589280795836E-3</v>
      </c>
      <c r="J837" s="257">
        <v>6.3349589280795836E-3</v>
      </c>
    </row>
    <row r="838" spans="5:10" s="178" customFormat="1" ht="14.5" x14ac:dyDescent="0.35">
      <c r="E838" s="253" t="s">
        <v>436</v>
      </c>
      <c r="F838" s="253" t="s">
        <v>408</v>
      </c>
      <c r="G838" s="256" t="s">
        <v>200</v>
      </c>
      <c r="H838" s="475">
        <f t="shared" si="47"/>
        <v>2.9367036624309405E-2</v>
      </c>
      <c r="I838" s="257">
        <v>2.9367036624309405E-2</v>
      </c>
      <c r="J838" s="257">
        <v>2.9367036624309405E-2</v>
      </c>
    </row>
    <row r="839" spans="5:10" s="178" customFormat="1" ht="14.5" x14ac:dyDescent="0.35">
      <c r="E839" s="253" t="s">
        <v>437</v>
      </c>
      <c r="F839" s="253" t="s">
        <v>408</v>
      </c>
      <c r="G839" s="256" t="s">
        <v>200</v>
      </c>
      <c r="H839" s="475">
        <f t="shared" si="47"/>
        <v>7.8902795557071071E-3</v>
      </c>
      <c r="I839" s="257">
        <v>7.8902795557071071E-3</v>
      </c>
      <c r="J839" s="257">
        <v>7.8902795557071071E-3</v>
      </c>
    </row>
    <row r="840" spans="5:10" s="178" customFormat="1" ht="14.5" x14ac:dyDescent="0.35">
      <c r="E840" s="253" t="s">
        <v>438</v>
      </c>
      <c r="F840" s="253" t="s">
        <v>408</v>
      </c>
      <c r="G840" s="256" t="s">
        <v>200</v>
      </c>
      <c r="H840" s="475">
        <f t="shared" si="47"/>
        <v>0.10758156541240127</v>
      </c>
      <c r="I840" s="257">
        <v>0.10758156541240127</v>
      </c>
      <c r="J840" s="257">
        <v>0.10758156541240127</v>
      </c>
    </row>
    <row r="841" spans="5:10" s="178" customFormat="1" ht="14.5" x14ac:dyDescent="0.35">
      <c r="E841" s="253" t="s">
        <v>439</v>
      </c>
      <c r="F841" s="253" t="s">
        <v>408</v>
      </c>
      <c r="G841" s="256" t="s">
        <v>200</v>
      </c>
      <c r="H841" s="475">
        <f t="shared" si="47"/>
        <v>9.9250879277486097E-3</v>
      </c>
      <c r="I841" s="257">
        <v>9.9250879277486097E-3</v>
      </c>
      <c r="J841" s="257">
        <v>9.9250879277486097E-3</v>
      </c>
    </row>
    <row r="842" spans="5:10" s="178" customFormat="1" ht="14.5" x14ac:dyDescent="0.35">
      <c r="E842" s="253" t="s">
        <v>440</v>
      </c>
      <c r="F842" s="253" t="s">
        <v>408</v>
      </c>
      <c r="G842" s="256" t="s">
        <v>200</v>
      </c>
      <c r="H842" s="475">
        <f t="shared" si="47"/>
        <v>0.26231993079528476</v>
      </c>
      <c r="I842" s="257">
        <v>0.26231993079528476</v>
      </c>
      <c r="J842" s="257">
        <v>0.26231993079528476</v>
      </c>
    </row>
    <row r="843" spans="5:10" s="178" customFormat="1" ht="14.5" x14ac:dyDescent="0.35">
      <c r="E843" s="253" t="s">
        <v>441</v>
      </c>
      <c r="F843" s="253" t="s">
        <v>408</v>
      </c>
      <c r="G843" s="256" t="s">
        <v>200</v>
      </c>
      <c r="H843" s="475">
        <f t="shared" si="47"/>
        <v>9.6545438244607321E-3</v>
      </c>
      <c r="I843" s="257">
        <v>9.6545438244607321E-3</v>
      </c>
      <c r="J843" s="257">
        <v>9.6545438244607321E-3</v>
      </c>
    </row>
    <row r="844" spans="5:10" s="178" customFormat="1" ht="14.5" x14ac:dyDescent="0.35">
      <c r="E844" s="253" t="s">
        <v>442</v>
      </c>
      <c r="F844" s="253" t="s">
        <v>408</v>
      </c>
      <c r="G844" s="256" t="s">
        <v>200</v>
      </c>
      <c r="H844" s="475">
        <f t="shared" si="47"/>
        <v>5.2971382989330943E-3</v>
      </c>
      <c r="I844" s="257">
        <v>5.2971382989330943E-3</v>
      </c>
      <c r="J844" s="257">
        <v>5.2971382989330943E-3</v>
      </c>
    </row>
    <row r="845" spans="5:10" s="178" customFormat="1" ht="14.5" x14ac:dyDescent="0.35">
      <c r="E845" s="253" t="s">
        <v>443</v>
      </c>
      <c r="F845" s="253" t="s">
        <v>408</v>
      </c>
      <c r="G845" s="256" t="s">
        <v>200</v>
      </c>
      <c r="H845" s="475">
        <f t="shared" si="47"/>
        <v>1.4407448187329756E-2</v>
      </c>
      <c r="I845" s="257">
        <v>1.4407448187329756E-2</v>
      </c>
      <c r="J845" s="257">
        <v>1.4407448187329756E-2</v>
      </c>
    </row>
    <row r="846" spans="5:10" s="178" customFormat="1" ht="14.5" x14ac:dyDescent="0.35">
      <c r="E846" s="253" t="s">
        <v>444</v>
      </c>
      <c r="F846" s="253" t="s">
        <v>408</v>
      </c>
      <c r="G846" s="256" t="s">
        <v>200</v>
      </c>
      <c r="H846" s="475">
        <f t="shared" si="47"/>
        <v>3.7118755672415093E-3</v>
      </c>
      <c r="I846" s="257">
        <v>3.7118755672415093E-3</v>
      </c>
      <c r="J846" s="257">
        <v>3.7118755672415093E-3</v>
      </c>
    </row>
    <row r="847" spans="5:10" s="178" customFormat="1" ht="14.5" x14ac:dyDescent="0.35">
      <c r="E847" s="253" t="s">
        <v>445</v>
      </c>
      <c r="F847" s="253" t="s">
        <v>408</v>
      </c>
      <c r="G847" s="256" t="s">
        <v>200</v>
      </c>
      <c r="H847" s="475">
        <f t="shared" si="47"/>
        <v>4.0086405809773636E-2</v>
      </c>
      <c r="I847" s="257">
        <v>4.0086405809773636E-2</v>
      </c>
      <c r="J847" s="257">
        <v>4.0086405809773636E-2</v>
      </c>
    </row>
    <row r="848" spans="5:10" s="178" customFormat="1" ht="14.5" x14ac:dyDescent="0.35">
      <c r="E848" s="253" t="s">
        <v>446</v>
      </c>
      <c r="F848" s="253" t="s">
        <v>408</v>
      </c>
      <c r="G848" s="256" t="s">
        <v>200</v>
      </c>
      <c r="H848" s="475">
        <f t="shared" si="47"/>
        <v>5.1853454812955523E-2</v>
      </c>
      <c r="I848" s="257">
        <v>5.1853454812955523E-2</v>
      </c>
      <c r="J848" s="257">
        <v>5.1853454812955523E-2</v>
      </c>
    </row>
    <row r="849" spans="1:11" s="178" customFormat="1" ht="14.5" x14ac:dyDescent="0.35">
      <c r="E849" s="253" t="s">
        <v>447</v>
      </c>
      <c r="F849" s="253" t="s">
        <v>408</v>
      </c>
      <c r="G849" s="256" t="s">
        <v>200</v>
      </c>
      <c r="H849" s="475">
        <f t="shared" si="47"/>
        <v>1.5075552746936295E-2</v>
      </c>
      <c r="I849" s="257">
        <v>1.5075552746936295E-2</v>
      </c>
      <c r="J849" s="257">
        <v>1.5075552746936295E-2</v>
      </c>
    </row>
    <row r="850" spans="1:11" s="178" customFormat="1" ht="14.5" x14ac:dyDescent="0.35">
      <c r="E850" s="253" t="s">
        <v>448</v>
      </c>
      <c r="F850" s="253" t="s">
        <v>408</v>
      </c>
      <c r="G850" s="256" t="s">
        <v>200</v>
      </c>
      <c r="H850" s="475">
        <f t="shared" si="47"/>
        <v>2.2409556730688521E-2</v>
      </c>
      <c r="I850" s="257">
        <v>2.2409556730688521E-2</v>
      </c>
      <c r="J850" s="257">
        <v>2.2409556730688521E-2</v>
      </c>
    </row>
    <row r="851" spans="1:11" s="178" customFormat="1" ht="14.5" x14ac:dyDescent="0.35">
      <c r="E851" s="253" t="s">
        <v>449</v>
      </c>
      <c r="F851" s="253" t="s">
        <v>408</v>
      </c>
      <c r="G851" s="256" t="s">
        <v>200</v>
      </c>
      <c r="H851" s="475">
        <f t="shared" si="47"/>
        <v>5.0876748332173132E-3</v>
      </c>
      <c r="I851" s="257">
        <v>5.0876748332173132E-3</v>
      </c>
      <c r="J851" s="257">
        <v>5.0876748332173132E-3</v>
      </c>
    </row>
    <row r="852" spans="1:11" s="178" customFormat="1" ht="14.5" x14ac:dyDescent="0.35">
      <c r="E852" s="253" t="s">
        <v>450</v>
      </c>
      <c r="F852" s="253" t="s">
        <v>408</v>
      </c>
      <c r="G852" s="256" t="s">
        <v>200</v>
      </c>
      <c r="H852" s="475">
        <f t="shared" si="47"/>
        <v>4.635713573623107E-3</v>
      </c>
      <c r="I852" s="257">
        <v>4.635713573623107E-3</v>
      </c>
      <c r="J852" s="257">
        <v>4.635713573623107E-3</v>
      </c>
    </row>
    <row r="853" spans="1:11" s="178" customFormat="1" ht="14.5" x14ac:dyDescent="0.35">
      <c r="E853" s="253" t="s">
        <v>451</v>
      </c>
      <c r="F853" s="253" t="s">
        <v>408</v>
      </c>
      <c r="G853" s="256" t="s">
        <v>200</v>
      </c>
      <c r="H853" s="475">
        <f t="shared" si="47"/>
        <v>6.0194687813161568E-3</v>
      </c>
      <c r="I853" s="257">
        <v>6.0194687813161568E-3</v>
      </c>
      <c r="J853" s="257">
        <v>6.0194687813161568E-3</v>
      </c>
    </row>
    <row r="854" spans="1:11" s="178" customFormat="1" ht="14.5" x14ac:dyDescent="0.35">
      <c r="E854" s="253" t="s">
        <v>452</v>
      </c>
      <c r="F854" s="253" t="s">
        <v>408</v>
      </c>
      <c r="G854" s="256" t="s">
        <v>200</v>
      </c>
      <c r="H854" s="475">
        <f t="shared" si="47"/>
        <v>1.2536031933535923E-2</v>
      </c>
      <c r="I854" s="257">
        <v>1.2536031933535923E-2</v>
      </c>
      <c r="J854" s="257">
        <v>1.2536031933535923E-2</v>
      </c>
    </row>
    <row r="855" spans="1:11" s="178" customFormat="1" ht="14.5" x14ac:dyDescent="0.35">
      <c r="E855" s="253" t="s">
        <v>453</v>
      </c>
      <c r="F855" s="253" t="s">
        <v>408</v>
      </c>
      <c r="G855" s="256" t="s">
        <v>200</v>
      </c>
      <c r="H855" s="475">
        <f t="shared" si="47"/>
        <v>2.2299946474855049E-2</v>
      </c>
      <c r="I855" s="257">
        <v>2.2299946474855049E-2</v>
      </c>
      <c r="J855" s="257">
        <v>2.2299946474855049E-2</v>
      </c>
    </row>
    <row r="856" spans="1:11" s="178" customFormat="1" ht="14.5" x14ac:dyDescent="0.35">
      <c r="E856" s="253" t="s">
        <v>454</v>
      </c>
      <c r="F856" s="253" t="s">
        <v>408</v>
      </c>
      <c r="G856" s="256" t="s">
        <v>200</v>
      </c>
      <c r="H856" s="475">
        <f t="shared" si="47"/>
        <v>1.2036036707273157E-2</v>
      </c>
      <c r="I856" s="257">
        <v>1.2036036707273157E-2</v>
      </c>
      <c r="J856" s="257">
        <v>1.2036036707273157E-2</v>
      </c>
    </row>
    <row r="857" spans="1:11" s="178" customFormat="1" ht="14.5" x14ac:dyDescent="0.35">
      <c r="E857" s="253" t="s">
        <v>455</v>
      </c>
      <c r="F857" s="253" t="s">
        <v>408</v>
      </c>
      <c r="G857" s="256" t="s">
        <v>200</v>
      </c>
      <c r="H857" s="475">
        <f t="shared" si="47"/>
        <v>3.9950067149931573E-2</v>
      </c>
      <c r="I857" s="257">
        <v>3.9950067149931573E-2</v>
      </c>
      <c r="J857" s="257">
        <v>3.9950067149931573E-2</v>
      </c>
    </row>
    <row r="858" spans="1:11" s="178" customFormat="1" ht="14.5" x14ac:dyDescent="0.35">
      <c r="E858" s="253" t="s">
        <v>456</v>
      </c>
      <c r="F858" s="253" t="s">
        <v>408</v>
      </c>
      <c r="G858" s="256" t="s">
        <v>200</v>
      </c>
      <c r="H858" s="475">
        <f t="shared" si="47"/>
        <v>6.0173561206584902E-2</v>
      </c>
      <c r="I858" s="257">
        <v>6.0173561206584902E-2</v>
      </c>
      <c r="J858" s="257">
        <v>6.0173561206584902E-2</v>
      </c>
    </row>
    <row r="859" spans="1:11" s="178" customFormat="1" ht="14.5" x14ac:dyDescent="0.35">
      <c r="E859" s="253" t="s">
        <v>457</v>
      </c>
      <c r="F859" s="253" t="s">
        <v>408</v>
      </c>
      <c r="G859" s="256" t="s">
        <v>200</v>
      </c>
      <c r="H859" s="475">
        <f t="shared" si="47"/>
        <v>8.3311085097789554E-3</v>
      </c>
      <c r="I859" s="257">
        <v>8.3311085097789554E-3</v>
      </c>
      <c r="J859" s="257">
        <v>8.3311085097789554E-3</v>
      </c>
    </row>
    <row r="860" spans="1:11" s="178" customFormat="1" ht="14.5" x14ac:dyDescent="0.35">
      <c r="E860" s="253" t="s">
        <v>458</v>
      </c>
      <c r="F860" s="253" t="s">
        <v>408</v>
      </c>
      <c r="G860" s="256" t="s">
        <v>200</v>
      </c>
      <c r="H860" s="475">
        <f t="shared" si="47"/>
        <v>1.5279033823199556E-2</v>
      </c>
      <c r="I860" s="257">
        <v>1.5279033823199556E-2</v>
      </c>
      <c r="J860" s="257">
        <v>1.5279033823199556E-2</v>
      </c>
    </row>
    <row r="861" spans="1:11" s="178" customFormat="1" ht="14.5" x14ac:dyDescent="0.35">
      <c r="A861" s="253"/>
      <c r="B861" s="254"/>
      <c r="C861" s="255"/>
      <c r="D861" s="253"/>
      <c r="E861" s="253" t="s">
        <v>459</v>
      </c>
      <c r="F861" s="253" t="s">
        <v>408</v>
      </c>
      <c r="G861" s="256" t="s">
        <v>200</v>
      </c>
      <c r="H861" s="475">
        <f t="shared" si="47"/>
        <v>9.8780003723570545E-3</v>
      </c>
      <c r="I861" s="257">
        <v>9.8780003723570545E-3</v>
      </c>
      <c r="J861" s="257">
        <v>9.8780003723570545E-3</v>
      </c>
      <c r="K861" s="253"/>
    </row>
    <row r="862" spans="1:11" ht="5.25" customHeight="1" x14ac:dyDescent="0.35">
      <c r="A862" s="214"/>
      <c r="B862" s="210"/>
      <c r="C862" s="211"/>
      <c r="D862" s="209"/>
      <c r="E862" s="209"/>
      <c r="F862" s="209"/>
      <c r="G862" s="215"/>
      <c r="H862" s="433"/>
      <c r="I862" s="209"/>
      <c r="J862" s="209"/>
      <c r="K862" s="213"/>
    </row>
    <row r="863" spans="1:11" ht="14.5" x14ac:dyDescent="0.35">
      <c r="A863" s="672" t="s">
        <v>519</v>
      </c>
      <c r="B863" s="673"/>
      <c r="C863" s="673"/>
      <c r="D863" s="673"/>
      <c r="E863" s="673"/>
      <c r="F863" s="673"/>
      <c r="G863" s="673"/>
      <c r="H863" s="673"/>
      <c r="I863" s="673"/>
      <c r="J863" s="673"/>
      <c r="K863" s="674"/>
    </row>
    <row r="864" spans="1:11" ht="5.25" customHeight="1" x14ac:dyDescent="0.35">
      <c r="A864" s="214"/>
      <c r="B864" s="210"/>
      <c r="C864" s="211"/>
      <c r="D864" s="209"/>
      <c r="E864" s="209"/>
      <c r="F864" s="209"/>
      <c r="G864" s="215"/>
      <c r="H864" s="433"/>
      <c r="I864" s="209"/>
      <c r="J864" s="209"/>
      <c r="K864" s="213"/>
    </row>
    <row r="865" spans="3:11" ht="15" customHeight="1" x14ac:dyDescent="0.35">
      <c r="C865" s="2" t="s">
        <v>520</v>
      </c>
      <c r="K865" s="10"/>
    </row>
    <row r="866" spans="3:11" ht="5.25" customHeight="1" x14ac:dyDescent="0.35">
      <c r="K866" s="10"/>
    </row>
    <row r="867" spans="3:11" ht="15" customHeight="1" x14ac:dyDescent="0.35">
      <c r="E867" s="4" t="s">
        <v>521</v>
      </c>
      <c r="F867" s="10" t="s">
        <v>133</v>
      </c>
      <c r="G867" s="43" t="str">
        <f>$H$13&amp;"$ / injury"</f>
        <v>2024$ / injury</v>
      </c>
      <c r="H867" s="476">
        <f t="shared" ref="H867:H873" si="48">IF($G$10=$I$6, $I867, $J867)</f>
        <v>5500</v>
      </c>
      <c r="I867" s="140">
        <v>5500</v>
      </c>
      <c r="J867" s="140">
        <v>5500</v>
      </c>
      <c r="K867" s="10"/>
    </row>
    <row r="868" spans="3:11" ht="15" customHeight="1" x14ac:dyDescent="0.35">
      <c r="E868" s="4" t="s">
        <v>522</v>
      </c>
      <c r="F868" s="10" t="s">
        <v>133</v>
      </c>
      <c r="G868" s="43" t="str">
        <f t="shared" ref="G868:G872" si="49">$H$13&amp;"$ / injury"</f>
        <v>2024$ / injury</v>
      </c>
      <c r="H868" s="476">
        <f t="shared" si="48"/>
        <v>122400</v>
      </c>
      <c r="I868" s="140">
        <v>122400</v>
      </c>
      <c r="J868" s="140">
        <v>122400</v>
      </c>
      <c r="K868" s="10"/>
    </row>
    <row r="869" spans="3:11" ht="15" customHeight="1" x14ac:dyDescent="0.35">
      <c r="E869" s="4" t="s">
        <v>523</v>
      </c>
      <c r="F869" s="10" t="s">
        <v>133</v>
      </c>
      <c r="G869" s="43" t="str">
        <f t="shared" si="49"/>
        <v>2024$ / injury</v>
      </c>
      <c r="H869" s="476">
        <f t="shared" si="48"/>
        <v>256300</v>
      </c>
      <c r="I869" s="140">
        <v>256300</v>
      </c>
      <c r="J869" s="140">
        <v>256300</v>
      </c>
      <c r="K869" s="10"/>
    </row>
    <row r="870" spans="3:11" ht="15" customHeight="1" x14ac:dyDescent="0.35">
      <c r="E870" s="4" t="s">
        <v>524</v>
      </c>
      <c r="F870" s="10" t="s">
        <v>133</v>
      </c>
      <c r="G870" s="43" t="str">
        <f t="shared" si="49"/>
        <v>2024$ / injury</v>
      </c>
      <c r="H870" s="476">
        <f t="shared" si="48"/>
        <v>1302300</v>
      </c>
      <c r="I870" s="140">
        <v>1302300</v>
      </c>
      <c r="J870" s="140">
        <v>1302300</v>
      </c>
      <c r="K870" s="10"/>
    </row>
    <row r="871" spans="3:11" ht="15" customHeight="1" x14ac:dyDescent="0.35">
      <c r="E871" s="4" t="s">
        <v>525</v>
      </c>
      <c r="F871" s="10" t="s">
        <v>133</v>
      </c>
      <c r="G871" s="43" t="str">
        <f t="shared" si="49"/>
        <v>2024$ / injury</v>
      </c>
      <c r="H871" s="476">
        <f t="shared" si="48"/>
        <v>13700000</v>
      </c>
      <c r="I871" s="140">
        <v>13700000</v>
      </c>
      <c r="J871" s="140">
        <v>13700000</v>
      </c>
      <c r="K871" s="10"/>
    </row>
    <row r="872" spans="3:11" ht="15" customHeight="1" x14ac:dyDescent="0.35">
      <c r="E872" s="4" t="s">
        <v>526</v>
      </c>
      <c r="F872" s="10" t="s">
        <v>133</v>
      </c>
      <c r="G872" s="43" t="str">
        <f t="shared" si="49"/>
        <v>2024$ / injury</v>
      </c>
      <c r="H872" s="476">
        <f t="shared" si="48"/>
        <v>238500</v>
      </c>
      <c r="I872" s="140">
        <v>238500</v>
      </c>
      <c r="J872" s="140">
        <v>238500</v>
      </c>
      <c r="K872" s="10"/>
    </row>
    <row r="873" spans="3:11" ht="15" customHeight="1" x14ac:dyDescent="0.35">
      <c r="E873" s="4" t="s">
        <v>527</v>
      </c>
      <c r="F873" s="10" t="s">
        <v>133</v>
      </c>
      <c r="G873" s="43" t="str">
        <f>$H$13&amp;"$ / incident"</f>
        <v>2024$ / incident</v>
      </c>
      <c r="H873" s="476">
        <f t="shared" si="48"/>
        <v>0</v>
      </c>
      <c r="I873" s="140"/>
      <c r="J873" s="140"/>
      <c r="K873" s="10"/>
    </row>
    <row r="874" spans="3:11" ht="5.25" customHeight="1" x14ac:dyDescent="0.35">
      <c r="F874" s="10"/>
      <c r="K874" s="10"/>
    </row>
    <row r="875" spans="3:11" ht="15" customHeight="1" x14ac:dyDescent="0.35">
      <c r="C875" s="2" t="s">
        <v>528</v>
      </c>
      <c r="F875" s="10"/>
      <c r="K875" s="10"/>
    </row>
    <row r="876" spans="3:11" ht="0" hidden="1" customHeight="1" x14ac:dyDescent="0.35">
      <c r="F876" s="10"/>
    </row>
    <row r="877" spans="3:11" ht="15" customHeight="1" x14ac:dyDescent="0.35">
      <c r="E877" s="4" t="s">
        <v>529</v>
      </c>
      <c r="F877" s="10" t="s">
        <v>133</v>
      </c>
      <c r="G877" s="43" t="str">
        <f>$H$13&amp;"$ / crash"</f>
        <v>2024$ / crash</v>
      </c>
      <c r="H877" s="476">
        <f>IF($G$10=$I$6, $I877, $J877)</f>
        <v>342400</v>
      </c>
      <c r="I877" s="140">
        <v>342400</v>
      </c>
      <c r="J877" s="140">
        <v>342400</v>
      </c>
    </row>
    <row r="878" spans="3:11" ht="15" customHeight="1" x14ac:dyDescent="0.35">
      <c r="E878" s="4" t="s">
        <v>530</v>
      </c>
      <c r="F878" s="10" t="s">
        <v>133</v>
      </c>
      <c r="G878" s="43" t="str">
        <f>$H$13&amp;"$ / crash"</f>
        <v>2024$ / crash</v>
      </c>
      <c r="H878" s="476">
        <f>IF($G$10=$I$6, $I878, $J878)</f>
        <v>15366900</v>
      </c>
      <c r="I878" s="140">
        <v>15366900</v>
      </c>
      <c r="J878" s="140">
        <v>15366900</v>
      </c>
    </row>
    <row r="879" spans="3:11" ht="5.25" customHeight="1" x14ac:dyDescent="0.35">
      <c r="F879" s="10"/>
    </row>
    <row r="880" spans="3:11" ht="15" customHeight="1" x14ac:dyDescent="0.35">
      <c r="C880" s="2" t="s">
        <v>531</v>
      </c>
      <c r="F880" s="10"/>
    </row>
    <row r="881" spans="3:10" ht="5.25" customHeight="1" x14ac:dyDescent="0.35">
      <c r="F881" s="10"/>
    </row>
    <row r="882" spans="3:10" ht="15" customHeight="1" x14ac:dyDescent="0.35">
      <c r="E882" s="4" t="s">
        <v>532</v>
      </c>
      <c r="F882" s="10" t="s">
        <v>133</v>
      </c>
      <c r="G882" s="43" t="str">
        <f>$H$13&amp;"$ / vehicle"</f>
        <v>2024$ / vehicle</v>
      </c>
      <c r="H882" s="476">
        <f>IF($G$10=$I$6, $I882, $J882)</f>
        <v>9700</v>
      </c>
      <c r="I882" s="140">
        <v>9700</v>
      </c>
      <c r="J882" s="140">
        <v>9700</v>
      </c>
    </row>
    <row r="883" spans="3:10" ht="5.25" customHeight="1" x14ac:dyDescent="0.35">
      <c r="F883" s="10"/>
    </row>
    <row r="884" spans="3:10" ht="14.5" x14ac:dyDescent="0.35">
      <c r="C884" s="2" t="s">
        <v>533</v>
      </c>
      <c r="F884" s="10"/>
    </row>
    <row r="885" spans="3:10" ht="5.25" customHeight="1" x14ac:dyDescent="0.35">
      <c r="F885" s="10"/>
    </row>
    <row r="886" spans="3:10" ht="14.5" x14ac:dyDescent="0.35">
      <c r="E886" s="4" t="s">
        <v>534</v>
      </c>
      <c r="F886" s="10" t="s">
        <v>133</v>
      </c>
      <c r="G886" s="43" t="str">
        <f>$H$13&amp;"$ / crash"</f>
        <v>2024$ / crash</v>
      </c>
      <c r="H886" s="476">
        <f>IF($H$10=$I$6, $I886, $J886)</f>
        <v>13700000</v>
      </c>
      <c r="I886" s="140">
        <v>13700000</v>
      </c>
      <c r="J886" s="140">
        <v>13700000</v>
      </c>
    </row>
    <row r="887" spans="3:10" ht="5.25" customHeight="1" x14ac:dyDescent="0.35"/>
    <row r="888" spans="3:10" ht="14.5" x14ac:dyDescent="0.35">
      <c r="C888" s="2" t="s">
        <v>535</v>
      </c>
    </row>
    <row r="889" spans="3:10" ht="5.25" customHeight="1" x14ac:dyDescent="0.35"/>
    <row r="890" spans="3:10" ht="14.5" x14ac:dyDescent="0.35">
      <c r="E890" s="4" t="s">
        <v>536</v>
      </c>
      <c r="F890" s="4" t="s">
        <v>537</v>
      </c>
      <c r="G890" s="43" t="s">
        <v>77</v>
      </c>
      <c r="H890" s="441">
        <f t="shared" ref="H890:H895" si="50">IF($H$10=$I$6, $I890, $J890)</f>
        <v>1</v>
      </c>
      <c r="I890" s="16">
        <v>1</v>
      </c>
      <c r="J890" s="16">
        <v>1</v>
      </c>
    </row>
    <row r="891" spans="3:10" ht="14.5" x14ac:dyDescent="0.35">
      <c r="E891" s="4" t="s">
        <v>538</v>
      </c>
      <c r="F891" s="4" t="s">
        <v>537</v>
      </c>
      <c r="G891" s="43" t="s">
        <v>77</v>
      </c>
      <c r="H891" s="441">
        <f t="shared" si="50"/>
        <v>0.59299999999999997</v>
      </c>
      <c r="I891" s="16">
        <v>0.59299999999999997</v>
      </c>
      <c r="J891" s="16">
        <v>0.59299999999999997</v>
      </c>
    </row>
    <row r="892" spans="3:10" ht="14.5" x14ac:dyDescent="0.35">
      <c r="E892" s="4" t="s">
        <v>539</v>
      </c>
      <c r="F892" s="4" t="s">
        <v>537</v>
      </c>
      <c r="G892" s="43" t="s">
        <v>77</v>
      </c>
      <c r="H892" s="441">
        <f t="shared" si="50"/>
        <v>0.26600000000000001</v>
      </c>
      <c r="I892" s="16">
        <v>0.26600000000000001</v>
      </c>
      <c r="J892" s="16">
        <v>0.26600000000000001</v>
      </c>
    </row>
    <row r="893" spans="3:10" ht="14.5" x14ac:dyDescent="0.35">
      <c r="E893" s="4" t="s">
        <v>540</v>
      </c>
      <c r="F893" s="4" t="s">
        <v>537</v>
      </c>
      <c r="G893" s="43" t="s">
        <v>77</v>
      </c>
      <c r="H893" s="441">
        <f t="shared" si="50"/>
        <v>0.105</v>
      </c>
      <c r="I893" s="16">
        <v>0.105</v>
      </c>
      <c r="J893" s="16">
        <v>0.105</v>
      </c>
    </row>
    <row r="894" spans="3:10" ht="14.5" x14ac:dyDescent="0.35">
      <c r="E894" s="4" t="s">
        <v>541</v>
      </c>
      <c r="F894" s="4" t="s">
        <v>537</v>
      </c>
      <c r="G894" s="43" t="s">
        <v>77</v>
      </c>
      <c r="H894" s="441">
        <f t="shared" si="50"/>
        <v>4.7E-2</v>
      </c>
      <c r="I894" s="16">
        <v>4.7E-2</v>
      </c>
      <c r="J894" s="16">
        <v>4.7E-2</v>
      </c>
    </row>
    <row r="895" spans="3:10" ht="14.5" x14ac:dyDescent="0.35">
      <c r="E895" s="4" t="s">
        <v>542</v>
      </c>
      <c r="F895" s="4" t="s">
        <v>537</v>
      </c>
      <c r="G895" s="43" t="s">
        <v>77</v>
      </c>
      <c r="H895" s="441">
        <f t="shared" si="50"/>
        <v>3.0000000000000001E-3</v>
      </c>
      <c r="I895" s="16">
        <v>3.0000000000000001E-3</v>
      </c>
      <c r="J895" s="16">
        <v>3.0000000000000001E-3</v>
      </c>
    </row>
    <row r="896" spans="3:10" ht="5.25" customHeight="1" x14ac:dyDescent="0.35"/>
    <row r="897" spans="3:10" ht="15" customHeight="1" x14ac:dyDescent="0.35">
      <c r="C897" s="2" t="s">
        <v>543</v>
      </c>
    </row>
    <row r="898" spans="3:10" ht="5.25" customHeight="1" x14ac:dyDescent="0.35"/>
    <row r="899" spans="3:10" ht="15" customHeight="1" x14ac:dyDescent="0.35">
      <c r="E899" s="4" t="s">
        <v>544</v>
      </c>
      <c r="F899" s="4" t="s">
        <v>219</v>
      </c>
      <c r="G899" s="43" t="s">
        <v>545</v>
      </c>
      <c r="H899" s="476">
        <f t="shared" ref="H899:H904" si="51">H$886*H890</f>
        <v>13700000</v>
      </c>
      <c r="I899" s="138"/>
      <c r="J899" s="138"/>
    </row>
    <row r="900" spans="3:10" ht="15" customHeight="1" x14ac:dyDescent="0.35">
      <c r="E900" s="4" t="s">
        <v>546</v>
      </c>
      <c r="F900" s="4" t="s">
        <v>219</v>
      </c>
      <c r="G900" s="43" t="s">
        <v>545</v>
      </c>
      <c r="H900" s="476">
        <f t="shared" si="51"/>
        <v>8124100</v>
      </c>
      <c r="I900" s="138"/>
      <c r="J900" s="138"/>
    </row>
    <row r="901" spans="3:10" ht="15" customHeight="1" x14ac:dyDescent="0.35">
      <c r="E901" s="4" t="s">
        <v>547</v>
      </c>
      <c r="F901" s="4" t="s">
        <v>219</v>
      </c>
      <c r="G901" s="43" t="s">
        <v>545</v>
      </c>
      <c r="H901" s="476">
        <f t="shared" si="51"/>
        <v>3644200</v>
      </c>
      <c r="I901" s="138"/>
      <c r="J901" s="138"/>
    </row>
    <row r="902" spans="3:10" ht="15" customHeight="1" x14ac:dyDescent="0.35">
      <c r="E902" s="4" t="s">
        <v>548</v>
      </c>
      <c r="F902" s="4" t="s">
        <v>219</v>
      </c>
      <c r="G902" s="43" t="s">
        <v>545</v>
      </c>
      <c r="H902" s="476">
        <f t="shared" si="51"/>
        <v>1438500</v>
      </c>
      <c r="I902" s="138"/>
      <c r="J902" s="138"/>
    </row>
    <row r="903" spans="3:10" ht="15" customHeight="1" x14ac:dyDescent="0.35">
      <c r="E903" s="4" t="s">
        <v>549</v>
      </c>
      <c r="F903" s="4" t="s">
        <v>219</v>
      </c>
      <c r="G903" s="43" t="s">
        <v>545</v>
      </c>
      <c r="H903" s="476">
        <f t="shared" si="51"/>
        <v>643900</v>
      </c>
      <c r="I903" s="138"/>
      <c r="J903" s="138"/>
    </row>
    <row r="904" spans="3:10" ht="15" customHeight="1" x14ac:dyDescent="0.35">
      <c r="E904" s="4" t="s">
        <v>550</v>
      </c>
      <c r="F904" s="4" t="s">
        <v>219</v>
      </c>
      <c r="G904" s="43" t="s">
        <v>545</v>
      </c>
      <c r="H904" s="476">
        <f t="shared" si="51"/>
        <v>41100</v>
      </c>
      <c r="I904" s="138"/>
      <c r="J904" s="138"/>
    </row>
    <row r="905" spans="3:10" ht="5.25" customHeight="1" x14ac:dyDescent="0.35"/>
    <row r="906" spans="3:10" ht="14.5" x14ac:dyDescent="0.35">
      <c r="C906" s="2" t="s">
        <v>551</v>
      </c>
    </row>
    <row r="907" spans="3:10" ht="5.25" customHeight="1" x14ac:dyDescent="0.35"/>
    <row r="908" spans="3:10" ht="14.5" x14ac:dyDescent="0.35">
      <c r="E908" s="4" t="s">
        <v>552</v>
      </c>
      <c r="F908" s="4" t="s">
        <v>553</v>
      </c>
      <c r="G908" s="43" t="s">
        <v>77</v>
      </c>
      <c r="H908" s="441">
        <f>IF($H$10=$I$6, $I908, $J908)</f>
        <v>1.796499152249079E-3</v>
      </c>
      <c r="I908" s="16">
        <v>1.796499152249079E-3</v>
      </c>
      <c r="J908" s="16">
        <v>1.796499152249079E-3</v>
      </c>
    </row>
    <row r="909" spans="3:10" ht="14.5" x14ac:dyDescent="0.35">
      <c r="E909" s="4" t="s">
        <v>554</v>
      </c>
      <c r="F909" s="4" t="s">
        <v>553</v>
      </c>
      <c r="G909" s="43" t="s">
        <v>77</v>
      </c>
      <c r="H909" s="441">
        <f>IF($H$10=$I$6, $I909, $J909)</f>
        <v>6.9310353534250899E-3</v>
      </c>
      <c r="I909" s="16">
        <v>6.9310353534250899E-3</v>
      </c>
      <c r="J909" s="16">
        <v>6.9310353534250899E-3</v>
      </c>
    </row>
    <row r="910" spans="3:10" ht="14.5" x14ac:dyDescent="0.35">
      <c r="E910" s="4" t="s">
        <v>555</v>
      </c>
      <c r="F910" s="4" t="s">
        <v>553</v>
      </c>
      <c r="G910" s="43" t="s">
        <v>77</v>
      </c>
      <c r="H910" s="441">
        <f>IF($H$10=$I$6, $I910, $J910)</f>
        <v>2.3902000714954644E-2</v>
      </c>
      <c r="I910" s="16">
        <v>2.3902000714954644E-2</v>
      </c>
      <c r="J910" s="16">
        <v>2.3902000714954644E-2</v>
      </c>
    </row>
    <row r="911" spans="3:10" ht="14.5" x14ac:dyDescent="0.35">
      <c r="E911" s="4" t="s">
        <v>556</v>
      </c>
      <c r="F911" s="4" t="s">
        <v>553</v>
      </c>
      <c r="G911" s="43" t="s">
        <v>77</v>
      </c>
      <c r="H911" s="441">
        <f>IF($H$10=$I$6, $I911, $J911)</f>
        <v>8.2773560802564122E-2</v>
      </c>
      <c r="I911" s="16">
        <v>8.2773560802564122E-2</v>
      </c>
      <c r="J911" s="16">
        <v>8.2773560802564122E-2</v>
      </c>
    </row>
    <row r="912" spans="3:10" ht="14.5" x14ac:dyDescent="0.35">
      <c r="E912" s="4" t="s">
        <v>557</v>
      </c>
      <c r="F912" s="4" t="s">
        <v>553</v>
      </c>
      <c r="G912" s="43" t="s">
        <v>77</v>
      </c>
      <c r="H912" s="441">
        <f>IF($H$10=$I$6, $I912, $J912)</f>
        <v>0.88459690397680713</v>
      </c>
      <c r="I912" s="16">
        <v>0.88459690397680713</v>
      </c>
      <c r="J912" s="16">
        <v>0.88459690397680713</v>
      </c>
    </row>
    <row r="913" spans="2:10" ht="5.25" customHeight="1" x14ac:dyDescent="0.35"/>
    <row r="914" spans="2:10" ht="14.5" x14ac:dyDescent="0.35">
      <c r="B914" s="1" t="s">
        <v>558</v>
      </c>
    </row>
    <row r="915" spans="2:10" ht="5.25" customHeight="1" x14ac:dyDescent="0.35"/>
    <row r="916" spans="2:10" ht="14.5" x14ac:dyDescent="0.35">
      <c r="C916" s="2" t="s">
        <v>521</v>
      </c>
      <c r="I916" s="128"/>
    </row>
    <row r="917" spans="2:10" ht="5.25" customHeight="1" x14ac:dyDescent="0.35"/>
    <row r="918" spans="2:10" ht="14.5" x14ac:dyDescent="0.35">
      <c r="E918" s="4" t="s">
        <v>559</v>
      </c>
      <c r="F918" s="4" t="s">
        <v>560</v>
      </c>
      <c r="G918" s="43" t="s">
        <v>77</v>
      </c>
      <c r="H918" s="441">
        <f t="shared" ref="H918:H924" si="52">IF($H$10=$I$6, $I918, $J918)</f>
        <v>0</v>
      </c>
      <c r="I918" s="15">
        <v>0</v>
      </c>
      <c r="J918" s="15">
        <v>0</v>
      </c>
    </row>
    <row r="919" spans="2:10" ht="14.5" x14ac:dyDescent="0.35">
      <c r="E919" s="4" t="s">
        <v>561</v>
      </c>
      <c r="F919" s="4" t="s">
        <v>560</v>
      </c>
      <c r="G919" s="43" t="s">
        <v>77</v>
      </c>
      <c r="H919" s="441">
        <f t="shared" si="52"/>
        <v>3.0000000000000001E-5</v>
      </c>
      <c r="I919" s="15">
        <v>3.0000000000000001E-5</v>
      </c>
      <c r="J919" s="15">
        <v>3.0000000000000001E-5</v>
      </c>
    </row>
    <row r="920" spans="2:10" ht="14.5" x14ac:dyDescent="0.35">
      <c r="E920" s="4" t="s">
        <v>562</v>
      </c>
      <c r="F920" s="4" t="s">
        <v>560</v>
      </c>
      <c r="G920" s="43" t="s">
        <v>77</v>
      </c>
      <c r="H920" s="441">
        <f t="shared" si="52"/>
        <v>0</v>
      </c>
      <c r="I920" s="15">
        <v>0</v>
      </c>
      <c r="J920" s="15">
        <v>0</v>
      </c>
    </row>
    <row r="921" spans="2:10" ht="14.5" x14ac:dyDescent="0.35">
      <c r="E921" s="4" t="s">
        <v>563</v>
      </c>
      <c r="F921" s="4" t="s">
        <v>560</v>
      </c>
      <c r="G921" s="43" t="s">
        <v>77</v>
      </c>
      <c r="H921" s="441">
        <f t="shared" si="52"/>
        <v>8.0000000000000007E-5</v>
      </c>
      <c r="I921" s="15">
        <v>8.0000000000000007E-5</v>
      </c>
      <c r="J921" s="15">
        <v>8.0000000000000007E-5</v>
      </c>
    </row>
    <row r="922" spans="2:10" ht="14.5" x14ac:dyDescent="0.35">
      <c r="E922" s="4" t="s">
        <v>564</v>
      </c>
      <c r="F922" s="4" t="s">
        <v>560</v>
      </c>
      <c r="G922" s="43" t="s">
        <v>77</v>
      </c>
      <c r="H922" s="441">
        <f t="shared" si="52"/>
        <v>1.98E-3</v>
      </c>
      <c r="I922" s="15">
        <v>1.98E-3</v>
      </c>
      <c r="J922" s="15">
        <v>1.98E-3</v>
      </c>
    </row>
    <row r="923" spans="2:10" ht="15" customHeight="1" x14ac:dyDescent="0.35">
      <c r="E923" s="4" t="s">
        <v>565</v>
      </c>
      <c r="F923" s="4" t="s">
        <v>560</v>
      </c>
      <c r="G923" s="43" t="s">
        <v>77</v>
      </c>
      <c r="H923" s="441">
        <f t="shared" si="52"/>
        <v>7.2569999999999996E-2</v>
      </c>
      <c r="I923" s="15">
        <v>7.2569999999999996E-2</v>
      </c>
      <c r="J923" s="15">
        <v>7.2569999999999996E-2</v>
      </c>
    </row>
    <row r="924" spans="2:10" ht="15" customHeight="1" x14ac:dyDescent="0.35">
      <c r="E924" s="4" t="s">
        <v>566</v>
      </c>
      <c r="F924" s="4" t="s">
        <v>560</v>
      </c>
      <c r="G924" s="43" t="s">
        <v>77</v>
      </c>
      <c r="H924" s="441">
        <f t="shared" si="52"/>
        <v>0.92534000000000005</v>
      </c>
      <c r="I924" s="15">
        <v>0.92534000000000005</v>
      </c>
      <c r="J924" s="15">
        <v>0.92534000000000005</v>
      </c>
    </row>
    <row r="926" spans="2:10" ht="15" customHeight="1" x14ac:dyDescent="0.35">
      <c r="C926" s="2" t="s">
        <v>522</v>
      </c>
      <c r="H926" s="441"/>
      <c r="I926" s="32"/>
      <c r="J926" s="32"/>
    </row>
    <row r="927" spans="2:10" ht="5.25" customHeight="1" x14ac:dyDescent="0.35">
      <c r="H927" s="441"/>
      <c r="I927" s="32"/>
      <c r="J927" s="32"/>
    </row>
    <row r="928" spans="2:10" ht="15" customHeight="1" x14ac:dyDescent="0.35">
      <c r="E928" s="4" t="s">
        <v>559</v>
      </c>
      <c r="F928" s="4" t="s">
        <v>560</v>
      </c>
      <c r="G928" s="43" t="s">
        <v>77</v>
      </c>
      <c r="H928" s="441">
        <f t="shared" ref="H928:H934" si="53">IF($H$10=$I$6, $I928, $J928)</f>
        <v>0</v>
      </c>
      <c r="I928" s="15">
        <v>0</v>
      </c>
      <c r="J928" s="15">
        <v>0</v>
      </c>
    </row>
    <row r="929" spans="3:10" ht="15" customHeight="1" x14ac:dyDescent="0.35">
      <c r="E929" s="4" t="s">
        <v>561</v>
      </c>
      <c r="F929" s="4" t="s">
        <v>560</v>
      </c>
      <c r="G929" s="43" t="s">
        <v>77</v>
      </c>
      <c r="H929" s="441">
        <f t="shared" si="53"/>
        <v>1.2999999999999999E-4</v>
      </c>
      <c r="I929" s="15">
        <v>1.2999999999999999E-4</v>
      </c>
      <c r="J929" s="15">
        <v>1.2999999999999999E-4</v>
      </c>
    </row>
    <row r="930" spans="3:10" ht="15" customHeight="1" x14ac:dyDescent="0.35">
      <c r="E930" s="4" t="s">
        <v>562</v>
      </c>
      <c r="F930" s="4" t="s">
        <v>560</v>
      </c>
      <c r="G930" s="43" t="s">
        <v>77</v>
      </c>
      <c r="H930" s="441">
        <f t="shared" si="53"/>
        <v>1.42E-3</v>
      </c>
      <c r="I930" s="15">
        <v>1.42E-3</v>
      </c>
      <c r="J930" s="15">
        <v>1.42E-3</v>
      </c>
    </row>
    <row r="931" spans="3:10" ht="15" customHeight="1" x14ac:dyDescent="0.35">
      <c r="E931" s="4" t="s">
        <v>563</v>
      </c>
      <c r="F931" s="4" t="s">
        <v>560</v>
      </c>
      <c r="G931" s="43" t="s">
        <v>77</v>
      </c>
      <c r="H931" s="441">
        <f t="shared" si="53"/>
        <v>1.0710000000000001E-2</v>
      </c>
      <c r="I931" s="15">
        <v>1.0710000000000001E-2</v>
      </c>
      <c r="J931" s="15">
        <v>1.0710000000000001E-2</v>
      </c>
    </row>
    <row r="932" spans="3:10" ht="15" customHeight="1" x14ac:dyDescent="0.35">
      <c r="E932" s="4" t="s">
        <v>564</v>
      </c>
      <c r="F932" s="4" t="s">
        <v>560</v>
      </c>
      <c r="G932" s="43" t="s">
        <v>77</v>
      </c>
      <c r="H932" s="441">
        <f t="shared" si="53"/>
        <v>6.3909999999999995E-2</v>
      </c>
      <c r="I932" s="15">
        <v>6.3909999999999995E-2</v>
      </c>
      <c r="J932" s="15">
        <v>6.3909999999999995E-2</v>
      </c>
    </row>
    <row r="933" spans="3:10" ht="15" customHeight="1" x14ac:dyDescent="0.35">
      <c r="E933" s="4" t="s">
        <v>565</v>
      </c>
      <c r="F933" s="4" t="s">
        <v>560</v>
      </c>
      <c r="G933" s="43" t="s">
        <v>77</v>
      </c>
      <c r="H933" s="441">
        <f t="shared" si="53"/>
        <v>0.68945999999999996</v>
      </c>
      <c r="I933" s="15">
        <v>0.68945999999999996</v>
      </c>
      <c r="J933" s="15">
        <v>0.68945999999999996</v>
      </c>
    </row>
    <row r="934" spans="3:10" ht="15" customHeight="1" x14ac:dyDescent="0.35">
      <c r="E934" s="4" t="s">
        <v>566</v>
      </c>
      <c r="F934" s="4" t="s">
        <v>560</v>
      </c>
      <c r="G934" s="43" t="s">
        <v>77</v>
      </c>
      <c r="H934" s="441">
        <f t="shared" si="53"/>
        <v>0.23436999999999999</v>
      </c>
      <c r="I934" s="15">
        <v>0.23436999999999999</v>
      </c>
      <c r="J934" s="15">
        <v>0.23436999999999999</v>
      </c>
    </row>
    <row r="935" spans="3:10" ht="5.25" customHeight="1" x14ac:dyDescent="0.35">
      <c r="H935" s="441"/>
      <c r="I935" s="32"/>
      <c r="J935" s="32"/>
    </row>
    <row r="936" spans="3:10" ht="15" customHeight="1" x14ac:dyDescent="0.35">
      <c r="C936" s="2" t="s">
        <v>523</v>
      </c>
      <c r="H936" s="441"/>
      <c r="I936" s="32"/>
      <c r="J936" s="32"/>
    </row>
    <row r="937" spans="3:10" ht="5.25" customHeight="1" x14ac:dyDescent="0.35">
      <c r="H937" s="441"/>
      <c r="I937" s="32"/>
      <c r="J937" s="32"/>
    </row>
    <row r="938" spans="3:10" ht="15" customHeight="1" x14ac:dyDescent="0.35">
      <c r="E938" s="4" t="s">
        <v>559</v>
      </c>
      <c r="F938" s="4" t="s">
        <v>560</v>
      </c>
      <c r="G938" s="43" t="s">
        <v>77</v>
      </c>
      <c r="H938" s="441">
        <f t="shared" ref="H938:H944" si="54">IF($H$10=$I$6, $I938, $J938)</f>
        <v>0</v>
      </c>
      <c r="I938" s="15">
        <v>0</v>
      </c>
      <c r="J938" s="15">
        <v>0</v>
      </c>
    </row>
    <row r="939" spans="3:10" ht="15" customHeight="1" x14ac:dyDescent="0.35">
      <c r="E939" s="4" t="s">
        <v>561</v>
      </c>
      <c r="F939" s="4" t="s">
        <v>560</v>
      </c>
      <c r="G939" s="43" t="s">
        <v>77</v>
      </c>
      <c r="H939" s="441">
        <f t="shared" si="54"/>
        <v>1.01E-3</v>
      </c>
      <c r="I939" s="15">
        <v>1.01E-3</v>
      </c>
      <c r="J939" s="15">
        <v>1.01E-3</v>
      </c>
    </row>
    <row r="940" spans="3:10" ht="15" customHeight="1" x14ac:dyDescent="0.35">
      <c r="E940" s="4" t="s">
        <v>562</v>
      </c>
      <c r="F940" s="4" t="s">
        <v>560</v>
      </c>
      <c r="G940" s="43" t="s">
        <v>77</v>
      </c>
      <c r="H940" s="441">
        <f t="shared" si="54"/>
        <v>6.1999999999999998E-3</v>
      </c>
      <c r="I940" s="15">
        <v>6.1999999999999998E-3</v>
      </c>
      <c r="J940" s="15">
        <v>6.1999999999999998E-3</v>
      </c>
    </row>
    <row r="941" spans="3:10" ht="15" customHeight="1" x14ac:dyDescent="0.35">
      <c r="E941" s="4" t="s">
        <v>563</v>
      </c>
      <c r="F941" s="4" t="s">
        <v>560</v>
      </c>
      <c r="G941" s="43" t="s">
        <v>77</v>
      </c>
      <c r="H941" s="441">
        <f t="shared" si="54"/>
        <v>3.1910000000000001E-2</v>
      </c>
      <c r="I941" s="15">
        <v>3.1910000000000001E-2</v>
      </c>
      <c r="J941" s="15">
        <v>3.1910000000000001E-2</v>
      </c>
    </row>
    <row r="942" spans="3:10" ht="15" customHeight="1" x14ac:dyDescent="0.35">
      <c r="E942" s="4" t="s">
        <v>564</v>
      </c>
      <c r="F942" s="4" t="s">
        <v>560</v>
      </c>
      <c r="G942" s="43" t="s">
        <v>77</v>
      </c>
      <c r="H942" s="441">
        <f t="shared" si="54"/>
        <v>0.10897999999999999</v>
      </c>
      <c r="I942" s="15">
        <v>0.10897999999999999</v>
      </c>
      <c r="J942" s="15">
        <v>0.10897999999999999</v>
      </c>
    </row>
    <row r="943" spans="3:10" ht="15" customHeight="1" x14ac:dyDescent="0.35">
      <c r="E943" s="4" t="s">
        <v>565</v>
      </c>
      <c r="F943" s="4" t="s">
        <v>560</v>
      </c>
      <c r="G943" s="43" t="s">
        <v>77</v>
      </c>
      <c r="H943" s="441">
        <f t="shared" si="54"/>
        <v>0.76842999999999995</v>
      </c>
      <c r="I943" s="15">
        <v>0.76842999999999995</v>
      </c>
      <c r="J943" s="15">
        <v>0.76842999999999995</v>
      </c>
    </row>
    <row r="944" spans="3:10" ht="15" customHeight="1" x14ac:dyDescent="0.35">
      <c r="E944" s="4" t="s">
        <v>566</v>
      </c>
      <c r="F944" s="4" t="s">
        <v>560</v>
      </c>
      <c r="G944" s="43" t="s">
        <v>77</v>
      </c>
      <c r="H944" s="441">
        <f t="shared" si="54"/>
        <v>8.3470000000000003E-2</v>
      </c>
      <c r="I944" s="15">
        <v>8.3470000000000003E-2</v>
      </c>
      <c r="J944" s="15">
        <v>8.3470000000000003E-2</v>
      </c>
    </row>
    <row r="945" spans="3:10" ht="5.25" customHeight="1" x14ac:dyDescent="0.35">
      <c r="H945" s="441"/>
      <c r="I945" s="32"/>
      <c r="J945" s="32"/>
    </row>
    <row r="946" spans="3:10" ht="15" customHeight="1" x14ac:dyDescent="0.35">
      <c r="C946" s="2" t="s">
        <v>524</v>
      </c>
      <c r="H946" s="441"/>
      <c r="I946" s="32"/>
      <c r="J946" s="32"/>
    </row>
    <row r="947" spans="3:10" ht="5.25" customHeight="1" x14ac:dyDescent="0.35">
      <c r="H947" s="441"/>
      <c r="I947" s="32"/>
      <c r="J947" s="32"/>
    </row>
    <row r="948" spans="3:10" ht="15" customHeight="1" x14ac:dyDescent="0.35">
      <c r="E948" s="4" t="s">
        <v>559</v>
      </c>
      <c r="F948" s="4" t="s">
        <v>560</v>
      </c>
      <c r="G948" s="43" t="s">
        <v>77</v>
      </c>
      <c r="H948" s="441">
        <f t="shared" ref="H948:H954" si="55">IF($H$10=$I$6, $I948, $J948)</f>
        <v>0</v>
      </c>
      <c r="I948" s="15">
        <v>0</v>
      </c>
      <c r="J948" s="15">
        <v>0</v>
      </c>
    </row>
    <row r="949" spans="3:10" ht="15" customHeight="1" x14ac:dyDescent="0.35">
      <c r="E949" s="4" t="s">
        <v>561</v>
      </c>
      <c r="F949" s="4" t="s">
        <v>560</v>
      </c>
      <c r="G949" s="43" t="s">
        <v>77</v>
      </c>
      <c r="H949" s="441">
        <f t="shared" si="55"/>
        <v>1.7829999999999999E-2</v>
      </c>
      <c r="I949" s="15">
        <v>1.7829999999999999E-2</v>
      </c>
      <c r="J949" s="15">
        <v>1.7829999999999999E-2</v>
      </c>
    </row>
    <row r="950" spans="3:10" ht="15" customHeight="1" x14ac:dyDescent="0.35">
      <c r="E950" s="4" t="s">
        <v>562</v>
      </c>
      <c r="F950" s="4" t="s">
        <v>560</v>
      </c>
      <c r="G950" s="43" t="s">
        <v>77</v>
      </c>
      <c r="H950" s="441">
        <f t="shared" si="55"/>
        <v>3.986E-2</v>
      </c>
      <c r="I950" s="15">
        <v>3.986E-2</v>
      </c>
      <c r="J950" s="15">
        <v>3.986E-2</v>
      </c>
    </row>
    <row r="951" spans="3:10" ht="15" customHeight="1" x14ac:dyDescent="0.35">
      <c r="E951" s="4" t="s">
        <v>563</v>
      </c>
      <c r="F951" s="4" t="s">
        <v>560</v>
      </c>
      <c r="G951" s="43" t="s">
        <v>77</v>
      </c>
      <c r="H951" s="441">
        <f t="shared" si="55"/>
        <v>0.14437</v>
      </c>
      <c r="I951" s="15">
        <v>0.14437</v>
      </c>
      <c r="J951" s="15">
        <v>0.14437</v>
      </c>
    </row>
    <row r="952" spans="3:10" ht="15" customHeight="1" x14ac:dyDescent="0.35">
      <c r="E952" s="4" t="s">
        <v>564</v>
      </c>
      <c r="F952" s="4" t="s">
        <v>560</v>
      </c>
      <c r="G952" s="43" t="s">
        <v>77</v>
      </c>
      <c r="H952" s="441">
        <f t="shared" si="55"/>
        <v>0.20907999999999999</v>
      </c>
      <c r="I952" s="15">
        <v>0.20907999999999999</v>
      </c>
      <c r="J952" s="15">
        <v>0.20907999999999999</v>
      </c>
    </row>
    <row r="953" spans="3:10" ht="15" customHeight="1" x14ac:dyDescent="0.35">
      <c r="E953" s="4" t="s">
        <v>565</v>
      </c>
      <c r="F953" s="4" t="s">
        <v>560</v>
      </c>
      <c r="G953" s="43" t="s">
        <v>77</v>
      </c>
      <c r="H953" s="441">
        <f t="shared" si="55"/>
        <v>0.55449000000000004</v>
      </c>
      <c r="I953" s="15">
        <v>0.55449000000000004</v>
      </c>
      <c r="J953" s="15">
        <v>0.55449000000000004</v>
      </c>
    </row>
    <row r="954" spans="3:10" ht="15" customHeight="1" x14ac:dyDescent="0.35">
      <c r="E954" s="4" t="s">
        <v>566</v>
      </c>
      <c r="F954" s="4" t="s">
        <v>560</v>
      </c>
      <c r="G954" s="43" t="s">
        <v>77</v>
      </c>
      <c r="H954" s="441">
        <f t="shared" si="55"/>
        <v>3.4369999999999998E-2</v>
      </c>
      <c r="I954" s="15">
        <v>3.4369999999999998E-2</v>
      </c>
      <c r="J954" s="15">
        <v>3.4369999999999998E-2</v>
      </c>
    </row>
    <row r="955" spans="3:10" ht="5.25" customHeight="1" x14ac:dyDescent="0.35">
      <c r="H955" s="441"/>
      <c r="I955" s="32"/>
      <c r="J955" s="32"/>
    </row>
    <row r="956" spans="3:10" ht="15" customHeight="1" x14ac:dyDescent="0.35">
      <c r="C956" s="2" t="s">
        <v>567</v>
      </c>
      <c r="H956" s="441"/>
      <c r="I956" s="32"/>
      <c r="J956" s="32"/>
    </row>
    <row r="958" spans="3:10" ht="15" customHeight="1" x14ac:dyDescent="0.35">
      <c r="E958" s="4" t="s">
        <v>559</v>
      </c>
      <c r="F958" s="4" t="s">
        <v>560</v>
      </c>
      <c r="G958" s="43" t="s">
        <v>77</v>
      </c>
      <c r="H958" s="441">
        <f t="shared" ref="H958:H964" si="56">IF($H$10=$I$6, $I958, $J958)</f>
        <v>1</v>
      </c>
      <c r="I958" s="15">
        <v>1</v>
      </c>
      <c r="J958" s="15">
        <v>1</v>
      </c>
    </row>
    <row r="959" spans="3:10" ht="15" customHeight="1" x14ac:dyDescent="0.35">
      <c r="E959" s="4" t="s">
        <v>561</v>
      </c>
      <c r="F959" s="4" t="s">
        <v>560</v>
      </c>
      <c r="G959" s="43" t="s">
        <v>77</v>
      </c>
      <c r="H959" s="441">
        <f t="shared" si="56"/>
        <v>0</v>
      </c>
      <c r="I959" s="15">
        <v>0</v>
      </c>
      <c r="J959" s="15">
        <v>0</v>
      </c>
    </row>
    <row r="960" spans="3:10" ht="15" customHeight="1" x14ac:dyDescent="0.35">
      <c r="E960" s="4" t="s">
        <v>562</v>
      </c>
      <c r="F960" s="4" t="s">
        <v>560</v>
      </c>
      <c r="G960" s="43" t="s">
        <v>77</v>
      </c>
      <c r="H960" s="441">
        <f t="shared" si="56"/>
        <v>0</v>
      </c>
      <c r="I960" s="15">
        <v>0</v>
      </c>
      <c r="J960" s="15">
        <v>0</v>
      </c>
    </row>
    <row r="961" spans="3:11" ht="15" customHeight="1" x14ac:dyDescent="0.35">
      <c r="E961" s="4" t="s">
        <v>563</v>
      </c>
      <c r="F961" s="4" t="s">
        <v>560</v>
      </c>
      <c r="G961" s="43" t="s">
        <v>77</v>
      </c>
      <c r="H961" s="441">
        <f t="shared" si="56"/>
        <v>0</v>
      </c>
      <c r="I961" s="15">
        <v>0</v>
      </c>
      <c r="J961" s="15">
        <v>0</v>
      </c>
    </row>
    <row r="962" spans="3:11" ht="15" customHeight="1" x14ac:dyDescent="0.35">
      <c r="E962" s="4" t="s">
        <v>564</v>
      </c>
      <c r="F962" s="4" t="s">
        <v>560</v>
      </c>
      <c r="G962" s="43" t="s">
        <v>77</v>
      </c>
      <c r="H962" s="441">
        <f t="shared" si="56"/>
        <v>0</v>
      </c>
      <c r="I962" s="15">
        <v>0</v>
      </c>
      <c r="J962" s="15">
        <v>0</v>
      </c>
    </row>
    <row r="963" spans="3:11" ht="15" customHeight="1" x14ac:dyDescent="0.35">
      <c r="E963" s="4" t="s">
        <v>565</v>
      </c>
      <c r="F963" s="4" t="s">
        <v>560</v>
      </c>
      <c r="G963" s="43" t="s">
        <v>77</v>
      </c>
      <c r="H963" s="441">
        <f t="shared" si="56"/>
        <v>0</v>
      </c>
      <c r="I963" s="15">
        <v>0</v>
      </c>
      <c r="J963" s="15">
        <v>0</v>
      </c>
    </row>
    <row r="964" spans="3:11" ht="15" customHeight="1" x14ac:dyDescent="0.35">
      <c r="E964" s="4" t="s">
        <v>566</v>
      </c>
      <c r="F964" s="4" t="s">
        <v>560</v>
      </c>
      <c r="G964" s="43" t="s">
        <v>77</v>
      </c>
      <c r="H964" s="441">
        <f t="shared" si="56"/>
        <v>0</v>
      </c>
      <c r="I964" s="15">
        <v>0</v>
      </c>
      <c r="J964" s="15">
        <v>0</v>
      </c>
    </row>
    <row r="965" spans="3:11" ht="5.25" customHeight="1" x14ac:dyDescent="0.35">
      <c r="H965" s="441"/>
      <c r="I965" s="32"/>
      <c r="J965" s="32"/>
    </row>
    <row r="966" spans="3:11" ht="15" customHeight="1" x14ac:dyDescent="0.35">
      <c r="C966" s="2" t="s">
        <v>526</v>
      </c>
      <c r="H966" s="441"/>
      <c r="I966" s="32"/>
      <c r="J966" s="32"/>
    </row>
    <row r="967" spans="3:11" ht="5.25" customHeight="1" x14ac:dyDescent="0.35">
      <c r="H967" s="441"/>
      <c r="I967" s="32"/>
      <c r="J967" s="32"/>
    </row>
    <row r="968" spans="3:11" ht="15" customHeight="1" x14ac:dyDescent="0.35">
      <c r="E968" s="4" t="s">
        <v>559</v>
      </c>
      <c r="F968" s="4" t="s">
        <v>560</v>
      </c>
      <c r="G968" s="43" t="s">
        <v>77</v>
      </c>
      <c r="H968" s="441">
        <f t="shared" ref="H968:H974" si="57">IF($H$10=$I$6, $I968, $J968)</f>
        <v>0</v>
      </c>
      <c r="I968" s="15">
        <v>0</v>
      </c>
      <c r="J968" s="15">
        <v>0</v>
      </c>
    </row>
    <row r="969" spans="3:11" ht="15" customHeight="1" x14ac:dyDescent="0.35">
      <c r="E969" s="4" t="s">
        <v>561</v>
      </c>
      <c r="F969" s="4" t="s">
        <v>560</v>
      </c>
      <c r="G969" s="43" t="s">
        <v>77</v>
      </c>
      <c r="H969" s="441">
        <f t="shared" si="57"/>
        <v>1.034E-2</v>
      </c>
      <c r="I969" s="15">
        <v>1.034E-2</v>
      </c>
      <c r="J969" s="15">
        <v>1.034E-2</v>
      </c>
    </row>
    <row r="970" spans="3:11" ht="15" customHeight="1" x14ac:dyDescent="0.35">
      <c r="E970" s="4" t="s">
        <v>562</v>
      </c>
      <c r="F970" s="4" t="s">
        <v>560</v>
      </c>
      <c r="G970" s="43" t="s">
        <v>77</v>
      </c>
      <c r="H970" s="441">
        <f t="shared" si="57"/>
        <v>4.4200000000000003E-3</v>
      </c>
      <c r="I970" s="15">
        <v>4.4200000000000003E-3</v>
      </c>
      <c r="J970" s="15">
        <v>4.4200000000000003E-3</v>
      </c>
    </row>
    <row r="971" spans="3:11" ht="15" customHeight="1" x14ac:dyDescent="0.35">
      <c r="E971" s="4" t="s">
        <v>563</v>
      </c>
      <c r="F971" s="4" t="s">
        <v>560</v>
      </c>
      <c r="G971" s="43" t="s">
        <v>77</v>
      </c>
      <c r="H971" s="441">
        <f t="shared" si="57"/>
        <v>3.8580000000000003E-2</v>
      </c>
      <c r="I971" s="15">
        <v>3.8580000000000003E-2</v>
      </c>
      <c r="J971" s="15">
        <v>3.8580000000000003E-2</v>
      </c>
    </row>
    <row r="972" spans="3:11" ht="15" customHeight="1" x14ac:dyDescent="0.35">
      <c r="E972" s="4" t="s">
        <v>564</v>
      </c>
      <c r="F972" s="4" t="s">
        <v>560</v>
      </c>
      <c r="G972" s="43" t="s">
        <v>77</v>
      </c>
      <c r="H972" s="441">
        <f t="shared" si="57"/>
        <v>0.104</v>
      </c>
      <c r="I972" s="15">
        <v>0.104</v>
      </c>
      <c r="J972" s="15">
        <v>0.104</v>
      </c>
    </row>
    <row r="973" spans="3:11" ht="15" customHeight="1" x14ac:dyDescent="0.35">
      <c r="E973" s="4" t="s">
        <v>565</v>
      </c>
      <c r="F973" s="4" t="s">
        <v>560</v>
      </c>
      <c r="G973" s="43" t="s">
        <v>77</v>
      </c>
      <c r="H973" s="441">
        <f t="shared" si="57"/>
        <v>0.62727999999999995</v>
      </c>
      <c r="I973" s="15">
        <v>0.62727999999999995</v>
      </c>
      <c r="J973" s="15">
        <v>0.62727999999999995</v>
      </c>
      <c r="K973" s="10"/>
    </row>
    <row r="974" spans="3:11" ht="15" customHeight="1" x14ac:dyDescent="0.35">
      <c r="E974" s="4" t="s">
        <v>566</v>
      </c>
      <c r="F974" s="4" t="s">
        <v>560</v>
      </c>
      <c r="G974" s="43" t="s">
        <v>77</v>
      </c>
      <c r="H974" s="441">
        <f t="shared" si="57"/>
        <v>0.21537999999999999</v>
      </c>
      <c r="I974" s="15">
        <v>0.21537999999999999</v>
      </c>
      <c r="J974" s="15">
        <v>0.21537999999999999</v>
      </c>
      <c r="K974" s="10"/>
    </row>
    <row r="975" spans="3:11" ht="5.25" customHeight="1" x14ac:dyDescent="0.35">
      <c r="H975" s="441"/>
      <c r="I975" s="119"/>
      <c r="J975" s="119"/>
      <c r="K975" s="10"/>
    </row>
    <row r="976" spans="3:11" ht="15" customHeight="1" x14ac:dyDescent="0.35">
      <c r="C976" s="2" t="s">
        <v>568</v>
      </c>
      <c r="H976" s="441"/>
      <c r="I976" s="119"/>
      <c r="J976" s="119"/>
      <c r="K976" s="10"/>
    </row>
    <row r="977" spans="1:11" ht="5.25" customHeight="1" x14ac:dyDescent="0.35">
      <c r="H977" s="441"/>
      <c r="I977" s="32"/>
      <c r="J977" s="32"/>
      <c r="K977" s="10"/>
    </row>
    <row r="978" spans="1:11" ht="15" customHeight="1" x14ac:dyDescent="0.35">
      <c r="E978" s="4" t="s">
        <v>559</v>
      </c>
      <c r="F978" s="4" t="s">
        <v>560</v>
      </c>
      <c r="G978" s="43" t="s">
        <v>77</v>
      </c>
      <c r="H978" s="441">
        <f t="shared" ref="H978:H984" si="58">IF($H$10=$I$6, $I978, $J978)</f>
        <v>0</v>
      </c>
      <c r="I978" s="15">
        <v>0</v>
      </c>
      <c r="J978" s="15">
        <v>0</v>
      </c>
      <c r="K978" s="10"/>
    </row>
    <row r="979" spans="1:11" ht="15" customHeight="1" x14ac:dyDescent="0.35">
      <c r="E979" s="4" t="s">
        <v>561</v>
      </c>
      <c r="F979" s="4" t="s">
        <v>560</v>
      </c>
      <c r="G979" s="43" t="s">
        <v>77</v>
      </c>
      <c r="H979" s="441">
        <f t="shared" si="58"/>
        <v>2.7899999999999999E-3</v>
      </c>
      <c r="I979" s="15">
        <v>2.7899999999999999E-3</v>
      </c>
      <c r="J979" s="15">
        <v>2.7899999999999999E-3</v>
      </c>
      <c r="K979" s="10"/>
    </row>
    <row r="980" spans="1:11" ht="15" customHeight="1" x14ac:dyDescent="0.35">
      <c r="E980" s="4" t="s">
        <v>562</v>
      </c>
      <c r="F980" s="4" t="s">
        <v>560</v>
      </c>
      <c r="G980" s="43" t="s">
        <v>77</v>
      </c>
      <c r="H980" s="441">
        <f t="shared" si="58"/>
        <v>6.1700000000000001E-3</v>
      </c>
      <c r="I980" s="15">
        <v>6.1700000000000001E-3</v>
      </c>
      <c r="J980" s="15">
        <v>6.1700000000000001E-3</v>
      </c>
      <c r="K980" s="10"/>
    </row>
    <row r="981" spans="1:11" ht="15" customHeight="1" x14ac:dyDescent="0.35">
      <c r="E981" s="4" t="s">
        <v>563</v>
      </c>
      <c r="F981" s="4" t="s">
        <v>560</v>
      </c>
      <c r="G981" s="43" t="s">
        <v>77</v>
      </c>
      <c r="H981" s="441">
        <f t="shared" si="58"/>
        <v>4.8169999999999998E-2</v>
      </c>
      <c r="I981" s="15">
        <v>4.8169999999999998E-2</v>
      </c>
      <c r="J981" s="15">
        <v>4.8169999999999998E-2</v>
      </c>
      <c r="K981" s="10"/>
    </row>
    <row r="982" spans="1:11" ht="15" customHeight="1" x14ac:dyDescent="0.35">
      <c r="E982" s="4" t="s">
        <v>564</v>
      </c>
      <c r="F982" s="4" t="s">
        <v>560</v>
      </c>
      <c r="G982" s="43" t="s">
        <v>77</v>
      </c>
      <c r="H982" s="441">
        <f t="shared" si="58"/>
        <v>8.8719999999999993E-2</v>
      </c>
      <c r="I982" s="15">
        <v>8.8719999999999993E-2</v>
      </c>
      <c r="J982" s="15">
        <v>8.8719999999999993E-2</v>
      </c>
      <c r="K982" s="10"/>
    </row>
    <row r="983" spans="1:11" ht="15" customHeight="1" x14ac:dyDescent="0.35">
      <c r="E983" s="4" t="s">
        <v>565</v>
      </c>
      <c r="F983" s="4" t="s">
        <v>560</v>
      </c>
      <c r="G983" s="43" t="s">
        <v>77</v>
      </c>
      <c r="H983" s="441">
        <f t="shared" si="58"/>
        <v>0.41738999999999998</v>
      </c>
      <c r="I983" s="15">
        <v>0.41738999999999998</v>
      </c>
      <c r="J983" s="15">
        <v>0.41738999999999998</v>
      </c>
      <c r="K983" s="10"/>
    </row>
    <row r="984" spans="1:11" ht="15" customHeight="1" x14ac:dyDescent="0.35">
      <c r="E984" s="4" t="s">
        <v>566</v>
      </c>
      <c r="F984" s="4" t="s">
        <v>560</v>
      </c>
      <c r="G984" s="43" t="s">
        <v>77</v>
      </c>
      <c r="H984" s="441">
        <f t="shared" si="58"/>
        <v>0.43675999999999998</v>
      </c>
      <c r="I984" s="201">
        <v>0.43675999999999998</v>
      </c>
      <c r="J984" s="15">
        <v>0.43675999999999998</v>
      </c>
      <c r="K984" s="10"/>
    </row>
    <row r="985" spans="1:11" ht="5.25" customHeight="1" x14ac:dyDescent="0.35">
      <c r="A985" s="126"/>
      <c r="B985" s="205"/>
      <c r="C985" s="206"/>
      <c r="D985" s="126"/>
      <c r="E985" s="126"/>
      <c r="F985" s="126"/>
      <c r="G985" s="216"/>
      <c r="H985" s="477"/>
      <c r="I985" s="207"/>
      <c r="J985" s="207"/>
      <c r="K985" s="208"/>
    </row>
    <row r="986" spans="1:11" ht="14.5" x14ac:dyDescent="0.35">
      <c r="A986" s="672" t="s">
        <v>569</v>
      </c>
      <c r="B986" s="673"/>
      <c r="C986" s="673"/>
      <c r="D986" s="673"/>
      <c r="E986" s="673"/>
      <c r="F986" s="673"/>
      <c r="G986" s="673"/>
      <c r="H986" s="673"/>
      <c r="I986" s="673"/>
      <c r="J986" s="673"/>
      <c r="K986" s="674"/>
    </row>
    <row r="987" spans="1:11" ht="5.25" customHeight="1" x14ac:dyDescent="0.35">
      <c r="A987" s="209"/>
      <c r="B987" s="210"/>
      <c r="C987" s="211"/>
      <c r="D987" s="209"/>
      <c r="E987" s="209"/>
      <c r="F987" s="209"/>
      <c r="G987" s="215"/>
      <c r="H987" s="478"/>
      <c r="I987" s="212"/>
      <c r="J987" s="212"/>
      <c r="K987" s="213"/>
    </row>
    <row r="988" spans="1:11" ht="15" customHeight="1" x14ac:dyDescent="0.35">
      <c r="C988" s="1" t="s">
        <v>570</v>
      </c>
      <c r="I988" s="8" t="s">
        <v>128</v>
      </c>
      <c r="J988" s="8" t="s">
        <v>129</v>
      </c>
      <c r="K988" s="10"/>
    </row>
    <row r="990" spans="1:11" ht="15" customHeight="1" x14ac:dyDescent="0.35">
      <c r="E990" s="4" t="s">
        <v>407</v>
      </c>
      <c r="F990" s="10" t="s">
        <v>571</v>
      </c>
      <c r="G990" s="43" t="s">
        <v>572</v>
      </c>
      <c r="I990" s="202">
        <v>0.31</v>
      </c>
      <c r="J990" s="202">
        <v>0.32750000000000001</v>
      </c>
    </row>
    <row r="991" spans="1:11" ht="15" customHeight="1" x14ac:dyDescent="0.35">
      <c r="E991" s="4" t="s">
        <v>409</v>
      </c>
      <c r="F991" s="10" t="s">
        <v>571</v>
      </c>
      <c r="G991" s="43" t="s">
        <v>572</v>
      </c>
      <c r="I991" s="202">
        <v>8.9499999999999996E-2</v>
      </c>
      <c r="J991" s="202">
        <v>8.9499999999999996E-2</v>
      </c>
    </row>
    <row r="992" spans="1:11" ht="15" customHeight="1" x14ac:dyDescent="0.35">
      <c r="E992" s="4" t="s">
        <v>410</v>
      </c>
      <c r="F992" s="10" t="s">
        <v>571</v>
      </c>
      <c r="G992" s="43" t="s">
        <v>572</v>
      </c>
      <c r="I992" s="202">
        <v>0.19</v>
      </c>
      <c r="J992" s="202">
        <v>0.19</v>
      </c>
    </row>
    <row r="993" spans="5:10" ht="15" customHeight="1" x14ac:dyDescent="0.35">
      <c r="E993" s="4" t="s">
        <v>411</v>
      </c>
      <c r="F993" s="10" t="s">
        <v>571</v>
      </c>
      <c r="G993" s="43" t="s">
        <v>572</v>
      </c>
      <c r="I993" s="202">
        <v>0.25</v>
      </c>
      <c r="J993" s="202">
        <v>0.28799999999999998</v>
      </c>
    </row>
    <row r="994" spans="5:10" ht="15" customHeight="1" x14ac:dyDescent="0.35">
      <c r="E994" s="4" t="s">
        <v>412</v>
      </c>
      <c r="F994" s="10" t="s">
        <v>571</v>
      </c>
      <c r="G994" s="43" t="s">
        <v>572</v>
      </c>
      <c r="I994" s="202">
        <v>0.70919999999999994</v>
      </c>
      <c r="J994" s="202">
        <v>0.87319999999999998</v>
      </c>
    </row>
    <row r="995" spans="5:10" ht="15" customHeight="1" x14ac:dyDescent="0.35">
      <c r="E995" s="4" t="s">
        <v>413</v>
      </c>
      <c r="F995" s="10" t="s">
        <v>571</v>
      </c>
      <c r="G995" s="43" t="s">
        <v>572</v>
      </c>
      <c r="I995" s="299">
        <v>0.29175000000000001</v>
      </c>
      <c r="J995" s="299">
        <v>0.34675</v>
      </c>
    </row>
    <row r="996" spans="5:10" ht="15" customHeight="1" x14ac:dyDescent="0.35">
      <c r="E996" s="4" t="s">
        <v>414</v>
      </c>
      <c r="F996" s="10" t="s">
        <v>571</v>
      </c>
      <c r="G996" s="43" t="s">
        <v>572</v>
      </c>
      <c r="I996" s="299">
        <v>0.25</v>
      </c>
      <c r="J996" s="299">
        <v>0.48899999999999999</v>
      </c>
    </row>
    <row r="997" spans="5:10" ht="15" customHeight="1" x14ac:dyDescent="0.35">
      <c r="E997" s="4" t="s">
        <v>415</v>
      </c>
      <c r="F997" s="10" t="s">
        <v>571</v>
      </c>
      <c r="G997" s="43" t="s">
        <v>572</v>
      </c>
      <c r="I997" s="299">
        <v>0.23</v>
      </c>
      <c r="J997" s="299">
        <v>0.22</v>
      </c>
    </row>
    <row r="998" spans="5:10" ht="15" customHeight="1" x14ac:dyDescent="0.35">
      <c r="E998" s="4" t="s">
        <v>416</v>
      </c>
      <c r="F998" s="10" t="s">
        <v>571</v>
      </c>
      <c r="G998" s="43" t="s">
        <v>572</v>
      </c>
      <c r="I998" s="299">
        <v>0.35299999999999998</v>
      </c>
      <c r="J998" s="299">
        <v>0.35299999999999998</v>
      </c>
    </row>
    <row r="999" spans="5:10" ht="15" customHeight="1" x14ac:dyDescent="0.35">
      <c r="E999" s="4" t="s">
        <v>417</v>
      </c>
      <c r="F999" s="10" t="s">
        <v>571</v>
      </c>
      <c r="G999" s="43" t="s">
        <v>572</v>
      </c>
      <c r="I999" s="299">
        <v>0.39395999999999998</v>
      </c>
      <c r="J999" s="299">
        <v>0.40271000000000001</v>
      </c>
    </row>
    <row r="1000" spans="5:10" ht="15" customHeight="1" x14ac:dyDescent="0.35">
      <c r="E1000" s="4" t="s">
        <v>418</v>
      </c>
      <c r="F1000" s="10" t="s">
        <v>571</v>
      </c>
      <c r="G1000" s="43" t="s">
        <v>572</v>
      </c>
      <c r="I1000" s="299">
        <v>0.33850000000000002</v>
      </c>
      <c r="J1000" s="299">
        <v>0.3785</v>
      </c>
    </row>
    <row r="1001" spans="5:10" ht="15" customHeight="1" x14ac:dyDescent="0.35">
      <c r="E1001" s="4" t="s">
        <v>419</v>
      </c>
      <c r="F1001" s="10" t="s">
        <v>571</v>
      </c>
      <c r="G1001" s="43" t="s">
        <v>572</v>
      </c>
      <c r="I1001" s="299">
        <v>0.185</v>
      </c>
      <c r="J1001" s="299">
        <v>0.185</v>
      </c>
    </row>
    <row r="1002" spans="5:10" ht="15" customHeight="1" x14ac:dyDescent="0.35">
      <c r="E1002" s="4" t="s">
        <v>420</v>
      </c>
      <c r="F1002" s="10" t="s">
        <v>571</v>
      </c>
      <c r="G1002" s="43" t="s">
        <v>572</v>
      </c>
      <c r="I1002" s="299">
        <v>0.33</v>
      </c>
      <c r="J1002" s="299">
        <v>0.33</v>
      </c>
    </row>
    <row r="1003" spans="5:10" ht="15" customHeight="1" x14ac:dyDescent="0.35">
      <c r="E1003" s="4" t="s">
        <v>421</v>
      </c>
      <c r="F1003" s="10" t="s">
        <v>571</v>
      </c>
      <c r="G1003" s="43" t="s">
        <v>572</v>
      </c>
      <c r="I1003" s="299">
        <v>0.66400000000000003</v>
      </c>
      <c r="J1003" s="299">
        <v>0.7390000000000001</v>
      </c>
    </row>
    <row r="1004" spans="5:10" ht="15" customHeight="1" x14ac:dyDescent="0.35">
      <c r="E1004" s="4" t="s">
        <v>422</v>
      </c>
      <c r="F1004" s="10" t="s">
        <v>571</v>
      </c>
      <c r="G1004" s="43" t="s">
        <v>572</v>
      </c>
      <c r="I1004" s="299">
        <v>0.54499999999999993</v>
      </c>
      <c r="J1004" s="299">
        <v>0.62</v>
      </c>
    </row>
    <row r="1005" spans="5:10" ht="15" customHeight="1" x14ac:dyDescent="0.35">
      <c r="E1005" s="4" t="s">
        <v>423</v>
      </c>
      <c r="F1005" s="10" t="s">
        <v>571</v>
      </c>
      <c r="G1005" s="43" t="s">
        <v>572</v>
      </c>
      <c r="I1005" s="299">
        <v>0.3</v>
      </c>
      <c r="J1005" s="299">
        <v>0.32500000000000001</v>
      </c>
    </row>
    <row r="1006" spans="5:10" ht="15" customHeight="1" x14ac:dyDescent="0.35">
      <c r="E1006" s="4" t="s">
        <v>424</v>
      </c>
      <c r="F1006" s="10" t="s">
        <v>571</v>
      </c>
      <c r="G1006" s="43" t="s">
        <v>572</v>
      </c>
      <c r="I1006" s="299">
        <v>0.25040000000000001</v>
      </c>
      <c r="J1006" s="299">
        <v>0.27029999999999998</v>
      </c>
    </row>
    <row r="1007" spans="5:10" ht="15" customHeight="1" x14ac:dyDescent="0.35">
      <c r="E1007" s="4" t="s">
        <v>425</v>
      </c>
      <c r="F1007" s="10" t="s">
        <v>571</v>
      </c>
      <c r="G1007" s="43" t="s">
        <v>572</v>
      </c>
      <c r="I1007" s="299">
        <v>0.26400000000000001</v>
      </c>
      <c r="J1007" s="299">
        <v>0.23400000000000001</v>
      </c>
    </row>
    <row r="1008" spans="5:10" ht="15" customHeight="1" x14ac:dyDescent="0.35">
      <c r="E1008" s="4" t="s">
        <v>426</v>
      </c>
      <c r="F1008" s="10" t="s">
        <v>571</v>
      </c>
      <c r="G1008" s="43" t="s">
        <v>572</v>
      </c>
      <c r="I1008" s="299">
        <v>0.20925000000000002</v>
      </c>
      <c r="J1008" s="299">
        <v>0.20925000000000002</v>
      </c>
    </row>
    <row r="1009" spans="5:10" ht="15" customHeight="1" x14ac:dyDescent="0.35">
      <c r="E1009" s="4" t="s">
        <v>427</v>
      </c>
      <c r="F1009" s="10" t="s">
        <v>571</v>
      </c>
      <c r="G1009" s="43" t="s">
        <v>572</v>
      </c>
      <c r="I1009" s="299">
        <v>0.31404759999999998</v>
      </c>
      <c r="J1009" s="299">
        <v>0.31869999999999998</v>
      </c>
    </row>
    <row r="1010" spans="5:10" ht="15" customHeight="1" x14ac:dyDescent="0.35">
      <c r="E1010" s="4" t="s">
        <v>428</v>
      </c>
      <c r="F1010" s="10" t="s">
        <v>571</v>
      </c>
      <c r="G1010" s="43" t="s">
        <v>572</v>
      </c>
      <c r="I1010" s="299">
        <v>0.46190000000000003</v>
      </c>
      <c r="J1010" s="299">
        <v>0.46940000000000004</v>
      </c>
    </row>
    <row r="1011" spans="5:10" ht="15" customHeight="1" x14ac:dyDescent="0.35">
      <c r="E1011" s="4" t="s">
        <v>429</v>
      </c>
      <c r="F1011" s="10" t="s">
        <v>571</v>
      </c>
      <c r="G1011" s="43" t="s">
        <v>572</v>
      </c>
      <c r="I1011" s="299">
        <v>0.274704</v>
      </c>
      <c r="J1011" s="299">
        <v>0.274704</v>
      </c>
    </row>
    <row r="1012" spans="5:10" ht="15" customHeight="1" x14ac:dyDescent="0.35">
      <c r="E1012" s="4" t="s">
        <v>430</v>
      </c>
      <c r="F1012" s="10" t="s">
        <v>571</v>
      </c>
      <c r="G1012" s="43" t="s">
        <v>572</v>
      </c>
      <c r="I1012" s="299">
        <v>0.48199999999999998</v>
      </c>
      <c r="J1012" s="299">
        <v>0.499</v>
      </c>
    </row>
    <row r="1013" spans="5:10" ht="15" customHeight="1" x14ac:dyDescent="0.35">
      <c r="E1013" s="4" t="s">
        <v>431</v>
      </c>
      <c r="F1013" s="10" t="s">
        <v>571</v>
      </c>
      <c r="G1013" s="43" t="s">
        <v>572</v>
      </c>
      <c r="I1013" s="299">
        <v>0.31899999999999995</v>
      </c>
      <c r="J1013" s="299">
        <v>0.31899999999999995</v>
      </c>
    </row>
    <row r="1014" spans="5:10" ht="15" customHeight="1" x14ac:dyDescent="0.35">
      <c r="E1014" s="4" t="s">
        <v>432</v>
      </c>
      <c r="F1014" s="10" t="s">
        <v>571</v>
      </c>
      <c r="G1014" s="43" t="s">
        <v>572</v>
      </c>
      <c r="I1014" s="299">
        <v>0.214</v>
      </c>
      <c r="J1014" s="299">
        <v>0.214</v>
      </c>
    </row>
    <row r="1015" spans="5:10" ht="15" customHeight="1" x14ac:dyDescent="0.35">
      <c r="E1015" s="4" t="s">
        <v>433</v>
      </c>
      <c r="F1015" s="10" t="s">
        <v>571</v>
      </c>
      <c r="G1015" s="43" t="s">
        <v>572</v>
      </c>
      <c r="I1015" s="299">
        <v>0.2999</v>
      </c>
      <c r="J1015" s="299">
        <v>0.2999</v>
      </c>
    </row>
    <row r="1016" spans="5:10" ht="15" customHeight="1" x14ac:dyDescent="0.35">
      <c r="E1016" s="4" t="s">
        <v>434</v>
      </c>
      <c r="F1016" s="10" t="s">
        <v>571</v>
      </c>
      <c r="G1016" s="43" t="s">
        <v>572</v>
      </c>
      <c r="I1016" s="299">
        <v>0.33750000000000002</v>
      </c>
      <c r="J1016" s="299">
        <v>0.30499999999999999</v>
      </c>
    </row>
    <row r="1017" spans="5:10" ht="15" customHeight="1" x14ac:dyDescent="0.35">
      <c r="E1017" s="4" t="s">
        <v>435</v>
      </c>
      <c r="F1017" s="10" t="s">
        <v>571</v>
      </c>
      <c r="G1017" s="43" t="s">
        <v>572</v>
      </c>
      <c r="I1017" s="299">
        <v>0.32700000000000001</v>
      </c>
      <c r="J1017" s="299">
        <v>0.32100000000000001</v>
      </c>
    </row>
    <row r="1018" spans="5:10" ht="15" customHeight="1" x14ac:dyDescent="0.35">
      <c r="E1018" s="4" t="s">
        <v>436</v>
      </c>
      <c r="F1018" s="10" t="s">
        <v>571</v>
      </c>
      <c r="G1018" s="43" t="s">
        <v>572</v>
      </c>
      <c r="I1018" s="299">
        <v>0.23805000000000001</v>
      </c>
      <c r="J1018" s="299">
        <v>0.27750000000000002</v>
      </c>
    </row>
    <row r="1019" spans="5:10" ht="15" customHeight="1" x14ac:dyDescent="0.35">
      <c r="E1019" s="4" t="s">
        <v>437</v>
      </c>
      <c r="F1019" s="10" t="s">
        <v>571</v>
      </c>
      <c r="G1019" s="43" t="s">
        <v>572</v>
      </c>
      <c r="I1019" s="299">
        <v>0.23825000000000002</v>
      </c>
      <c r="J1019" s="299">
        <v>0.23825000000000002</v>
      </c>
    </row>
    <row r="1020" spans="5:10" ht="15" customHeight="1" x14ac:dyDescent="0.35">
      <c r="E1020" s="4" t="s">
        <v>438</v>
      </c>
      <c r="F1020" s="10" t="s">
        <v>571</v>
      </c>
      <c r="G1020" s="43" t="s">
        <v>572</v>
      </c>
      <c r="I1020" s="299">
        <v>0.44949999999999996</v>
      </c>
      <c r="J1020" s="299">
        <v>0.51950000000000007</v>
      </c>
    </row>
    <row r="1021" spans="5:10" ht="15" customHeight="1" x14ac:dyDescent="0.35">
      <c r="E1021" s="4" t="s">
        <v>439</v>
      </c>
      <c r="F1021" s="10" t="s">
        <v>571</v>
      </c>
      <c r="G1021" s="43" t="s">
        <v>572</v>
      </c>
      <c r="I1021" s="299">
        <v>0.18875</v>
      </c>
      <c r="J1021" s="299">
        <v>0.22874999999999998</v>
      </c>
    </row>
    <row r="1022" spans="5:10" ht="15" customHeight="1" x14ac:dyDescent="0.35">
      <c r="E1022" s="4" t="s">
        <v>440</v>
      </c>
      <c r="F1022" s="10" t="s">
        <v>571</v>
      </c>
      <c r="G1022" s="43" t="s">
        <v>572</v>
      </c>
      <c r="I1022" s="299">
        <v>0.24871399999999999</v>
      </c>
      <c r="J1022" s="299">
        <v>0.23071399999999997</v>
      </c>
    </row>
    <row r="1023" spans="5:10" ht="15" customHeight="1" x14ac:dyDescent="0.35">
      <c r="E1023" s="4" t="s">
        <v>441</v>
      </c>
      <c r="F1023" s="10" t="s">
        <v>571</v>
      </c>
      <c r="G1023" s="43" t="s">
        <v>572</v>
      </c>
      <c r="I1023" s="299">
        <v>0.40550000000000003</v>
      </c>
      <c r="J1023" s="299">
        <v>0.40550000000000003</v>
      </c>
    </row>
    <row r="1024" spans="5:10" ht="15" customHeight="1" x14ac:dyDescent="0.35">
      <c r="E1024" s="4" t="s">
        <v>442</v>
      </c>
      <c r="F1024" s="10" t="s">
        <v>571</v>
      </c>
      <c r="G1024" s="43" t="s">
        <v>572</v>
      </c>
      <c r="I1024" s="299">
        <v>0.23025000000000001</v>
      </c>
      <c r="J1024" s="299">
        <v>0.23025000000000001</v>
      </c>
    </row>
    <row r="1025" spans="5:10" ht="15" customHeight="1" x14ac:dyDescent="0.35">
      <c r="E1025" s="4" t="s">
        <v>443</v>
      </c>
      <c r="F1025" s="10" t="s">
        <v>571</v>
      </c>
      <c r="G1025" s="43" t="s">
        <v>572</v>
      </c>
      <c r="I1025" s="299">
        <v>0.38500000000000001</v>
      </c>
      <c r="J1025" s="299">
        <v>0.47</v>
      </c>
    </row>
    <row r="1026" spans="5:10" ht="15" customHeight="1" x14ac:dyDescent="0.35">
      <c r="E1026" s="4" t="s">
        <v>444</v>
      </c>
      <c r="F1026" s="10" t="s">
        <v>571</v>
      </c>
      <c r="G1026" s="43" t="s">
        <v>572</v>
      </c>
      <c r="I1026" s="299">
        <v>0.2</v>
      </c>
      <c r="J1026" s="299">
        <v>0.2</v>
      </c>
    </row>
    <row r="1027" spans="5:10" ht="15" customHeight="1" x14ac:dyDescent="0.35">
      <c r="E1027" s="4" t="s">
        <v>445</v>
      </c>
      <c r="F1027" s="10" t="s">
        <v>571</v>
      </c>
      <c r="G1027" s="43" t="s">
        <v>572</v>
      </c>
      <c r="I1027" s="299">
        <v>0.4</v>
      </c>
      <c r="J1027" s="299">
        <v>0.4</v>
      </c>
    </row>
    <row r="1028" spans="5:10" ht="15" customHeight="1" x14ac:dyDescent="0.35">
      <c r="E1028" s="4" t="s">
        <v>446</v>
      </c>
      <c r="F1028" s="10" t="s">
        <v>571</v>
      </c>
      <c r="G1028" s="43" t="s">
        <v>572</v>
      </c>
      <c r="I1028" s="299">
        <v>0.58699999999999997</v>
      </c>
      <c r="J1028" s="299">
        <v>0.74099999999999999</v>
      </c>
    </row>
    <row r="1029" spans="5:10" ht="15" customHeight="1" x14ac:dyDescent="0.35">
      <c r="E1029" s="4" t="s">
        <v>448</v>
      </c>
      <c r="F1029" s="10" t="s">
        <v>571</v>
      </c>
      <c r="G1029" s="43" t="s">
        <v>572</v>
      </c>
      <c r="I1029" s="299">
        <v>0.41120000000000001</v>
      </c>
      <c r="J1029" s="299">
        <v>0.41120000000000001</v>
      </c>
    </row>
    <row r="1030" spans="5:10" ht="15" customHeight="1" x14ac:dyDescent="0.35">
      <c r="E1030" s="4" t="s">
        <v>449</v>
      </c>
      <c r="F1030" s="10" t="s">
        <v>571</v>
      </c>
      <c r="G1030" s="43" t="s">
        <v>572</v>
      </c>
      <c r="I1030" s="299">
        <v>0.28750000000000003</v>
      </c>
      <c r="J1030" s="299">
        <v>0.28750000000000003</v>
      </c>
    </row>
    <row r="1031" spans="5:10" ht="15" customHeight="1" x14ac:dyDescent="0.35">
      <c r="E1031" s="4" t="s">
        <v>450</v>
      </c>
      <c r="F1031" s="10" t="s">
        <v>571</v>
      </c>
      <c r="G1031" s="43" t="s">
        <v>572</v>
      </c>
      <c r="I1031" s="299">
        <v>0.30000000000000004</v>
      </c>
      <c r="J1031" s="299">
        <v>0.30000000000000004</v>
      </c>
    </row>
    <row r="1032" spans="5:10" ht="15" customHeight="1" x14ac:dyDescent="0.35">
      <c r="E1032" s="4" t="s">
        <v>451</v>
      </c>
      <c r="F1032" s="10" t="s">
        <v>571</v>
      </c>
      <c r="G1032" s="43" t="s">
        <v>572</v>
      </c>
      <c r="I1032" s="299">
        <v>0.27400000000000002</v>
      </c>
      <c r="J1032" s="299">
        <v>0.28400000000000003</v>
      </c>
    </row>
    <row r="1033" spans="5:10" ht="15" customHeight="1" x14ac:dyDescent="0.35">
      <c r="E1033" s="4" t="s">
        <v>452</v>
      </c>
      <c r="F1033" s="10" t="s">
        <v>571</v>
      </c>
      <c r="G1033" s="43" t="s">
        <v>572</v>
      </c>
      <c r="I1033" s="299">
        <v>0.2</v>
      </c>
      <c r="J1033" s="299">
        <v>0.2</v>
      </c>
    </row>
    <row r="1034" spans="5:10" ht="15" customHeight="1" x14ac:dyDescent="0.35">
      <c r="E1034" s="4" t="s">
        <v>453</v>
      </c>
      <c r="F1034" s="10" t="s">
        <v>571</v>
      </c>
      <c r="G1034" s="43" t="s">
        <v>572</v>
      </c>
      <c r="I1034" s="299">
        <v>0.39150000000000001</v>
      </c>
      <c r="J1034" s="299">
        <v>0.39150000000000001</v>
      </c>
    </row>
    <row r="1035" spans="5:10" ht="15" customHeight="1" x14ac:dyDescent="0.35">
      <c r="E1035" s="4" t="s">
        <v>454</v>
      </c>
      <c r="F1035" s="10" t="s">
        <v>571</v>
      </c>
      <c r="G1035" s="43" t="s">
        <v>572</v>
      </c>
      <c r="I1035" s="299">
        <v>0.31390000000000001</v>
      </c>
      <c r="J1035" s="299">
        <v>0.33</v>
      </c>
    </row>
    <row r="1036" spans="5:10" ht="15" customHeight="1" x14ac:dyDescent="0.35">
      <c r="E1036" s="4" t="s">
        <v>455</v>
      </c>
      <c r="F1036" s="10" t="s">
        <v>571</v>
      </c>
      <c r="G1036" s="43" t="s">
        <v>572</v>
      </c>
      <c r="I1036" s="299">
        <v>0.41600000000000004</v>
      </c>
      <c r="J1036" s="299">
        <v>0.42700000000000005</v>
      </c>
    </row>
    <row r="1037" spans="5:10" ht="15" customHeight="1" x14ac:dyDescent="0.35">
      <c r="E1037" s="4" t="s">
        <v>456</v>
      </c>
      <c r="F1037" s="10" t="s">
        <v>571</v>
      </c>
      <c r="G1037" s="43" t="s">
        <v>572</v>
      </c>
      <c r="I1037" s="299">
        <v>0.59043040000000002</v>
      </c>
      <c r="J1037" s="299">
        <v>0.62043039999999994</v>
      </c>
    </row>
    <row r="1038" spans="5:10" ht="15" customHeight="1" x14ac:dyDescent="0.35">
      <c r="E1038" s="4" t="s">
        <v>457</v>
      </c>
      <c r="F1038" s="10" t="s">
        <v>571</v>
      </c>
      <c r="G1038" s="43" t="s">
        <v>572</v>
      </c>
      <c r="I1038" s="299">
        <v>0.35699999999999998</v>
      </c>
      <c r="J1038" s="299">
        <v>0.35699999999999998</v>
      </c>
    </row>
    <row r="1039" spans="5:10" ht="15" customHeight="1" x14ac:dyDescent="0.35">
      <c r="E1039" s="4" t="s">
        <v>458</v>
      </c>
      <c r="F1039" s="10" t="s">
        <v>571</v>
      </c>
      <c r="G1039" s="43" t="s">
        <v>572</v>
      </c>
      <c r="I1039" s="299">
        <v>0.32900000000000001</v>
      </c>
      <c r="J1039" s="299">
        <v>0.32900000000000001</v>
      </c>
    </row>
    <row r="1040" spans="5:10" ht="15" customHeight="1" x14ac:dyDescent="0.35">
      <c r="E1040" s="4" t="s">
        <v>459</v>
      </c>
      <c r="F1040" s="10" t="s">
        <v>571</v>
      </c>
      <c r="G1040" s="43" t="s">
        <v>572</v>
      </c>
      <c r="I1040" s="299">
        <v>0.24000000000000002</v>
      </c>
      <c r="J1040" s="299">
        <v>0.24000000000000002</v>
      </c>
    </row>
    <row r="1041" spans="5:10" ht="15" customHeight="1" x14ac:dyDescent="0.35">
      <c r="E1041" s="1" t="s">
        <v>573</v>
      </c>
      <c r="F1041" s="10" t="s">
        <v>571</v>
      </c>
      <c r="G1041" s="43" t="s">
        <v>572</v>
      </c>
      <c r="I1041" s="33">
        <f>AVERAGE(I990:I1040)</f>
        <v>0.33068933333333334</v>
      </c>
      <c r="J1041" s="33">
        <f>AVERAGE(J990:J1040)</f>
        <v>0.35314722352941175</v>
      </c>
    </row>
  </sheetData>
  <mergeCells count="15">
    <mergeCell ref="A8:K8"/>
    <mergeCell ref="A38:K38"/>
    <mergeCell ref="A44:K44"/>
    <mergeCell ref="A91:K91"/>
    <mergeCell ref="A248:K248"/>
    <mergeCell ref="A863:K863"/>
    <mergeCell ref="A986:K986"/>
    <mergeCell ref="A270:K270"/>
    <mergeCell ref="A327:K327"/>
    <mergeCell ref="A353:K353"/>
    <mergeCell ref="A406:K406"/>
    <mergeCell ref="A485:K485"/>
    <mergeCell ref="A669:K669"/>
    <mergeCell ref="A349:K349"/>
    <mergeCell ref="A358:K358"/>
  </mergeCells>
  <dataValidations count="1">
    <dataValidation type="list" allowBlank="1" showInputMessage="1" showErrorMessage="1" sqref="H10" xr:uid="{D5E6B2DB-16FB-4659-8EFB-39536A433084}">
      <formula1>$I$6:$J$6</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CF790"/>
  <sheetViews>
    <sheetView zoomScale="90" zoomScaleNormal="90" workbookViewId="0">
      <pane xSplit="8" ySplit="9" topLeftCell="I10" activePane="bottomRight" state="frozen"/>
      <selection pane="topRight" sqref="A1:XFD1"/>
      <selection pane="bottomLeft" sqref="A1:XFD1"/>
      <selection pane="bottomRight" activeCell="H22" sqref="H22"/>
    </sheetView>
  </sheetViews>
  <sheetFormatPr defaultColWidth="0" defaultRowHeight="14.5" zeroHeight="1" x14ac:dyDescent="0.35"/>
  <cols>
    <col min="1" max="4" width="1.453125" customWidth="1"/>
    <col min="5" max="5" width="53.81640625" customWidth="1"/>
    <col min="6" max="6" width="46.1796875" customWidth="1"/>
    <col min="7" max="7" width="24.453125" style="271" bestFit="1" customWidth="1"/>
    <col min="8" max="8" width="8.81640625" customWidth="1"/>
    <col min="9" max="12" width="9.1796875" customWidth="1"/>
    <col min="13" max="16" width="12.453125" bestFit="1" customWidth="1"/>
    <col min="17" max="43" width="13.54296875" bestFit="1" customWidth="1"/>
    <col min="44" max="44" width="11.54296875" bestFit="1" customWidth="1"/>
    <col min="45" max="57" width="9.1796875" customWidth="1"/>
    <col min="58" max="58" width="5.453125" customWidth="1"/>
    <col min="59" max="84" width="5.453125" hidden="1" customWidth="1"/>
  </cols>
  <sheetData>
    <row r="1" spans="1:58" s="159" customFormat="1" ht="15.5" x14ac:dyDescent="0.35">
      <c r="A1" s="363" t="s">
        <v>105</v>
      </c>
      <c r="B1" s="363"/>
      <c r="C1" s="363"/>
      <c r="D1" s="363"/>
      <c r="E1" s="363"/>
      <c r="F1" s="363"/>
      <c r="G1" s="428"/>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row>
    <row r="2" spans="1:58" s="4" customFormat="1" ht="5.25" customHeight="1" x14ac:dyDescent="0.35">
      <c r="A2" s="1"/>
      <c r="G2" s="43"/>
    </row>
    <row r="3" spans="1:58" s="4" customFormat="1" x14ac:dyDescent="0.35">
      <c r="A3" s="1"/>
      <c r="E3" s="180" t="s">
        <v>574</v>
      </c>
      <c r="G3" s="43"/>
    </row>
    <row r="4" spans="1:58" s="4" customFormat="1" x14ac:dyDescent="0.35">
      <c r="A4" s="1"/>
      <c r="E4" s="178" t="str">
        <f>'Guide for Reviewers'!B3</f>
        <v>I-35 McClain County</v>
      </c>
      <c r="G4" s="43"/>
    </row>
    <row r="5" spans="1:58" s="4" customFormat="1" x14ac:dyDescent="0.35">
      <c r="A5" s="1"/>
      <c r="E5" s="178" t="str">
        <f>'Guide for Reviewers'!B4</f>
        <v>Oklahoma Department of Transportation</v>
      </c>
      <c r="G5" s="43"/>
    </row>
    <row r="6" spans="1:58" s="1" customFormat="1" x14ac:dyDescent="0.35">
      <c r="F6" s="44"/>
      <c r="G6" s="8" t="s">
        <v>575</v>
      </c>
      <c r="H6" s="44"/>
      <c r="I6" s="115">
        <v>2019</v>
      </c>
      <c r="J6" s="115">
        <f>I6+1</f>
        <v>2020</v>
      </c>
      <c r="K6" s="115">
        <f t="shared" ref="K6:BA6" si="0">J6+1</f>
        <v>2021</v>
      </c>
      <c r="L6" s="115">
        <f t="shared" si="0"/>
        <v>2022</v>
      </c>
      <c r="M6" s="115">
        <f t="shared" si="0"/>
        <v>2023</v>
      </c>
      <c r="N6" s="115">
        <f t="shared" si="0"/>
        <v>2024</v>
      </c>
      <c r="O6" s="115">
        <f t="shared" si="0"/>
        <v>2025</v>
      </c>
      <c r="P6" s="115">
        <f t="shared" si="0"/>
        <v>2026</v>
      </c>
      <c r="Q6" s="115">
        <f t="shared" si="0"/>
        <v>2027</v>
      </c>
      <c r="R6" s="115">
        <f t="shared" si="0"/>
        <v>2028</v>
      </c>
      <c r="S6" s="115">
        <f t="shared" si="0"/>
        <v>2029</v>
      </c>
      <c r="T6" s="115">
        <f t="shared" si="0"/>
        <v>2030</v>
      </c>
      <c r="U6" s="115">
        <f t="shared" si="0"/>
        <v>2031</v>
      </c>
      <c r="V6" s="115">
        <f t="shared" si="0"/>
        <v>2032</v>
      </c>
      <c r="W6" s="115">
        <f t="shared" si="0"/>
        <v>2033</v>
      </c>
      <c r="X6" s="115">
        <f t="shared" si="0"/>
        <v>2034</v>
      </c>
      <c r="Y6" s="115">
        <f t="shared" si="0"/>
        <v>2035</v>
      </c>
      <c r="Z6" s="115">
        <f t="shared" si="0"/>
        <v>2036</v>
      </c>
      <c r="AA6" s="115">
        <f t="shared" si="0"/>
        <v>2037</v>
      </c>
      <c r="AB6" s="115">
        <f t="shared" si="0"/>
        <v>2038</v>
      </c>
      <c r="AC6" s="115">
        <f t="shared" si="0"/>
        <v>2039</v>
      </c>
      <c r="AD6" s="115">
        <f t="shared" si="0"/>
        <v>2040</v>
      </c>
      <c r="AE6" s="115">
        <f t="shared" si="0"/>
        <v>2041</v>
      </c>
      <c r="AF6" s="115">
        <f t="shared" si="0"/>
        <v>2042</v>
      </c>
      <c r="AG6" s="115">
        <f t="shared" si="0"/>
        <v>2043</v>
      </c>
      <c r="AH6" s="115">
        <f t="shared" si="0"/>
        <v>2044</v>
      </c>
      <c r="AI6" s="115">
        <f t="shared" si="0"/>
        <v>2045</v>
      </c>
      <c r="AJ6" s="115">
        <f t="shared" si="0"/>
        <v>2046</v>
      </c>
      <c r="AK6" s="115">
        <f t="shared" si="0"/>
        <v>2047</v>
      </c>
      <c r="AL6" s="115">
        <f t="shared" si="0"/>
        <v>2048</v>
      </c>
      <c r="AM6" s="115">
        <f t="shared" si="0"/>
        <v>2049</v>
      </c>
      <c r="AN6" s="115">
        <f t="shared" si="0"/>
        <v>2050</v>
      </c>
      <c r="AO6" s="115">
        <f t="shared" si="0"/>
        <v>2051</v>
      </c>
      <c r="AP6" s="115">
        <f t="shared" si="0"/>
        <v>2052</v>
      </c>
      <c r="AQ6" s="115">
        <f t="shared" si="0"/>
        <v>2053</v>
      </c>
      <c r="AR6" s="115">
        <f t="shared" si="0"/>
        <v>2054</v>
      </c>
      <c r="AS6" s="115">
        <f t="shared" si="0"/>
        <v>2055</v>
      </c>
      <c r="AT6" s="115">
        <f t="shared" si="0"/>
        <v>2056</v>
      </c>
      <c r="AU6" s="115">
        <f t="shared" si="0"/>
        <v>2057</v>
      </c>
      <c r="AV6" s="115">
        <f t="shared" si="0"/>
        <v>2058</v>
      </c>
      <c r="AW6" s="115">
        <f t="shared" si="0"/>
        <v>2059</v>
      </c>
      <c r="AX6" s="115">
        <f t="shared" si="0"/>
        <v>2060</v>
      </c>
      <c r="AY6" s="115">
        <f t="shared" si="0"/>
        <v>2061</v>
      </c>
      <c r="AZ6" s="115">
        <f t="shared" si="0"/>
        <v>2062</v>
      </c>
      <c r="BA6" s="115">
        <f t="shared" si="0"/>
        <v>2063</v>
      </c>
      <c r="BB6" s="115">
        <f>BA6+1</f>
        <v>2064</v>
      </c>
      <c r="BC6" s="115">
        <f>BB6+1</f>
        <v>2065</v>
      </c>
      <c r="BD6" s="115">
        <f>BC6+1</f>
        <v>2066</v>
      </c>
      <c r="BE6" s="115">
        <f>BD6+1</f>
        <v>2067</v>
      </c>
    </row>
    <row r="7" spans="1:58" s="4" customFormat="1" ht="5.25" customHeight="1" x14ac:dyDescent="0.35">
      <c r="G7" s="43"/>
    </row>
    <row r="8" spans="1:58" s="1" customFormat="1" x14ac:dyDescent="0.35">
      <c r="E8" s="1" t="s">
        <v>92</v>
      </c>
      <c r="F8" s="1" t="s">
        <v>112</v>
      </c>
      <c r="G8" s="8" t="s">
        <v>113</v>
      </c>
      <c r="H8" s="1" t="s">
        <v>576</v>
      </c>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row>
    <row r="9" spans="1:58" s="4" customFormat="1" ht="5.25" customHeight="1" x14ac:dyDescent="0.35">
      <c r="A9" s="126"/>
      <c r="B9" s="126"/>
      <c r="C9" s="126"/>
      <c r="D9" s="126"/>
      <c r="E9" s="126"/>
      <c r="F9" s="126"/>
      <c r="G9" s="21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row>
    <row r="10" spans="1:58" s="4" customFormat="1" x14ac:dyDescent="0.35">
      <c r="A10" s="671" t="s">
        <v>577</v>
      </c>
      <c r="B10" s="671"/>
      <c r="C10" s="671"/>
      <c r="D10" s="671"/>
      <c r="E10" s="671"/>
      <c r="F10" s="671"/>
      <c r="G10" s="671"/>
      <c r="H10" s="671"/>
      <c r="I10" s="671"/>
      <c r="J10" s="671"/>
      <c r="K10" s="671"/>
      <c r="L10" s="671"/>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1"/>
      <c r="AM10" s="671"/>
      <c r="AN10" s="671"/>
      <c r="AO10" s="671"/>
      <c r="AP10" s="671"/>
      <c r="AQ10" s="671"/>
      <c r="AR10" s="671"/>
      <c r="AS10" s="671"/>
      <c r="AT10" s="671"/>
      <c r="AU10" s="671"/>
      <c r="AV10" s="671"/>
      <c r="AW10" s="671"/>
      <c r="AX10" s="671"/>
      <c r="AY10" s="671"/>
      <c r="AZ10" s="671"/>
      <c r="BA10" s="671"/>
      <c r="BB10" s="671"/>
      <c r="BC10" s="671"/>
      <c r="BD10" s="671"/>
      <c r="BE10" s="671"/>
      <c r="BF10" s="671"/>
    </row>
    <row r="11" spans="1:58" s="4" customFormat="1" ht="5.25" customHeight="1" x14ac:dyDescent="0.35">
      <c r="A11" s="214"/>
      <c r="B11" s="209"/>
      <c r="C11" s="209"/>
      <c r="D11" s="209"/>
      <c r="E11" s="209"/>
      <c r="F11" s="209"/>
      <c r="G11" s="215"/>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row>
    <row r="12" spans="1:58" s="4" customFormat="1" x14ac:dyDescent="0.35">
      <c r="A12" s="22"/>
      <c r="B12" s="2" t="s">
        <v>578</v>
      </c>
      <c r="C12" s="2"/>
      <c r="G12" s="43"/>
    </row>
    <row r="13" spans="1:58" s="4" customFormat="1" ht="5.25" customHeight="1" x14ac:dyDescent="0.35">
      <c r="A13" s="22"/>
      <c r="B13" s="2"/>
      <c r="C13" s="2"/>
      <c r="G13" s="43"/>
    </row>
    <row r="14" spans="1:58" s="26" customFormat="1" x14ac:dyDescent="0.35">
      <c r="E14" s="26" t="s">
        <v>579</v>
      </c>
      <c r="F14" s="4" t="s">
        <v>580</v>
      </c>
      <c r="G14" s="60" t="s">
        <v>581</v>
      </c>
      <c r="I14" s="116"/>
      <c r="J14" s="116"/>
      <c r="K14" s="116"/>
      <c r="L14" s="116"/>
      <c r="M14" s="116"/>
      <c r="N14" s="116">
        <v>22.679023999999998</v>
      </c>
      <c r="O14" s="116">
        <v>23.034300000000002</v>
      </c>
      <c r="P14" s="116">
        <v>23.429749000000001</v>
      </c>
      <c r="Q14" s="116">
        <v>23.901810000000001</v>
      </c>
      <c r="R14" s="116">
        <v>24.447578</v>
      </c>
      <c r="S14" s="116">
        <v>25.10689</v>
      </c>
      <c r="T14" s="116">
        <v>25.907055</v>
      </c>
      <c r="U14" s="116">
        <v>26.734449000000001</v>
      </c>
      <c r="V14" s="116">
        <v>27.647826999999999</v>
      </c>
      <c r="W14" s="116">
        <v>28.614943</v>
      </c>
      <c r="X14" s="116">
        <v>29.557682</v>
      </c>
      <c r="Y14" s="116">
        <v>30.544910000000002</v>
      </c>
      <c r="Z14" s="116">
        <v>31.670956</v>
      </c>
      <c r="AA14" s="116">
        <v>32.877189999999999</v>
      </c>
      <c r="AB14" s="116">
        <v>34.072173999999997</v>
      </c>
      <c r="AC14" s="116">
        <v>35.264622000000003</v>
      </c>
      <c r="AD14" s="116">
        <v>36.390433999999999</v>
      </c>
      <c r="AE14" s="116">
        <v>37.459332000000003</v>
      </c>
      <c r="AF14" s="116">
        <v>38.580523999999997</v>
      </c>
      <c r="AG14" s="116">
        <v>39.488781000000003</v>
      </c>
      <c r="AH14" s="116">
        <v>40.410598999999998</v>
      </c>
      <c r="AI14" s="116">
        <v>41.233887000000003</v>
      </c>
      <c r="AJ14" s="116">
        <v>42.043633</v>
      </c>
      <c r="AK14" s="116">
        <v>42.699714999999998</v>
      </c>
      <c r="AL14" s="116">
        <v>43.587372000000002</v>
      </c>
      <c r="AM14" s="116">
        <v>44.231884000000001</v>
      </c>
      <c r="AN14" s="116">
        <v>44.779387999999997</v>
      </c>
      <c r="AO14" s="116"/>
      <c r="AP14" s="116"/>
      <c r="AQ14" s="116"/>
      <c r="AR14" s="116"/>
      <c r="AS14" s="116"/>
      <c r="AT14" s="116"/>
      <c r="AU14" s="116"/>
      <c r="AV14" s="116"/>
      <c r="AW14" s="116"/>
      <c r="AX14" s="116"/>
      <c r="AY14" s="116"/>
      <c r="AZ14" s="116"/>
      <c r="BA14" s="116"/>
      <c r="BB14" s="116"/>
      <c r="BC14" s="116"/>
      <c r="BD14" s="116"/>
      <c r="BE14" s="116"/>
    </row>
    <row r="15" spans="1:58" s="26" customFormat="1" x14ac:dyDescent="0.35">
      <c r="E15" s="26" t="s">
        <v>582</v>
      </c>
      <c r="F15" s="4" t="s">
        <v>580</v>
      </c>
      <c r="G15" s="60" t="s">
        <v>581</v>
      </c>
      <c r="I15" s="167"/>
      <c r="J15" s="167"/>
      <c r="K15" s="167"/>
      <c r="L15" s="167"/>
      <c r="M15" s="167"/>
      <c r="N15" s="167">
        <v>7.7616909999999999</v>
      </c>
      <c r="O15" s="167">
        <v>7.8348620000000002</v>
      </c>
      <c r="P15" s="167">
        <v>7.9214880000000001</v>
      </c>
      <c r="Q15" s="167">
        <v>8.0201270000000005</v>
      </c>
      <c r="R15" s="167">
        <v>8.1288129999999992</v>
      </c>
      <c r="S15" s="167">
        <v>8.2482489999999995</v>
      </c>
      <c r="T15" s="167">
        <v>8.3943890000000003</v>
      </c>
      <c r="U15" s="167">
        <v>8.5509909999999998</v>
      </c>
      <c r="V15" s="167">
        <v>8.7255950000000002</v>
      </c>
      <c r="W15" s="167">
        <v>8.9001149999999996</v>
      </c>
      <c r="X15" s="167">
        <v>9.0672960000000007</v>
      </c>
      <c r="Y15" s="167">
        <v>9.2235600000000009</v>
      </c>
      <c r="Z15" s="167">
        <v>9.3672380000000004</v>
      </c>
      <c r="AA15" s="167">
        <v>9.4988299999999999</v>
      </c>
      <c r="AB15" s="167">
        <v>9.6205239999999996</v>
      </c>
      <c r="AC15" s="167">
        <v>9.7326200000000007</v>
      </c>
      <c r="AD15" s="167">
        <v>9.8357810000000008</v>
      </c>
      <c r="AE15" s="116">
        <v>9.9281550000000003</v>
      </c>
      <c r="AF15" s="116">
        <v>10.009933</v>
      </c>
      <c r="AG15" s="116">
        <v>10.081302000000001</v>
      </c>
      <c r="AH15" s="116">
        <v>10.144436000000001</v>
      </c>
      <c r="AI15" s="116">
        <v>10.201530999999999</v>
      </c>
      <c r="AJ15" s="116">
        <v>10.253838999999999</v>
      </c>
      <c r="AK15" s="116">
        <v>10.302179000000001</v>
      </c>
      <c r="AL15" s="116">
        <v>10.346220000000001</v>
      </c>
      <c r="AM15" s="116">
        <v>10.385173</v>
      </c>
      <c r="AN15" s="116">
        <v>10.418341</v>
      </c>
      <c r="AO15" s="116"/>
      <c r="AP15" s="116"/>
      <c r="AQ15" s="116"/>
      <c r="AR15" s="116"/>
      <c r="AS15" s="116"/>
      <c r="AT15" s="116"/>
      <c r="AU15" s="116"/>
      <c r="AV15" s="116"/>
      <c r="AW15" s="116"/>
      <c r="AX15" s="116"/>
      <c r="AY15" s="116"/>
      <c r="AZ15" s="116"/>
      <c r="BA15" s="116"/>
      <c r="BB15" s="116"/>
      <c r="BC15" s="116"/>
      <c r="BD15" s="116"/>
      <c r="BE15" s="116"/>
    </row>
    <row r="16" spans="1:58" s="4" customFormat="1" x14ac:dyDescent="0.35">
      <c r="E16" s="4" t="s">
        <v>583</v>
      </c>
      <c r="F16" s="4" t="s">
        <v>580</v>
      </c>
      <c r="G16" s="43" t="s">
        <v>584</v>
      </c>
      <c r="I16" s="118"/>
      <c r="J16" s="118"/>
      <c r="K16" s="118"/>
      <c r="L16" s="118"/>
      <c r="M16" s="118"/>
      <c r="N16" s="118">
        <v>85.368492000000003</v>
      </c>
      <c r="O16" s="118">
        <v>85.782218999999998</v>
      </c>
      <c r="P16" s="118">
        <v>86.453102000000001</v>
      </c>
      <c r="Q16" s="118">
        <v>87.127364999999998</v>
      </c>
      <c r="R16" s="118">
        <v>87.815917999999996</v>
      </c>
      <c r="S16" s="118">
        <v>88.497307000000006</v>
      </c>
      <c r="T16" s="118">
        <v>89.183823000000004</v>
      </c>
      <c r="U16" s="118">
        <v>89.886893999999998</v>
      </c>
      <c r="V16" s="118">
        <v>90.639838999999995</v>
      </c>
      <c r="W16" s="118">
        <v>91.398560000000003</v>
      </c>
      <c r="X16" s="118">
        <v>92.155090000000001</v>
      </c>
      <c r="Y16" s="118">
        <v>92.913680999999997</v>
      </c>
      <c r="Z16" s="118">
        <v>93.673942999999994</v>
      </c>
      <c r="AA16" s="118">
        <v>94.431358000000003</v>
      </c>
      <c r="AB16" s="118">
        <v>95.209404000000006</v>
      </c>
      <c r="AC16" s="118">
        <v>95.980911000000006</v>
      </c>
      <c r="AD16" s="118">
        <v>96.765732</v>
      </c>
      <c r="AE16" s="116">
        <v>97.560340999999994</v>
      </c>
      <c r="AF16" s="116">
        <v>98.385993999999997</v>
      </c>
      <c r="AG16" s="116">
        <v>99.207451000000006</v>
      </c>
      <c r="AH16" s="116">
        <v>100.03009</v>
      </c>
      <c r="AI16" s="116">
        <v>100.859093</v>
      </c>
      <c r="AJ16" s="116">
        <v>101.69163500000001</v>
      </c>
      <c r="AK16" s="116">
        <v>102.53218099999999</v>
      </c>
      <c r="AL16" s="116">
        <v>103.377754</v>
      </c>
      <c r="AM16" s="116">
        <v>104.220825</v>
      </c>
      <c r="AN16" s="116">
        <v>105.06307200000001</v>
      </c>
      <c r="AO16" s="117"/>
      <c r="AP16" s="117"/>
      <c r="AQ16" s="117"/>
      <c r="AR16" s="117"/>
      <c r="AS16" s="117"/>
      <c r="AT16" s="117"/>
      <c r="AU16" s="117"/>
      <c r="AV16" s="117"/>
      <c r="AW16" s="117"/>
      <c r="AX16" s="117"/>
      <c r="AY16" s="117"/>
      <c r="AZ16" s="117"/>
      <c r="BA16" s="117"/>
      <c r="BB16" s="117"/>
      <c r="BC16" s="117"/>
      <c r="BD16" s="117"/>
      <c r="BE16" s="117"/>
    </row>
    <row r="17" spans="2:57" s="4" customFormat="1" x14ac:dyDescent="0.35">
      <c r="E17" s="4" t="s">
        <v>585</v>
      </c>
      <c r="F17" s="4" t="s">
        <v>580</v>
      </c>
      <c r="G17" s="43" t="s">
        <v>586</v>
      </c>
      <c r="I17" s="20"/>
      <c r="J17" s="20"/>
      <c r="K17" s="20"/>
      <c r="L17" s="20"/>
      <c r="M17" s="20"/>
      <c r="N17" s="20">
        <v>3.3734500000000001</v>
      </c>
      <c r="O17" s="20">
        <v>3.3770099999999998</v>
      </c>
      <c r="P17" s="20">
        <v>3.3805740000000002</v>
      </c>
      <c r="Q17" s="20">
        <v>3.3841420000000002</v>
      </c>
      <c r="R17" s="20">
        <v>3.3877130000000002</v>
      </c>
      <c r="S17" s="20">
        <v>3.391289</v>
      </c>
      <c r="T17" s="20">
        <v>3.3948680000000002</v>
      </c>
      <c r="U17" s="20">
        <v>3.3984510000000001</v>
      </c>
      <c r="V17" s="20">
        <v>3.402037</v>
      </c>
      <c r="W17" s="20">
        <v>3.4056280000000001</v>
      </c>
      <c r="X17" s="20">
        <v>3.4092220000000002</v>
      </c>
      <c r="Y17" s="20">
        <v>3.41282</v>
      </c>
      <c r="Z17" s="20">
        <v>3.4164219999999998</v>
      </c>
      <c r="AA17" s="20">
        <v>3.4200270000000002</v>
      </c>
      <c r="AB17" s="20">
        <v>3.4236369999999998</v>
      </c>
      <c r="AC17" s="20">
        <v>3.4272499999999999</v>
      </c>
      <c r="AD17" s="20">
        <v>3.4308670000000001</v>
      </c>
      <c r="AE17" s="116">
        <v>3.434488</v>
      </c>
      <c r="AF17" s="116">
        <v>3.438113</v>
      </c>
      <c r="AG17" s="116">
        <v>3.4417409999999999</v>
      </c>
      <c r="AH17" s="116">
        <v>3.445373</v>
      </c>
      <c r="AI17" s="116">
        <v>3.4490099999999999</v>
      </c>
      <c r="AJ17" s="116">
        <v>3.4526490000000001</v>
      </c>
      <c r="AK17" s="116">
        <v>3.4562930000000001</v>
      </c>
      <c r="AL17" s="116">
        <v>3.4599410000000002</v>
      </c>
      <c r="AM17" s="116">
        <v>3.4635929999999999</v>
      </c>
      <c r="AN17" s="116">
        <v>3.4672480000000001</v>
      </c>
      <c r="AO17" s="117"/>
      <c r="AP17" s="117"/>
      <c r="AQ17" s="117"/>
      <c r="AR17" s="117"/>
      <c r="AS17" s="117"/>
      <c r="AT17" s="117"/>
      <c r="AU17" s="117"/>
      <c r="AV17" s="117"/>
      <c r="AW17" s="117"/>
      <c r="AX17" s="117"/>
      <c r="AY17" s="117"/>
      <c r="AZ17" s="117"/>
      <c r="BA17" s="117"/>
      <c r="BB17" s="117"/>
      <c r="BC17" s="117"/>
      <c r="BD17" s="117"/>
      <c r="BE17" s="117"/>
    </row>
    <row r="18" spans="2:57" s="4" customFormat="1" x14ac:dyDescent="0.35">
      <c r="G18" s="43"/>
      <c r="I18" s="21"/>
      <c r="J18" s="21"/>
      <c r="K18" s="21"/>
      <c r="L18" s="21"/>
      <c r="M18" s="21"/>
      <c r="N18" s="21"/>
      <c r="O18" s="21"/>
      <c r="P18" s="21"/>
      <c r="Q18" s="21"/>
      <c r="R18" s="21"/>
      <c r="S18" s="21"/>
      <c r="T18" s="21"/>
      <c r="U18" s="21"/>
      <c r="V18" s="21"/>
      <c r="W18" s="21"/>
      <c r="X18" s="21"/>
      <c r="Y18" s="21"/>
      <c r="Z18" s="21"/>
      <c r="AA18" s="21"/>
      <c r="AB18" s="21"/>
      <c r="AC18" s="21"/>
      <c r="AD18" s="21"/>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row>
    <row r="19" spans="2:57" s="49" customFormat="1" x14ac:dyDescent="0.35">
      <c r="E19" s="49" t="s">
        <v>177</v>
      </c>
      <c r="F19" s="49" t="s">
        <v>176</v>
      </c>
      <c r="G19" s="57" t="s">
        <v>121</v>
      </c>
      <c r="H19" s="49">
        <v>2050</v>
      </c>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row>
    <row r="20" spans="2:57" s="4" customFormat="1" x14ac:dyDescent="0.35">
      <c r="G20" s="43"/>
      <c r="I20" s="21"/>
      <c r="J20" s="119"/>
      <c r="K20" s="21"/>
      <c r="L20" s="21"/>
      <c r="M20" s="21"/>
      <c r="N20" s="21"/>
      <c r="O20" s="21"/>
      <c r="P20" s="21"/>
      <c r="Q20" s="21"/>
      <c r="R20" s="21"/>
      <c r="S20" s="21"/>
      <c r="T20" s="21"/>
      <c r="U20" s="21"/>
      <c r="V20" s="21"/>
      <c r="W20" s="21"/>
      <c r="X20" s="21"/>
      <c r="Y20" s="21"/>
      <c r="Z20" s="21"/>
      <c r="AA20" s="21"/>
      <c r="AB20" s="21"/>
      <c r="AC20" s="21"/>
      <c r="AD20" s="21"/>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row>
    <row r="21" spans="2:57" s="26" customFormat="1" x14ac:dyDescent="0.35">
      <c r="E21" s="49" t="s">
        <v>184</v>
      </c>
      <c r="F21" s="49" t="s">
        <v>179</v>
      </c>
      <c r="G21" s="57" t="s">
        <v>180</v>
      </c>
      <c r="H21" s="282">
        <v>2.7E-2</v>
      </c>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row>
    <row r="22" spans="2:57" s="26" customFormat="1" x14ac:dyDescent="0.35">
      <c r="E22" s="49" t="s">
        <v>185</v>
      </c>
      <c r="F22" s="49" t="s">
        <v>179</v>
      </c>
      <c r="G22" s="57" t="s">
        <v>180</v>
      </c>
      <c r="H22" s="282">
        <v>1.0999999999999999E-2</v>
      </c>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row>
    <row r="23" spans="2:57" s="4" customFormat="1" x14ac:dyDescent="0.35">
      <c r="E23" s="49" t="s">
        <v>186</v>
      </c>
      <c r="F23" s="49" t="s">
        <v>179</v>
      </c>
      <c r="G23" s="57" t="s">
        <v>180</v>
      </c>
      <c r="H23" s="81">
        <v>8.0000000000000002E-3</v>
      </c>
      <c r="I23" s="21"/>
      <c r="J23" s="21"/>
      <c r="K23" s="21"/>
      <c r="L23" s="21"/>
      <c r="M23" s="21"/>
      <c r="N23" s="21"/>
      <c r="O23" s="21"/>
      <c r="P23" s="21"/>
      <c r="Q23" s="21"/>
      <c r="R23" s="21"/>
      <c r="S23" s="21"/>
      <c r="T23" s="21"/>
      <c r="U23" s="21"/>
      <c r="V23" s="21"/>
      <c r="W23" s="21"/>
      <c r="X23" s="21"/>
      <c r="Y23" s="21"/>
      <c r="Z23" s="21"/>
      <c r="AA23" s="21"/>
      <c r="AB23" s="21"/>
      <c r="AC23" s="21"/>
      <c r="AD23" s="21"/>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row>
    <row r="24" spans="2:57" s="4" customFormat="1" x14ac:dyDescent="0.35">
      <c r="E24" s="49" t="s">
        <v>187</v>
      </c>
      <c r="F24" s="49" t="s">
        <v>179</v>
      </c>
      <c r="G24" s="57" t="s">
        <v>180</v>
      </c>
      <c r="H24" s="81">
        <v>1E-3</v>
      </c>
      <c r="I24" s="21"/>
      <c r="J24" s="21"/>
      <c r="K24" s="21"/>
      <c r="L24" s="21"/>
      <c r="M24" s="21"/>
      <c r="N24" s="21"/>
      <c r="O24" s="21"/>
      <c r="P24" s="21"/>
      <c r="Q24" s="21"/>
      <c r="R24" s="21"/>
      <c r="S24" s="21"/>
      <c r="T24" s="21"/>
      <c r="U24" s="21"/>
      <c r="V24" s="21"/>
      <c r="W24" s="21"/>
      <c r="X24" s="21"/>
      <c r="Y24" s="21"/>
      <c r="Z24" s="21"/>
      <c r="AA24" s="21"/>
      <c r="AB24" s="21"/>
      <c r="AC24" s="21"/>
      <c r="AD24" s="21"/>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row>
    <row r="25" spans="2:57" s="4" customFormat="1" x14ac:dyDescent="0.35">
      <c r="G25" s="43"/>
      <c r="I25" s="21"/>
      <c r="J25" s="21"/>
      <c r="K25" s="21"/>
      <c r="L25" s="21"/>
      <c r="M25" s="21"/>
      <c r="N25" s="21"/>
      <c r="O25" s="21"/>
      <c r="P25" s="21"/>
      <c r="Q25" s="21"/>
      <c r="R25" s="21"/>
      <c r="S25" s="21"/>
      <c r="T25" s="21"/>
      <c r="U25" s="21"/>
      <c r="V25" s="21"/>
      <c r="W25" s="21"/>
      <c r="X25" s="21"/>
      <c r="Y25" s="21"/>
      <c r="Z25" s="21"/>
      <c r="AA25" s="21"/>
      <c r="AB25" s="21"/>
      <c r="AC25" s="21"/>
      <c r="AD25" s="21"/>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row>
    <row r="26" spans="2:57" s="4" customFormat="1" x14ac:dyDescent="0.35">
      <c r="E26" s="4" t="s">
        <v>587</v>
      </c>
      <c r="F26" s="4" t="s">
        <v>588</v>
      </c>
      <c r="G26" s="43" t="s">
        <v>581</v>
      </c>
      <c r="I26" s="21">
        <f>IF(I$6&gt;$H$19,G26*(1+$H21),I14)</f>
        <v>0</v>
      </c>
      <c r="J26" s="21">
        <f t="shared" ref="J26:BE29" si="1">IF(J$6&gt;$H$19,I26*(1+$H21),J14)</f>
        <v>0</v>
      </c>
      <c r="K26" s="21">
        <f t="shared" si="1"/>
        <v>0</v>
      </c>
      <c r="L26" s="21">
        <f t="shared" si="1"/>
        <v>0</v>
      </c>
      <c r="M26" s="21">
        <f t="shared" si="1"/>
        <v>0</v>
      </c>
      <c r="N26" s="21">
        <f t="shared" si="1"/>
        <v>22.679023999999998</v>
      </c>
      <c r="O26" s="21">
        <f t="shared" si="1"/>
        <v>23.034300000000002</v>
      </c>
      <c r="P26" s="21">
        <f t="shared" si="1"/>
        <v>23.429749000000001</v>
      </c>
      <c r="Q26" s="21">
        <f t="shared" si="1"/>
        <v>23.901810000000001</v>
      </c>
      <c r="R26" s="21">
        <f t="shared" si="1"/>
        <v>24.447578</v>
      </c>
      <c r="S26" s="21">
        <f t="shared" si="1"/>
        <v>25.10689</v>
      </c>
      <c r="T26" s="21">
        <f t="shared" si="1"/>
        <v>25.907055</v>
      </c>
      <c r="U26" s="21">
        <f t="shared" si="1"/>
        <v>26.734449000000001</v>
      </c>
      <c r="V26" s="21">
        <f t="shared" si="1"/>
        <v>27.647826999999999</v>
      </c>
      <c r="W26" s="21">
        <f t="shared" si="1"/>
        <v>28.614943</v>
      </c>
      <c r="X26" s="21">
        <f t="shared" si="1"/>
        <v>29.557682</v>
      </c>
      <c r="Y26" s="21">
        <f t="shared" si="1"/>
        <v>30.544910000000002</v>
      </c>
      <c r="Z26" s="21">
        <f t="shared" si="1"/>
        <v>31.670956</v>
      </c>
      <c r="AA26" s="21">
        <f t="shared" si="1"/>
        <v>32.877189999999999</v>
      </c>
      <c r="AB26" s="21">
        <f t="shared" si="1"/>
        <v>34.072173999999997</v>
      </c>
      <c r="AC26" s="21">
        <f t="shared" si="1"/>
        <v>35.264622000000003</v>
      </c>
      <c r="AD26" s="21">
        <f t="shared" si="1"/>
        <v>36.390433999999999</v>
      </c>
      <c r="AE26" s="21">
        <f t="shared" si="1"/>
        <v>37.459332000000003</v>
      </c>
      <c r="AF26" s="21">
        <f t="shared" si="1"/>
        <v>38.580523999999997</v>
      </c>
      <c r="AG26" s="21">
        <f t="shared" si="1"/>
        <v>39.488781000000003</v>
      </c>
      <c r="AH26" s="21">
        <f t="shared" si="1"/>
        <v>40.410598999999998</v>
      </c>
      <c r="AI26" s="21">
        <f t="shared" si="1"/>
        <v>41.233887000000003</v>
      </c>
      <c r="AJ26" s="21">
        <f t="shared" si="1"/>
        <v>42.043633</v>
      </c>
      <c r="AK26" s="21">
        <f t="shared" si="1"/>
        <v>42.699714999999998</v>
      </c>
      <c r="AL26" s="21">
        <f t="shared" si="1"/>
        <v>43.587372000000002</v>
      </c>
      <c r="AM26" s="21">
        <f t="shared" si="1"/>
        <v>44.231884000000001</v>
      </c>
      <c r="AN26" s="21">
        <f t="shared" si="1"/>
        <v>44.779387999999997</v>
      </c>
      <c r="AO26" s="21">
        <f t="shared" si="1"/>
        <v>45.988431475999995</v>
      </c>
      <c r="AP26" s="21">
        <f t="shared" si="1"/>
        <v>47.230119125851992</v>
      </c>
      <c r="AQ26" s="21">
        <f t="shared" si="1"/>
        <v>48.505332342249993</v>
      </c>
      <c r="AR26" s="21">
        <f t="shared" si="1"/>
        <v>49.814976315490739</v>
      </c>
      <c r="AS26" s="21">
        <f t="shared" si="1"/>
        <v>51.159980676008985</v>
      </c>
      <c r="AT26" s="21">
        <f t="shared" si="1"/>
        <v>52.541300154261222</v>
      </c>
      <c r="AU26" s="21">
        <f t="shared" si="1"/>
        <v>53.959915258426271</v>
      </c>
      <c r="AV26" s="21">
        <f t="shared" si="1"/>
        <v>55.416832970403775</v>
      </c>
      <c r="AW26" s="21">
        <f t="shared" si="1"/>
        <v>56.913087460604672</v>
      </c>
      <c r="AX26" s="21">
        <f t="shared" si="1"/>
        <v>58.449740822040994</v>
      </c>
      <c r="AY26" s="21">
        <f t="shared" si="1"/>
        <v>60.027883824236099</v>
      </c>
      <c r="AZ26" s="21">
        <f t="shared" si="1"/>
        <v>61.648636687490466</v>
      </c>
      <c r="BA26" s="21">
        <f t="shared" si="1"/>
        <v>63.313149878052705</v>
      </c>
      <c r="BB26" s="21">
        <f t="shared" si="1"/>
        <v>65.022604924760117</v>
      </c>
      <c r="BC26" s="21">
        <f t="shared" si="1"/>
        <v>66.778215257728633</v>
      </c>
      <c r="BD26" s="21">
        <f t="shared" si="1"/>
        <v>68.581227069687301</v>
      </c>
      <c r="BE26" s="21">
        <f t="shared" si="1"/>
        <v>70.432920200568859</v>
      </c>
    </row>
    <row r="27" spans="2:57" s="4" customFormat="1" x14ac:dyDescent="0.35">
      <c r="E27" s="4" t="s">
        <v>582</v>
      </c>
      <c r="F27" s="4" t="s">
        <v>588</v>
      </c>
      <c r="G27" s="43" t="s">
        <v>581</v>
      </c>
      <c r="I27" s="21">
        <f>IF(I$6&gt;$H$19,G27*(1+$H22),I15)</f>
        <v>0</v>
      </c>
      <c r="J27" s="21">
        <f t="shared" si="1"/>
        <v>0</v>
      </c>
      <c r="K27" s="21">
        <f t="shared" si="1"/>
        <v>0</v>
      </c>
      <c r="L27" s="21">
        <f t="shared" si="1"/>
        <v>0</v>
      </c>
      <c r="M27" s="21">
        <f t="shared" si="1"/>
        <v>0</v>
      </c>
      <c r="N27" s="21">
        <f t="shared" si="1"/>
        <v>7.7616909999999999</v>
      </c>
      <c r="O27" s="21">
        <f t="shared" si="1"/>
        <v>7.8348620000000002</v>
      </c>
      <c r="P27" s="21">
        <f t="shared" si="1"/>
        <v>7.9214880000000001</v>
      </c>
      <c r="Q27" s="21">
        <f t="shared" si="1"/>
        <v>8.0201270000000005</v>
      </c>
      <c r="R27" s="21">
        <f t="shared" si="1"/>
        <v>8.1288129999999992</v>
      </c>
      <c r="S27" s="21">
        <f t="shared" si="1"/>
        <v>8.2482489999999995</v>
      </c>
      <c r="T27" s="21">
        <f t="shared" si="1"/>
        <v>8.3943890000000003</v>
      </c>
      <c r="U27" s="21">
        <f t="shared" si="1"/>
        <v>8.5509909999999998</v>
      </c>
      <c r="V27" s="21">
        <f t="shared" si="1"/>
        <v>8.7255950000000002</v>
      </c>
      <c r="W27" s="21">
        <f t="shared" si="1"/>
        <v>8.9001149999999996</v>
      </c>
      <c r="X27" s="21">
        <f t="shared" si="1"/>
        <v>9.0672960000000007</v>
      </c>
      <c r="Y27" s="21">
        <f t="shared" si="1"/>
        <v>9.2235600000000009</v>
      </c>
      <c r="Z27" s="21">
        <f t="shared" si="1"/>
        <v>9.3672380000000004</v>
      </c>
      <c r="AA27" s="21">
        <f t="shared" si="1"/>
        <v>9.4988299999999999</v>
      </c>
      <c r="AB27" s="21">
        <f t="shared" si="1"/>
        <v>9.6205239999999996</v>
      </c>
      <c r="AC27" s="21">
        <f t="shared" si="1"/>
        <v>9.7326200000000007</v>
      </c>
      <c r="AD27" s="21">
        <f t="shared" si="1"/>
        <v>9.8357810000000008</v>
      </c>
      <c r="AE27" s="21">
        <f t="shared" si="1"/>
        <v>9.9281550000000003</v>
      </c>
      <c r="AF27" s="21">
        <f t="shared" si="1"/>
        <v>10.009933</v>
      </c>
      <c r="AG27" s="21">
        <f t="shared" si="1"/>
        <v>10.081302000000001</v>
      </c>
      <c r="AH27" s="21">
        <f t="shared" si="1"/>
        <v>10.144436000000001</v>
      </c>
      <c r="AI27" s="21">
        <f t="shared" si="1"/>
        <v>10.201530999999999</v>
      </c>
      <c r="AJ27" s="21">
        <f t="shared" si="1"/>
        <v>10.253838999999999</v>
      </c>
      <c r="AK27" s="21">
        <f t="shared" si="1"/>
        <v>10.302179000000001</v>
      </c>
      <c r="AL27" s="21">
        <f t="shared" si="1"/>
        <v>10.346220000000001</v>
      </c>
      <c r="AM27" s="21">
        <f t="shared" si="1"/>
        <v>10.385173</v>
      </c>
      <c r="AN27" s="21">
        <f t="shared" si="1"/>
        <v>10.418341</v>
      </c>
      <c r="AO27" s="21">
        <f t="shared" si="1"/>
        <v>10.532942750999998</v>
      </c>
      <c r="AP27" s="21">
        <f t="shared" si="1"/>
        <v>10.648805121260997</v>
      </c>
      <c r="AQ27" s="21">
        <f t="shared" si="1"/>
        <v>10.765941977594867</v>
      </c>
      <c r="AR27" s="21">
        <f t="shared" si="1"/>
        <v>10.88436733934841</v>
      </c>
      <c r="AS27" s="21">
        <f t="shared" si="1"/>
        <v>11.004095380081241</v>
      </c>
      <c r="AT27" s="21">
        <f t="shared" si="1"/>
        <v>11.125140429262133</v>
      </c>
      <c r="AU27" s="21">
        <f t="shared" si="1"/>
        <v>11.247516973984016</v>
      </c>
      <c r="AV27" s="21">
        <f t="shared" si="1"/>
        <v>11.371239660697839</v>
      </c>
      <c r="AW27" s="21">
        <f t="shared" si="1"/>
        <v>11.496323296965514</v>
      </c>
      <c r="AX27" s="21">
        <f t="shared" si="1"/>
        <v>11.622782853232133</v>
      </c>
      <c r="AY27" s="21">
        <f t="shared" si="1"/>
        <v>11.750633464617685</v>
      </c>
      <c r="AZ27" s="21">
        <f t="shared" si="1"/>
        <v>11.879890432728478</v>
      </c>
      <c r="BA27" s="21">
        <f t="shared" si="1"/>
        <v>12.010569227488491</v>
      </c>
      <c r="BB27" s="21">
        <f t="shared" si="1"/>
        <v>12.142685488990862</v>
      </c>
      <c r="BC27" s="21">
        <f t="shared" si="1"/>
        <v>12.276255029369761</v>
      </c>
      <c r="BD27" s="21">
        <f t="shared" si="1"/>
        <v>12.411293834692827</v>
      </c>
      <c r="BE27" s="21">
        <f t="shared" si="1"/>
        <v>12.547818066874447</v>
      </c>
    </row>
    <row r="28" spans="2:57" s="4" customFormat="1" x14ac:dyDescent="0.35">
      <c r="E28" s="4" t="s">
        <v>583</v>
      </c>
      <c r="F28" s="4" t="s">
        <v>588</v>
      </c>
      <c r="G28" s="43" t="s">
        <v>584</v>
      </c>
      <c r="I28" s="21">
        <f>IF(I$6&gt;$H$19,G28*(1+$H23),I16)</f>
        <v>0</v>
      </c>
      <c r="J28" s="21">
        <f t="shared" si="1"/>
        <v>0</v>
      </c>
      <c r="K28" s="21">
        <f t="shared" si="1"/>
        <v>0</v>
      </c>
      <c r="L28" s="21">
        <f t="shared" si="1"/>
        <v>0</v>
      </c>
      <c r="M28" s="21">
        <f t="shared" si="1"/>
        <v>0</v>
      </c>
      <c r="N28" s="21">
        <f t="shared" si="1"/>
        <v>85.368492000000003</v>
      </c>
      <c r="O28" s="21">
        <f t="shared" si="1"/>
        <v>85.782218999999998</v>
      </c>
      <c r="P28" s="21">
        <f t="shared" si="1"/>
        <v>86.453102000000001</v>
      </c>
      <c r="Q28" s="21">
        <f t="shared" si="1"/>
        <v>87.127364999999998</v>
      </c>
      <c r="R28" s="21">
        <f t="shared" si="1"/>
        <v>87.815917999999996</v>
      </c>
      <c r="S28" s="21">
        <f t="shared" si="1"/>
        <v>88.497307000000006</v>
      </c>
      <c r="T28" s="21">
        <f t="shared" si="1"/>
        <v>89.183823000000004</v>
      </c>
      <c r="U28" s="21">
        <f t="shared" si="1"/>
        <v>89.886893999999998</v>
      </c>
      <c r="V28" s="21">
        <f t="shared" si="1"/>
        <v>90.639838999999995</v>
      </c>
      <c r="W28" s="21">
        <f t="shared" si="1"/>
        <v>91.398560000000003</v>
      </c>
      <c r="X28" s="21">
        <f t="shared" si="1"/>
        <v>92.155090000000001</v>
      </c>
      <c r="Y28" s="21">
        <f t="shared" si="1"/>
        <v>92.913680999999997</v>
      </c>
      <c r="Z28" s="21">
        <f t="shared" si="1"/>
        <v>93.673942999999994</v>
      </c>
      <c r="AA28" s="21">
        <f t="shared" si="1"/>
        <v>94.431358000000003</v>
      </c>
      <c r="AB28" s="21">
        <f t="shared" si="1"/>
        <v>95.209404000000006</v>
      </c>
      <c r="AC28" s="21">
        <f t="shared" si="1"/>
        <v>95.980911000000006</v>
      </c>
      <c r="AD28" s="21">
        <f t="shared" si="1"/>
        <v>96.765732</v>
      </c>
      <c r="AE28" s="21">
        <f t="shared" si="1"/>
        <v>97.560340999999994</v>
      </c>
      <c r="AF28" s="21">
        <f t="shared" si="1"/>
        <v>98.385993999999997</v>
      </c>
      <c r="AG28" s="21">
        <f t="shared" si="1"/>
        <v>99.207451000000006</v>
      </c>
      <c r="AH28" s="21">
        <f t="shared" si="1"/>
        <v>100.03009</v>
      </c>
      <c r="AI28" s="21">
        <f t="shared" si="1"/>
        <v>100.859093</v>
      </c>
      <c r="AJ28" s="21">
        <f t="shared" si="1"/>
        <v>101.69163500000001</v>
      </c>
      <c r="AK28" s="21">
        <f t="shared" si="1"/>
        <v>102.53218099999999</v>
      </c>
      <c r="AL28" s="21">
        <f t="shared" si="1"/>
        <v>103.377754</v>
      </c>
      <c r="AM28" s="21">
        <f t="shared" si="1"/>
        <v>104.220825</v>
      </c>
      <c r="AN28" s="21">
        <f t="shared" si="1"/>
        <v>105.06307200000001</v>
      </c>
      <c r="AO28" s="21">
        <f t="shared" si="1"/>
        <v>105.90357657600001</v>
      </c>
      <c r="AP28" s="21">
        <f t="shared" si="1"/>
        <v>106.75080518860801</v>
      </c>
      <c r="AQ28" s="21">
        <f t="shared" si="1"/>
        <v>107.60481163011687</v>
      </c>
      <c r="AR28" s="21">
        <f t="shared" si="1"/>
        <v>108.4656501231578</v>
      </c>
      <c r="AS28" s="21">
        <f t="shared" si="1"/>
        <v>109.33337532414306</v>
      </c>
      <c r="AT28" s="21">
        <f t="shared" si="1"/>
        <v>110.20804232673621</v>
      </c>
      <c r="AU28" s="21">
        <f t="shared" si="1"/>
        <v>111.08970666535009</v>
      </c>
      <c r="AV28" s="21">
        <f t="shared" si="1"/>
        <v>111.97842431867289</v>
      </c>
      <c r="AW28" s="21">
        <f t="shared" si="1"/>
        <v>112.87425171322228</v>
      </c>
      <c r="AX28" s="21">
        <f t="shared" si="1"/>
        <v>113.77724572692806</v>
      </c>
      <c r="AY28" s="21">
        <f t="shared" si="1"/>
        <v>114.68746369274348</v>
      </c>
      <c r="AZ28" s="21">
        <f t="shared" si="1"/>
        <v>115.60496340228542</v>
      </c>
      <c r="BA28" s="21">
        <f t="shared" si="1"/>
        <v>116.5298031095037</v>
      </c>
      <c r="BB28" s="21">
        <f t="shared" si="1"/>
        <v>117.46204153437974</v>
      </c>
      <c r="BC28" s="21">
        <f t="shared" si="1"/>
        <v>118.40173786665477</v>
      </c>
      <c r="BD28" s="21">
        <f t="shared" si="1"/>
        <v>119.34895176958801</v>
      </c>
      <c r="BE28" s="21">
        <f t="shared" si="1"/>
        <v>120.30374338374472</v>
      </c>
    </row>
    <row r="29" spans="2:57" s="4" customFormat="1" x14ac:dyDescent="0.35">
      <c r="E29" s="4" t="s">
        <v>585</v>
      </c>
      <c r="F29" s="4" t="s">
        <v>588</v>
      </c>
      <c r="G29" s="43" t="s">
        <v>586</v>
      </c>
      <c r="I29" s="21">
        <f>IF(I$6&gt;$H$19,G29*(1+$H24),I17)</f>
        <v>0</v>
      </c>
      <c r="J29" s="21">
        <f t="shared" si="1"/>
        <v>0</v>
      </c>
      <c r="K29" s="21">
        <f t="shared" si="1"/>
        <v>0</v>
      </c>
      <c r="L29" s="21">
        <f t="shared" si="1"/>
        <v>0</v>
      </c>
      <c r="M29" s="21">
        <f t="shared" si="1"/>
        <v>0</v>
      </c>
      <c r="N29" s="21">
        <f t="shared" si="1"/>
        <v>3.3734500000000001</v>
      </c>
      <c r="O29" s="21">
        <f t="shared" si="1"/>
        <v>3.3770099999999998</v>
      </c>
      <c r="P29" s="21">
        <f t="shared" si="1"/>
        <v>3.3805740000000002</v>
      </c>
      <c r="Q29" s="21">
        <f t="shared" si="1"/>
        <v>3.3841420000000002</v>
      </c>
      <c r="R29" s="21">
        <f t="shared" si="1"/>
        <v>3.3877130000000002</v>
      </c>
      <c r="S29" s="21">
        <f t="shared" si="1"/>
        <v>3.391289</v>
      </c>
      <c r="T29" s="21">
        <f t="shared" si="1"/>
        <v>3.3948680000000002</v>
      </c>
      <c r="U29" s="21">
        <f t="shared" si="1"/>
        <v>3.3984510000000001</v>
      </c>
      <c r="V29" s="21">
        <f t="shared" si="1"/>
        <v>3.402037</v>
      </c>
      <c r="W29" s="21">
        <f t="shared" si="1"/>
        <v>3.4056280000000001</v>
      </c>
      <c r="X29" s="21">
        <f t="shared" si="1"/>
        <v>3.4092220000000002</v>
      </c>
      <c r="Y29" s="21">
        <f t="shared" si="1"/>
        <v>3.41282</v>
      </c>
      <c r="Z29" s="21">
        <f t="shared" si="1"/>
        <v>3.4164219999999998</v>
      </c>
      <c r="AA29" s="21">
        <f t="shared" si="1"/>
        <v>3.4200270000000002</v>
      </c>
      <c r="AB29" s="21">
        <f t="shared" si="1"/>
        <v>3.4236369999999998</v>
      </c>
      <c r="AC29" s="21">
        <f t="shared" si="1"/>
        <v>3.4272499999999999</v>
      </c>
      <c r="AD29" s="21">
        <f t="shared" si="1"/>
        <v>3.4308670000000001</v>
      </c>
      <c r="AE29" s="21">
        <f t="shared" si="1"/>
        <v>3.434488</v>
      </c>
      <c r="AF29" s="21">
        <f t="shared" si="1"/>
        <v>3.438113</v>
      </c>
      <c r="AG29" s="21">
        <f t="shared" si="1"/>
        <v>3.4417409999999999</v>
      </c>
      <c r="AH29" s="21">
        <f t="shared" si="1"/>
        <v>3.445373</v>
      </c>
      <c r="AI29" s="21">
        <f t="shared" si="1"/>
        <v>3.4490099999999999</v>
      </c>
      <c r="AJ29" s="21">
        <f t="shared" si="1"/>
        <v>3.4526490000000001</v>
      </c>
      <c r="AK29" s="21">
        <f t="shared" si="1"/>
        <v>3.4562930000000001</v>
      </c>
      <c r="AL29" s="21">
        <f t="shared" si="1"/>
        <v>3.4599410000000002</v>
      </c>
      <c r="AM29" s="21">
        <f t="shared" si="1"/>
        <v>3.4635929999999999</v>
      </c>
      <c r="AN29" s="21">
        <f t="shared" si="1"/>
        <v>3.4672480000000001</v>
      </c>
      <c r="AO29" s="21">
        <f t="shared" si="1"/>
        <v>3.4707152479999999</v>
      </c>
      <c r="AP29" s="21">
        <f t="shared" si="1"/>
        <v>3.4741859632479994</v>
      </c>
      <c r="AQ29" s="21">
        <f t="shared" si="1"/>
        <v>3.4776601492112471</v>
      </c>
      <c r="AR29" s="21">
        <f t="shared" si="1"/>
        <v>3.4811378093604581</v>
      </c>
      <c r="AS29" s="21">
        <f t="shared" si="1"/>
        <v>3.4846189471698183</v>
      </c>
      <c r="AT29" s="21">
        <f t="shared" si="1"/>
        <v>3.4881035661169877</v>
      </c>
      <c r="AU29" s="21">
        <f t="shared" si="1"/>
        <v>3.4915916696831042</v>
      </c>
      <c r="AV29" s="21">
        <f t="shared" si="1"/>
        <v>3.4950832613527871</v>
      </c>
      <c r="AW29" s="21">
        <f t="shared" si="1"/>
        <v>3.4985783446141396</v>
      </c>
      <c r="AX29" s="21">
        <f t="shared" si="1"/>
        <v>3.5020769229587532</v>
      </c>
      <c r="AY29" s="21">
        <f t="shared" si="1"/>
        <v>3.5055789998817115</v>
      </c>
      <c r="AZ29" s="21">
        <f t="shared" si="1"/>
        <v>3.509084578881593</v>
      </c>
      <c r="BA29" s="21">
        <f t="shared" si="1"/>
        <v>3.512593663460474</v>
      </c>
      <c r="BB29" s="21">
        <f t="shared" si="1"/>
        <v>3.5161062571239339</v>
      </c>
      <c r="BC29" s="21">
        <f t="shared" si="1"/>
        <v>3.5196223633810573</v>
      </c>
      <c r="BD29" s="21">
        <f t="shared" si="1"/>
        <v>3.5231419857444379</v>
      </c>
      <c r="BE29" s="21">
        <f t="shared" si="1"/>
        <v>3.5266651277301819</v>
      </c>
    </row>
    <row r="30" spans="2:57" s="4" customFormat="1" ht="5.25" customHeight="1" x14ac:dyDescent="0.35">
      <c r="G30" s="43"/>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row>
    <row r="31" spans="2:57" s="4" customFormat="1" x14ac:dyDescent="0.35">
      <c r="B31" s="2" t="s">
        <v>589</v>
      </c>
      <c r="C31" s="2"/>
      <c r="G31" s="43"/>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row>
    <row r="32" spans="2:57" s="4" customFormat="1" ht="5.25" customHeight="1" x14ac:dyDescent="0.35">
      <c r="G32" s="43"/>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row>
    <row r="33" spans="5:40" s="49" customFormat="1" x14ac:dyDescent="0.35">
      <c r="E33" s="49" t="s">
        <v>175</v>
      </c>
      <c r="F33" s="49" t="s">
        <v>176</v>
      </c>
      <c r="G33" s="57" t="s">
        <v>121</v>
      </c>
      <c r="H33" s="49">
        <v>2024</v>
      </c>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row>
    <row r="34" spans="5:40" s="4" customFormat="1" ht="5.25" customHeight="1" x14ac:dyDescent="0.35">
      <c r="G34" s="43"/>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row>
    <row r="35" spans="5:40" s="4" customFormat="1" x14ac:dyDescent="0.35">
      <c r="E35" s="4" t="s">
        <v>590</v>
      </c>
      <c r="F35" s="4" t="s">
        <v>591</v>
      </c>
      <c r="G35" s="43" t="s">
        <v>592</v>
      </c>
      <c r="I35" s="20"/>
      <c r="J35" s="20"/>
      <c r="K35" s="20"/>
      <c r="L35" s="20"/>
      <c r="M35" s="20"/>
      <c r="N35" s="20">
        <v>3.447978</v>
      </c>
      <c r="O35" s="20">
        <v>3.2566329999999999</v>
      </c>
      <c r="P35" s="20">
        <v>3.0547409999999999</v>
      </c>
      <c r="Q35" s="20">
        <v>2.9956459999999998</v>
      </c>
      <c r="R35" s="20">
        <v>2.963428</v>
      </c>
      <c r="S35" s="20">
        <v>2.9275699999999998</v>
      </c>
      <c r="T35" s="20">
        <v>2.929916</v>
      </c>
      <c r="U35" s="20">
        <v>2.9319320000000002</v>
      </c>
      <c r="V35" s="20">
        <v>2.9111120000000001</v>
      </c>
      <c r="W35" s="20">
        <v>2.8949199999999999</v>
      </c>
      <c r="X35" s="20">
        <v>2.9005380000000001</v>
      </c>
      <c r="Y35" s="20">
        <v>2.8743439999999998</v>
      </c>
      <c r="Z35" s="20">
        <v>2.873564</v>
      </c>
      <c r="AA35" s="20">
        <v>2.8598690000000002</v>
      </c>
      <c r="AB35" s="20">
        <v>2.8152339999999998</v>
      </c>
      <c r="AC35" s="20">
        <v>2.8005969999999998</v>
      </c>
      <c r="AD35" s="20">
        <v>2.7898800000000001</v>
      </c>
      <c r="AE35" s="116">
        <v>2.7358799999999999</v>
      </c>
      <c r="AF35" s="116">
        <v>2.705889</v>
      </c>
      <c r="AG35" s="116">
        <v>2.7066870000000001</v>
      </c>
      <c r="AH35" s="116">
        <v>2.5845150000000001</v>
      </c>
      <c r="AI35" s="116">
        <v>2.5890149999999998</v>
      </c>
      <c r="AJ35" s="116">
        <v>2.5381830000000001</v>
      </c>
      <c r="AK35" s="116">
        <v>2.5762800000000001</v>
      </c>
      <c r="AL35" s="116">
        <v>2.5861179999999999</v>
      </c>
      <c r="AM35" s="116">
        <v>2.593318</v>
      </c>
      <c r="AN35" s="116">
        <v>2.613184</v>
      </c>
    </row>
    <row r="36" spans="5:40" s="4" customFormat="1" x14ac:dyDescent="0.35">
      <c r="E36" s="4" t="s">
        <v>593</v>
      </c>
      <c r="F36" s="4" t="s">
        <v>591</v>
      </c>
      <c r="G36" s="43" t="s">
        <v>592</v>
      </c>
      <c r="I36" s="20"/>
      <c r="J36" s="20"/>
      <c r="K36" s="20"/>
      <c r="L36" s="20"/>
      <c r="M36" s="20"/>
      <c r="N36" s="20">
        <v>3.751887</v>
      </c>
      <c r="O36" s="20">
        <v>3.519279</v>
      </c>
      <c r="P36" s="20">
        <v>3.429306</v>
      </c>
      <c r="Q36" s="20">
        <v>3.4327649999999998</v>
      </c>
      <c r="R36" s="20">
        <v>3.4648620000000001</v>
      </c>
      <c r="S36" s="20">
        <v>3.50088</v>
      </c>
      <c r="T36" s="20">
        <v>3.542821</v>
      </c>
      <c r="U36" s="20">
        <v>3.5516130000000001</v>
      </c>
      <c r="V36" s="20">
        <v>3.5323319999999998</v>
      </c>
      <c r="W36" s="20">
        <v>3.58216</v>
      </c>
      <c r="X36" s="20">
        <v>3.6034920000000001</v>
      </c>
      <c r="Y36" s="20">
        <v>3.641778</v>
      </c>
      <c r="Z36" s="20">
        <v>3.657346</v>
      </c>
      <c r="AA36" s="20">
        <v>3.6845940000000001</v>
      </c>
      <c r="AB36" s="20">
        <v>3.695856</v>
      </c>
      <c r="AC36" s="20">
        <v>3.7166579999999998</v>
      </c>
      <c r="AD36" s="20">
        <v>3.7457449999999999</v>
      </c>
      <c r="AE36" s="116">
        <v>3.774356</v>
      </c>
      <c r="AF36" s="116">
        <v>3.786457</v>
      </c>
      <c r="AG36" s="116">
        <v>3.8372009999999999</v>
      </c>
      <c r="AH36" s="116">
        <v>3.8680780000000001</v>
      </c>
      <c r="AI36" s="116">
        <v>3.8805689999999999</v>
      </c>
      <c r="AJ36" s="116">
        <v>3.913564</v>
      </c>
      <c r="AK36" s="116">
        <v>3.9992130000000001</v>
      </c>
      <c r="AL36" s="116">
        <v>4.0057640000000001</v>
      </c>
      <c r="AM36" s="116">
        <v>4.0015340000000004</v>
      </c>
      <c r="AN36" s="116">
        <v>4.0092920000000003</v>
      </c>
    </row>
    <row r="37" spans="5:40" s="4" customFormat="1" x14ac:dyDescent="0.35">
      <c r="E37" s="4" t="s">
        <v>594</v>
      </c>
      <c r="F37" s="4" t="s">
        <v>591</v>
      </c>
      <c r="G37" s="43" t="s">
        <v>592</v>
      </c>
      <c r="I37" s="20"/>
      <c r="J37" s="20"/>
      <c r="K37" s="20"/>
      <c r="L37" s="20"/>
      <c r="M37" s="20"/>
      <c r="N37" s="20">
        <v>2.3812549999999999</v>
      </c>
      <c r="O37" s="20">
        <v>2.2133259999999999</v>
      </c>
      <c r="P37" s="20">
        <v>2.174614</v>
      </c>
      <c r="Q37" s="20">
        <v>2.2294130000000001</v>
      </c>
      <c r="R37" s="20">
        <v>2.3094269999999999</v>
      </c>
      <c r="S37" s="20">
        <v>2.3926090000000002</v>
      </c>
      <c r="T37" s="20">
        <v>2.47878</v>
      </c>
      <c r="U37" s="20">
        <v>2.494586</v>
      </c>
      <c r="V37" s="20">
        <v>2.4806010000000001</v>
      </c>
      <c r="W37" s="20">
        <v>2.5230350000000001</v>
      </c>
      <c r="X37" s="20">
        <v>2.54447</v>
      </c>
      <c r="Y37" s="20">
        <v>2.5711279999999999</v>
      </c>
      <c r="Z37" s="20">
        <v>2.5822440000000002</v>
      </c>
      <c r="AA37" s="20">
        <v>2.6067239999999998</v>
      </c>
      <c r="AB37" s="20">
        <v>2.6364380000000001</v>
      </c>
      <c r="AC37" s="20">
        <v>2.6529050000000001</v>
      </c>
      <c r="AD37" s="20">
        <v>2.6817519999999999</v>
      </c>
      <c r="AE37" s="116">
        <v>2.7234970000000001</v>
      </c>
      <c r="AF37" s="116">
        <v>2.7406190000000001</v>
      </c>
      <c r="AG37" s="116">
        <v>2.7903319999999998</v>
      </c>
      <c r="AH37" s="116">
        <v>2.8304999999999998</v>
      </c>
      <c r="AI37" s="116">
        <v>2.8443510000000001</v>
      </c>
      <c r="AJ37" s="116">
        <v>2.883372</v>
      </c>
      <c r="AK37" s="116">
        <v>2.9667289999999999</v>
      </c>
      <c r="AL37" s="116">
        <v>2.9702130000000002</v>
      </c>
      <c r="AM37" s="116">
        <v>2.9764499999999998</v>
      </c>
      <c r="AN37" s="116">
        <v>2.9935390000000002</v>
      </c>
    </row>
    <row r="38" spans="5:40" s="4" customFormat="1" x14ac:dyDescent="0.35">
      <c r="E38" s="4" t="s">
        <v>595</v>
      </c>
      <c r="F38" s="4" t="s">
        <v>591</v>
      </c>
      <c r="G38" s="43" t="s">
        <v>596</v>
      </c>
      <c r="I38" s="20"/>
      <c r="J38" s="20"/>
      <c r="K38" s="20"/>
      <c r="L38" s="20"/>
      <c r="M38" s="20"/>
      <c r="N38" s="20">
        <v>12.996983999999999</v>
      </c>
      <c r="O38" s="20">
        <v>12.744918999999999</v>
      </c>
      <c r="P38" s="20">
        <v>11.907881</v>
      </c>
      <c r="Q38" s="20">
        <v>11.252230000000001</v>
      </c>
      <c r="R38" s="20">
        <v>11.208321</v>
      </c>
      <c r="S38" s="20">
        <v>11.330735000000001</v>
      </c>
      <c r="T38" s="20">
        <v>11.442939000000001</v>
      </c>
      <c r="U38" s="20">
        <v>11.631391000000001</v>
      </c>
      <c r="V38" s="20">
        <v>11.730902</v>
      </c>
      <c r="W38" s="20">
        <v>11.972712</v>
      </c>
      <c r="X38" s="20">
        <v>11.996494</v>
      </c>
      <c r="Y38" s="20">
        <v>11.957287000000001</v>
      </c>
      <c r="Z38" s="20">
        <v>11.825022000000001</v>
      </c>
      <c r="AA38" s="20">
        <v>11.726082</v>
      </c>
      <c r="AB38" s="20">
        <v>11.643523</v>
      </c>
      <c r="AC38" s="20">
        <v>11.535247999999999</v>
      </c>
      <c r="AD38" s="20">
        <v>11.513439999999999</v>
      </c>
      <c r="AE38" s="116">
        <v>11.562575000000001</v>
      </c>
      <c r="AF38" s="116">
        <v>11.634040000000001</v>
      </c>
      <c r="AG38" s="116">
        <v>11.70092</v>
      </c>
      <c r="AH38" s="116">
        <v>11.776702999999999</v>
      </c>
      <c r="AI38" s="116">
        <v>11.890639</v>
      </c>
      <c r="AJ38" s="116">
        <v>12.023110000000001</v>
      </c>
      <c r="AK38" s="116">
        <v>12.091479</v>
      </c>
      <c r="AL38" s="116">
        <v>12.132718000000001</v>
      </c>
      <c r="AM38" s="116">
        <v>12.164635000000001</v>
      </c>
      <c r="AN38" s="116">
        <v>12.139797</v>
      </c>
    </row>
    <row r="39" spans="5:40" s="4" customFormat="1" x14ac:dyDescent="0.35">
      <c r="G39" s="43"/>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row>
    <row r="40" spans="5:40" s="4" customFormat="1" ht="15" customHeight="1" x14ac:dyDescent="0.35">
      <c r="E40" s="49" t="s">
        <v>177</v>
      </c>
      <c r="G40" s="57" t="s">
        <v>121</v>
      </c>
      <c r="H40" s="49">
        <v>2050</v>
      </c>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row>
    <row r="41" spans="5:40" s="4" customFormat="1" x14ac:dyDescent="0.35">
      <c r="E41" s="49"/>
      <c r="F41" s="61"/>
      <c r="G41" s="57"/>
      <c r="H41" s="49"/>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row>
    <row r="42" spans="5:40" s="4" customFormat="1" ht="15" customHeight="1" x14ac:dyDescent="0.35">
      <c r="E42" s="49" t="s">
        <v>178</v>
      </c>
      <c r="G42" s="57" t="s">
        <v>180</v>
      </c>
      <c r="H42" s="81">
        <v>-1.0999999999999999E-2</v>
      </c>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row>
    <row r="43" spans="5:40" s="4" customFormat="1" ht="15" customHeight="1" x14ac:dyDescent="0.35">
      <c r="E43" s="49" t="s">
        <v>181</v>
      </c>
      <c r="G43" s="57" t="s">
        <v>180</v>
      </c>
      <c r="H43" s="81">
        <v>3.0000000000000001E-3</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row>
    <row r="44" spans="5:40" s="4" customFormat="1" ht="15" customHeight="1" x14ac:dyDescent="0.35">
      <c r="E44" s="49" t="s">
        <v>182</v>
      </c>
      <c r="G44" s="57" t="s">
        <v>180</v>
      </c>
      <c r="H44" s="81">
        <v>8.9999999999999993E-3</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row>
    <row r="45" spans="5:40" s="4" customFormat="1" ht="15" customHeight="1" x14ac:dyDescent="0.35">
      <c r="E45" s="49" t="s">
        <v>183</v>
      </c>
      <c r="G45" s="57" t="s">
        <v>180</v>
      </c>
      <c r="H45" s="81">
        <v>-3.0000000000000001E-3</v>
      </c>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row>
    <row r="46" spans="5:40" s="4" customFormat="1" ht="15" customHeight="1" x14ac:dyDescent="0.35">
      <c r="G46" s="43"/>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row>
    <row r="47" spans="5:40" s="4" customFormat="1" ht="15" customHeight="1" x14ac:dyDescent="0.35">
      <c r="E47" s="49" t="s">
        <v>130</v>
      </c>
      <c r="G47" s="57" t="s">
        <v>131</v>
      </c>
      <c r="H47" s="153">
        <v>1</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row>
    <row r="48" spans="5:40" s="4" customFormat="1" ht="5.25" customHeight="1" x14ac:dyDescent="0.35">
      <c r="G48" s="43"/>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row>
    <row r="49" spans="1:58" s="4" customFormat="1" ht="15" customHeight="1" x14ac:dyDescent="0.35">
      <c r="E49" s="4" t="s">
        <v>590</v>
      </c>
      <c r="F49" s="4" t="s">
        <v>588</v>
      </c>
      <c r="G49" s="43" t="s">
        <v>592</v>
      </c>
      <c r="I49" s="21">
        <f t="shared" ref="I49:BE52" si="2">IF(I$6&gt;$H$40,G49*(1+$H42),I35)*$H$47</f>
        <v>0</v>
      </c>
      <c r="J49" s="21">
        <f t="shared" si="2"/>
        <v>0</v>
      </c>
      <c r="K49" s="21">
        <f t="shared" si="2"/>
        <v>0</v>
      </c>
      <c r="L49" s="21">
        <f t="shared" si="2"/>
        <v>0</v>
      </c>
      <c r="M49" s="21">
        <f t="shared" si="2"/>
        <v>0</v>
      </c>
      <c r="N49" s="21">
        <f t="shared" si="2"/>
        <v>3.447978</v>
      </c>
      <c r="O49" s="21">
        <f t="shared" si="2"/>
        <v>3.2566329999999999</v>
      </c>
      <c r="P49" s="21">
        <f t="shared" si="2"/>
        <v>3.0547409999999999</v>
      </c>
      <c r="Q49" s="21">
        <f t="shared" si="2"/>
        <v>2.9956459999999998</v>
      </c>
      <c r="R49" s="21">
        <f t="shared" si="2"/>
        <v>2.963428</v>
      </c>
      <c r="S49" s="21">
        <f t="shared" si="2"/>
        <v>2.9275699999999998</v>
      </c>
      <c r="T49" s="21">
        <f t="shared" si="2"/>
        <v>2.929916</v>
      </c>
      <c r="U49" s="21">
        <f t="shared" si="2"/>
        <v>2.9319320000000002</v>
      </c>
      <c r="V49" s="21">
        <f t="shared" si="2"/>
        <v>2.9111120000000001</v>
      </c>
      <c r="W49" s="21">
        <f t="shared" si="2"/>
        <v>2.8949199999999999</v>
      </c>
      <c r="X49" s="21">
        <f t="shared" si="2"/>
        <v>2.9005380000000001</v>
      </c>
      <c r="Y49" s="21">
        <f t="shared" si="2"/>
        <v>2.8743439999999998</v>
      </c>
      <c r="Z49" s="21">
        <f t="shared" si="2"/>
        <v>2.873564</v>
      </c>
      <c r="AA49" s="21">
        <f t="shared" si="2"/>
        <v>2.8598690000000002</v>
      </c>
      <c r="AB49" s="21">
        <f t="shared" si="2"/>
        <v>2.8152339999999998</v>
      </c>
      <c r="AC49" s="21">
        <f t="shared" si="2"/>
        <v>2.8005969999999998</v>
      </c>
      <c r="AD49" s="21">
        <f t="shared" si="2"/>
        <v>2.7898800000000001</v>
      </c>
      <c r="AE49" s="21">
        <f t="shared" si="2"/>
        <v>2.7358799999999999</v>
      </c>
      <c r="AF49" s="21">
        <f t="shared" si="2"/>
        <v>2.705889</v>
      </c>
      <c r="AG49" s="21">
        <f t="shared" si="2"/>
        <v>2.7066870000000001</v>
      </c>
      <c r="AH49" s="21">
        <f t="shared" si="2"/>
        <v>2.5845150000000001</v>
      </c>
      <c r="AI49" s="21">
        <f t="shared" si="2"/>
        <v>2.5890149999999998</v>
      </c>
      <c r="AJ49" s="21">
        <f t="shared" si="2"/>
        <v>2.5381830000000001</v>
      </c>
      <c r="AK49" s="21">
        <f t="shared" si="2"/>
        <v>2.5762800000000001</v>
      </c>
      <c r="AL49" s="21">
        <f t="shared" si="2"/>
        <v>2.5861179999999999</v>
      </c>
      <c r="AM49" s="21">
        <f t="shared" si="2"/>
        <v>2.593318</v>
      </c>
      <c r="AN49" s="21">
        <f t="shared" si="2"/>
        <v>2.613184</v>
      </c>
      <c r="AO49" s="21">
        <f t="shared" si="2"/>
        <v>2.5647915019999998</v>
      </c>
      <c r="AP49" s="21">
        <f t="shared" si="2"/>
        <v>2.5844389759999999</v>
      </c>
      <c r="AQ49" s="21">
        <f t="shared" si="2"/>
        <v>2.5365787954779999</v>
      </c>
      <c r="AR49" s="21">
        <f t="shared" si="2"/>
        <v>2.5560101472639998</v>
      </c>
      <c r="AS49" s="21">
        <f t="shared" si="2"/>
        <v>2.5086764287277421</v>
      </c>
      <c r="AT49" s="21">
        <f t="shared" si="2"/>
        <v>2.5278940356440955</v>
      </c>
      <c r="AU49" s="21">
        <f t="shared" si="2"/>
        <v>2.4810809880117368</v>
      </c>
      <c r="AV49" s="21">
        <f t="shared" si="2"/>
        <v>2.5000872012520103</v>
      </c>
      <c r="AW49" s="21">
        <f t="shared" si="2"/>
        <v>2.4537890971436078</v>
      </c>
      <c r="AX49" s="21">
        <f t="shared" si="2"/>
        <v>2.4725862420382381</v>
      </c>
      <c r="AY49" s="21">
        <f t="shared" si="2"/>
        <v>2.4267974170750279</v>
      </c>
      <c r="AZ49" s="21">
        <f t="shared" si="2"/>
        <v>2.4453877933758172</v>
      </c>
      <c r="BA49" s="21">
        <f t="shared" si="2"/>
        <v>2.4001026454872028</v>
      </c>
      <c r="BB49" s="21">
        <f t="shared" si="2"/>
        <v>2.4184885276486834</v>
      </c>
      <c r="BC49" s="21">
        <f t="shared" si="2"/>
        <v>2.3737015163868436</v>
      </c>
      <c r="BD49" s="21">
        <f t="shared" si="2"/>
        <v>2.391885153844548</v>
      </c>
      <c r="BE49" s="21">
        <f t="shared" si="2"/>
        <v>2.3475907997065883</v>
      </c>
    </row>
    <row r="50" spans="1:58" s="4" customFormat="1" x14ac:dyDescent="0.35">
      <c r="E50" s="4" t="s">
        <v>593</v>
      </c>
      <c r="F50" s="4" t="s">
        <v>588</v>
      </c>
      <c r="G50" s="43" t="s">
        <v>592</v>
      </c>
      <c r="I50" s="21">
        <f t="shared" si="2"/>
        <v>0</v>
      </c>
      <c r="J50" s="21">
        <f t="shared" si="2"/>
        <v>0</v>
      </c>
      <c r="K50" s="21">
        <f t="shared" si="2"/>
        <v>0</v>
      </c>
      <c r="L50" s="21">
        <f t="shared" si="2"/>
        <v>0</v>
      </c>
      <c r="M50" s="21">
        <f t="shared" si="2"/>
        <v>0</v>
      </c>
      <c r="N50" s="21">
        <f t="shared" si="2"/>
        <v>3.751887</v>
      </c>
      <c r="O50" s="21">
        <f t="shared" si="2"/>
        <v>3.519279</v>
      </c>
      <c r="P50" s="21">
        <f t="shared" si="2"/>
        <v>3.429306</v>
      </c>
      <c r="Q50" s="21">
        <f t="shared" si="2"/>
        <v>3.4327649999999998</v>
      </c>
      <c r="R50" s="21">
        <f t="shared" si="2"/>
        <v>3.4648620000000001</v>
      </c>
      <c r="S50" s="21">
        <f t="shared" si="2"/>
        <v>3.50088</v>
      </c>
      <c r="T50" s="21">
        <f t="shared" si="2"/>
        <v>3.542821</v>
      </c>
      <c r="U50" s="21">
        <f t="shared" si="2"/>
        <v>3.5516130000000001</v>
      </c>
      <c r="V50" s="21">
        <f t="shared" si="2"/>
        <v>3.5323319999999998</v>
      </c>
      <c r="W50" s="21">
        <f t="shared" si="2"/>
        <v>3.58216</v>
      </c>
      <c r="X50" s="21">
        <f t="shared" si="2"/>
        <v>3.6034920000000001</v>
      </c>
      <c r="Y50" s="21">
        <f t="shared" si="2"/>
        <v>3.641778</v>
      </c>
      <c r="Z50" s="21">
        <f t="shared" si="2"/>
        <v>3.657346</v>
      </c>
      <c r="AA50" s="21">
        <f t="shared" si="2"/>
        <v>3.6845940000000001</v>
      </c>
      <c r="AB50" s="21">
        <f t="shared" si="2"/>
        <v>3.695856</v>
      </c>
      <c r="AC50" s="21">
        <f t="shared" si="2"/>
        <v>3.7166579999999998</v>
      </c>
      <c r="AD50" s="21">
        <f t="shared" si="2"/>
        <v>3.7457449999999999</v>
      </c>
      <c r="AE50" s="21">
        <f t="shared" si="2"/>
        <v>3.774356</v>
      </c>
      <c r="AF50" s="21">
        <f t="shared" si="2"/>
        <v>3.786457</v>
      </c>
      <c r="AG50" s="21">
        <f t="shared" si="2"/>
        <v>3.8372009999999999</v>
      </c>
      <c r="AH50" s="21">
        <f t="shared" si="2"/>
        <v>3.8680780000000001</v>
      </c>
      <c r="AI50" s="21">
        <f t="shared" si="2"/>
        <v>3.8805689999999999</v>
      </c>
      <c r="AJ50" s="21">
        <f t="shared" si="2"/>
        <v>3.913564</v>
      </c>
      <c r="AK50" s="21">
        <f t="shared" si="2"/>
        <v>3.9992130000000001</v>
      </c>
      <c r="AL50" s="21">
        <f t="shared" si="2"/>
        <v>4.0057640000000001</v>
      </c>
      <c r="AM50" s="21">
        <f t="shared" si="2"/>
        <v>4.0015340000000004</v>
      </c>
      <c r="AN50" s="21">
        <f t="shared" si="2"/>
        <v>4.0092920000000003</v>
      </c>
      <c r="AO50" s="21">
        <f t="shared" si="2"/>
        <v>4.0135386019999997</v>
      </c>
      <c r="AP50" s="21">
        <f t="shared" si="2"/>
        <v>4.0213198759999997</v>
      </c>
      <c r="AQ50" s="21">
        <f t="shared" si="2"/>
        <v>4.0255792178059995</v>
      </c>
      <c r="AR50" s="21">
        <f t="shared" si="2"/>
        <v>4.0333838356279994</v>
      </c>
      <c r="AS50" s="21">
        <f t="shared" si="2"/>
        <v>4.0376559554594174</v>
      </c>
      <c r="AT50" s="21">
        <f t="shared" si="2"/>
        <v>4.0454839871348831</v>
      </c>
      <c r="AU50" s="21">
        <f t="shared" si="2"/>
        <v>4.0497689233257947</v>
      </c>
      <c r="AV50" s="21">
        <f t="shared" si="2"/>
        <v>4.0576204390962873</v>
      </c>
      <c r="AW50" s="21">
        <f t="shared" si="2"/>
        <v>4.0619182300957721</v>
      </c>
      <c r="AX50" s="21">
        <f t="shared" si="2"/>
        <v>4.0697933004135756</v>
      </c>
      <c r="AY50" s="21">
        <f t="shared" si="2"/>
        <v>4.074103984786059</v>
      </c>
      <c r="AZ50" s="21">
        <f t="shared" si="2"/>
        <v>4.0820026803148162</v>
      </c>
      <c r="BA50" s="21">
        <f t="shared" si="2"/>
        <v>4.0863262967404168</v>
      </c>
      <c r="BB50" s="21">
        <f t="shared" si="2"/>
        <v>4.0942486883557603</v>
      </c>
      <c r="BC50" s="21">
        <f t="shared" si="2"/>
        <v>4.0985852756306373</v>
      </c>
      <c r="BD50" s="21">
        <f t="shared" si="2"/>
        <v>4.1065314344208268</v>
      </c>
      <c r="BE50" s="21">
        <f t="shared" si="2"/>
        <v>4.110881031457529</v>
      </c>
    </row>
    <row r="51" spans="1:58" s="4" customFormat="1" x14ac:dyDescent="0.35">
      <c r="E51" s="4" t="s">
        <v>594</v>
      </c>
      <c r="F51" s="4" t="s">
        <v>588</v>
      </c>
      <c r="G51" s="43" t="s">
        <v>592</v>
      </c>
      <c r="I51" s="21">
        <f t="shared" si="2"/>
        <v>0</v>
      </c>
      <c r="J51" s="21">
        <f t="shared" si="2"/>
        <v>0</v>
      </c>
      <c r="K51" s="21">
        <f t="shared" si="2"/>
        <v>0</v>
      </c>
      <c r="L51" s="21">
        <f t="shared" si="2"/>
        <v>0</v>
      </c>
      <c r="M51" s="21">
        <f t="shared" si="2"/>
        <v>0</v>
      </c>
      <c r="N51" s="21">
        <f t="shared" si="2"/>
        <v>2.3812549999999999</v>
      </c>
      <c r="O51" s="21">
        <f t="shared" si="2"/>
        <v>2.2133259999999999</v>
      </c>
      <c r="P51" s="21">
        <f t="shared" si="2"/>
        <v>2.174614</v>
      </c>
      <c r="Q51" s="21">
        <f t="shared" si="2"/>
        <v>2.2294130000000001</v>
      </c>
      <c r="R51" s="21">
        <f t="shared" si="2"/>
        <v>2.3094269999999999</v>
      </c>
      <c r="S51" s="21">
        <f t="shared" si="2"/>
        <v>2.3926090000000002</v>
      </c>
      <c r="T51" s="21">
        <f t="shared" si="2"/>
        <v>2.47878</v>
      </c>
      <c r="U51" s="21">
        <f t="shared" si="2"/>
        <v>2.494586</v>
      </c>
      <c r="V51" s="21">
        <f t="shared" si="2"/>
        <v>2.4806010000000001</v>
      </c>
      <c r="W51" s="21">
        <f t="shared" si="2"/>
        <v>2.5230350000000001</v>
      </c>
      <c r="X51" s="21">
        <f t="shared" si="2"/>
        <v>2.54447</v>
      </c>
      <c r="Y51" s="21">
        <f t="shared" si="2"/>
        <v>2.5711279999999999</v>
      </c>
      <c r="Z51" s="21">
        <f t="shared" si="2"/>
        <v>2.5822440000000002</v>
      </c>
      <c r="AA51" s="21">
        <f t="shared" si="2"/>
        <v>2.6067239999999998</v>
      </c>
      <c r="AB51" s="21">
        <f t="shared" si="2"/>
        <v>2.6364380000000001</v>
      </c>
      <c r="AC51" s="21">
        <f t="shared" si="2"/>
        <v>2.6529050000000001</v>
      </c>
      <c r="AD51" s="21">
        <f t="shared" si="2"/>
        <v>2.6817519999999999</v>
      </c>
      <c r="AE51" s="21">
        <f t="shared" si="2"/>
        <v>2.7234970000000001</v>
      </c>
      <c r="AF51" s="21">
        <f t="shared" si="2"/>
        <v>2.7406190000000001</v>
      </c>
      <c r="AG51" s="21">
        <f t="shared" si="2"/>
        <v>2.7903319999999998</v>
      </c>
      <c r="AH51" s="21">
        <f t="shared" si="2"/>
        <v>2.8304999999999998</v>
      </c>
      <c r="AI51" s="21">
        <f t="shared" si="2"/>
        <v>2.8443510000000001</v>
      </c>
      <c r="AJ51" s="21">
        <f t="shared" si="2"/>
        <v>2.883372</v>
      </c>
      <c r="AK51" s="21">
        <f t="shared" si="2"/>
        <v>2.9667289999999999</v>
      </c>
      <c r="AL51" s="21">
        <f t="shared" si="2"/>
        <v>2.9702130000000002</v>
      </c>
      <c r="AM51" s="21">
        <f t="shared" si="2"/>
        <v>2.9764499999999998</v>
      </c>
      <c r="AN51" s="21">
        <f t="shared" si="2"/>
        <v>2.9935390000000002</v>
      </c>
      <c r="AO51" s="21">
        <f t="shared" si="2"/>
        <v>3.0032380499999993</v>
      </c>
      <c r="AP51" s="21">
        <f t="shared" si="2"/>
        <v>3.0204808509999999</v>
      </c>
      <c r="AQ51" s="21">
        <f t="shared" si="2"/>
        <v>3.0302671924499989</v>
      </c>
      <c r="AR51" s="21">
        <f t="shared" si="2"/>
        <v>3.0476651786589994</v>
      </c>
      <c r="AS51" s="21">
        <f t="shared" si="2"/>
        <v>3.0575395971820485</v>
      </c>
      <c r="AT51" s="21">
        <f t="shared" si="2"/>
        <v>3.0750941652669299</v>
      </c>
      <c r="AU51" s="21">
        <f t="shared" si="2"/>
        <v>3.0850574535566868</v>
      </c>
      <c r="AV51" s="21">
        <f t="shared" si="2"/>
        <v>3.1027700127543318</v>
      </c>
      <c r="AW51" s="21">
        <f t="shared" si="2"/>
        <v>3.1128229706386965</v>
      </c>
      <c r="AX51" s="21">
        <f t="shared" si="2"/>
        <v>3.1306949428691206</v>
      </c>
      <c r="AY51" s="21">
        <f t="shared" si="2"/>
        <v>3.1408383773744446</v>
      </c>
      <c r="AZ51" s="21">
        <f t="shared" si="2"/>
        <v>3.1588711973549426</v>
      </c>
      <c r="BA51" s="21">
        <f t="shared" si="2"/>
        <v>3.1691059227708145</v>
      </c>
      <c r="BB51" s="21">
        <f t="shared" si="2"/>
        <v>3.1873010381311366</v>
      </c>
      <c r="BC51" s="21">
        <f t="shared" si="2"/>
        <v>3.1976278760757513</v>
      </c>
      <c r="BD51" s="21">
        <f t="shared" si="2"/>
        <v>3.2159867474743167</v>
      </c>
      <c r="BE51" s="21">
        <f t="shared" si="2"/>
        <v>3.2264065269604325</v>
      </c>
    </row>
    <row r="52" spans="1:58" s="4" customFormat="1" x14ac:dyDescent="0.35">
      <c r="E52" s="4" t="s">
        <v>595</v>
      </c>
      <c r="F52" s="4" t="s">
        <v>588</v>
      </c>
      <c r="G52" s="43" t="s">
        <v>596</v>
      </c>
      <c r="I52" s="21">
        <f t="shared" si="2"/>
        <v>0</v>
      </c>
      <c r="J52" s="21">
        <f t="shared" si="2"/>
        <v>0</v>
      </c>
      <c r="K52" s="21">
        <f t="shared" si="2"/>
        <v>0</v>
      </c>
      <c r="L52" s="21">
        <f t="shared" si="2"/>
        <v>0</v>
      </c>
      <c r="M52" s="21">
        <f t="shared" si="2"/>
        <v>0</v>
      </c>
      <c r="N52" s="21">
        <f t="shared" si="2"/>
        <v>12.996983999999999</v>
      </c>
      <c r="O52" s="21">
        <f t="shared" si="2"/>
        <v>12.744918999999999</v>
      </c>
      <c r="P52" s="21">
        <f t="shared" si="2"/>
        <v>11.907881</v>
      </c>
      <c r="Q52" s="21">
        <f t="shared" si="2"/>
        <v>11.252230000000001</v>
      </c>
      <c r="R52" s="21">
        <f t="shared" si="2"/>
        <v>11.208321</v>
      </c>
      <c r="S52" s="21">
        <f t="shared" si="2"/>
        <v>11.330735000000001</v>
      </c>
      <c r="T52" s="21">
        <f t="shared" si="2"/>
        <v>11.442939000000001</v>
      </c>
      <c r="U52" s="21">
        <f t="shared" si="2"/>
        <v>11.631391000000001</v>
      </c>
      <c r="V52" s="21">
        <f t="shared" si="2"/>
        <v>11.730902</v>
      </c>
      <c r="W52" s="21">
        <f t="shared" si="2"/>
        <v>11.972712</v>
      </c>
      <c r="X52" s="21">
        <f t="shared" si="2"/>
        <v>11.996494</v>
      </c>
      <c r="Y52" s="21">
        <f t="shared" si="2"/>
        <v>11.957287000000001</v>
      </c>
      <c r="Z52" s="21">
        <f t="shared" si="2"/>
        <v>11.825022000000001</v>
      </c>
      <c r="AA52" s="21">
        <f t="shared" si="2"/>
        <v>11.726082</v>
      </c>
      <c r="AB52" s="21">
        <f t="shared" si="2"/>
        <v>11.643523</v>
      </c>
      <c r="AC52" s="21">
        <f t="shared" si="2"/>
        <v>11.535247999999999</v>
      </c>
      <c r="AD52" s="21">
        <f t="shared" si="2"/>
        <v>11.513439999999999</v>
      </c>
      <c r="AE52" s="21">
        <f t="shared" si="2"/>
        <v>11.562575000000001</v>
      </c>
      <c r="AF52" s="21">
        <f t="shared" si="2"/>
        <v>11.634040000000001</v>
      </c>
      <c r="AG52" s="21">
        <f t="shared" si="2"/>
        <v>11.70092</v>
      </c>
      <c r="AH52" s="21">
        <f t="shared" si="2"/>
        <v>11.776702999999999</v>
      </c>
      <c r="AI52" s="21">
        <f t="shared" si="2"/>
        <v>11.890639</v>
      </c>
      <c r="AJ52" s="21">
        <f t="shared" si="2"/>
        <v>12.023110000000001</v>
      </c>
      <c r="AK52" s="21">
        <f t="shared" si="2"/>
        <v>12.091479</v>
      </c>
      <c r="AL52" s="21">
        <f t="shared" si="2"/>
        <v>12.132718000000001</v>
      </c>
      <c r="AM52" s="21">
        <f t="shared" si="2"/>
        <v>12.164635000000001</v>
      </c>
      <c r="AN52" s="21">
        <f t="shared" si="2"/>
        <v>12.139797</v>
      </c>
      <c r="AO52" s="21">
        <f t="shared" si="2"/>
        <v>12.128141095</v>
      </c>
      <c r="AP52" s="21">
        <f t="shared" si="2"/>
        <v>12.103377608999999</v>
      </c>
      <c r="AQ52" s="21">
        <f t="shared" si="2"/>
        <v>12.091756671715</v>
      </c>
      <c r="AR52" s="21">
        <f t="shared" si="2"/>
        <v>12.067067476172999</v>
      </c>
      <c r="AS52" s="21">
        <f t="shared" si="2"/>
        <v>12.055481401699856</v>
      </c>
      <c r="AT52" s="21">
        <f t="shared" si="2"/>
        <v>12.030866273744481</v>
      </c>
      <c r="AU52" s="21">
        <f t="shared" si="2"/>
        <v>12.019314957494757</v>
      </c>
      <c r="AV52" s="21">
        <f t="shared" si="2"/>
        <v>11.994773674923248</v>
      </c>
      <c r="AW52" s="21">
        <f t="shared" si="2"/>
        <v>11.983257012622273</v>
      </c>
      <c r="AX52" s="21">
        <f t="shared" si="2"/>
        <v>11.958789353898478</v>
      </c>
      <c r="AY52" s="21">
        <f t="shared" si="2"/>
        <v>11.947307241584406</v>
      </c>
      <c r="AZ52" s="21">
        <f t="shared" si="2"/>
        <v>11.922912985836783</v>
      </c>
      <c r="BA52" s="21">
        <f t="shared" si="2"/>
        <v>11.911465319859653</v>
      </c>
      <c r="BB52" s="21">
        <f t="shared" si="2"/>
        <v>11.887144246879272</v>
      </c>
      <c r="BC52" s="21">
        <f t="shared" si="2"/>
        <v>11.875730923900074</v>
      </c>
      <c r="BD52" s="21">
        <f t="shared" si="2"/>
        <v>11.851482814138635</v>
      </c>
      <c r="BE52" s="21">
        <f t="shared" si="2"/>
        <v>11.840103731128373</v>
      </c>
    </row>
    <row r="53" spans="1:58" s="4" customFormat="1" ht="5.25" customHeight="1" x14ac:dyDescent="0.35">
      <c r="A53" s="126"/>
      <c r="B53" s="126"/>
      <c r="C53" s="126"/>
      <c r="D53" s="126"/>
      <c r="E53" s="126"/>
      <c r="F53" s="126"/>
      <c r="G53" s="216"/>
      <c r="H53" s="126"/>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126"/>
      <c r="AU53" s="126"/>
      <c r="AV53" s="126"/>
      <c r="AW53" s="126"/>
      <c r="AX53" s="126"/>
      <c r="AY53" s="126"/>
      <c r="AZ53" s="126"/>
      <c r="BA53" s="126"/>
      <c r="BB53" s="126"/>
      <c r="BC53" s="126"/>
      <c r="BD53" s="126"/>
      <c r="BE53" s="126"/>
      <c r="BF53" s="126"/>
    </row>
    <row r="54" spans="1:58" s="4" customFormat="1" x14ac:dyDescent="0.35">
      <c r="A54" s="671" t="s">
        <v>597</v>
      </c>
      <c r="B54" s="671"/>
      <c r="C54" s="671"/>
      <c r="D54" s="671"/>
      <c r="E54" s="671"/>
      <c r="F54" s="671"/>
      <c r="G54" s="671"/>
      <c r="H54" s="671"/>
      <c r="I54" s="671"/>
      <c r="J54" s="671"/>
      <c r="K54" s="671"/>
      <c r="L54" s="671"/>
      <c r="M54" s="671"/>
      <c r="N54" s="671"/>
      <c r="O54" s="671"/>
      <c r="P54" s="671"/>
      <c r="Q54" s="671"/>
      <c r="R54" s="671"/>
      <c r="S54" s="671"/>
      <c r="T54" s="671"/>
      <c r="U54" s="671"/>
      <c r="V54" s="671"/>
      <c r="W54" s="671"/>
      <c r="X54" s="671"/>
      <c r="Y54" s="671"/>
      <c r="Z54" s="671"/>
      <c r="AA54" s="671"/>
      <c r="AB54" s="671"/>
      <c r="AC54" s="671"/>
      <c r="AD54" s="671"/>
      <c r="AE54" s="671"/>
      <c r="AF54" s="671"/>
      <c r="AG54" s="671"/>
      <c r="AH54" s="671"/>
      <c r="AI54" s="671"/>
      <c r="AJ54" s="671"/>
      <c r="AK54" s="671"/>
      <c r="AL54" s="671"/>
      <c r="AM54" s="671"/>
      <c r="AN54" s="671"/>
      <c r="AO54" s="671"/>
      <c r="AP54" s="671"/>
      <c r="AQ54" s="671"/>
      <c r="AR54" s="671"/>
      <c r="AS54" s="671"/>
      <c r="AT54" s="671"/>
      <c r="AU54" s="671"/>
      <c r="AV54" s="671"/>
      <c r="AW54" s="671"/>
      <c r="AX54" s="671"/>
      <c r="AY54" s="671"/>
      <c r="AZ54" s="671"/>
      <c r="BA54" s="671"/>
      <c r="BB54" s="671"/>
      <c r="BC54" s="671"/>
      <c r="BD54" s="671"/>
      <c r="BE54" s="671"/>
      <c r="BF54" s="671"/>
    </row>
    <row r="55" spans="1:58" s="4" customFormat="1" ht="5.25" customHeight="1" x14ac:dyDescent="0.35">
      <c r="A55" s="214"/>
      <c r="B55" s="209"/>
      <c r="C55" s="209"/>
      <c r="D55" s="209"/>
      <c r="E55" s="209"/>
      <c r="F55" s="209"/>
      <c r="G55" s="215"/>
      <c r="H55" s="209"/>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09"/>
      <c r="AU55" s="209"/>
      <c r="AV55" s="209"/>
      <c r="AW55" s="209"/>
      <c r="AX55" s="209"/>
      <c r="AY55" s="209"/>
      <c r="AZ55" s="209"/>
      <c r="BA55" s="209"/>
      <c r="BB55" s="209"/>
      <c r="BC55" s="209"/>
      <c r="BD55" s="209"/>
      <c r="BE55" s="209"/>
      <c r="BF55" s="209"/>
    </row>
    <row r="56" spans="1:58" s="4" customFormat="1" x14ac:dyDescent="0.35">
      <c r="B56" s="2" t="s">
        <v>598</v>
      </c>
      <c r="C56" s="2"/>
      <c r="G56" s="43"/>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row>
    <row r="57" spans="1:58" s="4" customFormat="1" ht="5.25" customHeight="1" x14ac:dyDescent="0.35">
      <c r="B57" s="2"/>
      <c r="C57" s="2"/>
      <c r="G57" s="43"/>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row>
    <row r="58" spans="1:58" s="4" customFormat="1" x14ac:dyDescent="0.35">
      <c r="E58" s="109" t="s">
        <v>599</v>
      </c>
      <c r="F58" s="10" t="s">
        <v>133</v>
      </c>
      <c r="G58" s="43" t="s">
        <v>600</v>
      </c>
      <c r="I58" s="127"/>
      <c r="J58" s="127"/>
      <c r="K58" s="127"/>
      <c r="L58" s="127"/>
      <c r="M58" s="562"/>
      <c r="N58" s="562"/>
      <c r="O58" s="562"/>
      <c r="P58" s="562"/>
      <c r="Q58" s="163"/>
      <c r="R58" s="163"/>
      <c r="S58" s="562"/>
      <c r="T58" s="562"/>
      <c r="U58" s="562"/>
      <c r="V58" s="562"/>
      <c r="W58" s="562"/>
      <c r="X58" s="562"/>
      <c r="Y58" s="562"/>
      <c r="Z58" s="562"/>
      <c r="AA58" s="562"/>
      <c r="AB58" s="562"/>
      <c r="AC58" s="562"/>
      <c r="AD58" s="562"/>
      <c r="AE58" s="562"/>
      <c r="AF58" s="562"/>
      <c r="AG58" s="562"/>
      <c r="AH58" s="562"/>
      <c r="AI58" s="562"/>
      <c r="AJ58" s="562"/>
      <c r="AK58" s="562"/>
      <c r="AL58" s="562"/>
      <c r="AM58" s="163"/>
      <c r="AN58" s="163"/>
      <c r="AO58" s="562"/>
      <c r="AP58" s="562"/>
      <c r="AQ58" s="562"/>
      <c r="AR58" s="562"/>
      <c r="AS58" s="21"/>
    </row>
    <row r="59" spans="1:58" s="4" customFormat="1" x14ac:dyDescent="0.35">
      <c r="E59" s="109" t="s">
        <v>601</v>
      </c>
      <c r="F59" s="10" t="s">
        <v>133</v>
      </c>
      <c r="G59" s="43" t="s">
        <v>600</v>
      </c>
      <c r="I59" s="127"/>
      <c r="J59" s="127"/>
      <c r="K59" s="127"/>
      <c r="L59" s="127"/>
      <c r="M59" s="562"/>
      <c r="N59" s="562">
        <v>21600</v>
      </c>
      <c r="O59" s="562">
        <v>22000</v>
      </c>
      <c r="P59" s="163">
        <v>22500</v>
      </c>
      <c r="Q59" s="163">
        <v>22900</v>
      </c>
      <c r="R59" s="562">
        <v>23300</v>
      </c>
      <c r="S59" s="562">
        <v>23800</v>
      </c>
      <c r="T59" s="562">
        <v>23800</v>
      </c>
      <c r="U59" s="562">
        <v>23800</v>
      </c>
      <c r="V59" s="562">
        <v>23800</v>
      </c>
      <c r="W59" s="562">
        <v>23800</v>
      </c>
      <c r="X59" s="562">
        <v>23800</v>
      </c>
      <c r="Y59" s="562">
        <v>23800</v>
      </c>
      <c r="Z59" s="562">
        <v>23800</v>
      </c>
      <c r="AA59" s="562">
        <v>23800</v>
      </c>
      <c r="AB59" s="562">
        <v>23800</v>
      </c>
      <c r="AC59" s="562">
        <v>23800</v>
      </c>
      <c r="AD59" s="562">
        <v>23800</v>
      </c>
      <c r="AE59" s="562">
        <v>23800</v>
      </c>
      <c r="AF59" s="562">
        <v>23800</v>
      </c>
      <c r="AG59" s="562">
        <v>23800</v>
      </c>
      <c r="AH59" s="562">
        <v>23800</v>
      </c>
      <c r="AI59" s="562">
        <v>23800</v>
      </c>
      <c r="AJ59" s="562">
        <v>23800</v>
      </c>
      <c r="AK59" s="562">
        <v>23800</v>
      </c>
      <c r="AL59" s="562">
        <v>23800</v>
      </c>
      <c r="AM59" s="562">
        <v>23800</v>
      </c>
      <c r="AN59" s="562">
        <v>23800</v>
      </c>
      <c r="AO59" s="562">
        <v>23800</v>
      </c>
      <c r="AP59" s="562">
        <v>23800</v>
      </c>
      <c r="AQ59" s="562">
        <v>23800</v>
      </c>
      <c r="AR59" s="562">
        <v>23800</v>
      </c>
      <c r="AS59" s="21"/>
    </row>
    <row r="60" spans="1:58" s="4" customFormat="1" x14ac:dyDescent="0.35">
      <c r="E60" s="109" t="s">
        <v>602</v>
      </c>
      <c r="F60" s="10" t="s">
        <v>133</v>
      </c>
      <c r="G60" s="43" t="s">
        <v>600</v>
      </c>
      <c r="I60" s="127"/>
      <c r="J60" s="127"/>
      <c r="K60" s="127"/>
      <c r="L60" s="127"/>
      <c r="M60" s="562"/>
      <c r="N60" s="562">
        <v>1054000</v>
      </c>
      <c r="O60" s="562">
        <v>1070700</v>
      </c>
      <c r="P60" s="163">
        <v>1087800</v>
      </c>
      <c r="Q60" s="163">
        <v>1105100</v>
      </c>
      <c r="R60" s="562">
        <v>1122600</v>
      </c>
      <c r="S60" s="562">
        <v>1140500</v>
      </c>
      <c r="T60" s="562">
        <v>1140500</v>
      </c>
      <c r="U60" s="562">
        <v>1140500</v>
      </c>
      <c r="V60" s="562">
        <v>1140500</v>
      </c>
      <c r="W60" s="562">
        <v>1140500</v>
      </c>
      <c r="X60" s="562">
        <v>1140500</v>
      </c>
      <c r="Y60" s="562">
        <v>1140500</v>
      </c>
      <c r="Z60" s="562">
        <v>1140500</v>
      </c>
      <c r="AA60" s="562">
        <v>1140500</v>
      </c>
      <c r="AB60" s="562">
        <v>1140500</v>
      </c>
      <c r="AC60" s="562">
        <v>1140500</v>
      </c>
      <c r="AD60" s="562">
        <v>1140500</v>
      </c>
      <c r="AE60" s="562">
        <v>1140500</v>
      </c>
      <c r="AF60" s="562">
        <v>1140500</v>
      </c>
      <c r="AG60" s="562">
        <v>1140500</v>
      </c>
      <c r="AH60" s="562">
        <v>1140500</v>
      </c>
      <c r="AI60" s="562">
        <v>1140500</v>
      </c>
      <c r="AJ60" s="562">
        <v>1140500</v>
      </c>
      <c r="AK60" s="562">
        <v>1140500</v>
      </c>
      <c r="AL60" s="562">
        <v>1140500</v>
      </c>
      <c r="AM60" s="562">
        <v>1140500</v>
      </c>
      <c r="AN60" s="562">
        <v>1140500</v>
      </c>
      <c r="AO60" s="562">
        <v>1140500</v>
      </c>
      <c r="AP60" s="562">
        <v>1140500</v>
      </c>
      <c r="AQ60" s="562">
        <v>1140500</v>
      </c>
      <c r="AR60" s="562">
        <v>1140500</v>
      </c>
      <c r="AS60" s="21"/>
    </row>
    <row r="61" spans="1:58" s="4" customFormat="1" x14ac:dyDescent="0.35">
      <c r="E61" s="109" t="s">
        <v>603</v>
      </c>
      <c r="F61" s="10" t="s">
        <v>133</v>
      </c>
      <c r="G61" s="43" t="s">
        <v>600</v>
      </c>
      <c r="I61" s="127"/>
      <c r="J61" s="127"/>
      <c r="K61" s="127"/>
      <c r="L61" s="127"/>
      <c r="M61" s="562"/>
      <c r="N61" s="562">
        <v>59000</v>
      </c>
      <c r="O61" s="562">
        <v>60100</v>
      </c>
      <c r="P61" s="163">
        <v>61100</v>
      </c>
      <c r="Q61" s="163">
        <v>62200</v>
      </c>
      <c r="R61" s="562">
        <v>63400</v>
      </c>
      <c r="S61" s="562">
        <v>64500</v>
      </c>
      <c r="T61" s="562">
        <v>64500</v>
      </c>
      <c r="U61" s="562">
        <v>64500</v>
      </c>
      <c r="V61" s="562">
        <v>64500</v>
      </c>
      <c r="W61" s="562">
        <v>64500</v>
      </c>
      <c r="X61" s="562">
        <v>64500</v>
      </c>
      <c r="Y61" s="562">
        <v>64500</v>
      </c>
      <c r="Z61" s="562">
        <v>64500</v>
      </c>
      <c r="AA61" s="562">
        <v>64500</v>
      </c>
      <c r="AB61" s="562">
        <v>64500</v>
      </c>
      <c r="AC61" s="562">
        <v>64500</v>
      </c>
      <c r="AD61" s="562">
        <v>64500</v>
      </c>
      <c r="AE61" s="562">
        <v>64500</v>
      </c>
      <c r="AF61" s="562">
        <v>64500</v>
      </c>
      <c r="AG61" s="562">
        <v>64500</v>
      </c>
      <c r="AH61" s="562">
        <v>64500</v>
      </c>
      <c r="AI61" s="562">
        <v>64500</v>
      </c>
      <c r="AJ61" s="562">
        <v>64500</v>
      </c>
      <c r="AK61" s="562">
        <v>64500</v>
      </c>
      <c r="AL61" s="562">
        <v>64500</v>
      </c>
      <c r="AM61" s="562">
        <v>64500</v>
      </c>
      <c r="AN61" s="562">
        <v>64500</v>
      </c>
      <c r="AO61" s="562">
        <v>64500</v>
      </c>
      <c r="AP61" s="562">
        <v>64500</v>
      </c>
      <c r="AQ61" s="562">
        <v>64500</v>
      </c>
      <c r="AR61" s="562">
        <v>64500</v>
      </c>
      <c r="AS61" s="21"/>
    </row>
    <row r="62" spans="1:58" s="4" customFormat="1" x14ac:dyDescent="0.35">
      <c r="E62" s="26" t="s">
        <v>604</v>
      </c>
      <c r="F62" s="4" t="s">
        <v>605</v>
      </c>
      <c r="G62" s="43" t="str">
        <f>"2020$ / metric ton"</f>
        <v>2020$ / metric ton</v>
      </c>
      <c r="I62" s="127"/>
      <c r="J62" s="127"/>
      <c r="K62" s="127"/>
      <c r="L62" s="127"/>
      <c r="M62" s="163"/>
      <c r="N62" s="163">
        <v>2017.4919326986351</v>
      </c>
      <c r="O62" s="163">
        <v>2084.1454359725712</v>
      </c>
      <c r="P62" s="163">
        <v>2153.0010246311799</v>
      </c>
      <c r="Q62" s="163">
        <v>2224.1314507400402</v>
      </c>
      <c r="R62" s="163">
        <v>2297.6118699332255</v>
      </c>
      <c r="S62" s="163">
        <v>2373.5199208219237</v>
      </c>
      <c r="T62" s="163">
        <v>2419.1980185481539</v>
      </c>
      <c r="U62" s="163">
        <v>2465.7551856234895</v>
      </c>
      <c r="V62" s="163">
        <v>2513.2083396289813</v>
      </c>
      <c r="W62" s="163">
        <v>2561.5747237224396</v>
      </c>
      <c r="X62" s="163">
        <v>2610.8719129041156</v>
      </c>
      <c r="Y62" s="163">
        <v>2678.4838480422463</v>
      </c>
      <c r="Z62" s="163">
        <v>2747.8466824682855</v>
      </c>
      <c r="AA62" s="163">
        <v>2819.0057580040598</v>
      </c>
      <c r="AB62" s="163">
        <v>2892.0075906570382</v>
      </c>
      <c r="AC62" s="163">
        <v>2966.8999010274047</v>
      </c>
      <c r="AD62" s="163">
        <v>3034.9147658122711</v>
      </c>
      <c r="AE62" s="163">
        <v>3104.4888412163095</v>
      </c>
      <c r="AF62" s="163">
        <v>3175.6578714516522</v>
      </c>
      <c r="AG62" s="163">
        <v>3248.458420150645</v>
      </c>
      <c r="AH62" s="163">
        <v>3322.9278891506938</v>
      </c>
      <c r="AI62" s="163">
        <v>3391.2643873461016</v>
      </c>
      <c r="AJ62" s="163">
        <v>3461.0062356247472</v>
      </c>
      <c r="AK62" s="163">
        <v>3532.1823352166994</v>
      </c>
      <c r="AL62" s="163">
        <v>3604.8221817100525</v>
      </c>
      <c r="AM62" s="163">
        <v>3678.955877273982</v>
      </c>
      <c r="AN62" s="163">
        <v>3678.955877273982</v>
      </c>
      <c r="AO62" s="163">
        <v>3678.955877273982</v>
      </c>
      <c r="AP62" s="163">
        <v>3678.955877273982</v>
      </c>
      <c r="AQ62" s="163">
        <v>3678.955877273982</v>
      </c>
      <c r="AR62" s="163">
        <v>3678.955877273982</v>
      </c>
      <c r="AS62" s="21"/>
    </row>
    <row r="63" spans="1:58" s="4" customFormat="1" x14ac:dyDescent="0.35">
      <c r="E63" s="26" t="s">
        <v>606</v>
      </c>
      <c r="F63" s="4" t="s">
        <v>607</v>
      </c>
      <c r="G63" s="43" t="s">
        <v>600</v>
      </c>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21"/>
    </row>
    <row r="64" spans="1:58" s="4" customFormat="1" x14ac:dyDescent="0.35">
      <c r="E64" s="26" t="s">
        <v>608</v>
      </c>
      <c r="F64" s="4" t="s">
        <v>607</v>
      </c>
      <c r="G64" s="43" t="s">
        <v>600</v>
      </c>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21"/>
    </row>
    <row r="65" spans="2:57" s="4" customFormat="1" ht="5.25" customHeight="1" x14ac:dyDescent="0.35">
      <c r="G65" s="43"/>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row>
    <row r="66" spans="2:57" s="4" customFormat="1" ht="15" customHeight="1" x14ac:dyDescent="0.35">
      <c r="B66" s="2"/>
      <c r="C66" s="2"/>
      <c r="E66" s="49" t="s">
        <v>198</v>
      </c>
      <c r="G66" s="57" t="s">
        <v>121</v>
      </c>
      <c r="H66" s="49">
        <v>2055</v>
      </c>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row>
    <row r="67" spans="2:57" s="4" customFormat="1" ht="15" customHeight="1" x14ac:dyDescent="0.35">
      <c r="B67" s="2"/>
      <c r="C67" s="2"/>
      <c r="E67" s="49" t="s">
        <v>201</v>
      </c>
      <c r="G67" s="57" t="s">
        <v>180</v>
      </c>
      <c r="H67" s="121">
        <v>0</v>
      </c>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row>
    <row r="68" spans="2:57" s="4" customFormat="1" ht="15" customHeight="1" x14ac:dyDescent="0.35">
      <c r="B68" s="2"/>
      <c r="C68" s="2"/>
      <c r="E68" s="49" t="s">
        <v>210</v>
      </c>
      <c r="F68" s="162"/>
      <c r="G68" s="429" t="s">
        <v>121</v>
      </c>
      <c r="H68" s="162">
        <v>2055</v>
      </c>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row>
    <row r="69" spans="2:57" s="4" customFormat="1" ht="15" customHeight="1" x14ac:dyDescent="0.35">
      <c r="B69" s="2"/>
      <c r="C69" s="2"/>
      <c r="E69" s="49" t="s">
        <v>211</v>
      </c>
      <c r="F69" s="162"/>
      <c r="G69" s="429" t="s">
        <v>180</v>
      </c>
      <c r="H69" s="289">
        <v>0</v>
      </c>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row>
    <row r="70" spans="2:57" s="4" customFormat="1" ht="15" customHeight="1" x14ac:dyDescent="0.35">
      <c r="B70" s="2"/>
      <c r="C70" s="2"/>
      <c r="E70" s="49" t="s">
        <v>609</v>
      </c>
      <c r="F70" s="162"/>
      <c r="G70" s="429" t="s">
        <v>245</v>
      </c>
      <c r="H70" s="568">
        <v>1.1885802146904452</v>
      </c>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row>
    <row r="71" spans="2:57" s="4" customFormat="1" ht="5.25" customHeight="1" x14ac:dyDescent="0.35">
      <c r="B71" s="2"/>
      <c r="C71" s="2"/>
      <c r="E71" s="49"/>
      <c r="F71" s="49"/>
      <c r="G71" s="57"/>
      <c r="H71" s="4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row>
    <row r="72" spans="2:57" s="4" customFormat="1" x14ac:dyDescent="0.35">
      <c r="E72" s="26" t="s">
        <v>599</v>
      </c>
      <c r="F72" s="4" t="str">
        <f>F58</f>
        <v>USDOT BCA Guidance December 2025</v>
      </c>
      <c r="G72" s="43" t="str">
        <f>G58</f>
        <v>2024$ / metric ton</v>
      </c>
      <c r="I72" s="151">
        <f t="shared" ref="I72:BA72" si="3">IF(I$6&gt;$H$66,H72*(1+$H67),I58)</f>
        <v>0</v>
      </c>
      <c r="J72" s="151">
        <f t="shared" si="3"/>
        <v>0</v>
      </c>
      <c r="K72" s="151">
        <f t="shared" si="3"/>
        <v>0</v>
      </c>
      <c r="L72" s="151">
        <f t="shared" si="3"/>
        <v>0</v>
      </c>
      <c r="M72" s="151">
        <f t="shared" si="3"/>
        <v>0</v>
      </c>
      <c r="N72" s="151">
        <f t="shared" si="3"/>
        <v>0</v>
      </c>
      <c r="O72" s="151">
        <f t="shared" si="3"/>
        <v>0</v>
      </c>
      <c r="P72" s="151">
        <f t="shared" si="3"/>
        <v>0</v>
      </c>
      <c r="Q72" s="151">
        <f t="shared" si="3"/>
        <v>0</v>
      </c>
      <c r="R72" s="151">
        <f t="shared" si="3"/>
        <v>0</v>
      </c>
      <c r="S72" s="151">
        <f t="shared" si="3"/>
        <v>0</v>
      </c>
      <c r="T72" s="151">
        <f t="shared" si="3"/>
        <v>0</v>
      </c>
      <c r="U72" s="151">
        <f t="shared" si="3"/>
        <v>0</v>
      </c>
      <c r="V72" s="151">
        <f t="shared" si="3"/>
        <v>0</v>
      </c>
      <c r="W72" s="151">
        <f t="shared" si="3"/>
        <v>0</v>
      </c>
      <c r="X72" s="151">
        <f t="shared" si="3"/>
        <v>0</v>
      </c>
      <c r="Y72" s="151">
        <f t="shared" si="3"/>
        <v>0</v>
      </c>
      <c r="Z72" s="151">
        <f t="shared" si="3"/>
        <v>0</v>
      </c>
      <c r="AA72" s="151">
        <f t="shared" si="3"/>
        <v>0</v>
      </c>
      <c r="AB72" s="151">
        <f t="shared" si="3"/>
        <v>0</v>
      </c>
      <c r="AC72" s="151">
        <f t="shared" si="3"/>
        <v>0</v>
      </c>
      <c r="AD72" s="151">
        <f t="shared" si="3"/>
        <v>0</v>
      </c>
      <c r="AE72" s="151">
        <f t="shared" si="3"/>
        <v>0</v>
      </c>
      <c r="AF72" s="151">
        <f t="shared" si="3"/>
        <v>0</v>
      </c>
      <c r="AG72" s="151">
        <f t="shared" si="3"/>
        <v>0</v>
      </c>
      <c r="AH72" s="151">
        <f t="shared" si="3"/>
        <v>0</v>
      </c>
      <c r="AI72" s="151">
        <f t="shared" si="3"/>
        <v>0</v>
      </c>
      <c r="AJ72" s="151">
        <f t="shared" si="3"/>
        <v>0</v>
      </c>
      <c r="AK72" s="151">
        <f t="shared" si="3"/>
        <v>0</v>
      </c>
      <c r="AL72" s="151">
        <f t="shared" si="3"/>
        <v>0</v>
      </c>
      <c r="AM72" s="151">
        <f t="shared" si="3"/>
        <v>0</v>
      </c>
      <c r="AN72" s="151">
        <f t="shared" si="3"/>
        <v>0</v>
      </c>
      <c r="AO72" s="151">
        <f t="shared" si="3"/>
        <v>0</v>
      </c>
      <c r="AP72" s="151">
        <f t="shared" si="3"/>
        <v>0</v>
      </c>
      <c r="AQ72" s="151">
        <f t="shared" si="3"/>
        <v>0</v>
      </c>
      <c r="AR72" s="151">
        <f t="shared" si="3"/>
        <v>0</v>
      </c>
      <c r="AS72" s="151">
        <f t="shared" si="3"/>
        <v>0</v>
      </c>
      <c r="AT72" s="151">
        <f t="shared" si="3"/>
        <v>0</v>
      </c>
      <c r="AU72" s="151">
        <f t="shared" si="3"/>
        <v>0</v>
      </c>
      <c r="AV72" s="151">
        <f t="shared" si="3"/>
        <v>0</v>
      </c>
      <c r="AW72" s="151">
        <f t="shared" si="3"/>
        <v>0</v>
      </c>
      <c r="AX72" s="151">
        <f t="shared" si="3"/>
        <v>0</v>
      </c>
      <c r="AY72" s="151">
        <f t="shared" si="3"/>
        <v>0</v>
      </c>
      <c r="AZ72" s="151">
        <f t="shared" si="3"/>
        <v>0</v>
      </c>
      <c r="BA72" s="151">
        <f t="shared" si="3"/>
        <v>0</v>
      </c>
      <c r="BB72" s="151">
        <f>IF(BB$6&gt;$H$66,BA72*(1+$H67),BB58)</f>
        <v>0</v>
      </c>
      <c r="BC72" s="151">
        <f>IF(BC$6&gt;$H$66,BB72*(1+$H67),BC58)</f>
        <v>0</v>
      </c>
      <c r="BD72" s="151">
        <f>IF(BD$6&gt;$H$66,BC72*(1+$H67),BD58)</f>
        <v>0</v>
      </c>
      <c r="BE72" s="151">
        <f>IF(BE$6&gt;$H$66,BD72*(1+$H67),BE58)</f>
        <v>0</v>
      </c>
    </row>
    <row r="73" spans="2:57" s="4" customFormat="1" x14ac:dyDescent="0.35">
      <c r="E73" s="26" t="s">
        <v>601</v>
      </c>
      <c r="F73" s="4" t="str">
        <f>F59</f>
        <v>USDOT BCA Guidance December 2025</v>
      </c>
      <c r="G73" s="43" t="str">
        <f t="shared" ref="G73:G78" si="4">G59</f>
        <v>2024$ / metric ton</v>
      </c>
      <c r="I73" s="151">
        <f t="shared" ref="I73:BE78" si="5">IF(I$6&gt;$H$68,H73*(1+$H$69),I59)</f>
        <v>0</v>
      </c>
      <c r="J73" s="151">
        <f t="shared" si="5"/>
        <v>0</v>
      </c>
      <c r="K73" s="151">
        <f t="shared" si="5"/>
        <v>0</v>
      </c>
      <c r="L73" s="151">
        <f t="shared" si="5"/>
        <v>0</v>
      </c>
      <c r="M73" s="151">
        <f t="shared" si="5"/>
        <v>0</v>
      </c>
      <c r="N73" s="151">
        <f t="shared" si="5"/>
        <v>21600</v>
      </c>
      <c r="O73" s="151">
        <f t="shared" si="5"/>
        <v>22000</v>
      </c>
      <c r="P73" s="151">
        <f t="shared" si="5"/>
        <v>22500</v>
      </c>
      <c r="Q73" s="151">
        <f t="shared" si="5"/>
        <v>22900</v>
      </c>
      <c r="R73" s="151">
        <f t="shared" si="5"/>
        <v>23300</v>
      </c>
      <c r="S73" s="151">
        <f t="shared" si="5"/>
        <v>23800</v>
      </c>
      <c r="T73" s="151">
        <f t="shared" si="5"/>
        <v>23800</v>
      </c>
      <c r="U73" s="151">
        <f t="shared" si="5"/>
        <v>23800</v>
      </c>
      <c r="V73" s="151">
        <f t="shared" si="5"/>
        <v>23800</v>
      </c>
      <c r="W73" s="151">
        <f t="shared" si="5"/>
        <v>23800</v>
      </c>
      <c r="X73" s="151">
        <f t="shared" si="5"/>
        <v>23800</v>
      </c>
      <c r="Y73" s="151">
        <f t="shared" si="5"/>
        <v>23800</v>
      </c>
      <c r="Z73" s="151">
        <f t="shared" si="5"/>
        <v>23800</v>
      </c>
      <c r="AA73" s="151">
        <f t="shared" si="5"/>
        <v>23800</v>
      </c>
      <c r="AB73" s="151">
        <f t="shared" si="5"/>
        <v>23800</v>
      </c>
      <c r="AC73" s="151">
        <f t="shared" si="5"/>
        <v>23800</v>
      </c>
      <c r="AD73" s="151">
        <f t="shared" si="5"/>
        <v>23800</v>
      </c>
      <c r="AE73" s="151">
        <f t="shared" si="5"/>
        <v>23800</v>
      </c>
      <c r="AF73" s="151">
        <f t="shared" si="5"/>
        <v>23800</v>
      </c>
      <c r="AG73" s="151">
        <f t="shared" si="5"/>
        <v>23800</v>
      </c>
      <c r="AH73" s="151">
        <f t="shared" si="5"/>
        <v>23800</v>
      </c>
      <c r="AI73" s="151">
        <f t="shared" si="5"/>
        <v>23800</v>
      </c>
      <c r="AJ73" s="151">
        <f t="shared" si="5"/>
        <v>23800</v>
      </c>
      <c r="AK73" s="151">
        <f t="shared" si="5"/>
        <v>23800</v>
      </c>
      <c r="AL73" s="151">
        <f t="shared" si="5"/>
        <v>23800</v>
      </c>
      <c r="AM73" s="151">
        <f t="shared" si="5"/>
        <v>23800</v>
      </c>
      <c r="AN73" s="151">
        <f t="shared" si="5"/>
        <v>23800</v>
      </c>
      <c r="AO73" s="151">
        <f t="shared" si="5"/>
        <v>23800</v>
      </c>
      <c r="AP73" s="151">
        <f t="shared" si="5"/>
        <v>23800</v>
      </c>
      <c r="AQ73" s="151">
        <f t="shared" si="5"/>
        <v>23800</v>
      </c>
      <c r="AR73" s="151">
        <f t="shared" si="5"/>
        <v>23800</v>
      </c>
      <c r="AS73" s="151">
        <f t="shared" si="5"/>
        <v>0</v>
      </c>
      <c r="AT73" s="151">
        <f t="shared" si="5"/>
        <v>0</v>
      </c>
      <c r="AU73" s="151">
        <f t="shared" si="5"/>
        <v>0</v>
      </c>
      <c r="AV73" s="151">
        <f t="shared" si="5"/>
        <v>0</v>
      </c>
      <c r="AW73" s="151">
        <f t="shared" si="5"/>
        <v>0</v>
      </c>
      <c r="AX73" s="151">
        <f t="shared" si="5"/>
        <v>0</v>
      </c>
      <c r="AY73" s="151">
        <f t="shared" si="5"/>
        <v>0</v>
      </c>
      <c r="AZ73" s="151">
        <f t="shared" si="5"/>
        <v>0</v>
      </c>
      <c r="BA73" s="151">
        <f t="shared" si="5"/>
        <v>0</v>
      </c>
      <c r="BB73" s="151">
        <f t="shared" si="5"/>
        <v>0</v>
      </c>
      <c r="BC73" s="151">
        <f t="shared" si="5"/>
        <v>0</v>
      </c>
      <c r="BD73" s="151">
        <f t="shared" si="5"/>
        <v>0</v>
      </c>
      <c r="BE73" s="151">
        <f t="shared" si="5"/>
        <v>0</v>
      </c>
    </row>
    <row r="74" spans="2:57" s="4" customFormat="1" x14ac:dyDescent="0.35">
      <c r="E74" s="26" t="s">
        <v>602</v>
      </c>
      <c r="F74" s="4" t="str">
        <f>F60</f>
        <v>USDOT BCA Guidance December 2025</v>
      </c>
      <c r="G74" s="43" t="str">
        <f t="shared" si="4"/>
        <v>2024$ / metric ton</v>
      </c>
      <c r="I74" s="151">
        <f t="shared" si="5"/>
        <v>0</v>
      </c>
      <c r="J74" s="151">
        <f t="shared" si="5"/>
        <v>0</v>
      </c>
      <c r="K74" s="151">
        <f t="shared" si="5"/>
        <v>0</v>
      </c>
      <c r="L74" s="151">
        <f t="shared" si="5"/>
        <v>0</v>
      </c>
      <c r="M74" s="151">
        <f t="shared" si="5"/>
        <v>0</v>
      </c>
      <c r="N74" s="151">
        <f t="shared" si="5"/>
        <v>1054000</v>
      </c>
      <c r="O74" s="151">
        <f t="shared" si="5"/>
        <v>1070700</v>
      </c>
      <c r="P74" s="151">
        <f t="shared" si="5"/>
        <v>1087800</v>
      </c>
      <c r="Q74" s="151">
        <f t="shared" si="5"/>
        <v>1105100</v>
      </c>
      <c r="R74" s="151">
        <f t="shared" si="5"/>
        <v>1122600</v>
      </c>
      <c r="S74" s="151">
        <f t="shared" si="5"/>
        <v>1140500</v>
      </c>
      <c r="T74" s="151">
        <f t="shared" si="5"/>
        <v>1140500</v>
      </c>
      <c r="U74" s="151">
        <f t="shared" si="5"/>
        <v>1140500</v>
      </c>
      <c r="V74" s="151">
        <f t="shared" si="5"/>
        <v>1140500</v>
      </c>
      <c r="W74" s="151">
        <f t="shared" si="5"/>
        <v>1140500</v>
      </c>
      <c r="X74" s="151">
        <f t="shared" si="5"/>
        <v>1140500</v>
      </c>
      <c r="Y74" s="151">
        <f t="shared" si="5"/>
        <v>1140500</v>
      </c>
      <c r="Z74" s="151">
        <f t="shared" si="5"/>
        <v>1140500</v>
      </c>
      <c r="AA74" s="151">
        <f t="shared" si="5"/>
        <v>1140500</v>
      </c>
      <c r="AB74" s="151">
        <f t="shared" si="5"/>
        <v>1140500</v>
      </c>
      <c r="AC74" s="151">
        <f t="shared" si="5"/>
        <v>1140500</v>
      </c>
      <c r="AD74" s="151">
        <f t="shared" si="5"/>
        <v>1140500</v>
      </c>
      <c r="AE74" s="151">
        <f t="shared" si="5"/>
        <v>1140500</v>
      </c>
      <c r="AF74" s="151">
        <f t="shared" si="5"/>
        <v>1140500</v>
      </c>
      <c r="AG74" s="151">
        <f t="shared" si="5"/>
        <v>1140500</v>
      </c>
      <c r="AH74" s="151">
        <f t="shared" si="5"/>
        <v>1140500</v>
      </c>
      <c r="AI74" s="151">
        <f t="shared" si="5"/>
        <v>1140500</v>
      </c>
      <c r="AJ74" s="151">
        <f t="shared" si="5"/>
        <v>1140500</v>
      </c>
      <c r="AK74" s="151">
        <f t="shared" si="5"/>
        <v>1140500</v>
      </c>
      <c r="AL74" s="151">
        <f t="shared" si="5"/>
        <v>1140500</v>
      </c>
      <c r="AM74" s="151">
        <f t="shared" si="5"/>
        <v>1140500</v>
      </c>
      <c r="AN74" s="151">
        <f t="shared" si="5"/>
        <v>1140500</v>
      </c>
      <c r="AO74" s="151">
        <f t="shared" si="5"/>
        <v>1140500</v>
      </c>
      <c r="AP74" s="151">
        <f t="shared" si="5"/>
        <v>1140500</v>
      </c>
      <c r="AQ74" s="151">
        <f t="shared" si="5"/>
        <v>1140500</v>
      </c>
      <c r="AR74" s="151">
        <f t="shared" si="5"/>
        <v>1140500</v>
      </c>
      <c r="AS74" s="151">
        <f t="shared" si="5"/>
        <v>0</v>
      </c>
      <c r="AT74" s="151">
        <f t="shared" si="5"/>
        <v>0</v>
      </c>
      <c r="AU74" s="151">
        <f t="shared" si="5"/>
        <v>0</v>
      </c>
      <c r="AV74" s="151">
        <f t="shared" si="5"/>
        <v>0</v>
      </c>
      <c r="AW74" s="151">
        <f t="shared" si="5"/>
        <v>0</v>
      </c>
      <c r="AX74" s="151">
        <f t="shared" si="5"/>
        <v>0</v>
      </c>
      <c r="AY74" s="151">
        <f t="shared" si="5"/>
        <v>0</v>
      </c>
      <c r="AZ74" s="151">
        <f t="shared" si="5"/>
        <v>0</v>
      </c>
      <c r="BA74" s="151">
        <f t="shared" si="5"/>
        <v>0</v>
      </c>
      <c r="BB74" s="151">
        <f t="shared" si="5"/>
        <v>0</v>
      </c>
      <c r="BC74" s="151">
        <f t="shared" si="5"/>
        <v>0</v>
      </c>
      <c r="BD74" s="151">
        <f t="shared" si="5"/>
        <v>0</v>
      </c>
      <c r="BE74" s="151">
        <f t="shared" si="5"/>
        <v>0</v>
      </c>
    </row>
    <row r="75" spans="2:57" s="4" customFormat="1" x14ac:dyDescent="0.35">
      <c r="E75" s="26" t="s">
        <v>603</v>
      </c>
      <c r="F75" s="4" t="str">
        <f>F61</f>
        <v>USDOT BCA Guidance December 2025</v>
      </c>
      <c r="G75" s="43" t="str">
        <f t="shared" si="4"/>
        <v>2024$ / metric ton</v>
      </c>
      <c r="I75" s="151">
        <f t="shared" si="5"/>
        <v>0</v>
      </c>
      <c r="J75" s="151">
        <f t="shared" si="5"/>
        <v>0</v>
      </c>
      <c r="K75" s="151">
        <f t="shared" si="5"/>
        <v>0</v>
      </c>
      <c r="L75" s="151">
        <f t="shared" si="5"/>
        <v>0</v>
      </c>
      <c r="M75" s="151">
        <f t="shared" si="5"/>
        <v>0</v>
      </c>
      <c r="N75" s="151">
        <f t="shared" si="5"/>
        <v>59000</v>
      </c>
      <c r="O75" s="151">
        <f t="shared" si="5"/>
        <v>60100</v>
      </c>
      <c r="P75" s="151">
        <f t="shared" si="5"/>
        <v>61100</v>
      </c>
      <c r="Q75" s="151">
        <f t="shared" si="5"/>
        <v>62200</v>
      </c>
      <c r="R75" s="151">
        <f t="shared" si="5"/>
        <v>63400</v>
      </c>
      <c r="S75" s="151">
        <f t="shared" si="5"/>
        <v>64500</v>
      </c>
      <c r="T75" s="151">
        <f t="shared" si="5"/>
        <v>64500</v>
      </c>
      <c r="U75" s="151">
        <f t="shared" si="5"/>
        <v>64500</v>
      </c>
      <c r="V75" s="151">
        <f t="shared" si="5"/>
        <v>64500</v>
      </c>
      <c r="W75" s="151">
        <f t="shared" si="5"/>
        <v>64500</v>
      </c>
      <c r="X75" s="151">
        <f t="shared" si="5"/>
        <v>64500</v>
      </c>
      <c r="Y75" s="151">
        <f t="shared" si="5"/>
        <v>64500</v>
      </c>
      <c r="Z75" s="151">
        <f t="shared" si="5"/>
        <v>64500</v>
      </c>
      <c r="AA75" s="151">
        <f t="shared" si="5"/>
        <v>64500</v>
      </c>
      <c r="AB75" s="151">
        <f t="shared" si="5"/>
        <v>64500</v>
      </c>
      <c r="AC75" s="151">
        <f t="shared" si="5"/>
        <v>64500</v>
      </c>
      <c r="AD75" s="151">
        <f t="shared" si="5"/>
        <v>64500</v>
      </c>
      <c r="AE75" s="151">
        <f t="shared" si="5"/>
        <v>64500</v>
      </c>
      <c r="AF75" s="151">
        <f t="shared" si="5"/>
        <v>64500</v>
      </c>
      <c r="AG75" s="151">
        <f t="shared" si="5"/>
        <v>64500</v>
      </c>
      <c r="AH75" s="151">
        <f t="shared" si="5"/>
        <v>64500</v>
      </c>
      <c r="AI75" s="151">
        <f t="shared" si="5"/>
        <v>64500</v>
      </c>
      <c r="AJ75" s="151">
        <f t="shared" si="5"/>
        <v>64500</v>
      </c>
      <c r="AK75" s="151">
        <f t="shared" si="5"/>
        <v>64500</v>
      </c>
      <c r="AL75" s="151">
        <f t="shared" si="5"/>
        <v>64500</v>
      </c>
      <c r="AM75" s="151">
        <f t="shared" si="5"/>
        <v>64500</v>
      </c>
      <c r="AN75" s="151">
        <f t="shared" si="5"/>
        <v>64500</v>
      </c>
      <c r="AO75" s="151">
        <f t="shared" si="5"/>
        <v>64500</v>
      </c>
      <c r="AP75" s="151">
        <f t="shared" si="5"/>
        <v>64500</v>
      </c>
      <c r="AQ75" s="151">
        <f t="shared" si="5"/>
        <v>64500</v>
      </c>
      <c r="AR75" s="151">
        <f t="shared" si="5"/>
        <v>64500</v>
      </c>
      <c r="AS75" s="151">
        <f t="shared" si="5"/>
        <v>0</v>
      </c>
      <c r="AT75" s="151">
        <f t="shared" si="5"/>
        <v>0</v>
      </c>
      <c r="AU75" s="151">
        <f t="shared" si="5"/>
        <v>0</v>
      </c>
      <c r="AV75" s="151">
        <f t="shared" si="5"/>
        <v>0</v>
      </c>
      <c r="AW75" s="151">
        <f t="shared" si="5"/>
        <v>0</v>
      </c>
      <c r="AX75" s="151">
        <f t="shared" si="5"/>
        <v>0</v>
      </c>
      <c r="AY75" s="151">
        <f t="shared" si="5"/>
        <v>0</v>
      </c>
      <c r="AZ75" s="151">
        <f t="shared" si="5"/>
        <v>0</v>
      </c>
      <c r="BA75" s="151">
        <f t="shared" si="5"/>
        <v>0</v>
      </c>
      <c r="BB75" s="151">
        <f t="shared" si="5"/>
        <v>0</v>
      </c>
      <c r="BC75" s="151">
        <f t="shared" si="5"/>
        <v>0</v>
      </c>
      <c r="BD75" s="151">
        <f t="shared" si="5"/>
        <v>0</v>
      </c>
      <c r="BE75" s="151">
        <f t="shared" si="5"/>
        <v>0</v>
      </c>
    </row>
    <row r="76" spans="2:57" s="4" customFormat="1" x14ac:dyDescent="0.35">
      <c r="E76" s="26" t="s">
        <v>604</v>
      </c>
      <c r="F76" s="4" t="s">
        <v>610</v>
      </c>
      <c r="G76" s="43" t="str">
        <f t="shared" si="4"/>
        <v>2020$ / metric ton</v>
      </c>
      <c r="I76" s="151">
        <f t="shared" si="5"/>
        <v>0</v>
      </c>
      <c r="J76" s="151">
        <f t="shared" si="5"/>
        <v>0</v>
      </c>
      <c r="K76" s="151">
        <f t="shared" si="5"/>
        <v>0</v>
      </c>
      <c r="L76" s="151">
        <f t="shared" si="5"/>
        <v>0</v>
      </c>
      <c r="M76" s="151">
        <f t="shared" si="5"/>
        <v>0</v>
      </c>
      <c r="N76" s="151">
        <f t="shared" si="5"/>
        <v>2017.4919326986351</v>
      </c>
      <c r="O76" s="151">
        <f t="shared" si="5"/>
        <v>2084.1454359725712</v>
      </c>
      <c r="P76" s="151">
        <f t="shared" si="5"/>
        <v>2153.0010246311799</v>
      </c>
      <c r="Q76" s="151">
        <f t="shared" si="5"/>
        <v>2224.1314507400402</v>
      </c>
      <c r="R76" s="151">
        <f t="shared" si="5"/>
        <v>2297.6118699332255</v>
      </c>
      <c r="S76" s="151">
        <f t="shared" si="5"/>
        <v>2373.5199208219237</v>
      </c>
      <c r="T76" s="151">
        <f t="shared" si="5"/>
        <v>2419.1980185481539</v>
      </c>
      <c r="U76" s="151">
        <f t="shared" si="5"/>
        <v>2465.7551856234895</v>
      </c>
      <c r="V76" s="151">
        <f t="shared" si="5"/>
        <v>2513.2083396289813</v>
      </c>
      <c r="W76" s="151">
        <f t="shared" si="5"/>
        <v>2561.5747237224396</v>
      </c>
      <c r="X76" s="151">
        <f t="shared" si="5"/>
        <v>2610.8719129041156</v>
      </c>
      <c r="Y76" s="151">
        <f t="shared" si="5"/>
        <v>2678.4838480422463</v>
      </c>
      <c r="Z76" s="151">
        <f t="shared" si="5"/>
        <v>2747.8466824682855</v>
      </c>
      <c r="AA76" s="151">
        <f t="shared" si="5"/>
        <v>2819.0057580040598</v>
      </c>
      <c r="AB76" s="151">
        <f t="shared" si="5"/>
        <v>2892.0075906570382</v>
      </c>
      <c r="AC76" s="151">
        <f t="shared" si="5"/>
        <v>2966.8999010274047</v>
      </c>
      <c r="AD76" s="151">
        <f t="shared" si="5"/>
        <v>3034.9147658122711</v>
      </c>
      <c r="AE76" s="151">
        <f t="shared" si="5"/>
        <v>3104.4888412163095</v>
      </c>
      <c r="AF76" s="151">
        <f t="shared" si="5"/>
        <v>3175.6578714516522</v>
      </c>
      <c r="AG76" s="151">
        <f t="shared" si="5"/>
        <v>3248.458420150645</v>
      </c>
      <c r="AH76" s="151">
        <f t="shared" si="5"/>
        <v>3322.9278891506938</v>
      </c>
      <c r="AI76" s="151">
        <f t="shared" si="5"/>
        <v>3391.2643873461016</v>
      </c>
      <c r="AJ76" s="151">
        <f t="shared" si="5"/>
        <v>3461.0062356247472</v>
      </c>
      <c r="AK76" s="151">
        <f t="shared" si="5"/>
        <v>3532.1823352166994</v>
      </c>
      <c r="AL76" s="151">
        <f t="shared" si="5"/>
        <v>3604.8221817100525</v>
      </c>
      <c r="AM76" s="151">
        <f t="shared" si="5"/>
        <v>3678.955877273982</v>
      </c>
      <c r="AN76" s="151">
        <f>IF(AN$6&gt;$H$68,AM76*(1+$H$69),AN62)</f>
        <v>3678.955877273982</v>
      </c>
      <c r="AO76" s="151">
        <f t="shared" si="5"/>
        <v>3678.955877273982</v>
      </c>
      <c r="AP76" s="151">
        <f t="shared" si="5"/>
        <v>3678.955877273982</v>
      </c>
      <c r="AQ76" s="151">
        <f t="shared" si="5"/>
        <v>3678.955877273982</v>
      </c>
      <c r="AR76" s="151">
        <f t="shared" si="5"/>
        <v>3678.955877273982</v>
      </c>
      <c r="AS76" s="151">
        <f t="shared" si="5"/>
        <v>0</v>
      </c>
      <c r="AT76" s="151">
        <f t="shared" si="5"/>
        <v>0</v>
      </c>
      <c r="AU76" s="151">
        <f t="shared" si="5"/>
        <v>0</v>
      </c>
      <c r="AV76" s="151">
        <f t="shared" si="5"/>
        <v>0</v>
      </c>
      <c r="AW76" s="151">
        <f t="shared" si="5"/>
        <v>0</v>
      </c>
      <c r="AX76" s="151">
        <f t="shared" si="5"/>
        <v>0</v>
      </c>
      <c r="AY76" s="151">
        <f t="shared" si="5"/>
        <v>0</v>
      </c>
      <c r="AZ76" s="151">
        <f t="shared" si="5"/>
        <v>0</v>
      </c>
      <c r="BA76" s="151">
        <f t="shared" si="5"/>
        <v>0</v>
      </c>
      <c r="BB76" s="151">
        <f t="shared" si="5"/>
        <v>0</v>
      </c>
      <c r="BC76" s="151">
        <f t="shared" si="5"/>
        <v>0</v>
      </c>
      <c r="BD76" s="151">
        <f t="shared" si="5"/>
        <v>0</v>
      </c>
      <c r="BE76" s="151">
        <f t="shared" si="5"/>
        <v>0</v>
      </c>
    </row>
    <row r="77" spans="2:57" s="4" customFormat="1" x14ac:dyDescent="0.35">
      <c r="E77" s="26" t="s">
        <v>606</v>
      </c>
      <c r="F77" s="4" t="str">
        <f>F63</f>
        <v>Caltrans Cal-B/C Model 7.2</v>
      </c>
      <c r="G77" s="43" t="str">
        <f t="shared" si="4"/>
        <v>2024$ / metric ton</v>
      </c>
      <c r="I77" s="151">
        <f t="shared" si="5"/>
        <v>0</v>
      </c>
      <c r="J77" s="151">
        <f t="shared" si="5"/>
        <v>0</v>
      </c>
      <c r="K77" s="151">
        <f t="shared" si="5"/>
        <v>0</v>
      </c>
      <c r="L77" s="151">
        <f t="shared" si="5"/>
        <v>0</v>
      </c>
      <c r="M77" s="151">
        <f t="shared" si="5"/>
        <v>0</v>
      </c>
      <c r="N77" s="151">
        <f t="shared" si="5"/>
        <v>0</v>
      </c>
      <c r="O77" s="151">
        <f t="shared" si="5"/>
        <v>0</v>
      </c>
      <c r="P77" s="151">
        <f t="shared" si="5"/>
        <v>0</v>
      </c>
      <c r="Q77" s="151">
        <f t="shared" si="5"/>
        <v>0</v>
      </c>
      <c r="R77" s="151">
        <f t="shared" si="5"/>
        <v>0</v>
      </c>
      <c r="S77" s="151">
        <f t="shared" si="5"/>
        <v>0</v>
      </c>
      <c r="T77" s="151">
        <f t="shared" si="5"/>
        <v>0</v>
      </c>
      <c r="U77" s="151">
        <f t="shared" si="5"/>
        <v>0</v>
      </c>
      <c r="V77" s="151">
        <f t="shared" si="5"/>
        <v>0</v>
      </c>
      <c r="W77" s="151">
        <f t="shared" si="5"/>
        <v>0</v>
      </c>
      <c r="X77" s="151">
        <f t="shared" si="5"/>
        <v>0</v>
      </c>
      <c r="Y77" s="151">
        <f t="shared" si="5"/>
        <v>0</v>
      </c>
      <c r="Z77" s="151">
        <f t="shared" si="5"/>
        <v>0</v>
      </c>
      <c r="AA77" s="151">
        <f t="shared" si="5"/>
        <v>0</v>
      </c>
      <c r="AB77" s="151">
        <f t="shared" si="5"/>
        <v>0</v>
      </c>
      <c r="AC77" s="151">
        <f t="shared" si="5"/>
        <v>0</v>
      </c>
      <c r="AD77" s="151">
        <f t="shared" si="5"/>
        <v>0</v>
      </c>
      <c r="AE77" s="151">
        <f t="shared" si="5"/>
        <v>0</v>
      </c>
      <c r="AF77" s="151">
        <f t="shared" si="5"/>
        <v>0</v>
      </c>
      <c r="AG77" s="151">
        <f t="shared" si="5"/>
        <v>0</v>
      </c>
      <c r="AH77" s="151">
        <f t="shared" si="5"/>
        <v>0</v>
      </c>
      <c r="AI77" s="151">
        <f t="shared" si="5"/>
        <v>0</v>
      </c>
      <c r="AJ77" s="151">
        <f t="shared" si="5"/>
        <v>0</v>
      </c>
      <c r="AK77" s="151">
        <f t="shared" si="5"/>
        <v>0</v>
      </c>
      <c r="AL77" s="151">
        <f t="shared" si="5"/>
        <v>0</v>
      </c>
      <c r="AM77" s="151">
        <f t="shared" si="5"/>
        <v>0</v>
      </c>
      <c r="AN77" s="151">
        <f t="shared" si="5"/>
        <v>0</v>
      </c>
      <c r="AO77" s="151">
        <f t="shared" si="5"/>
        <v>0</v>
      </c>
      <c r="AP77" s="151">
        <f t="shared" si="5"/>
        <v>0</v>
      </c>
      <c r="AQ77" s="151">
        <f t="shared" si="5"/>
        <v>0</v>
      </c>
      <c r="AR77" s="151">
        <f t="shared" si="5"/>
        <v>0</v>
      </c>
      <c r="AS77" s="151">
        <f t="shared" si="5"/>
        <v>0</v>
      </c>
      <c r="AT77" s="151">
        <f t="shared" si="5"/>
        <v>0</v>
      </c>
      <c r="AU77" s="151">
        <f t="shared" si="5"/>
        <v>0</v>
      </c>
      <c r="AV77" s="151">
        <f t="shared" si="5"/>
        <v>0</v>
      </c>
      <c r="AW77" s="151">
        <f t="shared" si="5"/>
        <v>0</v>
      </c>
      <c r="AX77" s="151">
        <f t="shared" si="5"/>
        <v>0</v>
      </c>
      <c r="AY77" s="151">
        <f t="shared" si="5"/>
        <v>0</v>
      </c>
      <c r="AZ77" s="151">
        <f t="shared" si="5"/>
        <v>0</v>
      </c>
      <c r="BA77" s="151">
        <f t="shared" si="5"/>
        <v>0</v>
      </c>
      <c r="BB77" s="151">
        <f t="shared" si="5"/>
        <v>0</v>
      </c>
      <c r="BC77" s="151">
        <f t="shared" si="5"/>
        <v>0</v>
      </c>
      <c r="BD77" s="151">
        <f t="shared" si="5"/>
        <v>0</v>
      </c>
      <c r="BE77" s="151">
        <f t="shared" si="5"/>
        <v>0</v>
      </c>
    </row>
    <row r="78" spans="2:57" s="4" customFormat="1" x14ac:dyDescent="0.35">
      <c r="E78" s="26" t="s">
        <v>608</v>
      </c>
      <c r="F78" s="4" t="str">
        <f>F64</f>
        <v>Caltrans Cal-B/C Model 7.2</v>
      </c>
      <c r="G78" s="43" t="str">
        <f t="shared" si="4"/>
        <v>2024$ / metric ton</v>
      </c>
      <c r="I78" s="151">
        <f t="shared" si="5"/>
        <v>0</v>
      </c>
      <c r="J78" s="151">
        <f t="shared" si="5"/>
        <v>0</v>
      </c>
      <c r="K78" s="151">
        <f t="shared" si="5"/>
        <v>0</v>
      </c>
      <c r="L78" s="151">
        <f t="shared" si="5"/>
        <v>0</v>
      </c>
      <c r="M78" s="151">
        <f t="shared" si="5"/>
        <v>0</v>
      </c>
      <c r="N78" s="151">
        <f t="shared" si="5"/>
        <v>0</v>
      </c>
      <c r="O78" s="151">
        <f t="shared" si="5"/>
        <v>0</v>
      </c>
      <c r="P78" s="151">
        <f t="shared" si="5"/>
        <v>0</v>
      </c>
      <c r="Q78" s="151">
        <f t="shared" si="5"/>
        <v>0</v>
      </c>
      <c r="R78" s="151">
        <f t="shared" si="5"/>
        <v>0</v>
      </c>
      <c r="S78" s="151">
        <f t="shared" si="5"/>
        <v>0</v>
      </c>
      <c r="T78" s="151">
        <f t="shared" ref="T78:BE78" si="6">IF(T$6&gt;$H$68,S78*(1+$H$69),T64)</f>
        <v>0</v>
      </c>
      <c r="U78" s="151">
        <f t="shared" si="6"/>
        <v>0</v>
      </c>
      <c r="V78" s="151">
        <f t="shared" si="6"/>
        <v>0</v>
      </c>
      <c r="W78" s="151">
        <f t="shared" si="6"/>
        <v>0</v>
      </c>
      <c r="X78" s="151">
        <f t="shared" si="6"/>
        <v>0</v>
      </c>
      <c r="Y78" s="151">
        <f t="shared" si="6"/>
        <v>0</v>
      </c>
      <c r="Z78" s="151">
        <f t="shared" si="6"/>
        <v>0</v>
      </c>
      <c r="AA78" s="151">
        <f t="shared" si="6"/>
        <v>0</v>
      </c>
      <c r="AB78" s="151">
        <f t="shared" si="6"/>
        <v>0</v>
      </c>
      <c r="AC78" s="151">
        <f t="shared" si="6"/>
        <v>0</v>
      </c>
      <c r="AD78" s="151">
        <f t="shared" si="6"/>
        <v>0</v>
      </c>
      <c r="AE78" s="151">
        <f t="shared" si="6"/>
        <v>0</v>
      </c>
      <c r="AF78" s="151">
        <f t="shared" si="6"/>
        <v>0</v>
      </c>
      <c r="AG78" s="151">
        <f t="shared" si="6"/>
        <v>0</v>
      </c>
      <c r="AH78" s="151">
        <f t="shared" si="6"/>
        <v>0</v>
      </c>
      <c r="AI78" s="151">
        <f t="shared" si="6"/>
        <v>0</v>
      </c>
      <c r="AJ78" s="151">
        <f t="shared" si="6"/>
        <v>0</v>
      </c>
      <c r="AK78" s="151">
        <f t="shared" si="6"/>
        <v>0</v>
      </c>
      <c r="AL78" s="151">
        <f t="shared" si="6"/>
        <v>0</v>
      </c>
      <c r="AM78" s="151">
        <f t="shared" si="6"/>
        <v>0</v>
      </c>
      <c r="AN78" s="151">
        <f t="shared" si="6"/>
        <v>0</v>
      </c>
      <c r="AO78" s="151">
        <f t="shared" si="6"/>
        <v>0</v>
      </c>
      <c r="AP78" s="151">
        <f t="shared" si="6"/>
        <v>0</v>
      </c>
      <c r="AQ78" s="151">
        <f t="shared" si="6"/>
        <v>0</v>
      </c>
      <c r="AR78" s="151">
        <f t="shared" si="6"/>
        <v>0</v>
      </c>
      <c r="AS78" s="151">
        <f t="shared" si="6"/>
        <v>0</v>
      </c>
      <c r="AT78" s="151">
        <f t="shared" si="6"/>
        <v>0</v>
      </c>
      <c r="AU78" s="151">
        <f t="shared" si="6"/>
        <v>0</v>
      </c>
      <c r="AV78" s="151">
        <f t="shared" si="6"/>
        <v>0</v>
      </c>
      <c r="AW78" s="151">
        <f t="shared" si="6"/>
        <v>0</v>
      </c>
      <c r="AX78" s="151">
        <f t="shared" si="6"/>
        <v>0</v>
      </c>
      <c r="AY78" s="151">
        <f t="shared" si="6"/>
        <v>0</v>
      </c>
      <c r="AZ78" s="151">
        <f t="shared" si="6"/>
        <v>0</v>
      </c>
      <c r="BA78" s="151">
        <f t="shared" si="6"/>
        <v>0</v>
      </c>
      <c r="BB78" s="151">
        <f t="shared" si="6"/>
        <v>0</v>
      </c>
      <c r="BC78" s="151">
        <f t="shared" si="6"/>
        <v>0</v>
      </c>
      <c r="BD78" s="151">
        <f t="shared" si="6"/>
        <v>0</v>
      </c>
      <c r="BE78" s="151">
        <f t="shared" si="6"/>
        <v>0</v>
      </c>
    </row>
    <row r="79" spans="2:57" s="4" customFormat="1" ht="5.25" customHeight="1" x14ac:dyDescent="0.35">
      <c r="E79" s="26"/>
      <c r="G79" s="43"/>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21"/>
      <c r="AP79" s="21"/>
      <c r="AQ79" s="21"/>
      <c r="AR79" s="21"/>
      <c r="AS79" s="21"/>
      <c r="AT79" s="21"/>
      <c r="AU79" s="21"/>
      <c r="AV79" s="21"/>
      <c r="AW79" s="21"/>
      <c r="AX79" s="21"/>
      <c r="AY79" s="21"/>
      <c r="AZ79" s="21"/>
      <c r="BA79" s="21"/>
      <c r="BB79" s="21"/>
      <c r="BC79" s="21"/>
      <c r="BD79" s="21"/>
      <c r="BE79" s="21"/>
    </row>
    <row r="80" spans="2:57" s="4" customFormat="1" ht="15" customHeight="1" x14ac:dyDescent="0.35">
      <c r="B80" s="2" t="s">
        <v>611</v>
      </c>
      <c r="E80" s="26"/>
      <c r="G80" s="43"/>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row>
    <row r="81" spans="4:57" s="4" customFormat="1" ht="5.25" customHeight="1" x14ac:dyDescent="0.35">
      <c r="E81" s="26"/>
      <c r="G81" s="43"/>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21"/>
      <c r="AP81" s="21"/>
      <c r="AQ81" s="21"/>
      <c r="AR81" s="21"/>
      <c r="AS81" s="21"/>
      <c r="AT81" s="21"/>
      <c r="AU81" s="21"/>
      <c r="AV81" s="21"/>
      <c r="AW81" s="21"/>
      <c r="AX81" s="21"/>
      <c r="AY81" s="21"/>
      <c r="AZ81" s="21"/>
      <c r="BA81" s="21"/>
      <c r="BB81" s="21"/>
      <c r="BC81" s="21"/>
      <c r="BD81" s="21"/>
      <c r="BE81" s="21"/>
    </row>
    <row r="82" spans="4:57" s="4" customFormat="1" ht="60" customHeight="1" x14ac:dyDescent="0.35">
      <c r="E82" s="675" t="s">
        <v>612</v>
      </c>
      <c r="F82" s="676"/>
      <c r="G82" s="677"/>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row>
    <row r="83" spans="4:57" s="4" customFormat="1" ht="5.25" customHeight="1" x14ac:dyDescent="0.35">
      <c r="E83" s="26"/>
      <c r="G83" s="43"/>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row>
    <row r="84" spans="4:57" s="10" customFormat="1" ht="15" customHeight="1" x14ac:dyDescent="0.35">
      <c r="D84" s="168" t="s">
        <v>613</v>
      </c>
      <c r="E84" s="109"/>
      <c r="G84" s="30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row>
    <row r="85" spans="4:57" s="10" customFormat="1" ht="5.25" customHeight="1" x14ac:dyDescent="0.35">
      <c r="D85" s="169"/>
      <c r="E85" s="109"/>
      <c r="G85" s="30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row>
    <row r="86" spans="4:57" s="10" customFormat="1" x14ac:dyDescent="0.35">
      <c r="E86" s="169" t="s">
        <v>614</v>
      </c>
      <c r="F86" s="10" t="s">
        <v>615</v>
      </c>
      <c r="G86" s="43" t="s">
        <v>616</v>
      </c>
      <c r="I86" s="20"/>
      <c r="J86" s="200"/>
      <c r="K86" s="200"/>
      <c r="L86" s="200"/>
      <c r="M86" s="200"/>
      <c r="N86" s="200">
        <v>0.30559999999999998</v>
      </c>
      <c r="O86" s="226">
        <f>N86*(1+($AH86/$N86)^(1/($AH$6-$N$6))-1)</f>
        <v>0.29664604390241911</v>
      </c>
      <c r="P86" s="226">
        <f t="shared" ref="P86:AG101" si="7">O86*(1+($AH86/$N86)^(1/($AH$6-$N$6))-1)</f>
        <v>0.28795443508820673</v>
      </c>
      <c r="Q86" s="226">
        <f t="shared" si="7"/>
        <v>0.27951748688832617</v>
      </c>
      <c r="R86" s="226">
        <f t="shared" si="7"/>
        <v>0.27132773785002706</v>
      </c>
      <c r="S86" s="226">
        <f t="shared" si="7"/>
        <v>0.26337794513809948</v>
      </c>
      <c r="T86" s="226">
        <f t="shared" si="7"/>
        <v>0.25566107812946859</v>
      </c>
      <c r="U86" s="226">
        <f t="shared" si="7"/>
        <v>0.24817031219546512</v>
      </c>
      <c r="V86" s="226">
        <f t="shared" si="7"/>
        <v>0.24089902266627292</v>
      </c>
      <c r="W86" s="226">
        <f t="shared" si="7"/>
        <v>0.2338407789722155</v>
      </c>
      <c r="X86" s="226">
        <f t="shared" si="7"/>
        <v>0.22698933895670068</v>
      </c>
      <c r="Y86" s="226">
        <f t="shared" si="7"/>
        <v>0.22033864335579359</v>
      </c>
      <c r="Z86" s="226">
        <f t="shared" si="7"/>
        <v>0.21388281043953605</v>
      </c>
      <c r="AA86" s="226">
        <f t="shared" si="7"/>
        <v>0.20761613081027291</v>
      </c>
      <c r="AB86" s="226">
        <f t="shared" si="7"/>
        <v>0.2015330623533855</v>
      </c>
      <c r="AC86" s="226">
        <f t="shared" si="7"/>
        <v>0.19562822533596652</v>
      </c>
      <c r="AD86" s="226">
        <f t="shared" si="7"/>
        <v>0.18989639764910166</v>
      </c>
      <c r="AE86" s="226">
        <f t="shared" si="7"/>
        <v>0.18433251018955055</v>
      </c>
      <c r="AF86" s="226">
        <f t="shared" si="7"/>
        <v>0.17893164237674258</v>
      </c>
      <c r="AG86" s="226">
        <f t="shared" si="7"/>
        <v>0.17368901780112284</v>
      </c>
      <c r="AH86" s="227">
        <v>0.1686</v>
      </c>
      <c r="AI86" s="226">
        <f>AH86*(1+($AH86/$N86)^(1/($AH$6-$N$6))-1)</f>
        <v>0.16366008835715923</v>
      </c>
      <c r="AJ86" s="226">
        <f t="shared" ref="AJ86:BB101" si="8">AI86*(1+($AH86/$N86)^(1/($AH$6-$N$6))-1)</f>
        <v>0.15886491412261666</v>
      </c>
      <c r="AK86" s="226">
        <f t="shared" si="8"/>
        <v>0.15421023654899144</v>
      </c>
      <c r="AL86" s="226">
        <f t="shared" si="8"/>
        <v>0.14969193914108164</v>
      </c>
      <c r="AM86" s="226">
        <f t="shared" si="8"/>
        <v>0.14530602601532577</v>
      </c>
      <c r="AN86" s="226">
        <f t="shared" si="8"/>
        <v>0.14104861836593058</v>
      </c>
      <c r="AO86" s="226">
        <f t="shared" si="8"/>
        <v>0.13691595103453993</v>
      </c>
      <c r="AP86" s="226">
        <f t="shared" si="8"/>
        <v>0.13290436918041099</v>
      </c>
      <c r="AQ86" s="226">
        <f t="shared" si="8"/>
        <v>0.12901032504815288</v>
      </c>
      <c r="AR86" s="226">
        <f t="shared" si="8"/>
        <v>0.12523037483016924</v>
      </c>
      <c r="AS86" s="226">
        <f t="shared" si="8"/>
        <v>0.12156117562103007</v>
      </c>
      <c r="AT86" s="226">
        <f t="shared" si="8"/>
        <v>0.11799948246107908</v>
      </c>
      <c r="AU86" s="226">
        <f t="shared" si="8"/>
        <v>0.1145421454666623</v>
      </c>
      <c r="AV86" s="226">
        <f t="shared" si="8"/>
        <v>0.11118610704443974</v>
      </c>
      <c r="AW86" s="226">
        <f t="shared" si="8"/>
        <v>0.10792839918731656</v>
      </c>
      <c r="AX86" s="226">
        <f t="shared" si="8"/>
        <v>0.10476614084960251</v>
      </c>
      <c r="AY86" s="226">
        <f t="shared" si="8"/>
        <v>0.10169653539907791</v>
      </c>
      <c r="AZ86" s="226">
        <f t="shared" si="8"/>
        <v>9.8716868143713304E-2</v>
      </c>
      <c r="BA86" s="226">
        <f t="shared" si="8"/>
        <v>9.5824503930855023E-2</v>
      </c>
      <c r="BB86" s="226">
        <f t="shared" si="8"/>
        <v>9.301688481675377E-2</v>
      </c>
      <c r="BC86" s="226">
        <f>BB86*(1+($AH86/$N86)^(1/($AH$6-$N$6))-1)</f>
        <v>9.0291527804375007E-2</v>
      </c>
      <c r="BD86" s="226">
        <f>BC86*(1+($AH86/$N86)^(1/($AH$6-$N$6))-1)</f>
        <v>8.7646022647490593E-2</v>
      </c>
      <c r="BE86" s="226">
        <f>BD86*(1+($AH86/$N86)^(1/($AH$6-$N$6))-1)</f>
        <v>8.5078029719109674E-2</v>
      </c>
    </row>
    <row r="87" spans="4:57" s="10" customFormat="1" x14ac:dyDescent="0.35">
      <c r="D87" s="169"/>
      <c r="E87" s="10" t="s">
        <v>617</v>
      </c>
      <c r="F87" s="10" t="s">
        <v>615</v>
      </c>
      <c r="G87" s="43" t="s">
        <v>616</v>
      </c>
      <c r="I87" s="20"/>
      <c r="J87" s="200"/>
      <c r="K87" s="200"/>
      <c r="L87" s="200"/>
      <c r="M87" s="200"/>
      <c r="N87" s="200">
        <v>9.5899999999999999E-2</v>
      </c>
      <c r="O87" s="226">
        <f t="shared" ref="O87:AD102" si="9">N87*(1+($AH87/$N87)^(1/($AH$6-$N$6))-1)</f>
        <v>8.9154428405253089E-2</v>
      </c>
      <c r="P87" s="226">
        <f t="shared" si="9"/>
        <v>8.2883337896427517E-2</v>
      </c>
      <c r="Q87" s="226">
        <f t="shared" si="9"/>
        <v>7.705335364416524E-2</v>
      </c>
      <c r="R87" s="226">
        <f t="shared" si="9"/>
        <v>7.1633448392631666E-2</v>
      </c>
      <c r="S87" s="226">
        <f t="shared" si="9"/>
        <v>6.6594777332036198E-2</v>
      </c>
      <c r="T87" s="226">
        <f t="shared" si="9"/>
        <v>6.1910524586160504E-2</v>
      </c>
      <c r="U87" s="226">
        <f t="shared" si="9"/>
        <v>5.7555760497898928E-2</v>
      </c>
      <c r="V87" s="226">
        <f t="shared" si="9"/>
        <v>5.3507308953282831E-2</v>
      </c>
      <c r="W87" s="226">
        <f t="shared" si="9"/>
        <v>4.9743624037885417E-2</v>
      </c>
      <c r="X87" s="226">
        <f t="shared" si="9"/>
        <v>4.6244675369170818E-2</v>
      </c>
      <c r="Y87" s="226">
        <f t="shared" si="9"/>
        <v>4.2991841494524612E-2</v>
      </c>
      <c r="Z87" s="226">
        <f t="shared" si="9"/>
        <v>3.9967810787628608E-2</v>
      </c>
      <c r="AA87" s="226">
        <f t="shared" si="9"/>
        <v>3.7156489315749081E-2</v>
      </c>
      <c r="AB87" s="226">
        <f t="shared" si="9"/>
        <v>3.454291518760691E-2</v>
      </c>
      <c r="AC87" s="226">
        <f t="shared" si="9"/>
        <v>3.2113178925987793E-2</v>
      </c>
      <c r="AD87" s="226">
        <f t="shared" si="9"/>
        <v>2.9854349441314501E-2</v>
      </c>
      <c r="AE87" s="226">
        <f t="shared" si="7"/>
        <v>2.775440521221148E-2</v>
      </c>
      <c r="AF87" s="226">
        <f t="shared" si="7"/>
        <v>2.5802170306803873E-2</v>
      </c>
      <c r="AG87" s="226">
        <f t="shared" si="7"/>
        <v>2.3987254904255399E-2</v>
      </c>
      <c r="AH87" s="227">
        <v>2.23E-2</v>
      </c>
      <c r="AI87" s="226">
        <f t="shared" ref="AI87:AX102" si="10">AH87*(1+($AH87/$N87)^(1/($AH$6-$N$6))-1)</f>
        <v>2.0731426000387319E-2</v>
      </c>
      <c r="AJ87" s="226">
        <f t="shared" si="10"/>
        <v>1.9273184933163018E-2</v>
      </c>
      <c r="AK87" s="226">
        <f t="shared" si="10"/>
        <v>1.7917516019446137E-2</v>
      </c>
      <c r="AL87" s="226">
        <f t="shared" si="10"/>
        <v>1.6657204370757933E-2</v>
      </c>
      <c r="AM87" s="226">
        <f t="shared" si="10"/>
        <v>1.5485542591286828E-2</v>
      </c>
      <c r="AN87" s="226">
        <f t="shared" si="10"/>
        <v>1.4396295081036275E-2</v>
      </c>
      <c r="AO87" s="226">
        <f t="shared" si="10"/>
        <v>1.338366484987639E-2</v>
      </c>
      <c r="AP87" s="226">
        <f t="shared" si="10"/>
        <v>1.2442262665883283E-2</v>
      </c>
      <c r="AQ87" s="226">
        <f t="shared" si="10"/>
        <v>1.1567078373773144E-2</v>
      </c>
      <c r="AR87" s="226">
        <f t="shared" si="10"/>
        <v>1.0753454230787373E-2</v>
      </c>
      <c r="AS87" s="226">
        <f t="shared" si="10"/>
        <v>9.9970601181219882E-3</v>
      </c>
      <c r="AT87" s="226">
        <f t="shared" si="10"/>
        <v>9.293870495976202E-3</v>
      </c>
      <c r="AU87" s="226">
        <f t="shared" si="10"/>
        <v>8.640142979574602E-3</v>
      </c>
      <c r="AV87" s="226">
        <f t="shared" si="10"/>
        <v>8.0323984221442532E-3</v>
      </c>
      <c r="AW87" s="226">
        <f t="shared" si="10"/>
        <v>7.4674023988480463E-3</v>
      </c>
      <c r="AX87" s="226">
        <f t="shared" si="10"/>
        <v>6.942147993131525E-3</v>
      </c>
      <c r="AY87" s="226">
        <f t="shared" si="8"/>
        <v>6.4538397938719077E-3</v>
      </c>
      <c r="AZ87" s="226">
        <f t="shared" si="8"/>
        <v>5.9998790181619013E-3</v>
      </c>
      <c r="BA87" s="226">
        <f t="shared" si="8"/>
        <v>5.5778496805515684E-3</v>
      </c>
      <c r="BB87" s="226">
        <f t="shared" si="8"/>
        <v>5.1855057351407573E-3</v>
      </c>
      <c r="BC87" s="226">
        <f t="shared" ref="BB87:BE102" si="11">BB87*(1+($AH87/$N87)^(1/($AH$6-$N$6))-1)</f>
        <v>4.8207591220921367E-3</v>
      </c>
      <c r="BD87" s="226">
        <f t="shared" si="11"/>
        <v>4.4816686549482183E-3</v>
      </c>
      <c r="BE87" s="226">
        <f t="shared" si="11"/>
        <v>4.1664296896105086E-3</v>
      </c>
    </row>
    <row r="88" spans="4:57" s="10" customFormat="1" x14ac:dyDescent="0.35">
      <c r="D88" s="169"/>
      <c r="E88" s="10" t="s">
        <v>618</v>
      </c>
      <c r="F88" s="10" t="s">
        <v>615</v>
      </c>
      <c r="G88" s="43" t="s">
        <v>616</v>
      </c>
      <c r="I88" s="20"/>
      <c r="J88" s="200"/>
      <c r="K88" s="200"/>
      <c r="L88" s="200"/>
      <c r="M88" s="200"/>
      <c r="N88" s="200">
        <v>9.3299999999999994E-2</v>
      </c>
      <c r="O88" s="226">
        <f t="shared" si="9"/>
        <v>8.6817479913769938E-2</v>
      </c>
      <c r="P88" s="226">
        <f t="shared" si="9"/>
        <v>8.0785367830416357E-2</v>
      </c>
      <c r="Q88" s="226">
        <f t="shared" si="9"/>
        <v>7.5172369227692271E-2</v>
      </c>
      <c r="R88" s="226">
        <f t="shared" si="9"/>
        <v>6.9949363938860351E-2</v>
      </c>
      <c r="S88" s="226">
        <f t="shared" si="9"/>
        <v>6.5089255077631206E-2</v>
      </c>
      <c r="T88" s="226">
        <f t="shared" si="9"/>
        <v>6.0566828459855254E-2</v>
      </c>
      <c r="U88" s="226">
        <f t="shared" si="9"/>
        <v>5.6358621792649874E-2</v>
      </c>
      <c r="V88" s="226">
        <f t="shared" si="9"/>
        <v>5.2442802952316583E-2</v>
      </c>
      <c r="W88" s="226">
        <f t="shared" si="9"/>
        <v>4.8799056719555624E-2</v>
      </c>
      <c r="X88" s="226">
        <f t="shared" si="9"/>
        <v>4.5408479384361634E-2</v>
      </c>
      <c r="Y88" s="226">
        <f t="shared" si="9"/>
        <v>4.2253480673811926E-2</v>
      </c>
      <c r="Z88" s="226">
        <f t="shared" si="9"/>
        <v>3.9317692493949979E-2</v>
      </c>
      <c r="AA88" s="226">
        <f t="shared" si="9"/>
        <v>3.6585884012318173E-2</v>
      </c>
      <c r="AB88" s="226">
        <f t="shared" si="9"/>
        <v>3.4043882640588954E-2</v>
      </c>
      <c r="AC88" s="226">
        <f t="shared" si="9"/>
        <v>3.1678500507353408E-2</v>
      </c>
      <c r="AD88" s="226">
        <f t="shared" si="9"/>
        <v>2.9477466039608845E-2</v>
      </c>
      <c r="AE88" s="226">
        <f t="shared" si="7"/>
        <v>2.7429360297991173E-2</v>
      </c>
      <c r="AF88" s="226">
        <f t="shared" si="7"/>
        <v>2.5523557735459886E-2</v>
      </c>
      <c r="AG88" s="226">
        <f t="shared" si="7"/>
        <v>2.3750171072092562E-2</v>
      </c>
      <c r="AH88" s="227">
        <v>2.2100000000000002E-2</v>
      </c>
      <c r="AI88" s="226">
        <f t="shared" si="10"/>
        <v>2.056448345224347E-2</v>
      </c>
      <c r="AJ88" s="226">
        <f t="shared" si="10"/>
        <v>1.9135655188126491E-2</v>
      </c>
      <c r="AK88" s="226">
        <f t="shared" si="10"/>
        <v>1.7806102464437291E-2</v>
      </c>
      <c r="AL88" s="226">
        <f t="shared" si="10"/>
        <v>1.6568927578229517E-2</v>
      </c>
      <c r="AM88" s="226">
        <f t="shared" si="10"/>
        <v>1.5417712081625401E-2</v>
      </c>
      <c r="AN88" s="226">
        <f t="shared" si="10"/>
        <v>1.4346483482988224E-2</v>
      </c>
      <c r="AO88" s="226">
        <f t="shared" si="10"/>
        <v>1.3349684261710208E-2</v>
      </c>
      <c r="AP88" s="226">
        <f t="shared" si="10"/>
        <v>1.2422143035864915E-2</v>
      </c>
      <c r="AQ88" s="226">
        <f t="shared" si="10"/>
        <v>1.1559047733142331E-2</v>
      </c>
      <c r="AR88" s="226">
        <f t="shared" si="10"/>
        <v>1.075592062587773E-2</v>
      </c>
      <c r="AS88" s="226">
        <f t="shared" si="10"/>
        <v>1.0008595100656416E-2</v>
      </c>
      <c r="AT88" s="226">
        <f t="shared" si="10"/>
        <v>9.3131940419752899E-3</v>
      </c>
      <c r="AU88" s="226">
        <f t="shared" si="10"/>
        <v>8.6661097178159872E-3</v>
      </c>
      <c r="AV88" s="226">
        <f t="shared" si="10"/>
        <v>8.0639850627761619E-3</v>
      </c>
      <c r="AW88" s="226">
        <f t="shared" si="10"/>
        <v>7.5036962616560586E-3</v>
      </c>
      <c r="AX88" s="226">
        <f t="shared" si="10"/>
        <v>6.9823365431442167E-3</v>
      </c>
      <c r="AY88" s="226">
        <f t="shared" si="8"/>
        <v>6.4972010995241677E-3</v>
      </c>
      <c r="AZ88" s="226">
        <f t="shared" si="8"/>
        <v>6.0457730541657387E-3</v>
      </c>
      <c r="BA88" s="226">
        <f t="shared" si="8"/>
        <v>5.6257104040004884E-3</v>
      </c>
      <c r="BB88" s="226">
        <f t="shared" si="11"/>
        <v>5.2348338692390032E-3</v>
      </c>
      <c r="BC88" s="226">
        <f t="shared" si="11"/>
        <v>4.8711155872945312E-3</v>
      </c>
      <c r="BD88" s="226">
        <f t="shared" si="11"/>
        <v>4.5326685922571774E-3</v>
      </c>
      <c r="BE88" s="226">
        <f t="shared" si="11"/>
        <v>4.2177370253383001E-3</v>
      </c>
    </row>
    <row r="89" spans="4:57" s="10" customFormat="1" x14ac:dyDescent="0.35">
      <c r="D89" s="169"/>
      <c r="E89" s="10" t="s">
        <v>619</v>
      </c>
      <c r="F89" s="10" t="s">
        <v>615</v>
      </c>
      <c r="G89" s="43" t="s">
        <v>616</v>
      </c>
      <c r="I89" s="20"/>
      <c r="J89" s="200"/>
      <c r="K89" s="200"/>
      <c r="L89" s="200"/>
      <c r="M89" s="200"/>
      <c r="N89" s="200">
        <v>9.0700000000000003E-2</v>
      </c>
      <c r="O89" s="226">
        <f t="shared" si="9"/>
        <v>8.447907082211055E-2</v>
      </c>
      <c r="P89" s="226">
        <f t="shared" si="9"/>
        <v>7.8684822568546517E-2</v>
      </c>
      <c r="Q89" s="226">
        <f t="shared" si="9"/>
        <v>7.3287990059464639E-2</v>
      </c>
      <c r="R89" s="226">
        <f t="shared" si="9"/>
        <v>6.8261315354395224E-2</v>
      </c>
      <c r="S89" s="226">
        <f t="shared" si="9"/>
        <v>6.3579410079761589E-2</v>
      </c>
      <c r="T89" s="226">
        <f t="shared" si="9"/>
        <v>5.9218627199075946E-2</v>
      </c>
      <c r="U89" s="226">
        <f t="shared" si="9"/>
        <v>5.5156941578157648E-2</v>
      </c>
      <c r="V89" s="226">
        <f t="shared" si="9"/>
        <v>5.1373838742141055E-2</v>
      </c>
      <c r="W89" s="226">
        <f t="shared" si="9"/>
        <v>4.7850211262414781E-2</v>
      </c>
      <c r="X89" s="226">
        <f t="shared" si="9"/>
        <v>4.4568262250170777E-2</v>
      </c>
      <c r="Y89" s="226">
        <f t="shared" si="9"/>
        <v>4.151141546913531E-2</v>
      </c>
      <c r="Z89" s="226">
        <f t="shared" si="9"/>
        <v>3.8664231613485527E-2</v>
      </c>
      <c r="AA89" s="226">
        <f t="shared" si="9"/>
        <v>3.601233032809404E-2</v>
      </c>
      <c r="AB89" s="226">
        <f t="shared" si="9"/>
        <v>3.3542317577246919E-2</v>
      </c>
      <c r="AC89" s="226">
        <f t="shared" si="9"/>
        <v>3.124171799499411E-2</v>
      </c>
      <c r="AD89" s="226">
        <f t="shared" si="9"/>
        <v>2.9098911875452181E-2</v>
      </c>
      <c r="AE89" s="226">
        <f t="shared" si="7"/>
        <v>2.7103076484814536E-2</v>
      </c>
      <c r="AF89" s="226">
        <f t="shared" si="7"/>
        <v>2.5244131398651885E-2</v>
      </c>
      <c r="AG89" s="226">
        <f t="shared" si="7"/>
        <v>2.3512687588416507E-2</v>
      </c>
      <c r="AH89" s="227">
        <v>2.1899999999999999E-2</v>
      </c>
      <c r="AI89" s="226">
        <f t="shared" si="10"/>
        <v>2.039792338483154E-2</v>
      </c>
      <c r="AJ89" s="226">
        <f t="shared" si="10"/>
        <v>1.8998871160431845E-2</v>
      </c>
      <c r="AK89" s="226">
        <f t="shared" si="10"/>
        <v>1.7695777092638098E-2</v>
      </c>
      <c r="AL89" s="226">
        <f t="shared" si="10"/>
        <v>1.6482059605967533E-2</v>
      </c>
      <c r="AM89" s="226">
        <f t="shared" si="10"/>
        <v>1.5351588541860845E-2</v>
      </c>
      <c r="AN89" s="226">
        <f t="shared" si="10"/>
        <v>1.4298654196910288E-2</v>
      </c>
      <c r="AO89" s="226">
        <f t="shared" si="10"/>
        <v>1.3317938484692969E-2</v>
      </c>
      <c r="AP89" s="226">
        <f t="shared" si="10"/>
        <v>1.2404488075555557E-2</v>
      </c>
      <c r="AQ89" s="226">
        <f t="shared" si="10"/>
        <v>1.1553689378686699E-2</v>
      </c>
      <c r="AR89" s="226">
        <f t="shared" si="10"/>
        <v>1.0761245240118412E-2</v>
      </c>
      <c r="AS89" s="226">
        <f t="shared" si="10"/>
        <v>1.0023153238964314E-2</v>
      </c>
      <c r="AT89" s="226">
        <f t="shared" si="10"/>
        <v>9.3356854722748944E-3</v>
      </c>
      <c r="AU89" s="226">
        <f t="shared" si="10"/>
        <v>8.6953697264085927E-3</v>
      </c>
      <c r="AV89" s="226">
        <f t="shared" si="10"/>
        <v>8.098971939820369E-3</v>
      </c>
      <c r="AW89" s="226">
        <f t="shared" si="10"/>
        <v>7.5434798686920719E-3</v>
      </c>
      <c r="AX89" s="226">
        <f t="shared" si="10"/>
        <v>7.0260878729041087E-3</v>
      </c>
      <c r="AY89" s="226">
        <f t="shared" si="8"/>
        <v>6.5441827455064855E-3</v>
      </c>
      <c r="AZ89" s="226">
        <f t="shared" si="8"/>
        <v>6.0953305141177088E-3</v>
      </c>
      <c r="BA89" s="226">
        <f t="shared" si="8"/>
        <v>5.6772641475889901E-3</v>
      </c>
      <c r="BB89" s="226">
        <f t="shared" si="11"/>
        <v>5.2878721058434329E-3</v>
      </c>
      <c r="BC89" s="226">
        <f t="shared" si="11"/>
        <v>4.9251876750585465E-3</v>
      </c>
      <c r="BD89" s="226">
        <f t="shared" si="11"/>
        <v>4.5873790343269778E-3</v>
      </c>
      <c r="BE89" s="226">
        <f t="shared" si="11"/>
        <v>4.2727400036248493E-3</v>
      </c>
    </row>
    <row r="90" spans="4:57" s="10" customFormat="1" x14ac:dyDescent="0.35">
      <c r="D90" s="169"/>
      <c r="E90" s="10" t="s">
        <v>620</v>
      </c>
      <c r="F90" s="10" t="s">
        <v>615</v>
      </c>
      <c r="G90" s="43" t="s">
        <v>616</v>
      </c>
      <c r="I90" s="20"/>
      <c r="J90" s="200"/>
      <c r="K90" s="200"/>
      <c r="L90" s="200"/>
      <c r="M90" s="200"/>
      <c r="N90" s="200">
        <v>8.8099999999999998E-2</v>
      </c>
      <c r="O90" s="226">
        <f t="shared" si="9"/>
        <v>8.2158014969733462E-2</v>
      </c>
      <c r="P90" s="226">
        <f t="shared" si="9"/>
        <v>7.6616792551270699E-2</v>
      </c>
      <c r="Q90" s="226">
        <f t="shared" si="9"/>
        <v>7.1449302943930329E-2</v>
      </c>
      <c r="R90" s="226">
        <f t="shared" si="9"/>
        <v>6.6630339396645283E-2</v>
      </c>
      <c r="S90" s="226">
        <f t="shared" si="9"/>
        <v>6.2136395250715154E-2</v>
      </c>
      <c r="T90" s="226">
        <f t="shared" si="9"/>
        <v>5.7945549275522486E-2</v>
      </c>
      <c r="U90" s="226">
        <f t="shared" si="9"/>
        <v>5.4037358737886544E-2</v>
      </c>
      <c r="V90" s="226">
        <f t="shared" si="9"/>
        <v>5.0392759683452214E-2</v>
      </c>
      <c r="W90" s="226">
        <f t="shared" si="9"/>
        <v>4.6993973943691807E-2</v>
      </c>
      <c r="X90" s="226">
        <f t="shared" si="9"/>
        <v>4.3824422414904605E-2</v>
      </c>
      <c r="Y90" s="226">
        <f t="shared" si="9"/>
        <v>4.0868644186193591E-2</v>
      </c>
      <c r="Z90" s="226">
        <f t="shared" si="9"/>
        <v>3.8112221121929669E-2</v>
      </c>
      <c r="AA90" s="226">
        <f t="shared" si="9"/>
        <v>3.5541707530820546E-2</v>
      </c>
      <c r="AB90" s="226">
        <f t="shared" si="9"/>
        <v>3.3144564578513544E-2</v>
      </c>
      <c r="AC90" s="226">
        <f t="shared" si="9"/>
        <v>3.0909099123800379E-2</v>
      </c>
      <c r="AD90" s="226">
        <f t="shared" si="9"/>
        <v>2.8824406680070001E-2</v>
      </c>
      <c r="AE90" s="226">
        <f t="shared" si="7"/>
        <v>2.6880318223778395E-2</v>
      </c>
      <c r="AF90" s="226">
        <f t="shared" si="7"/>
        <v>2.5067350590469748E-2</v>
      </c>
      <c r="AG90" s="226">
        <f t="shared" si="7"/>
        <v>2.3376660216383321E-2</v>
      </c>
      <c r="AH90" s="227">
        <v>2.18E-2</v>
      </c>
      <c r="AI90" s="226">
        <f t="shared" si="10"/>
        <v>2.0329679073100904E-2</v>
      </c>
      <c r="AJ90" s="226">
        <f t="shared" si="10"/>
        <v>1.895852528510444E-2</v>
      </c>
      <c r="AK90" s="226">
        <f t="shared" si="10"/>
        <v>1.7679850217680829E-2</v>
      </c>
      <c r="AL90" s="226">
        <f t="shared" si="10"/>
        <v>1.6487416558988274E-2</v>
      </c>
      <c r="AM90" s="226">
        <f t="shared" si="10"/>
        <v>1.5375407678383543E-2</v>
      </c>
      <c r="AN90" s="226">
        <f t="shared" si="10"/>
        <v>1.4338399253193985E-2</v>
      </c>
      <c r="AO90" s="226">
        <f t="shared" si="10"/>
        <v>1.3371332809147861E-2</v>
      </c>
      <c r="AP90" s="226">
        <f t="shared" si="10"/>
        <v>1.2469491045394531E-2</v>
      </c>
      <c r="AQ90" s="226">
        <f t="shared" si="10"/>
        <v>1.1628474823751208E-2</v>
      </c>
      <c r="AR90" s="226">
        <f t="shared" si="10"/>
        <v>1.0844181709930992E-2</v>
      </c>
      <c r="AS90" s="226">
        <f t="shared" si="10"/>
        <v>1.0112785962077415E-2</v>
      </c>
      <c r="AT90" s="226">
        <f t="shared" si="10"/>
        <v>9.4307198689905416E-3</v>
      </c>
      <c r="AU90" s="226">
        <f t="shared" si="10"/>
        <v>8.7946563470134818E-3</v>
      </c>
      <c r="AV90" s="226">
        <f t="shared" si="10"/>
        <v>8.2014927106877997E-3</v>
      </c>
      <c r="AW90" s="226">
        <f t="shared" si="10"/>
        <v>7.6483355380118972E-3</v>
      </c>
      <c r="AX90" s="226">
        <f t="shared" si="10"/>
        <v>7.1324865564758901E-3</v>
      </c>
      <c r="AY90" s="226">
        <f t="shared" si="8"/>
        <v>6.6514294810257535E-3</v>
      </c>
      <c r="AZ90" s="226">
        <f t="shared" si="8"/>
        <v>6.2028177397530117E-3</v>
      </c>
      <c r="BA90" s="226">
        <f t="shared" si="8"/>
        <v>5.7844630274365072E-3</v>
      </c>
      <c r="BB90" s="226">
        <f t="shared" si="11"/>
        <v>5.3943246311010029E-3</v>
      </c>
      <c r="BC90" s="226">
        <f t="shared" si="11"/>
        <v>5.0304994755232483E-3</v>
      </c>
      <c r="BD90" s="226">
        <f t="shared" si="11"/>
        <v>4.6912128401279838E-3</v>
      </c>
      <c r="BE90" s="226">
        <f t="shared" si="11"/>
        <v>4.374809701991382E-3</v>
      </c>
    </row>
    <row r="91" spans="4:57" s="10" customFormat="1" x14ac:dyDescent="0.35">
      <c r="D91" s="169"/>
      <c r="E91" s="10" t="s">
        <v>621</v>
      </c>
      <c r="F91" s="10" t="s">
        <v>615</v>
      </c>
      <c r="G91" s="43" t="s">
        <v>616</v>
      </c>
      <c r="I91" s="20"/>
      <c r="J91" s="200"/>
      <c r="K91" s="200"/>
      <c r="L91" s="200"/>
      <c r="M91" s="200"/>
      <c r="N91" s="200">
        <v>8.5699999999999998E-2</v>
      </c>
      <c r="O91" s="226">
        <f t="shared" si="9"/>
        <v>7.9993457498275369E-2</v>
      </c>
      <c r="P91" s="226">
        <f t="shared" si="9"/>
        <v>7.4666898979327753E-2</v>
      </c>
      <c r="Q91" s="226">
        <f t="shared" si="9"/>
        <v>6.969502228740812E-2</v>
      </c>
      <c r="R91" s="226">
        <f t="shared" si="9"/>
        <v>6.5054210072218635E-2</v>
      </c>
      <c r="S91" s="226">
        <f t="shared" si="9"/>
        <v>6.0722417602052499E-2</v>
      </c>
      <c r="T91" s="226">
        <f t="shared" si="9"/>
        <v>5.6679068047168206E-2</v>
      </c>
      <c r="U91" s="226">
        <f t="shared" si="9"/>
        <v>5.2904954735974417E-2</v>
      </c>
      <c r="V91" s="226">
        <f t="shared" si="9"/>
        <v>4.9382149919724061E-2</v>
      </c>
      <c r="W91" s="226">
        <f t="shared" si="9"/>
        <v>4.6093919612332668E-2</v>
      </c>
      <c r="X91" s="226">
        <f t="shared" si="9"/>
        <v>4.302464410079411E-2</v>
      </c>
      <c r="Y91" s="226">
        <f t="shared" si="9"/>
        <v>4.0159743748603247E-2</v>
      </c>
      <c r="Z91" s="226">
        <f t="shared" si="9"/>
        <v>3.7485609739737739E-2</v>
      </c>
      <c r="AA91" s="226">
        <f t="shared" si="9"/>
        <v>3.4989539434219931E-2</v>
      </c>
      <c r="AB91" s="226">
        <f t="shared" si="9"/>
        <v>3.2659676028185557E-2</v>
      </c>
      <c r="AC91" s="226">
        <f t="shared" si="9"/>
        <v>3.0484952231833191E-2</v>
      </c>
      <c r="AD91" s="226">
        <f t="shared" si="9"/>
        <v>2.845503769771416E-2</v>
      </c>
      <c r="AE91" s="226">
        <f t="shared" si="7"/>
        <v>2.6560289949637356E-2</v>
      </c>
      <c r="AF91" s="226">
        <f t="shared" si="7"/>
        <v>2.4791708579092023E-2</v>
      </c>
      <c r="AG91" s="226">
        <f t="shared" si="7"/>
        <v>2.3140892491612913E-2</v>
      </c>
      <c r="AH91" s="227">
        <v>2.1600000000000001E-2</v>
      </c>
      <c r="AI91" s="226">
        <f t="shared" si="10"/>
        <v>2.0161711574827868E-2</v>
      </c>
      <c r="AJ91" s="226">
        <f t="shared" si="10"/>
        <v>1.881919507530315E-2</v>
      </c>
      <c r="AK91" s="226">
        <f t="shared" si="10"/>
        <v>1.7566073295309403E-2</v>
      </c>
      <c r="AL91" s="226">
        <f t="shared" si="10"/>
        <v>1.6396393670477512E-2</v>
      </c>
      <c r="AM91" s="226">
        <f t="shared" si="10"/>
        <v>1.5304600002384297E-2</v>
      </c>
      <c r="AN91" s="226">
        <f t="shared" si="10"/>
        <v>1.4285506065563985E-2</v>
      </c>
      <c r="AO91" s="226">
        <f t="shared" si="10"/>
        <v>1.3334270971960884E-2</v>
      </c>
      <c r="AP91" s="226">
        <f t="shared" si="10"/>
        <v>1.2446376175799767E-2</v>
      </c>
      <c r="AQ91" s="226">
        <f t="shared" si="10"/>
        <v>1.1617604009642776E-2</v>
      </c>
      <c r="AR91" s="226">
        <f t="shared" si="10"/>
        <v>1.0844017649675065E-2</v>
      </c>
      <c r="AS91" s="226">
        <f t="shared" si="10"/>
        <v>1.0121942415050529E-2</v>
      </c>
      <c r="AT91" s="226">
        <f t="shared" si="10"/>
        <v>9.44794831246599E-3</v>
      </c>
      <c r="AU91" s="226">
        <f t="shared" si="10"/>
        <v>8.818833743047266E-3</v>
      </c>
      <c r="AV91" s="226">
        <f t="shared" si="10"/>
        <v>8.2316102941517883E-3</v>
      </c>
      <c r="AW91" s="226">
        <f t="shared" si="10"/>
        <v>7.683488543845941E-3</v>
      </c>
      <c r="AX91" s="226">
        <f t="shared" si="10"/>
        <v>7.171864810625741E-3</v>
      </c>
      <c r="AY91" s="226">
        <f t="shared" si="8"/>
        <v>6.6943087854395211E-3</v>
      </c>
      <c r="AZ91" s="226">
        <f t="shared" si="8"/>
        <v>6.2485519872624009E-3</v>
      </c>
      <c r="BA91" s="226">
        <f t="shared" si="8"/>
        <v>5.8324769873843527E-3</v>
      </c>
      <c r="BB91" s="226">
        <f t="shared" si="11"/>
        <v>5.4441073512251975E-3</v>
      </c>
      <c r="BC91" s="226">
        <f t="shared" si="11"/>
        <v>5.0815982498982658E-3</v>
      </c>
      <c r="BD91" s="226">
        <f t="shared" si="11"/>
        <v>4.7432276969258747E-3</v>
      </c>
      <c r="BE91" s="226">
        <f t="shared" si="11"/>
        <v>4.4273883684793763E-3</v>
      </c>
    </row>
    <row r="92" spans="4:57" s="10" customFormat="1" x14ac:dyDescent="0.35">
      <c r="D92" s="169"/>
      <c r="E92" s="10" t="s">
        <v>622</v>
      </c>
      <c r="F92" s="10" t="s">
        <v>615</v>
      </c>
      <c r="G92" s="43" t="s">
        <v>616</v>
      </c>
      <c r="I92" s="20"/>
      <c r="J92" s="200"/>
      <c r="K92" s="200"/>
      <c r="L92" s="200"/>
      <c r="M92" s="200"/>
      <c r="N92" s="200">
        <v>8.3299999999999999E-2</v>
      </c>
      <c r="O92" s="226">
        <f t="shared" si="9"/>
        <v>7.7827564491795592E-2</v>
      </c>
      <c r="P92" s="226">
        <f t="shared" si="9"/>
        <v>7.2714643394052841E-2</v>
      </c>
      <c r="Q92" s="226">
        <f t="shared" si="9"/>
        <v>6.7937618226273297E-2</v>
      </c>
      <c r="R92" s="226">
        <f t="shared" si="9"/>
        <v>6.3474422135945646E-2</v>
      </c>
      <c r="S92" s="226">
        <f t="shared" si="9"/>
        <v>5.9304437963562634E-2</v>
      </c>
      <c r="T92" s="226">
        <f t="shared" si="9"/>
        <v>5.5408403004308063E-2</v>
      </c>
      <c r="U92" s="226">
        <f t="shared" si="9"/>
        <v>5.1768320026472824E-2</v>
      </c>
      <c r="V92" s="226">
        <f t="shared" si="9"/>
        <v>4.8367374135560942E-2</v>
      </c>
      <c r="W92" s="226">
        <f t="shared" si="9"/>
        <v>4.5189855100050122E-2</v>
      </c>
      <c r="X92" s="226">
        <f t="shared" si="9"/>
        <v>4.2221084780000584E-2</v>
      </c>
      <c r="Y92" s="226">
        <f t="shared" si="9"/>
        <v>3.9447349323278084E-2</v>
      </c>
      <c r="Z92" s="226">
        <f t="shared" si="9"/>
        <v>3.6855835816180245E-2</v>
      </c>
      <c r="AA92" s="226">
        <f t="shared" si="9"/>
        <v>3.4434573095831908E-2</v>
      </c>
      <c r="AB92" s="226">
        <f t="shared" si="9"/>
        <v>3.2172376450940059E-2</v>
      </c>
      <c r="AC92" s="226">
        <f t="shared" si="9"/>
        <v>3.005879595546054E-2</v>
      </c>
      <c r="AD92" s="226">
        <f t="shared" si="9"/>
        <v>2.8084068196510558E-2</v>
      </c>
      <c r="AE92" s="226">
        <f t="shared" si="7"/>
        <v>2.6239071173540348E-2</v>
      </c>
      <c r="AF92" s="226">
        <f t="shared" si="7"/>
        <v>2.4515282160426484E-2</v>
      </c>
      <c r="AG92" s="226">
        <f t="shared" si="7"/>
        <v>2.2904738335836231E-2</v>
      </c>
      <c r="AH92" s="227">
        <v>2.1399999999999999E-2</v>
      </c>
      <c r="AI92" s="226">
        <f t="shared" si="10"/>
        <v>1.9994116207976295E-2</v>
      </c>
      <c r="AJ92" s="226">
        <f t="shared" si="10"/>
        <v>1.8680592660657028E-2</v>
      </c>
      <c r="AK92" s="226">
        <f t="shared" si="10"/>
        <v>1.7453361705189054E-2</v>
      </c>
      <c r="AL92" s="226">
        <f t="shared" si="10"/>
        <v>1.630675430623333E-2</v>
      </c>
      <c r="AM92" s="226">
        <f t="shared" si="10"/>
        <v>1.5235473858586314E-2</v>
      </c>
      <c r="AN92" s="226">
        <f t="shared" si="10"/>
        <v>1.4234571720194383E-2</v>
      </c>
      <c r="AO92" s="226">
        <f t="shared" si="10"/>
        <v>1.3299424352539231E-2</v>
      </c>
      <c r="AP92" s="226">
        <f t="shared" si="10"/>
        <v>1.2425711962797164E-2</v>
      </c>
      <c r="AQ92" s="226">
        <f t="shared" si="10"/>
        <v>1.1609398549112512E-2</v>
      </c>
      <c r="AR92" s="226">
        <f t="shared" si="10"/>
        <v>1.0846713256806868E-2</v>
      </c>
      <c r="AS92" s="226">
        <f t="shared" si="10"/>
        <v>1.0134132959401569E-2</v>
      </c>
      <c r="AT92" s="226">
        <f t="shared" si="10"/>
        <v>9.4683659839886782E-3</v>
      </c>
      <c r="AU92" s="226">
        <f t="shared" si="10"/>
        <v>8.8463369057719381E-3</v>
      </c>
      <c r="AV92" s="226">
        <f t="shared" si="10"/>
        <v>8.2651723415380178E-3</v>
      </c>
      <c r="AW92" s="226">
        <f t="shared" si="10"/>
        <v>7.7221876764328361E-3</v>
      </c>
      <c r="AX92" s="226">
        <f t="shared" si="10"/>
        <v>7.2148746627289997E-3</v>
      </c>
      <c r="AY92" s="226">
        <f t="shared" si="8"/>
        <v>6.740889833298477E-3</v>
      </c>
      <c r="AZ92" s="226">
        <f t="shared" si="8"/>
        <v>6.2980436762680248E-3</v>
      </c>
      <c r="BA92" s="226">
        <f t="shared" si="8"/>
        <v>5.8842905208510814E-3</v>
      </c>
      <c r="BB92" s="226">
        <f t="shared" si="11"/>
        <v>5.4977190876350415E-3</v>
      </c>
      <c r="BC92" s="226">
        <f t="shared" si="11"/>
        <v>5.1365436596721705E-3</v>
      </c>
      <c r="BD92" s="226">
        <f t="shared" si="11"/>
        <v>4.7990958335901506E-3</v>
      </c>
      <c r="BE92" s="226">
        <f t="shared" si="11"/>
        <v>4.4838168126175868E-3</v>
      </c>
    </row>
    <row r="93" spans="4:57" s="10" customFormat="1" x14ac:dyDescent="0.35">
      <c r="D93" s="169"/>
      <c r="E93" s="109" t="s">
        <v>623</v>
      </c>
      <c r="F93" s="10" t="s">
        <v>615</v>
      </c>
      <c r="G93" s="43" t="s">
        <v>616</v>
      </c>
      <c r="I93" s="20"/>
      <c r="J93" s="200"/>
      <c r="K93" s="200"/>
      <c r="L93" s="200"/>
      <c r="M93" s="200"/>
      <c r="N93" s="200">
        <v>8.0399999999999999E-2</v>
      </c>
      <c r="O93" s="226">
        <f t="shared" si="9"/>
        <v>7.5108070859540896E-2</v>
      </c>
      <c r="P93" s="226">
        <f t="shared" si="9"/>
        <v>7.0164456570171854E-2</v>
      </c>
      <c r="Q93" s="226">
        <f t="shared" si="9"/>
        <v>6.5546231043453335E-2</v>
      </c>
      <c r="R93" s="226">
        <f t="shared" si="9"/>
        <v>6.1231977186412101E-2</v>
      </c>
      <c r="S93" s="226">
        <f t="shared" si="9"/>
        <v>5.7201687579438207E-2</v>
      </c>
      <c r="T93" s="226">
        <f t="shared" si="9"/>
        <v>5.3436671691564248E-2</v>
      </c>
      <c r="U93" s="226">
        <f t="shared" si="9"/>
        <v>4.9919469202836207E-2</v>
      </c>
      <c r="V93" s="226">
        <f t="shared" si="9"/>
        <v>4.6633769031807111E-2</v>
      </c>
      <c r="W93" s="226">
        <f t="shared" si="9"/>
        <v>4.3564333692642197E-2</v>
      </c>
      <c r="X93" s="226">
        <f t="shared" si="9"/>
        <v>4.0696928631040491E-2</v>
      </c>
      <c r="Y93" s="226">
        <f t="shared" si="9"/>
        <v>3.8018256211267018E-2</v>
      </c>
      <c r="Z93" s="226">
        <f t="shared" si="9"/>
        <v>3.5515894048159503E-2</v>
      </c>
      <c r="AA93" s="226">
        <f t="shared" si="9"/>
        <v>3.317823739812327E-2</v>
      </c>
      <c r="AB93" s="226">
        <f t="shared" si="9"/>
        <v>3.099444534195165E-2</v>
      </c>
      <c r="AC93" s="226">
        <f t="shared" si="9"/>
        <v>2.8954390509893929E-2</v>
      </c>
      <c r="AD93" s="226">
        <f t="shared" si="9"/>
        <v>2.7048612115820048E-2</v>
      </c>
      <c r="AE93" s="226">
        <f t="shared" si="7"/>
        <v>2.5268272082677224E-2</v>
      </c>
      <c r="AF93" s="226">
        <f t="shared" si="7"/>
        <v>2.3605114055769653E-2</v>
      </c>
      <c r="AG93" s="226">
        <f t="shared" si="7"/>
        <v>2.2051425113784728E-2</v>
      </c>
      <c r="AH93" s="227">
        <v>2.06E-2</v>
      </c>
      <c r="AI93" s="226">
        <f t="shared" si="10"/>
        <v>1.9244107707792817E-2</v>
      </c>
      <c r="AJ93" s="226">
        <f t="shared" si="10"/>
        <v>1.7977460265491792E-2</v>
      </c>
      <c r="AK93" s="226">
        <f t="shared" si="10"/>
        <v>1.6794183575810182E-2</v>
      </c>
      <c r="AL93" s="226">
        <f t="shared" si="10"/>
        <v>1.5688790174627973E-2</v>
      </c>
      <c r="AM93" s="226">
        <f t="shared" si="10"/>
        <v>1.4656153782791378E-2</v>
      </c>
      <c r="AN93" s="226">
        <f t="shared" si="10"/>
        <v>1.3691485532913225E-2</v>
      </c>
      <c r="AO93" s="226">
        <f t="shared" si="10"/>
        <v>1.2790311760925693E-2</v>
      </c>
      <c r="AP93" s="226">
        <f t="shared" si="10"/>
        <v>1.1948453259393362E-2</v>
      </c>
      <c r="AQ93" s="226">
        <f t="shared" si="10"/>
        <v>1.1162005896373497E-2</v>
      </c>
      <c r="AR93" s="226">
        <f t="shared" si="10"/>
        <v>1.0427322509943208E-2</v>
      </c>
      <c r="AS93" s="226">
        <f t="shared" si="10"/>
        <v>9.7409959944291091E-3</v>
      </c>
      <c r="AT93" s="226">
        <f t="shared" si="10"/>
        <v>9.0998434999015627E-3</v>
      </c>
      <c r="AU93" s="226">
        <f t="shared" si="10"/>
        <v>8.5008916716584476E-3</v>
      </c>
      <c r="AV93" s="226">
        <f t="shared" si="10"/>
        <v>7.941362861246316E-3</v>
      </c>
      <c r="AW93" s="226">
        <f t="shared" si="10"/>
        <v>7.418662245072323E-3</v>
      </c>
      <c r="AX93" s="226">
        <f t="shared" si="10"/>
        <v>6.9303657908693136E-3</v>
      </c>
      <c r="AY93" s="226">
        <f t="shared" si="8"/>
        <v>6.474209016208341E-3</v>
      </c>
      <c r="AZ93" s="226">
        <f t="shared" si="8"/>
        <v>6.0480764869260527E-3</v>
      </c>
      <c r="BA93" s="226">
        <f t="shared" si="8"/>
        <v>5.6499920067657359E-3</v>
      </c>
      <c r="BB93" s="226">
        <f t="shared" si="11"/>
        <v>5.2781094527363254E-3</v>
      </c>
      <c r="BC93" s="226">
        <f t="shared" si="11"/>
        <v>4.9307042136882166E-3</v>
      </c>
      <c r="BD93" s="226">
        <f t="shared" si="11"/>
        <v>4.606165192402133E-3</v>
      </c>
      <c r="BE93" s="226">
        <f t="shared" si="11"/>
        <v>4.3029873341006251E-3</v>
      </c>
    </row>
    <row r="94" spans="4:57" s="10" customFormat="1" x14ac:dyDescent="0.35">
      <c r="D94" s="168"/>
      <c r="E94" s="109" t="s">
        <v>624</v>
      </c>
      <c r="F94" s="10" t="s">
        <v>615</v>
      </c>
      <c r="G94" s="43" t="s">
        <v>616</v>
      </c>
      <c r="I94" s="20"/>
      <c r="J94" s="200"/>
      <c r="K94" s="200"/>
      <c r="L94" s="200"/>
      <c r="M94" s="200"/>
      <c r="N94" s="200">
        <v>7.7499999999999999E-2</v>
      </c>
      <c r="O94" s="226">
        <f t="shared" si="9"/>
        <v>7.2406786133716122E-2</v>
      </c>
      <c r="P94" s="226">
        <f t="shared" si="9"/>
        <v>6.7648292622112333E-2</v>
      </c>
      <c r="Q94" s="226">
        <f t="shared" si="9"/>
        <v>6.3202522015488177E-2</v>
      </c>
      <c r="R94" s="226">
        <f t="shared" si="9"/>
        <v>5.9048922512089513E-2</v>
      </c>
      <c r="S94" s="226">
        <f t="shared" si="9"/>
        <v>5.5168292951732138E-2</v>
      </c>
      <c r="T94" s="226">
        <f t="shared" si="9"/>
        <v>5.1542694053138938E-2</v>
      </c>
      <c r="U94" s="226">
        <f t="shared" si="9"/>
        <v>4.8155365484660553E-2</v>
      </c>
      <c r="V94" s="226">
        <f t="shared" si="9"/>
        <v>4.4990648385016152E-2</v>
      </c>
      <c r="W94" s="226">
        <f t="shared" si="9"/>
        <v>4.203391297588497E-2</v>
      </c>
      <c r="X94" s="226">
        <f t="shared" si="9"/>
        <v>3.927149093171791E-2</v>
      </c>
      <c r="Y94" s="226">
        <f t="shared" si="9"/>
        <v>3.6690612194129946E-2</v>
      </c>
      <c r="Z94" s="226">
        <f t="shared" si="9"/>
        <v>3.4279345938780438E-2</v>
      </c>
      <c r="AA94" s="226">
        <f t="shared" si="9"/>
        <v>3.2026545421844459E-2</v>
      </c>
      <c r="AB94" s="226">
        <f t="shared" si="9"/>
        <v>2.9921796451112734E-2</v>
      </c>
      <c r="AC94" s="226">
        <f t="shared" si="9"/>
        <v>2.7955369243513623E-2</v>
      </c>
      <c r="AD94" s="226">
        <f t="shared" si="9"/>
        <v>2.6118173446505244E-2</v>
      </c>
      <c r="AE94" s="226">
        <f t="shared" si="7"/>
        <v>2.4401716115411722E-2</v>
      </c>
      <c r="AF94" s="226">
        <f t="shared" si="7"/>
        <v>2.2798062452442203E-2</v>
      </c>
      <c r="AG94" s="226">
        <f t="shared" si="7"/>
        <v>2.1299799125897887E-2</v>
      </c>
      <c r="AH94" s="227">
        <v>1.9900000000000001E-2</v>
      </c>
      <c r="AI94" s="226">
        <f t="shared" si="10"/>
        <v>1.8592194116915498E-2</v>
      </c>
      <c r="AJ94" s="226">
        <f t="shared" si="10"/>
        <v>1.7370335782968201E-2</v>
      </c>
      <c r="AK94" s="226">
        <f t="shared" si="10"/>
        <v>1.6228776620751159E-2</v>
      </c>
      <c r="AL94" s="226">
        <f t="shared" si="10"/>
        <v>1.5162239457942987E-2</v>
      </c>
      <c r="AM94" s="226">
        <f t="shared" si="10"/>
        <v>1.416579393212219E-2</v>
      </c>
      <c r="AN94" s="226">
        <f t="shared" si="10"/>
        <v>1.3234833698805999E-2</v>
      </c>
      <c r="AO94" s="226">
        <f t="shared" si="10"/>
        <v>1.236505513735155E-2</v>
      </c>
      <c r="AP94" s="226">
        <f t="shared" si="10"/>
        <v>1.1552437456281569E-2</v>
      </c>
      <c r="AQ94" s="226">
        <f t="shared" si="10"/>
        <v>1.0793224106065948E-2</v>
      </c>
      <c r="AR94" s="226">
        <f t="shared" si="10"/>
        <v>1.0083905413434664E-2</v>
      </c>
      <c r="AS94" s="226">
        <f t="shared" si="10"/>
        <v>9.4212023569443352E-3</v>
      </c>
      <c r="AT94" s="226">
        <f t="shared" si="10"/>
        <v>8.8020514087965261E-3</v>
      </c>
      <c r="AU94" s="226">
        <f t="shared" si="10"/>
        <v>8.2235903728348995E-3</v>
      </c>
      <c r="AV94" s="226">
        <f t="shared" si="10"/>
        <v>7.6831451532534635E-3</v>
      </c>
      <c r="AW94" s="226">
        <f t="shared" si="10"/>
        <v>7.1782173928505947E-3</v>
      </c>
      <c r="AX94" s="226">
        <f t="shared" si="10"/>
        <v>6.7064729236832816E-3</v>
      </c>
      <c r="AY94" s="226">
        <f t="shared" si="8"/>
        <v>6.2657309767315261E-3</v>
      </c>
      <c r="AZ94" s="226">
        <f t="shared" si="8"/>
        <v>5.8539541006916111E-3</v>
      </c>
      <c r="BA94" s="226">
        <f t="shared" si="8"/>
        <v>5.4692387432950709E-3</v>
      </c>
      <c r="BB94" s="226">
        <f t="shared" si="11"/>
        <v>5.10980645161291E-3</v>
      </c>
      <c r="BC94" s="226">
        <f t="shared" si="11"/>
        <v>4.7739956506660493E-3</v>
      </c>
      <c r="BD94" s="226">
        <f t="shared" si="11"/>
        <v>4.4602539623363555E-3</v>
      </c>
      <c r="BE94" s="226">
        <f t="shared" si="11"/>
        <v>4.1671310290703019E-3</v>
      </c>
    </row>
    <row r="95" spans="4:57" s="10" customFormat="1" x14ac:dyDescent="0.35">
      <c r="D95" s="169"/>
      <c r="E95" s="109" t="s">
        <v>625</v>
      </c>
      <c r="F95" s="10" t="s">
        <v>615</v>
      </c>
      <c r="G95" s="43" t="s">
        <v>616</v>
      </c>
      <c r="I95" s="20"/>
      <c r="J95" s="200"/>
      <c r="K95" s="200"/>
      <c r="L95" s="200"/>
      <c r="M95" s="200"/>
      <c r="N95" s="200">
        <v>7.4800000000000005E-2</v>
      </c>
      <c r="O95" s="226">
        <f t="shared" si="9"/>
        <v>6.9883006261540148E-2</v>
      </c>
      <c r="P95" s="226">
        <f t="shared" si="9"/>
        <v>6.5289232141048925E-2</v>
      </c>
      <c r="Q95" s="226">
        <f t="shared" si="9"/>
        <v>6.099743072893142E-2</v>
      </c>
      <c r="R95" s="226">
        <f t="shared" si="9"/>
        <v>5.6987751785665453E-2</v>
      </c>
      <c r="S95" s="226">
        <f t="shared" si="9"/>
        <v>5.3241649931400459E-2</v>
      </c>
      <c r="T95" s="226">
        <f t="shared" si="9"/>
        <v>4.9741798870732441E-2</v>
      </c>
      <c r="U95" s="226">
        <f t="shared" si="9"/>
        <v>4.647201125593136E-2</v>
      </c>
      <c r="V95" s="226">
        <f t="shared" si="9"/>
        <v>4.341716381797614E-2</v>
      </c>
      <c r="W95" s="226">
        <f t="shared" si="9"/>
        <v>4.0563127419116857E-2</v>
      </c>
      <c r="X95" s="226">
        <f t="shared" si="9"/>
        <v>3.7896701703446445E-2</v>
      </c>
      <c r="Y95" s="226">
        <f t="shared" si="9"/>
        <v>3.5405554043230841E-2</v>
      </c>
      <c r="Z95" s="226">
        <f t="shared" si="9"/>
        <v>3.3078162498614956E-2</v>
      </c>
      <c r="AA95" s="226">
        <f t="shared" si="9"/>
        <v>3.0903762526884378E-2</v>
      </c>
      <c r="AB95" s="226">
        <f t="shared" si="9"/>
        <v>2.8872297194804955E-2</v>
      </c>
      <c r="AC95" s="226">
        <f t="shared" si="9"/>
        <v>2.6974370663764742E-2</v>
      </c>
      <c r="AD95" s="226">
        <f t="shared" si="9"/>
        <v>2.5201204732579897E-2</v>
      </c>
      <c r="AE95" s="226">
        <f t="shared" si="7"/>
        <v>2.3544598236968396E-2</v>
      </c>
      <c r="AF95" s="226">
        <f t="shared" si="7"/>
        <v>2.199688911790788E-2</v>
      </c>
      <c r="AG95" s="226">
        <f t="shared" si="7"/>
        <v>2.0550918983437978E-2</v>
      </c>
      <c r="AH95" s="227">
        <v>1.9199999999999998E-2</v>
      </c>
      <c r="AI95" s="226">
        <f t="shared" si="10"/>
        <v>1.7937883960181426E-2</v>
      </c>
      <c r="AJ95" s="226">
        <f t="shared" si="10"/>
        <v>1.675873338379865E-2</v>
      </c>
      <c r="AK95" s="226">
        <f t="shared" si="10"/>
        <v>1.5657094518656191E-2</v>
      </c>
      <c r="AL95" s="226">
        <f t="shared" si="10"/>
        <v>1.4627872116106637E-2</v>
      </c>
      <c r="AM95" s="226">
        <f t="shared" si="10"/>
        <v>1.36663058647445E-2</v>
      </c>
      <c r="AN95" s="226">
        <f t="shared" si="10"/>
        <v>1.2767948373236132E-2</v>
      </c>
      <c r="AO95" s="226">
        <f t="shared" si="10"/>
        <v>1.1928644600452967E-2</v>
      </c>
      <c r="AP95" s="226">
        <f t="shared" si="10"/>
        <v>1.1144512637769275E-2</v>
      </c>
      <c r="AQ95" s="226">
        <f t="shared" si="10"/>
        <v>1.0411925754639621E-2</v>
      </c>
      <c r="AR95" s="226">
        <f t="shared" si="10"/>
        <v>9.7274956244140596E-3</v>
      </c>
      <c r="AS95" s="226">
        <f t="shared" si="10"/>
        <v>9.088056652807916E-3</v>
      </c>
      <c r="AT95" s="226">
        <f t="shared" si="10"/>
        <v>8.490651336542877E-3</v>
      </c>
      <c r="AU95" s="226">
        <f t="shared" si="10"/>
        <v>7.9325165844409094E-3</v>
      </c>
      <c r="AV95" s="226">
        <f t="shared" si="10"/>
        <v>7.4110709377039454E-3</v>
      </c>
      <c r="AW95" s="226">
        <f t="shared" si="10"/>
        <v>6.9239026302711634E-3</v>
      </c>
      <c r="AX95" s="226">
        <f t="shared" si="10"/>
        <v>6.4687584340312031E-3</v>
      </c>
      <c r="AY95" s="226">
        <f t="shared" si="8"/>
        <v>6.0435332372967008E-3</v>
      </c>
      <c r="AZ95" s="226">
        <f t="shared" si="8"/>
        <v>5.6462603083399909E-3</v>
      </c>
      <c r="BA95" s="226">
        <f t="shared" si="8"/>
        <v>5.2751021989573422E-3</v>
      </c>
      <c r="BB95" s="226">
        <f t="shared" si="11"/>
        <v>4.9283422459893067E-3</v>
      </c>
      <c r="BC95" s="226">
        <f t="shared" si="11"/>
        <v>4.6043766314904219E-3</v>
      </c>
      <c r="BD95" s="226">
        <f t="shared" si="11"/>
        <v>4.3017069648253244E-3</v>
      </c>
      <c r="BE95" s="226">
        <f t="shared" si="11"/>
        <v>4.01893335238234E-3</v>
      </c>
    </row>
    <row r="96" spans="4:57" s="10" customFormat="1" x14ac:dyDescent="0.35">
      <c r="D96" s="169"/>
      <c r="E96" s="10" t="s">
        <v>626</v>
      </c>
      <c r="F96" s="10" t="s">
        <v>615</v>
      </c>
      <c r="G96" s="43" t="s">
        <v>616</v>
      </c>
      <c r="I96" s="20"/>
      <c r="J96" s="200"/>
      <c r="K96" s="200"/>
      <c r="L96" s="200"/>
      <c r="M96" s="200"/>
      <c r="N96" s="200">
        <v>7.2099999999999997E-2</v>
      </c>
      <c r="O96" s="226">
        <f t="shared" si="9"/>
        <v>6.7359225953611684E-2</v>
      </c>
      <c r="P96" s="226">
        <f t="shared" si="9"/>
        <v>6.2930170888622947E-2</v>
      </c>
      <c r="Q96" s="226">
        <f t="shared" si="9"/>
        <v>5.8792338421444511E-2</v>
      </c>
      <c r="R96" s="226">
        <f t="shared" si="9"/>
        <v>5.4926579862292463E-2</v>
      </c>
      <c r="S96" s="226">
        <f t="shared" si="9"/>
        <v>5.1315005600599935E-2</v>
      </c>
      <c r="T96" s="226">
        <f t="shared" si="9"/>
        <v>4.7940902317082666E-2</v>
      </c>
      <c r="U96" s="226">
        <f t="shared" si="9"/>
        <v>4.4788655639339772E-2</v>
      </c>
      <c r="V96" s="226">
        <f t="shared" si="9"/>
        <v>4.18436778830623E-2</v>
      </c>
      <c r="W96" s="226">
        <f t="shared" si="9"/>
        <v>3.909234054445683E-2</v>
      </c>
      <c r="X96" s="226">
        <f t="shared" si="9"/>
        <v>3.6521911231478542E-2</v>
      </c>
      <c r="Y96" s="226">
        <f t="shared" si="9"/>
        <v>3.4120494742009871E-2</v>
      </c>
      <c r="Z96" s="226">
        <f t="shared" si="9"/>
        <v>3.1876978016311543E-2</v>
      </c>
      <c r="AA96" s="226">
        <f t="shared" si="9"/>
        <v>2.9780978709001964E-2</v>
      </c>
      <c r="AB96" s="226">
        <f t="shared" si="9"/>
        <v>2.7822797142570903E-2</v>
      </c>
      <c r="AC96" s="226">
        <f t="shared" si="9"/>
        <v>2.5993371420082317E-2</v>
      </c>
      <c r="AD96" s="226">
        <f t="shared" si="9"/>
        <v>2.4284235489340875E-2</v>
      </c>
      <c r="AE96" s="226">
        <f t="shared" si="7"/>
        <v>2.2687479964455311E-2</v>
      </c>
      <c r="AF96" s="226">
        <f t="shared" si="7"/>
        <v>2.1195715523492139E-2</v>
      </c>
      <c r="AG96" s="226">
        <f t="shared" si="7"/>
        <v>1.9802038712834698E-2</v>
      </c>
      <c r="AH96" s="227">
        <v>1.8499999999999999E-2</v>
      </c>
      <c r="AI96" s="226">
        <f t="shared" si="10"/>
        <v>1.7283573927070958E-2</v>
      </c>
      <c r="AJ96" s="226">
        <f t="shared" si="10"/>
        <v>1.6147131226623083E-2</v>
      </c>
      <c r="AK96" s="226">
        <f t="shared" si="10"/>
        <v>1.5085412771105733E-2</v>
      </c>
      <c r="AL96" s="226">
        <f t="shared" si="10"/>
        <v>1.4093505235123585E-2</v>
      </c>
      <c r="AM96" s="226">
        <f t="shared" si="10"/>
        <v>1.3166818357990273E-2</v>
      </c>
      <c r="AN96" s="226">
        <f t="shared" si="10"/>
        <v>1.2301063701331889E-2</v>
      </c>
      <c r="AO96" s="226">
        <f t="shared" si="10"/>
        <v>1.1492234803436694E-2</v>
      </c>
      <c r="AP96" s="226">
        <f t="shared" si="10"/>
        <v>1.0736588638511129E-2</v>
      </c>
      <c r="AQ96" s="226">
        <f t="shared" si="10"/>
        <v>1.0030628295040932E-2</v>
      </c>
      <c r="AR96" s="226">
        <f t="shared" si="10"/>
        <v>9.3710867930978207E-3</v>
      </c>
      <c r="AS96" s="226">
        <f t="shared" si="10"/>
        <v>8.7549119657029471E-3</v>
      </c>
      <c r="AT96" s="226">
        <f t="shared" si="10"/>
        <v>8.179252334282433E-3</v>
      </c>
      <c r="AU96" s="226">
        <f t="shared" si="10"/>
        <v>7.6414439128507103E-3</v>
      </c>
      <c r="AV96" s="226">
        <f t="shared" si="10"/>
        <v>7.1389978798552236E-3</v>
      </c>
      <c r="AW96" s="226">
        <f t="shared" si="10"/>
        <v>6.6695890606313837E-3</v>
      </c>
      <c r="AX96" s="226">
        <f t="shared" si="10"/>
        <v>6.2310451671679073E-3</v>
      </c>
      <c r="AY96" s="226">
        <f t="shared" si="8"/>
        <v>5.8213367453872839E-3</v>
      </c>
      <c r="AZ96" s="226">
        <f t="shared" si="8"/>
        <v>5.4385677834203122E-3</v>
      </c>
      <c r="BA96" s="226">
        <f t="shared" si="8"/>
        <v>5.0809669374125089E-3</v>
      </c>
      <c r="BB96" s="226">
        <f t="shared" si="11"/>
        <v>4.7468793342579684E-3</v>
      </c>
      <c r="BC96" s="226">
        <f t="shared" si="11"/>
        <v>4.434758913326107E-3</v>
      </c>
      <c r="BD96" s="226">
        <f t="shared" si="11"/>
        <v>4.1431612717410075E-3</v>
      </c>
      <c r="BE96" s="226">
        <f t="shared" si="11"/>
        <v>3.8707369801034073E-3</v>
      </c>
    </row>
    <row r="97" spans="5:57" s="10" customFormat="1" x14ac:dyDescent="0.35">
      <c r="E97" s="10" t="s">
        <v>627</v>
      </c>
      <c r="F97" s="10" t="s">
        <v>615</v>
      </c>
      <c r="G97" s="43" t="s">
        <v>616</v>
      </c>
      <c r="I97" s="20"/>
      <c r="J97" s="200"/>
      <c r="K97" s="200"/>
      <c r="L97" s="200"/>
      <c r="M97" s="200"/>
      <c r="N97" s="200">
        <v>6.9599999999999995E-2</v>
      </c>
      <c r="O97" s="226">
        <f t="shared" si="9"/>
        <v>6.5012935763283944E-2</v>
      </c>
      <c r="P97" s="226">
        <f t="shared" si="9"/>
        <v>6.0728187019552946E-2</v>
      </c>
      <c r="Q97" s="226">
        <f t="shared" si="9"/>
        <v>5.6725829335098996E-2</v>
      </c>
      <c r="R97" s="226">
        <f t="shared" si="9"/>
        <v>5.2987251417841948E-2</v>
      </c>
      <c r="S97" s="226">
        <f t="shared" si="9"/>
        <v>4.9495068573292174E-2</v>
      </c>
      <c r="T97" s="226">
        <f t="shared" si="9"/>
        <v>4.6233041864292793E-2</v>
      </c>
      <c r="U97" s="226">
        <f t="shared" si="9"/>
        <v>4.3186002598627662E-2</v>
      </c>
      <c r="V97" s="226">
        <f t="shared" si="9"/>
        <v>4.033978179335624E-2</v>
      </c>
      <c r="W97" s="226">
        <f t="shared" si="9"/>
        <v>3.7681144287878748E-2</v>
      </c>
      <c r="X97" s="226">
        <f t="shared" si="9"/>
        <v>3.5197727199351943E-2</v>
      </c>
      <c r="Y97" s="226">
        <f t="shared" si="9"/>
        <v>3.2877982434268108E-2</v>
      </c>
      <c r="Z97" s="226">
        <f t="shared" si="9"/>
        <v>3.0711122988871419E-2</v>
      </c>
      <c r="AA97" s="226">
        <f t="shared" si="9"/>
        <v>2.8687072788704176E-2</v>
      </c>
      <c r="AB97" s="226">
        <f t="shared" si="9"/>
        <v>2.6796419834032695E-2</v>
      </c>
      <c r="AC97" s="226">
        <f t="shared" si="9"/>
        <v>2.5030372433275227E-2</v>
      </c>
      <c r="AD97" s="226">
        <f t="shared" si="9"/>
        <v>2.3380718320913731E-2</v>
      </c>
      <c r="AE97" s="226">
        <f t="shared" si="7"/>
        <v>2.1839786469784492E-2</v>
      </c>
      <c r="AF97" s="226">
        <f t="shared" si="7"/>
        <v>2.0400411420171512E-2</v>
      </c>
      <c r="AG97" s="226">
        <f t="shared" si="7"/>
        <v>1.9055899959830098E-2</v>
      </c>
      <c r="AH97" s="227">
        <v>1.78E-2</v>
      </c>
      <c r="AI97" s="226">
        <f t="shared" si="10"/>
        <v>1.6626871502678942E-2</v>
      </c>
      <c r="AJ97" s="226">
        <f t="shared" si="10"/>
        <v>1.553105932396613E-2</v>
      </c>
      <c r="AK97" s="226">
        <f t="shared" si="10"/>
        <v>1.4507467847194861E-2</v>
      </c>
      <c r="AL97" s="226">
        <f t="shared" si="10"/>
        <v>1.3551337287896363E-2</v>
      </c>
      <c r="AM97" s="226">
        <f t="shared" si="10"/>
        <v>1.2658221560410932E-2</v>
      </c>
      <c r="AN97" s="226">
        <f t="shared" si="10"/>
        <v>1.1823967603224309E-2</v>
      </c>
      <c r="AO97" s="226">
        <f t="shared" si="10"/>
        <v>1.104469606689041E-2</v>
      </c>
      <c r="AP97" s="226">
        <f t="shared" si="10"/>
        <v>1.0316783274737659E-2</v>
      </c>
      <c r="AQ97" s="226">
        <f t="shared" si="10"/>
        <v>9.6368443724747371E-3</v>
      </c>
      <c r="AR97" s="226">
        <f t="shared" si="10"/>
        <v>9.001717588340008E-3</v>
      </c>
      <c r="AS97" s="226">
        <f t="shared" si="10"/>
        <v>8.4084495306030495E-3</v>
      </c>
      <c r="AT97" s="226">
        <f t="shared" si="10"/>
        <v>7.8542814540504477E-3</v>
      </c>
      <c r="AU97" s="226">
        <f t="shared" si="10"/>
        <v>7.3366364315938827E-3</v>
      </c>
      <c r="AV97" s="226">
        <f t="shared" si="10"/>
        <v>6.8531073713474413E-3</v>
      </c>
      <c r="AW97" s="226">
        <f t="shared" si="10"/>
        <v>6.4014458234525713E-3</v>
      </c>
      <c r="AX97" s="226">
        <f t="shared" si="10"/>
        <v>5.9795515246014999E-3</v>
      </c>
      <c r="AY97" s="226">
        <f t="shared" si="8"/>
        <v>5.5854626316402863E-3</v>
      </c>
      <c r="AZ97" s="226">
        <f t="shared" si="8"/>
        <v>5.2173465988369664E-3</v>
      </c>
      <c r="BA97" s="226">
        <f t="shared" si="8"/>
        <v>4.8734916563933292E-3</v>
      </c>
      <c r="BB97" s="226">
        <f t="shared" si="11"/>
        <v>4.5522988505747103E-3</v>
      </c>
      <c r="BC97" s="226">
        <f t="shared" si="11"/>
        <v>4.2522746084437506E-3</v>
      </c>
      <c r="BD97" s="226">
        <f t="shared" si="11"/>
        <v>3.9720237926235196E-3</v>
      </c>
      <c r="BE97" s="226">
        <f t="shared" si="11"/>
        <v>3.710243213794086E-3</v>
      </c>
    </row>
    <row r="98" spans="5:57" s="10" customFormat="1" x14ac:dyDescent="0.35">
      <c r="E98" s="10" t="s">
        <v>628</v>
      </c>
      <c r="F98" s="10" t="s">
        <v>615</v>
      </c>
      <c r="G98" s="43" t="s">
        <v>616</v>
      </c>
      <c r="I98" s="20"/>
      <c r="J98" s="200"/>
      <c r="K98" s="200"/>
      <c r="L98" s="200"/>
      <c r="M98" s="200"/>
      <c r="N98" s="200">
        <v>7.0199999999999999E-2</v>
      </c>
      <c r="O98" s="226">
        <f t="shared" si="9"/>
        <v>6.5653993477169409E-2</v>
      </c>
      <c r="P98" s="226">
        <f t="shared" si="9"/>
        <v>6.1402376915957319E-2</v>
      </c>
      <c r="Q98" s="226">
        <f t="shared" si="9"/>
        <v>5.7426086232520795E-2</v>
      </c>
      <c r="R98" s="226">
        <f t="shared" si="9"/>
        <v>5.370729189357961E-2</v>
      </c>
      <c r="S98" s="226">
        <f t="shared" si="9"/>
        <v>5.0229318969480193E-2</v>
      </c>
      <c r="T98" s="226">
        <f t="shared" si="9"/>
        <v>4.6976572364457472E-2</v>
      </c>
      <c r="U98" s="226">
        <f t="shared" si="9"/>
        <v>4.3934466888830029E-2</v>
      </c>
      <c r="V98" s="226">
        <f t="shared" si="9"/>
        <v>4.1089361859574965E-2</v>
      </c>
      <c r="W98" s="226">
        <f t="shared" si="9"/>
        <v>3.8428499936034026E-2</v>
      </c>
      <c r="X98" s="226">
        <f t="shared" si="9"/>
        <v>3.5939949916492638E-2</v>
      </c>
      <c r="Y98" s="226">
        <f t="shared" si="9"/>
        <v>3.3612553239133945E-2</v>
      </c>
      <c r="Z98" s="226">
        <f t="shared" si="9"/>
        <v>3.1435873947480195E-2</v>
      </c>
      <c r="AA98" s="226">
        <f t="shared" si="9"/>
        <v>2.9400151895968441E-2</v>
      </c>
      <c r="AB98" s="226">
        <f t="shared" si="9"/>
        <v>2.749625898583621E-2</v>
      </c>
      <c r="AC98" s="226">
        <f t="shared" si="9"/>
        <v>2.5715658235080506E-2</v>
      </c>
      <c r="AD98" s="226">
        <f t="shared" si="9"/>
        <v>2.4050365498961446E-2</v>
      </c>
      <c r="AE98" s="226">
        <f t="shared" si="7"/>
        <v>2.2492913669406769E-2</v>
      </c>
      <c r="AF98" s="226">
        <f t="shared" si="7"/>
        <v>2.1036319192788699E-2</v>
      </c>
      <c r="AG98" s="226">
        <f t="shared" si="7"/>
        <v>1.9674050755940215E-2</v>
      </c>
      <c r="AH98" s="227">
        <v>1.84E-2</v>
      </c>
      <c r="AI98" s="226">
        <f t="shared" si="10"/>
        <v>1.7208454130768051E-2</v>
      </c>
      <c r="AJ98" s="226">
        <f t="shared" si="10"/>
        <v>1.6094070302758043E-2</v>
      </c>
      <c r="AK98" s="226">
        <f t="shared" si="10"/>
        <v>1.5051851662085221E-2</v>
      </c>
      <c r="AL98" s="226">
        <f t="shared" si="10"/>
        <v>1.4077124940767304E-2</v>
      </c>
      <c r="AM98" s="226">
        <f t="shared" si="10"/>
        <v>1.3165519501972015E-2</v>
      </c>
      <c r="AN98" s="226">
        <f t="shared" si="10"/>
        <v>1.231294774225096E-2</v>
      </c>
      <c r="AO98" s="226">
        <f t="shared" si="10"/>
        <v>1.1515586762884222E-2</v>
      </c>
      <c r="AP98" s="226">
        <f t="shared" si="10"/>
        <v>1.07698612281507E-2</v>
      </c>
      <c r="AQ98" s="226">
        <f t="shared" si="10"/>
        <v>1.0072427333661337E-2</v>
      </c>
      <c r="AR98" s="226">
        <f t="shared" si="10"/>
        <v>9.4201578128698619E-3</v>
      </c>
      <c r="AS98" s="226">
        <f t="shared" si="10"/>
        <v>8.8101279145308322E-3</v>
      </c>
      <c r="AT98" s="226">
        <f t="shared" si="10"/>
        <v>8.2396022882284259E-3</v>
      </c>
      <c r="AU98" s="226">
        <f t="shared" si="10"/>
        <v>7.7060227191712146E-3</v>
      </c>
      <c r="AV98" s="226">
        <f t="shared" si="10"/>
        <v>7.2069966572562141E-3</v>
      </c>
      <c r="AW98" s="226">
        <f t="shared" si="10"/>
        <v>6.7402864889669692E-3</v>
      </c>
      <c r="AX98" s="226">
        <f t="shared" si="10"/>
        <v>6.30379950400129E-3</v>
      </c>
      <c r="AY98" s="226">
        <f t="shared" si="8"/>
        <v>5.8955785116393804E-3</v>
      </c>
      <c r="AZ98" s="226">
        <f t="shared" si="8"/>
        <v>5.5137930647765248E-3</v>
      </c>
      <c r="BA98" s="226">
        <f t="shared" si="8"/>
        <v>5.1567312522692293E-3</v>
      </c>
      <c r="BB98" s="226">
        <f t="shared" si="11"/>
        <v>4.8227920227920176E-3</v>
      </c>
      <c r="BC98" s="226">
        <f t="shared" si="11"/>
        <v>4.5104780057853532E-3</v>
      </c>
      <c r="BD98" s="226">
        <f t="shared" si="11"/>
        <v>4.2183887973040977E-3</v>
      </c>
      <c r="BE98" s="226">
        <f t="shared" si="11"/>
        <v>3.9452146806605096E-3</v>
      </c>
    </row>
    <row r="99" spans="5:57" s="10" customFormat="1" x14ac:dyDescent="0.35">
      <c r="E99" s="10" t="s">
        <v>629</v>
      </c>
      <c r="F99" s="10" t="s">
        <v>615</v>
      </c>
      <c r="G99" s="43" t="s">
        <v>616</v>
      </c>
      <c r="I99" s="20"/>
      <c r="J99" s="200"/>
      <c r="K99" s="200"/>
      <c r="L99" s="200"/>
      <c r="M99" s="200"/>
      <c r="N99" s="200">
        <v>7.0800000000000002E-2</v>
      </c>
      <c r="O99" s="226">
        <f t="shared" si="9"/>
        <v>6.6293244535376827E-2</v>
      </c>
      <c r="P99" s="226">
        <f t="shared" si="9"/>
        <v>6.2073365409989679E-2</v>
      </c>
      <c r="Q99" s="226">
        <f t="shared" si="9"/>
        <v>5.8122101585568464E-2</v>
      </c>
      <c r="R99" s="226">
        <f t="shared" si="9"/>
        <v>5.4422354425453436E-2</v>
      </c>
      <c r="S99" s="226">
        <f t="shared" si="9"/>
        <v>5.0958113702225027E-2</v>
      </c>
      <c r="T99" s="226">
        <f t="shared" si="9"/>
        <v>4.7714388315298589E-2</v>
      </c>
      <c r="U99" s="226">
        <f t="shared" si="9"/>
        <v>4.4677141418672545E-2</v>
      </c>
      <c r="V99" s="226">
        <f t="shared" si="9"/>
        <v>4.1833229678102705E-2</v>
      </c>
      <c r="W99" s="226">
        <f t="shared" si="9"/>
        <v>3.9170346394845283E-2</v>
      </c>
      <c r="X99" s="226">
        <f t="shared" si="9"/>
        <v>3.6676968249843143E-2</v>
      </c>
      <c r="Y99" s="226">
        <f t="shared" si="9"/>
        <v>3.4342305437896938E-2</v>
      </c>
      <c r="Z99" s="226">
        <f t="shared" si="9"/>
        <v>3.2156254976032528E-2</v>
      </c>
      <c r="AA99" s="226">
        <f t="shared" si="9"/>
        <v>3.0109356984012039E-2</v>
      </c>
      <c r="AB99" s="226">
        <f t="shared" si="9"/>
        <v>2.8192753747797544E-2</v>
      </c>
      <c r="AC99" s="226">
        <f t="shared" si="9"/>
        <v>2.6398151388819267E-2</v>
      </c>
      <c r="AD99" s="226">
        <f t="shared" si="9"/>
        <v>2.4717783973176456E-2</v>
      </c>
      <c r="AE99" s="226">
        <f t="shared" si="7"/>
        <v>2.3144379905457698E-2</v>
      </c>
      <c r="AF99" s="226">
        <f t="shared" si="7"/>
        <v>2.1671130461753795E-2</v>
      </c>
      <c r="AG99" s="226">
        <f t="shared" si="7"/>
        <v>2.0291660325693475E-2</v>
      </c>
      <c r="AH99" s="227">
        <v>1.9E-2</v>
      </c>
      <c r="AI99" s="226">
        <f t="shared" si="10"/>
        <v>1.7790559974183048E-2</v>
      </c>
      <c r="AJ99" s="226">
        <f t="shared" si="10"/>
        <v>1.6658106536579152E-2</v>
      </c>
      <c r="AK99" s="226">
        <f t="shared" si="10"/>
        <v>1.5597739126070632E-2</v>
      </c>
      <c r="AL99" s="226">
        <f t="shared" si="10"/>
        <v>1.4604869125474792E-2</v>
      </c>
      <c r="AM99" s="226">
        <f t="shared" si="10"/>
        <v>1.3675200004834399E-2</v>
      </c>
      <c r="AN99" s="226">
        <f t="shared" si="10"/>
        <v>1.2804708728681825E-2</v>
      </c>
      <c r="AO99" s="226">
        <f t="shared" si="10"/>
        <v>1.1989628346818902E-2</v>
      </c>
      <c r="AP99" s="226">
        <f t="shared" si="10"/>
        <v>1.1226431693276149E-2</v>
      </c>
      <c r="AQ99" s="226">
        <f t="shared" si="10"/>
        <v>1.0511816122910455E-2</v>
      </c>
      <c r="AR99" s="226">
        <f t="shared" si="10"/>
        <v>9.8426892195906703E-3</v>
      </c>
      <c r="AS99" s="226">
        <f t="shared" si="10"/>
        <v>9.2161554141248821E-3</v>
      </c>
      <c r="AT99" s="226">
        <f t="shared" si="10"/>
        <v>8.6295034540200266E-3</v>
      </c>
      <c r="AU99" s="226">
        <f t="shared" si="10"/>
        <v>8.0801946708506864E-3</v>
      </c>
      <c r="AV99" s="226">
        <f t="shared" si="10"/>
        <v>7.5658519944654407E-3</v>
      </c>
      <c r="AW99" s="226">
        <f t="shared" si="10"/>
        <v>7.0842496664910446E-3</v>
      </c>
      <c r="AX99" s="226">
        <f t="shared" si="10"/>
        <v>6.6333036086207988E-3</v>
      </c>
      <c r="AY99" s="226">
        <f t="shared" si="8"/>
        <v>6.2110624040070074E-3</v>
      </c>
      <c r="AZ99" s="226">
        <f t="shared" si="8"/>
        <v>5.8156988527305366E-3</v>
      </c>
      <c r="BA99" s="226">
        <f t="shared" si="8"/>
        <v>5.4455020648047445E-3</v>
      </c>
      <c r="BB99" s="226">
        <f t="shared" si="11"/>
        <v>5.0988700564971803E-3</v>
      </c>
      <c r="BC99" s="226">
        <f t="shared" si="11"/>
        <v>4.7743028179304831E-3</v>
      </c>
      <c r="BD99" s="226">
        <f t="shared" si="11"/>
        <v>4.4703958219633362E-3</v>
      </c>
      <c r="BE99" s="226">
        <f t="shared" si="11"/>
        <v>4.1858339462618977E-3</v>
      </c>
    </row>
    <row r="100" spans="5:57" s="10" customFormat="1" x14ac:dyDescent="0.35">
      <c r="E100" s="10" t="s">
        <v>630</v>
      </c>
      <c r="F100" s="10" t="s">
        <v>615</v>
      </c>
      <c r="G100" s="43" t="s">
        <v>616</v>
      </c>
      <c r="I100" s="20"/>
      <c r="J100" s="200"/>
      <c r="K100" s="200"/>
      <c r="L100" s="200"/>
      <c r="M100" s="200"/>
      <c r="N100" s="200">
        <v>7.1400000000000005E-2</v>
      </c>
      <c r="O100" s="226">
        <f t="shared" si="9"/>
        <v>6.6947846623249485E-2</v>
      </c>
      <c r="P100" s="226">
        <f t="shared" si="9"/>
        <v>6.2773307667929087E-2</v>
      </c>
      <c r="Q100" s="226">
        <f t="shared" si="9"/>
        <v>5.8859072461996738E-2</v>
      </c>
      <c r="R100" s="226">
        <f t="shared" si="9"/>
        <v>5.5188909741911554E-2</v>
      </c>
      <c r="S100" s="226">
        <f t="shared" si="9"/>
        <v>5.1747600346020363E-2</v>
      </c>
      <c r="T100" s="226">
        <f t="shared" si="9"/>
        <v>4.8520874104854103E-2</v>
      </c>
      <c r="U100" s="226">
        <f t="shared" si="9"/>
        <v>4.5495350666635431E-2</v>
      </c>
      <c r="V100" s="226">
        <f t="shared" si="9"/>
        <v>4.2658484012617084E-2</v>
      </c>
      <c r="W100" s="226">
        <f t="shared" si="9"/>
        <v>3.9998510432171272E-2</v>
      </c>
      <c r="X100" s="226">
        <f t="shared" si="9"/>
        <v>3.750439974189701E-2</v>
      </c>
      <c r="Y100" s="226">
        <f t="shared" si="9"/>
        <v>3.5165809546464401E-2</v>
      </c>
      <c r="Z100" s="226">
        <f t="shared" si="9"/>
        <v>3.2973042351528023E-2</v>
      </c>
      <c r="AA100" s="226">
        <f t="shared" si="9"/>
        <v>3.0917005350868453E-2</v>
      </c>
      <c r="AB100" s="226">
        <f t="shared" si="9"/>
        <v>2.8989172721010148E-2</v>
      </c>
      <c r="AC100" s="226">
        <f t="shared" si="9"/>
        <v>2.7181550266961837E-2</v>
      </c>
      <c r="AD100" s="226">
        <f t="shared" si="9"/>
        <v>2.5486642272474887E-2</v>
      </c>
      <c r="AE100" s="226">
        <f t="shared" si="7"/>
        <v>2.3897420417356798E-2</v>
      </c>
      <c r="AF100" s="226">
        <f t="shared" si="7"/>
        <v>2.2407294632948369E-2</v>
      </c>
      <c r="AG100" s="226">
        <f t="shared" si="7"/>
        <v>2.1010085774910203E-2</v>
      </c>
      <c r="AH100" s="227">
        <v>1.9699999999999999E-2</v>
      </c>
      <c r="AI100" s="226">
        <f t="shared" si="10"/>
        <v>1.847160474058844E-2</v>
      </c>
      <c r="AJ100" s="226">
        <f t="shared" si="10"/>
        <v>1.7319806177285756E-2</v>
      </c>
      <c r="AK100" s="226">
        <f t="shared" si="10"/>
        <v>1.6239828116265204E-2</v>
      </c>
      <c r="AL100" s="226">
        <f t="shared" si="10"/>
        <v>1.522719218369268E-2</v>
      </c>
      <c r="AM100" s="226">
        <f t="shared" si="10"/>
        <v>1.4277699255134465E-2</v>
      </c>
      <c r="AN100" s="226">
        <f t="shared" si="10"/>
        <v>1.3387412042935932E-2</v>
      </c>
      <c r="AO100" s="226">
        <f t="shared" si="10"/>
        <v>1.2552638769365795E-2</v>
      </c>
      <c r="AP100" s="226">
        <f t="shared" si="10"/>
        <v>1.1769917857822918E-2</v>
      </c>
      <c r="AQ100" s="226">
        <f t="shared" si="10"/>
        <v>1.1036003578624283E-2</v>
      </c>
      <c r="AR100" s="226">
        <f t="shared" si="10"/>
        <v>1.0347852589851133E-2</v>
      </c>
      <c r="AS100" s="226">
        <f t="shared" si="10"/>
        <v>9.7026113174418557E-3</v>
      </c>
      <c r="AT100" s="226">
        <f t="shared" si="10"/>
        <v>9.0976041222003076E-3</v>
      </c>
      <c r="AU100" s="226">
        <f t="shared" si="10"/>
        <v>8.5303222046513791E-3</v>
      </c>
      <c r="AV100" s="226">
        <f t="shared" si="10"/>
        <v>7.9984132017352928E-3</v>
      </c>
      <c r="AW100" s="226">
        <f t="shared" si="10"/>
        <v>7.499671432200955E-3</v>
      </c>
      <c r="AX100" s="226">
        <f t="shared" si="10"/>
        <v>7.032028750248674E-3</v>
      </c>
      <c r="AY100" s="226">
        <f t="shared" si="8"/>
        <v>6.5935459694948031E-3</v>
      </c>
      <c r="AZ100" s="226">
        <f t="shared" si="8"/>
        <v>6.1824048216958388E-3</v>
      </c>
      <c r="BA100" s="226">
        <f t="shared" si="8"/>
        <v>5.79690041688699E-3</v>
      </c>
      <c r="BB100" s="226">
        <f t="shared" si="11"/>
        <v>5.4354341736694844E-3</v>
      </c>
      <c r="BC100" s="226">
        <f t="shared" si="11"/>
        <v>5.0965071903304399E-3</v>
      </c>
      <c r="BD100" s="226">
        <f t="shared" si="11"/>
        <v>4.7787140293071486E-3</v>
      </c>
      <c r="BE100" s="226">
        <f t="shared" si="11"/>
        <v>4.4807368892216459E-3</v>
      </c>
    </row>
    <row r="101" spans="5:57" s="10" customFormat="1" x14ac:dyDescent="0.35">
      <c r="E101" s="10" t="s">
        <v>631</v>
      </c>
      <c r="F101" s="10" t="s">
        <v>615</v>
      </c>
      <c r="G101" s="43" t="s">
        <v>616</v>
      </c>
      <c r="I101" s="20"/>
      <c r="J101" s="200"/>
      <c r="K101" s="200"/>
      <c r="L101" s="200"/>
      <c r="M101" s="200"/>
      <c r="N101" s="200">
        <v>7.1999999999999995E-2</v>
      </c>
      <c r="O101" s="226">
        <f t="shared" si="9"/>
        <v>6.7583499118172019E-2</v>
      </c>
      <c r="P101" s="226">
        <f t="shared" si="9"/>
        <v>6.3437907681332756E-2</v>
      </c>
      <c r="Q101" s="226">
        <f t="shared" si="9"/>
        <v>5.9546608025555982E-2</v>
      </c>
      <c r="R101" s="226">
        <f t="shared" si="9"/>
        <v>5.5894001819240251E-2</v>
      </c>
      <c r="S101" s="226">
        <f t="shared" si="9"/>
        <v>5.2465447536968461E-2</v>
      </c>
      <c r="T101" s="226">
        <f t="shared" si="9"/>
        <v>4.9247201768739007E-2</v>
      </c>
      <c r="U101" s="226">
        <f t="shared" si="9"/>
        <v>4.6226364129305732E-2</v>
      </c>
      <c r="V101" s="226">
        <f t="shared" si="9"/>
        <v>4.3390825546794902E-2</v>
      </c>
      <c r="W101" s="226">
        <f t="shared" si="9"/>
        <v>4.0729219723313462E-2</v>
      </c>
      <c r="X101" s="226">
        <f t="shared" si="9"/>
        <v>3.8230877572977641E-2</v>
      </c>
      <c r="Y101" s="226">
        <f t="shared" si="9"/>
        <v>3.5885784454726073E-2</v>
      </c>
      <c r="Z101" s="226">
        <f t="shared" si="9"/>
        <v>3.3684540028484596E-2</v>
      </c>
      <c r="AA101" s="226">
        <f t="shared" si="9"/>
        <v>3.161832057376554E-2</v>
      </c>
      <c r="AB101" s="226">
        <f t="shared" si="9"/>
        <v>2.9678843619655053E-2</v>
      </c>
      <c r="AC101" s="226">
        <f t="shared" si="9"/>
        <v>2.785833474440726E-2</v>
      </c>
      <c r="AD101" s="226">
        <f t="shared" si="9"/>
        <v>2.614949641156096E-2</v>
      </c>
      <c r="AE101" s="226">
        <f t="shared" si="7"/>
        <v>2.4545478717657953E-2</v>
      </c>
      <c r="AF101" s="226">
        <f t="shared" si="7"/>
        <v>2.3039851934304811E-2</v>
      </c>
      <c r="AG101" s="226">
        <f t="shared" si="7"/>
        <v>2.1626580734512544E-2</v>
      </c>
      <c r="AH101" s="227">
        <v>2.0299999999999999E-2</v>
      </c>
      <c r="AI101" s="226">
        <f t="shared" si="10"/>
        <v>1.9054792112484613E-2</v>
      </c>
      <c r="AJ101" s="226">
        <f t="shared" si="10"/>
        <v>1.7885965637931319E-2</v>
      </c>
      <c r="AK101" s="226">
        <f t="shared" si="10"/>
        <v>1.6788835318316479E-2</v>
      </c>
      <c r="AL101" s="226">
        <f t="shared" si="10"/>
        <v>1.5759003290702459E-2</v>
      </c>
      <c r="AM101" s="226">
        <f t="shared" si="10"/>
        <v>1.4792341458339717E-2</v>
      </c>
      <c r="AN101" s="226">
        <f t="shared" si="10"/>
        <v>1.388497494313058E-2</v>
      </c>
      <c r="AO101" s="226">
        <f t="shared" si="10"/>
        <v>1.3033266553123698E-2</v>
      </c>
      <c r="AP101" s="226">
        <f t="shared" si="10"/>
        <v>1.2233802202776894E-2</v>
      </c>
      <c r="AQ101" s="226">
        <f t="shared" si="10"/>
        <v>1.1483377227545322E-2</v>
      </c>
      <c r="AR101" s="226">
        <f t="shared" si="10"/>
        <v>1.077898353793675E-2</v>
      </c>
      <c r="AS101" s="226">
        <f t="shared" si="10"/>
        <v>1.011779756154082E-2</v>
      </c>
      <c r="AT101" s="226">
        <f t="shared" si="10"/>
        <v>9.4971689246977371E-3</v>
      </c>
      <c r="AU101" s="226">
        <f t="shared" si="10"/>
        <v>8.9146098284366704E-3</v>
      </c>
      <c r="AV101" s="226">
        <f t="shared" si="10"/>
        <v>8.367785076097185E-3</v>
      </c>
      <c r="AW101" s="226">
        <f t="shared" si="10"/>
        <v>7.854502712659266E-3</v>
      </c>
      <c r="AX101" s="226">
        <f t="shared" si="10"/>
        <v>7.3727052382595451E-3</v>
      </c>
      <c r="AY101" s="226">
        <f t="shared" si="8"/>
        <v>6.9204613606730029E-3</v>
      </c>
      <c r="AZ101" s="226">
        <f t="shared" si="8"/>
        <v>6.4959582536998255E-3</v>
      </c>
      <c r="BA101" s="226">
        <f t="shared" si="8"/>
        <v>6.0974942904250618E-3</v>
      </c>
      <c r="BB101" s="226">
        <f t="shared" si="11"/>
        <v>5.7234722222222374E-3</v>
      </c>
      <c r="BC101" s="226">
        <f t="shared" si="11"/>
        <v>5.37239277615887E-3</v>
      </c>
      <c r="BD101" s="226">
        <f t="shared" si="11"/>
        <v>5.042848645138983E-3</v>
      </c>
      <c r="BE101" s="226">
        <f t="shared" si="11"/>
        <v>4.7335188466920202E-3</v>
      </c>
    </row>
    <row r="102" spans="5:57" s="10" customFormat="1" x14ac:dyDescent="0.35">
      <c r="E102" s="10" t="s">
        <v>632</v>
      </c>
      <c r="F102" s="10" t="s">
        <v>615</v>
      </c>
      <c r="G102" s="43" t="s">
        <v>616</v>
      </c>
      <c r="I102" s="20"/>
      <c r="J102" s="200"/>
      <c r="K102" s="200"/>
      <c r="L102" s="200"/>
      <c r="M102" s="200"/>
      <c r="N102" s="200">
        <v>7.2599999999999998E-2</v>
      </c>
      <c r="O102" s="226">
        <f t="shared" si="9"/>
        <v>6.823398794157115E-2</v>
      </c>
      <c r="P102" s="226">
        <f t="shared" si="9"/>
        <v>6.4130538710888113E-2</v>
      </c>
      <c r="Q102" s="226">
        <f t="shared" si="9"/>
        <v>6.0273862328997271E-2</v>
      </c>
      <c r="R102" s="226">
        <f t="shared" si="9"/>
        <v>5.6649118393233056E-2</v>
      </c>
      <c r="S102" s="226">
        <f t="shared" si="9"/>
        <v>5.3242358971687345E-2</v>
      </c>
      <c r="T102" s="226">
        <f t="shared" si="9"/>
        <v>5.004047493188591E-2</v>
      </c>
      <c r="U102" s="226">
        <f t="shared" si="9"/>
        <v>4.703114549714596E-2</v>
      </c>
      <c r="V102" s="226">
        <f t="shared" si="9"/>
        <v>4.4202790836508757E-2</v>
      </c>
      <c r="W102" s="226">
        <f t="shared" si="9"/>
        <v>4.1544527505814471E-2</v>
      </c>
      <c r="X102" s="226">
        <f t="shared" si="9"/>
        <v>3.9046126568457518E-2</v>
      </c>
      <c r="Y102" s="226">
        <f t="shared" si="9"/>
        <v>3.6697974234672061E-2</v>
      </c>
      <c r="Z102" s="226">
        <f t="shared" si="9"/>
        <v>3.4491034867888459E-2</v>
      </c>
      <c r="AA102" s="226">
        <f t="shared" si="9"/>
        <v>3.2416816215810072E-2</v>
      </c>
      <c r="AB102" s="226">
        <f t="shared" si="9"/>
        <v>3.0467336732420285E-2</v>
      </c>
      <c r="AC102" s="226">
        <f t="shared" si="9"/>
        <v>2.8635094865175671E-2</v>
      </c>
      <c r="AD102" s="226">
        <f t="shared" ref="AD102:AG117" si="12">AC102*(1+($AH102/$N102)^(1/($AH$6-$N$6))-1)</f>
        <v>2.6913040189203069E-2</v>
      </c>
      <c r="AE102" s="226">
        <f t="shared" si="12"/>
        <v>2.529454627742565E-2</v>
      </c>
      <c r="AF102" s="226">
        <f t="shared" si="12"/>
        <v>2.3773385202222802E-2</v>
      </c>
      <c r="AG102" s="226">
        <f t="shared" si="12"/>
        <v>2.2343703570506843E-2</v>
      </c>
      <c r="AH102" s="227">
        <v>2.1000000000000001E-2</v>
      </c>
      <c r="AI102" s="226">
        <f t="shared" si="10"/>
        <v>1.9737103950041246E-2</v>
      </c>
      <c r="AJ102" s="226">
        <f t="shared" si="10"/>
        <v>1.8550155825463509E-2</v>
      </c>
      <c r="AK102" s="226">
        <f t="shared" si="10"/>
        <v>1.7434588276982684E-2</v>
      </c>
      <c r="AL102" s="226">
        <f t="shared" si="10"/>
        <v>1.6386108626141795E-2</v>
      </c>
      <c r="AM102" s="226">
        <f t="shared" si="10"/>
        <v>1.540068234718229E-2</v>
      </c>
      <c r="AN102" s="226">
        <f t="shared" si="10"/>
        <v>1.4474517542281049E-2</v>
      </c>
      <c r="AO102" s="226">
        <f t="shared" si="10"/>
        <v>1.3604050350414123E-2</v>
      </c>
      <c r="AP102" s="226">
        <f t="shared" si="10"/>
        <v>1.2785931233700882E-2</v>
      </c>
      <c r="AQ102" s="226">
        <f t="shared" si="10"/>
        <v>1.2017012088458732E-2</v>
      </c>
      <c r="AR102" s="226">
        <f t="shared" si="10"/>
        <v>1.129433413137201E-2</v>
      </c>
      <c r="AS102" s="226">
        <f t="shared" si="10"/>
        <v>1.0615116514161339E-2</v>
      </c>
      <c r="AT102" s="226">
        <f t="shared" si="10"/>
        <v>9.9767456229429424E-3</v>
      </c>
      <c r="AU102" s="226">
        <f t="shared" si="10"/>
        <v>9.3767650211020875E-3</v>
      </c>
      <c r="AV102" s="226">
        <f t="shared" si="10"/>
        <v>8.8128659969810754E-3</v>
      </c>
      <c r="AW102" s="226">
        <f t="shared" si="10"/>
        <v>8.2828786800094919E-3</v>
      </c>
      <c r="AX102" s="226">
        <f t="shared" ref="AX102:BE117" si="13">AW102*(1+($AH102/$N102)^(1/($AH$6-$N$6))-1)</f>
        <v>7.7847636910917976E-3</v>
      </c>
      <c r="AY102" s="226">
        <f t="shared" si="13"/>
        <v>7.3166042951231221E-3</v>
      </c>
      <c r="AZ102" s="226">
        <f t="shared" si="13"/>
        <v>6.8765990254363472E-3</v>
      </c>
      <c r="BA102" s="226">
        <f t="shared" si="13"/>
        <v>6.4630547517994996E-3</v>
      </c>
      <c r="BB102" s="226">
        <f t="shared" si="11"/>
        <v>6.0743801652892726E-3</v>
      </c>
      <c r="BC102" s="226">
        <f t="shared" si="11"/>
        <v>5.7090796549706226E-3</v>
      </c>
      <c r="BD102" s="226">
        <f t="shared" si="11"/>
        <v>5.3657475528200368E-3</v>
      </c>
      <c r="BE102" s="226">
        <f t="shared" si="11"/>
        <v>5.0430627247470706E-3</v>
      </c>
    </row>
    <row r="103" spans="5:57" s="10" customFormat="1" x14ac:dyDescent="0.35">
      <c r="E103" s="109" t="s">
        <v>633</v>
      </c>
      <c r="F103" s="10" t="s">
        <v>615</v>
      </c>
      <c r="G103" s="43" t="s">
        <v>616</v>
      </c>
      <c r="I103" s="20"/>
      <c r="J103" s="200"/>
      <c r="K103" s="200"/>
      <c r="L103" s="200"/>
      <c r="M103" s="200"/>
      <c r="N103" s="200">
        <v>7.2400000000000006E-2</v>
      </c>
      <c r="O103" s="226">
        <f t="shared" ref="O103:AD118" si="14">N103*(1+($AH103/$N103)^(1/($AH$6-$N$6))-1)</f>
        <v>6.8071568962580792E-2</v>
      </c>
      <c r="P103" s="226">
        <f t="shared" si="14"/>
        <v>6.4001912997615915E-2</v>
      </c>
      <c r="Q103" s="226">
        <f t="shared" si="14"/>
        <v>6.0175561247987674E-2</v>
      </c>
      <c r="R103" s="226">
        <f t="shared" si="14"/>
        <v>5.6577967781138078E-2</v>
      </c>
      <c r="S103" s="226">
        <f t="shared" si="14"/>
        <v>5.3195456292491915E-2</v>
      </c>
      <c r="T103" s="226">
        <f t="shared" si="14"/>
        <v>5.0015168114783362E-2</v>
      </c>
      <c r="U103" s="226">
        <f t="shared" si="14"/>
        <v>4.7025013335642921E-2</v>
      </c>
      <c r="V103" s="226">
        <f t="shared" si="14"/>
        <v>4.4213624837617378E-2</v>
      </c>
      <c r="W103" s="226">
        <f t="shared" si="14"/>
        <v>4.1570315085905335E-2</v>
      </c>
      <c r="X103" s="226">
        <f t="shared" si="14"/>
        <v>3.9085035499536153E-2</v>
      </c>
      <c r="Y103" s="226">
        <f t="shared" si="14"/>
        <v>3.6748338251541349E-2</v>
      </c>
      <c r="Z103" s="226">
        <f t="shared" si="14"/>
        <v>3.4551340352901139E-2</v>
      </c>
      <c r="AA103" s="226">
        <f t="shared" si="14"/>
        <v>3.2485689883730809E-2</v>
      </c>
      <c r="AB103" s="226">
        <f t="shared" si="14"/>
        <v>3.0543534243334183E-2</v>
      </c>
      <c r="AC103" s="226">
        <f t="shared" si="14"/>
        <v>2.871749029842639E-2</v>
      </c>
      <c r="AD103" s="226">
        <f t="shared" si="14"/>
        <v>2.7000616316043877E-2</v>
      </c>
      <c r="AE103" s="226">
        <f t="shared" si="12"/>
        <v>2.5386385574444264E-2</v>
      </c>
      <c r="AF103" s="226">
        <f t="shared" si="12"/>
        <v>2.386866155167747E-2</v>
      </c>
      <c r="AG103" s="226">
        <f t="shared" si="12"/>
        <v>2.2441674597507094E-2</v>
      </c>
      <c r="AH103" s="227">
        <v>2.1100000000000001E-2</v>
      </c>
      <c r="AI103" s="226">
        <f t="shared" ref="AI103:AX118" si="15">AH103*(1+($AH103/$N103)^(1/($AH$6-$N$6))-1)</f>
        <v>1.9838537363404071E-2</v>
      </c>
      <c r="AJ103" s="226">
        <f t="shared" si="15"/>
        <v>1.865249121891845E-2</v>
      </c>
      <c r="AK103" s="226">
        <f t="shared" si="15"/>
        <v>1.7537352794648339E-2</v>
      </c>
      <c r="AL103" s="226">
        <f t="shared" si="15"/>
        <v>1.6488882875442173E-2</v>
      </c>
      <c r="AM103" s="226">
        <f t="shared" si="15"/>
        <v>1.5503095687452752E-2</v>
      </c>
      <c r="AN103" s="226">
        <f t="shared" si="15"/>
        <v>1.4576243746159238E-2</v>
      </c>
      <c r="AO103" s="226">
        <f t="shared" si="15"/>
        <v>1.3704803610249523E-2</v>
      </c>
      <c r="AP103" s="226">
        <f t="shared" si="15"/>
        <v>1.2885462487206168E-2</v>
      </c>
      <c r="AQ103" s="226">
        <f t="shared" si="15"/>
        <v>1.211510563967683E-2</v>
      </c>
      <c r="AR103" s="226">
        <f t="shared" si="15"/>
        <v>1.1390804544754321E-2</v>
      </c>
      <c r="AS103" s="226">
        <f t="shared" si="15"/>
        <v>1.0709805761153624E-2</v>
      </c>
      <c r="AT103" s="226">
        <f t="shared" si="15"/>
        <v>1.0069520461964281E-2</v>
      </c>
      <c r="AU103" s="226">
        <f t="shared" si="15"/>
        <v>9.4675145931867391E-3</v>
      </c>
      <c r="AV103" s="226">
        <f t="shared" si="15"/>
        <v>8.9014996206402096E-3</v>
      </c>
      <c r="AW103" s="226">
        <f t="shared" si="15"/>
        <v>8.3693238300662533E-3</v>
      </c>
      <c r="AX103" s="226">
        <f t="shared" si="15"/>
        <v>7.8689641473553285E-3</v>
      </c>
      <c r="AY103" s="226">
        <f t="shared" si="13"/>
        <v>7.3985184478007459E-3</v>
      </c>
      <c r="AZ103" s="226">
        <f t="shared" si="13"/>
        <v>6.9561983251435729E-3</v>
      </c>
      <c r="BA103" s="226">
        <f t="shared" si="13"/>
        <v>6.5403222929198857E-3</v>
      </c>
      <c r="BB103" s="226">
        <f t="shared" si="13"/>
        <v>6.1493093922652007E-3</v>
      </c>
      <c r="BC103" s="226">
        <f t="shared" si="13"/>
        <v>5.7816731818760552E-3</v>
      </c>
      <c r="BD103" s="226">
        <f t="shared" si="13"/>
        <v>5.4360160872814886E-3</v>
      </c>
      <c r="BE103" s="226">
        <f t="shared" si="13"/>
        <v>5.1110240879431003E-3</v>
      </c>
    </row>
    <row r="104" spans="5:57" s="10" customFormat="1" x14ac:dyDescent="0.35">
      <c r="E104" s="109" t="s">
        <v>634</v>
      </c>
      <c r="F104" s="10" t="s">
        <v>615</v>
      </c>
      <c r="G104" s="43" t="s">
        <v>616</v>
      </c>
      <c r="I104" s="20"/>
      <c r="J104" s="200"/>
      <c r="K104" s="200"/>
      <c r="L104" s="200"/>
      <c r="M104" s="200"/>
      <c r="N104" s="200">
        <v>7.2300000000000003E-2</v>
      </c>
      <c r="O104" s="226">
        <f t="shared" si="14"/>
        <v>6.8014320346971066E-2</v>
      </c>
      <c r="P104" s="226">
        <f t="shared" si="14"/>
        <v>6.3982680114251747E-2</v>
      </c>
      <c r="Q104" s="226">
        <f t="shared" si="14"/>
        <v>6.0190020773838081E-2</v>
      </c>
      <c r="R104" s="226">
        <f t="shared" si="14"/>
        <v>5.6622176412208382E-2</v>
      </c>
      <c r="S104" s="226">
        <f t="shared" si="14"/>
        <v>5.32658208194004E-2</v>
      </c>
      <c r="T104" s="226">
        <f t="shared" si="14"/>
        <v>5.0108417714454484E-2</v>
      </c>
      <c r="U104" s="226">
        <f t="shared" si="14"/>
        <v>4.7138173921310464E-2</v>
      </c>
      <c r="V104" s="226">
        <f t="shared" si="14"/>
        <v>4.4343995320266207E-2</v>
      </c>
      <c r="W104" s="226">
        <f t="shared" si="14"/>
        <v>4.1715445410472632E-2</v>
      </c>
      <c r="X104" s="226">
        <f t="shared" si="14"/>
        <v>3.924270632869252E-2</v>
      </c>
      <c r="Y104" s="226">
        <f t="shared" si="14"/>
        <v>3.6916542178724782E-2</v>
      </c>
      <c r="Z104" s="226">
        <f t="shared" si="14"/>
        <v>3.4728264534526362E-2</v>
      </c>
      <c r="AA104" s="226">
        <f t="shared" si="14"/>
        <v>3.2669699988182983E-2</v>
      </c>
      <c r="AB104" s="226">
        <f t="shared" si="14"/>
        <v>3.0733159621517483E-2</v>
      </c>
      <c r="AC104" s="226">
        <f t="shared" si="14"/>
        <v>2.8911410287309626E-2</v>
      </c>
      <c r="AD104" s="226">
        <f t="shared" si="14"/>
        <v>2.7197647592860186E-2</v>
      </c>
      <c r="AE104" s="226">
        <f t="shared" si="12"/>
        <v>2.5585470484990581E-2</v>
      </c>
      <c r="AF104" s="226">
        <f t="shared" si="12"/>
        <v>2.4068857341550794E-2</v>
      </c>
      <c r="AG104" s="226">
        <f t="shared" si="12"/>
        <v>2.2642143480135296E-2</v>
      </c>
      <c r="AH104" s="227">
        <v>2.1299999999999999E-2</v>
      </c>
      <c r="AI104" s="226">
        <f t="shared" si="15"/>
        <v>2.0037413878153297E-2</v>
      </c>
      <c r="AJ104" s="226">
        <f t="shared" si="15"/>
        <v>1.8849669245277482E-2</v>
      </c>
      <c r="AK104" s="226">
        <f t="shared" si="15"/>
        <v>1.7732329771545655E-2</v>
      </c>
      <c r="AL104" s="226">
        <f t="shared" si="15"/>
        <v>1.6681222096542714E-2</v>
      </c>
      <c r="AM104" s="226">
        <f t="shared" si="15"/>
        <v>1.5692420241400114E-2</v>
      </c>
      <c r="AN104" s="226">
        <f t="shared" si="15"/>
        <v>1.4762230944922272E-2</v>
      </c>
      <c r="AO104" s="226">
        <f t="shared" si="15"/>
        <v>1.3887179868933786E-2</v>
      </c>
      <c r="AP104" s="226">
        <f t="shared" si="15"/>
        <v>1.3063998621323236E-2</v>
      </c>
      <c r="AQ104" s="226">
        <f t="shared" si="15"/>
        <v>1.2289612548313511E-2</v>
      </c>
      <c r="AR104" s="226">
        <f t="shared" si="15"/>
        <v>1.1561129250361693E-2</v>
      </c>
      <c r="AS104" s="226">
        <f t="shared" si="15"/>
        <v>1.0875827778794433E-2</v>
      </c>
      <c r="AT104" s="226">
        <f t="shared" si="15"/>
        <v>1.0231148472827264E-2</v>
      </c>
      <c r="AU104" s="226">
        <f t="shared" si="15"/>
        <v>9.6246833990082607E-3</v>
      </c>
      <c r="AV104" s="226">
        <f t="shared" si="15"/>
        <v>9.0541673573765157E-3</v>
      </c>
      <c r="AW104" s="226">
        <f t="shared" si="15"/>
        <v>8.5174694207426661E-3</v>
      </c>
      <c r="AX104" s="226">
        <f t="shared" si="15"/>
        <v>8.0125849754899264E-3</v>
      </c>
      <c r="AY104" s="226">
        <f t="shared" si="13"/>
        <v>7.5376282341673454E-3</v>
      </c>
      <c r="AZ104" s="226">
        <f t="shared" si="13"/>
        <v>7.0908251919091511E-3</v>
      </c>
      <c r="BA104" s="226">
        <f t="shared" si="13"/>
        <v>6.670507000371805E-3</v>
      </c>
      <c r="BB104" s="226">
        <f t="shared" si="13"/>
        <v>6.2751037344398472E-3</v>
      </c>
      <c r="BC104" s="226">
        <f t="shared" si="13"/>
        <v>5.9031385284186192E-3</v>
      </c>
      <c r="BD104" s="226">
        <f t="shared" si="13"/>
        <v>5.5532220598120512E-3</v>
      </c>
      <c r="BE104" s="226">
        <f t="shared" si="13"/>
        <v>5.2240473600819268E-3</v>
      </c>
    </row>
    <row r="105" spans="5:57" s="10" customFormat="1" x14ac:dyDescent="0.35">
      <c r="E105" s="109" t="s">
        <v>635</v>
      </c>
      <c r="F105" s="10" t="s">
        <v>615</v>
      </c>
      <c r="G105" s="43" t="s">
        <v>616</v>
      </c>
      <c r="I105" s="20"/>
      <c r="J105" s="200"/>
      <c r="K105" s="200"/>
      <c r="L105" s="200"/>
      <c r="M105" s="200"/>
      <c r="N105" s="200">
        <v>7.2099999999999997E-2</v>
      </c>
      <c r="O105" s="226">
        <f t="shared" si="14"/>
        <v>6.7867276982452707E-2</v>
      </c>
      <c r="P105" s="226">
        <f t="shared" si="14"/>
        <v>6.388304140101185E-2</v>
      </c>
      <c r="Q105" s="226">
        <f t="shared" si="14"/>
        <v>6.0132705481885776E-2</v>
      </c>
      <c r="R105" s="226">
        <f t="shared" si="14"/>
        <v>5.6602537845262049E-2</v>
      </c>
      <c r="S105" s="226">
        <f t="shared" si="14"/>
        <v>5.3279613229600016E-2</v>
      </c>
      <c r="T105" s="226">
        <f t="shared" si="14"/>
        <v>5.0151765167423243E-2</v>
      </c>
      <c r="U105" s="226">
        <f t="shared" si="14"/>
        <v>4.7207541439340313E-2</v>
      </c>
      <c r="V105" s="226">
        <f t="shared" si="14"/>
        <v>4.4436162143194492E-2</v>
      </c>
      <c r="W105" s="226">
        <f t="shared" si="14"/>
        <v>4.1827480224817748E-2</v>
      </c>
      <c r="X105" s="226">
        <f t="shared" si="14"/>
        <v>3.9371944325877518E-2</v>
      </c>
      <c r="Y105" s="226">
        <f t="shared" si="14"/>
        <v>3.70605638127883E-2</v>
      </c>
      <c r="Z105" s="226">
        <f t="shared" si="14"/>
        <v>3.4884875858645865E-2</v>
      </c>
      <c r="AA105" s="226">
        <f t="shared" si="14"/>
        <v>3.283691445765876E-2</v>
      </c>
      <c r="AB105" s="226">
        <f t="shared" si="14"/>
        <v>3.090918125862736E-2</v>
      </c>
      <c r="AC105" s="226">
        <f t="shared" si="14"/>
        <v>2.9094618110680984E-2</v>
      </c>
      <c r="AD105" s="226">
        <f t="shared" si="14"/>
        <v>2.7386581220752718E-2</v>
      </c>
      <c r="AE105" s="226">
        <f t="shared" si="12"/>
        <v>2.5778816828172849E-2</v>
      </c>
      <c r="AF105" s="226">
        <f t="shared" si="12"/>
        <v>2.4265438307316499E-2</v>
      </c>
      <c r="AG105" s="226">
        <f t="shared" si="12"/>
        <v>2.2840904614469724E-2</v>
      </c>
      <c r="AH105" s="227">
        <v>2.1499999999999998E-2</v>
      </c>
      <c r="AI105" s="226">
        <f t="shared" si="15"/>
        <v>2.0237814911549693E-2</v>
      </c>
      <c r="AJ105" s="226">
        <f t="shared" si="15"/>
        <v>1.904972801833224E-2</v>
      </c>
      <c r="AK105" s="226">
        <f t="shared" si="15"/>
        <v>1.7931389290714896E-2</v>
      </c>
      <c r="AL105" s="226">
        <f t="shared" si="15"/>
        <v>1.6878704073136394E-2</v>
      </c>
      <c r="AM105" s="226">
        <f t="shared" si="15"/>
        <v>1.5887818092044387E-2</v>
      </c>
      <c r="AN105" s="226">
        <f t="shared" si="15"/>
        <v>1.4955103343961161E-2</v>
      </c>
      <c r="AO105" s="226">
        <f t="shared" si="15"/>
        <v>1.4077144812008554E-2</v>
      </c>
      <c r="AP105" s="226">
        <f t="shared" si="15"/>
        <v>1.3250727962256332E-2</v>
      </c>
      <c r="AQ105" s="226">
        <f t="shared" si="15"/>
        <v>1.2472826974113475E-2</v>
      </c>
      <c r="AR105" s="226">
        <f t="shared" si="15"/>
        <v>1.174059366166944E-2</v>
      </c>
      <c r="AS105" s="226">
        <f t="shared" si="15"/>
        <v>1.105134704542231E-2</v>
      </c>
      <c r="AT105" s="226">
        <f t="shared" si="15"/>
        <v>1.0402563536212014E-2</v>
      </c>
      <c r="AU105" s="226">
        <f t="shared" si="15"/>
        <v>9.7918676954183558E-3</v>
      </c>
      <c r="AV105" s="226">
        <f t="shared" si="15"/>
        <v>9.2170235375934589E-3</v>
      </c>
      <c r="AW105" s="226">
        <f t="shared" si="15"/>
        <v>8.6759263436843453E-3</v>
      </c>
      <c r="AX105" s="226">
        <f t="shared" si="15"/>
        <v>8.1665949548707858E-3</v>
      </c>
      <c r="AY105" s="226">
        <f t="shared" si="13"/>
        <v>7.6871645188032797E-3</v>
      </c>
      <c r="AZ105" s="226">
        <f t="shared" si="13"/>
        <v>7.2358796616824542E-3</v>
      </c>
      <c r="BA105" s="226">
        <f t="shared" si="13"/>
        <v>6.8110880611802951E-3</v>
      </c>
      <c r="BB105" s="226">
        <f t="shared" si="13"/>
        <v>6.4112343966712879E-3</v>
      </c>
      <c r="BC105" s="226">
        <f t="shared" si="13"/>
        <v>6.0348546546230009E-3</v>
      </c>
      <c r="BD105" s="226">
        <f t="shared" si="13"/>
        <v>5.6805707682960217E-3</v>
      </c>
      <c r="BE105" s="226">
        <f t="shared" si="13"/>
        <v>5.3470855721271882E-3</v>
      </c>
    </row>
    <row r="106" spans="5:57" s="10" customFormat="1" x14ac:dyDescent="0.35">
      <c r="E106" s="10" t="s">
        <v>636</v>
      </c>
      <c r="F106" s="10" t="s">
        <v>615</v>
      </c>
      <c r="G106" s="43" t="s">
        <v>616</v>
      </c>
      <c r="I106" s="20"/>
      <c r="J106" s="200"/>
      <c r="K106" s="200"/>
      <c r="L106" s="200"/>
      <c r="M106" s="200"/>
      <c r="N106" s="200">
        <v>7.1900000000000006E-2</v>
      </c>
      <c r="O106" s="226">
        <f t="shared" si="14"/>
        <v>6.7719763471588756E-2</v>
      </c>
      <c r="P106" s="226">
        <f t="shared" si="14"/>
        <v>6.3782564181473239E-2</v>
      </c>
      <c r="Q106" s="226">
        <f t="shared" si="14"/>
        <v>6.0074272044239166E-2</v>
      </c>
      <c r="R106" s="226">
        <f t="shared" si="14"/>
        <v>5.6581578491846349E-2</v>
      </c>
      <c r="S106" s="226">
        <f t="shared" si="14"/>
        <v>5.3291948710945308E-2</v>
      </c>
      <c r="T106" s="226">
        <f t="shared" si="14"/>
        <v>5.0193576657096735E-2</v>
      </c>
      <c r="U106" s="226">
        <f t="shared" si="14"/>
        <v>4.7275342684445748E-2</v>
      </c>
      <c r="V106" s="226">
        <f t="shared" si="14"/>
        <v>4.4526773638789562E-2</v>
      </c>
      <c r="W106" s="226">
        <f t="shared" si="14"/>
        <v>4.1938005270817834E-2</v>
      </c>
      <c r="X106" s="226">
        <f t="shared" si="14"/>
        <v>3.949974683463179E-2</v>
      </c>
      <c r="Y106" s="226">
        <f t="shared" si="14"/>
        <v>3.7203247744490978E-2</v>
      </c>
      <c r="Z106" s="226">
        <f t="shared" si="14"/>
        <v>3.5040266170123041E-2</v>
      </c>
      <c r="AA106" s="226">
        <f t="shared" si="14"/>
        <v>3.3003039457889363E-2</v>
      </c>
      <c r="AB106" s="226">
        <f t="shared" si="14"/>
        <v>3.108425627165199E-2</v>
      </c>
      <c r="AC106" s="226">
        <f t="shared" si="14"/>
        <v>2.9277030353359136E-2</v>
      </c>
      <c r="AD106" s="226">
        <f t="shared" si="14"/>
        <v>2.7574875809179486E-2</v>
      </c>
      <c r="AE106" s="226">
        <f t="shared" si="12"/>
        <v>2.597168383249053E-2</v>
      </c>
      <c r="AF106" s="226">
        <f t="shared" si="12"/>
        <v>2.4461700780182814E-2</v>
      </c>
      <c r="AG106" s="226">
        <f t="shared" si="12"/>
        <v>2.3039507523598859E-2</v>
      </c>
      <c r="AH106" s="227">
        <v>2.1700000000000001E-2</v>
      </c>
      <c r="AI106" s="226">
        <f t="shared" si="15"/>
        <v>2.0438370894763226E-2</v>
      </c>
      <c r="AJ106" s="226">
        <f t="shared" si="15"/>
        <v>1.9250092388567029E-2</v>
      </c>
      <c r="AK106" s="226">
        <f t="shared" si="15"/>
        <v>1.8130899907649375E-2</v>
      </c>
      <c r="AL106" s="226">
        <f t="shared" si="15"/>
        <v>1.707677681881872E-2</v>
      </c>
      <c r="AM106" s="226">
        <f t="shared" si="15"/>
        <v>1.6083940014290869E-2</v>
      </c>
      <c r="AN106" s="226">
        <f t="shared" si="15"/>
        <v>1.5148826334617515E-2</v>
      </c>
      <c r="AO106" s="226">
        <f t="shared" si="15"/>
        <v>1.426807978098015E-2</v>
      </c>
      <c r="AP106" s="226">
        <f t="shared" si="15"/>
        <v>1.3438539470955959E-2</v>
      </c>
      <c r="AQ106" s="226">
        <f t="shared" si="15"/>
        <v>1.2657228294530556E-2</v>
      </c>
      <c r="AR106" s="226">
        <f t="shared" si="15"/>
        <v>1.1921342229645478E-2</v>
      </c>
      <c r="AS106" s="226">
        <f t="shared" si="15"/>
        <v>1.1228240278935386E-2</v>
      </c>
      <c r="AT106" s="226">
        <f t="shared" si="15"/>
        <v>1.057543499153922E-2</v>
      </c>
      <c r="AU106" s="226">
        <f t="shared" si="15"/>
        <v>9.9605835359693907E-3</v>
      </c>
      <c r="AV106" s="226">
        <f t="shared" si="15"/>
        <v>9.38147929200067E-3</v>
      </c>
      <c r="AW106" s="226">
        <f t="shared" si="15"/>
        <v>8.8360439314032445E-3</v>
      </c>
      <c r="AX106" s="226">
        <f t="shared" si="15"/>
        <v>8.3223199590986771E-3</v>
      </c>
      <c r="AY106" s="226">
        <f t="shared" si="13"/>
        <v>7.8384636879700216E-3</v>
      </c>
      <c r="AZ106" s="226">
        <f t="shared" si="13"/>
        <v>7.3827386221135896E-3</v>
      </c>
      <c r="BA106" s="226">
        <f t="shared" si="13"/>
        <v>6.9535092247857483E-3</v>
      </c>
      <c r="BB106" s="226">
        <f t="shared" si="13"/>
        <v>6.5492350486787386E-3</v>
      </c>
      <c r="BC106" s="226">
        <f t="shared" si="13"/>
        <v>6.1684652074598494E-3</v>
      </c>
      <c r="BD106" s="226">
        <f t="shared" si="13"/>
        <v>5.8098331687330401E-3</v>
      </c>
      <c r="BE106" s="226">
        <f t="shared" si="13"/>
        <v>5.472051849735639E-3</v>
      </c>
    </row>
    <row r="107" spans="5:57" s="10" customFormat="1" x14ac:dyDescent="0.35">
      <c r="E107" s="10" t="s">
        <v>637</v>
      </c>
      <c r="F107" s="10" t="s">
        <v>615</v>
      </c>
      <c r="G107" s="43" t="s">
        <v>616</v>
      </c>
      <c r="I107" s="20"/>
      <c r="J107" s="200"/>
      <c r="K107" s="200"/>
      <c r="L107" s="200"/>
      <c r="M107" s="200"/>
      <c r="N107" s="200">
        <v>7.1800000000000003E-2</v>
      </c>
      <c r="O107" s="226">
        <f t="shared" si="14"/>
        <v>6.7645832626181832E-2</v>
      </c>
      <c r="P107" s="226">
        <f t="shared" si="14"/>
        <v>6.3732014926036293E-2</v>
      </c>
      <c r="Q107" s="226">
        <f t="shared" si="14"/>
        <v>6.0044640872088759E-2</v>
      </c>
      <c r="R107" s="226">
        <f t="shared" si="14"/>
        <v>5.6570609004631095E-2</v>
      </c>
      <c r="S107" s="226">
        <f t="shared" si="14"/>
        <v>5.3297575881454728E-2</v>
      </c>
      <c r="T107" s="226">
        <f t="shared" si="14"/>
        <v>5.0213912220865069E-2</v>
      </c>
      <c r="U107" s="226">
        <f t="shared" si="14"/>
        <v>4.730866158215076E-2</v>
      </c>
      <c r="V107" s="226">
        <f t="shared" si="14"/>
        <v>4.4571501436697053E-2</v>
      </c>
      <c r="W107" s="226">
        <f t="shared" si="14"/>
        <v>4.1992706491426626E-2</v>
      </c>
      <c r="X107" s="226">
        <f t="shared" si="14"/>
        <v>3.9563114134253827E-2</v>
      </c>
      <c r="Y107" s="226">
        <f t="shared" si="14"/>
        <v>3.7274091878778032E-2</v>
      </c>
      <c r="Z107" s="226">
        <f t="shared" si="14"/>
        <v>3.5117506692545153E-2</v>
      </c>
      <c r="AA107" s="226">
        <f t="shared" si="14"/>
        <v>3.308569609989874E-2</v>
      </c>
      <c r="AB107" s="226">
        <f t="shared" si="14"/>
        <v>3.117144095674745E-2</v>
      </c>
      <c r="AC107" s="226">
        <f t="shared" si="14"/>
        <v>2.9367939800515976E-2</v>
      </c>
      <c r="AD107" s="226">
        <f t="shared" si="14"/>
        <v>2.7668784684143279E-2</v>
      </c>
      <c r="AE107" s="226">
        <f t="shared" si="12"/>
        <v>2.6067938408264893E-2</v>
      </c>
      <c r="AF107" s="226">
        <f t="shared" si="12"/>
        <v>2.4559713070683893E-2</v>
      </c>
      <c r="AG107" s="226">
        <f t="shared" si="12"/>
        <v>2.3138749856915497E-2</v>
      </c>
      <c r="AH107" s="227">
        <v>2.18E-2</v>
      </c>
      <c r="AI107" s="226">
        <f t="shared" si="15"/>
        <v>2.0538706841932642E-2</v>
      </c>
      <c r="AJ107" s="226">
        <f t="shared" si="15"/>
        <v>1.9350388932974805E-2</v>
      </c>
      <c r="AK107" s="226">
        <f t="shared" si="15"/>
        <v>1.823082410879575E-2</v>
      </c>
      <c r="AL107" s="226">
        <f t="shared" si="15"/>
        <v>1.7176034488871277E-2</v>
      </c>
      <c r="AM107" s="226">
        <f t="shared" si="15"/>
        <v>1.6182272342837225E-2</v>
      </c>
      <c r="AN107" s="226">
        <f t="shared" si="15"/>
        <v>1.5246006774580196E-2</v>
      </c>
      <c r="AO107" s="226">
        <f t="shared" si="15"/>
        <v>1.4363911176753289E-2</v>
      </c>
      <c r="AP107" s="226">
        <f t="shared" si="15"/>
        <v>1.3532851411141997E-2</v>
      </c>
      <c r="AQ107" s="226">
        <f t="shared" si="15"/>
        <v>1.2749874672884402E-2</v>
      </c>
      <c r="AR107" s="226">
        <f t="shared" si="15"/>
        <v>1.2012198998979569E-2</v>
      </c>
      <c r="AS107" s="226">
        <f t="shared" si="15"/>
        <v>1.1317203383807253E-2</v>
      </c>
      <c r="AT107" s="226">
        <f t="shared" si="15"/>
        <v>1.0662418466538775E-2</v>
      </c>
      <c r="AU107" s="226">
        <f t="shared" si="15"/>
        <v>1.0045517757350866E-2</v>
      </c>
      <c r="AV107" s="226">
        <f t="shared" si="15"/>
        <v>9.4643093712687195E-3</v>
      </c>
      <c r="AW107" s="226">
        <f t="shared" si="15"/>
        <v>8.9167282402680768E-3</v>
      </c>
      <c r="AX107" s="226">
        <f t="shared" si="15"/>
        <v>8.4008287759655027E-3</v>
      </c>
      <c r="AY107" s="226">
        <f t="shared" si="13"/>
        <v>7.9147779568269402E-3</v>
      </c>
      <c r="AZ107" s="226">
        <f t="shared" si="13"/>
        <v>7.4568488153329881E-3</v>
      </c>
      <c r="BA107" s="226">
        <f t="shared" si="13"/>
        <v>7.0254143019604113E-3</v>
      </c>
      <c r="BB107" s="226">
        <f t="shared" si="13"/>
        <v>6.6189415041782449E-3</v>
      </c>
      <c r="BC107" s="226">
        <f t="shared" si="13"/>
        <v>6.2359861999182415E-3</v>
      </c>
      <c r="BD107" s="226">
        <f t="shared" si="13"/>
        <v>5.875187726167813E-3</v>
      </c>
      <c r="BE107" s="226">
        <f t="shared" si="13"/>
        <v>5.5352641444532825E-3</v>
      </c>
    </row>
    <row r="108" spans="5:57" s="10" customFormat="1" x14ac:dyDescent="0.35">
      <c r="E108" s="10" t="s">
        <v>638</v>
      </c>
      <c r="F108" s="10" t="s">
        <v>615</v>
      </c>
      <c r="G108" s="43" t="s">
        <v>616</v>
      </c>
      <c r="I108" s="20"/>
      <c r="J108" s="200"/>
      <c r="K108" s="200"/>
      <c r="L108" s="200"/>
      <c r="M108" s="200"/>
      <c r="N108" s="200">
        <v>7.1099999999999997E-2</v>
      </c>
      <c r="O108" s="226">
        <f t="shared" si="14"/>
        <v>6.7049764179460722E-2</v>
      </c>
      <c r="P108" s="226">
        <f t="shared" si="14"/>
        <v>6.3230251427866313E-2</v>
      </c>
      <c r="Q108" s="226">
        <f t="shared" si="14"/>
        <v>5.9628318526672941E-2</v>
      </c>
      <c r="R108" s="226">
        <f t="shared" si="14"/>
        <v>5.6231570965276929E-2</v>
      </c>
      <c r="S108" s="226">
        <f t="shared" si="14"/>
        <v>5.3028320290610817E-2</v>
      </c>
      <c r="T108" s="226">
        <f t="shared" si="14"/>
        <v>5.0007543886334285E-2</v>
      </c>
      <c r="U108" s="226">
        <f t="shared" si="14"/>
        <v>4.7158847043217253E-2</v>
      </c>
      <c r="V108" s="226">
        <f t="shared" si="14"/>
        <v>4.4472427190196562E-2</v>
      </c>
      <c r="W108" s="226">
        <f t="shared" si="14"/>
        <v>4.1939040163022738E-2</v>
      </c>
      <c r="X108" s="226">
        <f t="shared" si="14"/>
        <v>3.9549968394424852E-2</v>
      </c>
      <c r="Y108" s="226">
        <f t="shared" si="14"/>
        <v>3.729699091633349E-2</v>
      </c>
      <c r="Z108" s="226">
        <f t="shared" si="14"/>
        <v>3.5172355070937404E-2</v>
      </c>
      <c r="AA108" s="226">
        <f t="shared" si="14"/>
        <v>3.3168749833229434E-2</v>
      </c>
      <c r="AB108" s="226">
        <f t="shared" si="14"/>
        <v>3.1279280653242772E-2</v>
      </c>
      <c r="AC108" s="226">
        <f t="shared" si="14"/>
        <v>2.9497445731407824E-2</v>
      </c>
      <c r="AD108" s="226">
        <f t="shared" si="14"/>
        <v>2.7817113645391491E-2</v>
      </c>
      <c r="AE108" s="226">
        <f t="shared" si="12"/>
        <v>2.6232502251431204E-2</v>
      </c>
      <c r="AF108" s="226">
        <f t="shared" si="12"/>
        <v>2.4738158787561672E-2</v>
      </c>
      <c r="AG108" s="226">
        <f t="shared" si="12"/>
        <v>2.3328941110268134E-2</v>
      </c>
      <c r="AH108" s="227">
        <v>2.1999999999999999E-2</v>
      </c>
      <c r="AI108" s="226">
        <f t="shared" si="15"/>
        <v>2.0746762474657326E-2</v>
      </c>
      <c r="AJ108" s="226">
        <f t="shared" si="15"/>
        <v>1.9564916053629519E-2</v>
      </c>
      <c r="AK108" s="226">
        <f t="shared" si="15"/>
        <v>1.8450393918239164E-2</v>
      </c>
      <c r="AL108" s="226">
        <f t="shared" si="15"/>
        <v>1.7399360917525912E-2</v>
      </c>
      <c r="AM108" s="226">
        <f t="shared" si="15"/>
        <v>1.6408200371215723E-2</v>
      </c>
      <c r="AN108" s="226">
        <f t="shared" si="15"/>
        <v>1.547350162446349E-2</v>
      </c>
      <c r="AO108" s="226">
        <f t="shared" si="15"/>
        <v>1.4592048311544016E-2</v>
      </c>
      <c r="AP108" s="226">
        <f t="shared" si="15"/>
        <v>1.3760807288105827E-2</v>
      </c>
      <c r="AQ108" s="226">
        <f t="shared" si="15"/>
        <v>1.2976918193902957E-2</v>
      </c>
      <c r="AR108" s="226">
        <f t="shared" si="15"/>
        <v>1.2237683610089265E-2</v>
      </c>
      <c r="AS108" s="226">
        <f t="shared" si="15"/>
        <v>1.1540559777205863E-2</v>
      </c>
      <c r="AT108" s="226">
        <f t="shared" si="15"/>
        <v>1.088314784192156E-2</v>
      </c>
      <c r="AU108" s="226">
        <f t="shared" si="15"/>
        <v>1.0263185602405732E-2</v>
      </c>
      <c r="AV108" s="226">
        <f t="shared" si="15"/>
        <v>9.6785397239288456E-3</v>
      </c>
      <c r="AW108" s="226">
        <f t="shared" si="15"/>
        <v>9.1271983979039663E-3</v>
      </c>
      <c r="AX108" s="226">
        <f t="shared" si="15"/>
        <v>8.607264419108477E-3</v>
      </c>
      <c r="AY108" s="226">
        <f t="shared" si="13"/>
        <v>8.1169486572642245E-3</v>
      </c>
      <c r="AZ108" s="226">
        <f t="shared" si="13"/>
        <v>7.6545639005113457E-3</v>
      </c>
      <c r="BA108" s="226">
        <f t="shared" si="13"/>
        <v>7.218519049590701E-3</v>
      </c>
      <c r="BB108" s="226">
        <f t="shared" si="13"/>
        <v>6.8073136427567018E-3</v>
      </c>
      <c r="BC108" s="226">
        <f t="shared" si="13"/>
        <v>6.4195326925803467E-3</v>
      </c>
      <c r="BD108" s="226">
        <f t="shared" si="13"/>
        <v>6.0538418168755385E-3</v>
      </c>
      <c r="BE108" s="226">
        <f t="shared" si="13"/>
        <v>5.7089826469938531E-3</v>
      </c>
    </row>
    <row r="109" spans="5:57" s="10" customFormat="1" x14ac:dyDescent="0.35">
      <c r="E109" s="10" t="s">
        <v>639</v>
      </c>
      <c r="F109" s="10" t="s">
        <v>615</v>
      </c>
      <c r="G109" s="43" t="s">
        <v>616</v>
      </c>
      <c r="I109" s="20"/>
      <c r="J109" s="200"/>
      <c r="K109" s="200"/>
      <c r="L109" s="200"/>
      <c r="M109" s="200"/>
      <c r="N109" s="200">
        <v>7.0300000000000001E-2</v>
      </c>
      <c r="O109" s="226">
        <f t="shared" si="14"/>
        <v>6.6347898630828198E-2</v>
      </c>
      <c r="P109" s="226">
        <f t="shared" si="14"/>
        <v>6.2617975145471613E-2</v>
      </c>
      <c r="Q109" s="226">
        <f t="shared" si="14"/>
        <v>5.9097739223605554E-2</v>
      </c>
      <c r="R109" s="226">
        <f t="shared" si="14"/>
        <v>5.5775402721463738E-2</v>
      </c>
      <c r="S109" s="226">
        <f t="shared" si="14"/>
        <v>5.2639840197116573E-2</v>
      </c>
      <c r="T109" s="226">
        <f t="shared" si="14"/>
        <v>4.9680551654925832E-2</v>
      </c>
      <c r="U109" s="226">
        <f t="shared" si="14"/>
        <v>4.6887627384418824E-2</v>
      </c>
      <c r="V109" s="226">
        <f t="shared" si="14"/>
        <v>4.4251714775838752E-2</v>
      </c>
      <c r="W109" s="226">
        <f t="shared" si="14"/>
        <v>4.1763987001247109E-2</v>
      </c>
      <c r="X109" s="226">
        <f t="shared" si="14"/>
        <v>3.9416113456301131E-2</v>
      </c>
      <c r="Y109" s="226">
        <f t="shared" si="14"/>
        <v>3.7200231863725328E-2</v>
      </c>
      <c r="Z109" s="226">
        <f t="shared" si="14"/>
        <v>3.5108921945060503E-2</v>
      </c>
      <c r="AA109" s="226">
        <f t="shared" si="14"/>
        <v>3.3135180572525375E-2</v>
      </c>
      <c r="AB109" s="226">
        <f t="shared" si="14"/>
        <v>3.1272398317782384E-2</v>
      </c>
      <c r="AC109" s="226">
        <f t="shared" si="14"/>
        <v>2.9514337319076926E-2</v>
      </c>
      <c r="AD109" s="226">
        <f t="shared" si="14"/>
        <v>2.7855110392634219E-2</v>
      </c>
      <c r="AE109" s="226">
        <f t="shared" si="12"/>
        <v>2.62891613183645E-2</v>
      </c>
      <c r="AF109" s="226">
        <f t="shared" si="12"/>
        <v>2.4811246233859711E-2</v>
      </c>
      <c r="AG109" s="226">
        <f t="shared" si="12"/>
        <v>2.3416416074376133E-2</v>
      </c>
      <c r="AH109" s="227">
        <v>2.2100000000000002E-2</v>
      </c>
      <c r="AI109" s="226">
        <f t="shared" si="15"/>
        <v>2.0857589754499337E-2</v>
      </c>
      <c r="AJ109" s="226">
        <f t="shared" si="15"/>
        <v>1.9685024903483967E-2</v>
      </c>
      <c r="AK109" s="226">
        <f t="shared" si="15"/>
        <v>1.8578378902442145E-2</v>
      </c>
      <c r="AL109" s="226">
        <f t="shared" si="15"/>
        <v>1.7533945947999272E-2</v>
      </c>
      <c r="AM109" s="226">
        <f t="shared" si="15"/>
        <v>1.6548228568368087E-2</v>
      </c>
      <c r="AN109" s="226">
        <f t="shared" si="15"/>
        <v>1.5617925911434724E-2</v>
      </c>
      <c r="AO109" s="226">
        <f t="shared" si="15"/>
        <v>1.4739922691261112E-2</v>
      </c>
      <c r="AP109" s="226">
        <f t="shared" si="15"/>
        <v>1.391127875598914E-2</v>
      </c>
      <c r="AQ109" s="226">
        <f t="shared" si="15"/>
        <v>1.312921924221282E-2</v>
      </c>
      <c r="AR109" s="226">
        <f t="shared" si="15"/>
        <v>1.2391125282848581E-2</v>
      </c>
      <c r="AS109" s="226">
        <f t="shared" si="15"/>
        <v>1.169452523738734E-2</v>
      </c>
      <c r="AT109" s="226">
        <f t="shared" si="15"/>
        <v>1.103708641516127E-2</v>
      </c>
      <c r="AU109" s="226">
        <f t="shared" si="15"/>
        <v>1.0416607263909116E-2</v>
      </c>
      <c r="AV109" s="226">
        <f t="shared" si="15"/>
        <v>9.8310099974820864E-3</v>
      </c>
      <c r="AW109" s="226">
        <f t="shared" si="15"/>
        <v>9.2783336380028465E-3</v>
      </c>
      <c r="AX109" s="226">
        <f t="shared" si="15"/>
        <v>8.7567274491780409E-3</v>
      </c>
      <c r="AY109" s="226">
        <f t="shared" si="13"/>
        <v>8.2644447387746154E-3</v>
      </c>
      <c r="AZ109" s="226">
        <f t="shared" si="13"/>
        <v>7.7998370095063952E-3</v>
      </c>
      <c r="BA109" s="226">
        <f t="shared" si="13"/>
        <v>7.3613484387441315E-3</v>
      </c>
      <c r="BB109" s="226">
        <f t="shared" si="13"/>
        <v>6.9475106685633154E-3</v>
      </c>
      <c r="BC109" s="226">
        <f t="shared" si="13"/>
        <v>6.5569378886833046E-3</v>
      </c>
      <c r="BD109" s="226">
        <f t="shared" si="13"/>
        <v>6.1883221958320992E-3</v>
      </c>
      <c r="BE109" s="226">
        <f t="shared" si="13"/>
        <v>5.8404292139967607E-3</v>
      </c>
    </row>
    <row r="110" spans="5:57" s="10" customFormat="1" x14ac:dyDescent="0.35">
      <c r="E110" s="10" t="s">
        <v>640</v>
      </c>
      <c r="F110" s="10" t="s">
        <v>615</v>
      </c>
      <c r="G110" s="43" t="s">
        <v>616</v>
      </c>
      <c r="I110" s="20"/>
      <c r="J110" s="200"/>
      <c r="K110" s="200"/>
      <c r="L110" s="200"/>
      <c r="M110" s="200"/>
      <c r="N110" s="200">
        <v>6.9599999999999995E-2</v>
      </c>
      <c r="O110" s="226">
        <f t="shared" si="14"/>
        <v>6.5734963534748059E-2</v>
      </c>
      <c r="P110" s="226">
        <f t="shared" si="14"/>
        <v>6.20845607890037E-2</v>
      </c>
      <c r="Q110" s="226">
        <f t="shared" si="14"/>
        <v>5.8636872694482874E-2</v>
      </c>
      <c r="R110" s="226">
        <f t="shared" si="14"/>
        <v>5.538064207418817E-2</v>
      </c>
      <c r="S110" s="226">
        <f t="shared" si="14"/>
        <v>5.2305236886173764E-2</v>
      </c>
      <c r="T110" s="226">
        <f t="shared" si="14"/>
        <v>4.9400615508462531E-2</v>
      </c>
      <c r="U110" s="226">
        <f t="shared" si="14"/>
        <v>4.6657293951765724E-2</v>
      </c>
      <c r="V110" s="226">
        <f t="shared" si="14"/>
        <v>4.4066314892950306E-2</v>
      </c>
      <c r="W110" s="226">
        <f t="shared" si="14"/>
        <v>4.1619218428143881E-2</v>
      </c>
      <c r="X110" s="226">
        <f t="shared" si="14"/>
        <v>3.9308014449982082E-2</v>
      </c>
      <c r="Y110" s="226">
        <f t="shared" si="14"/>
        <v>3.7125156558806355E-2</v>
      </c>
      <c r="Z110" s="226">
        <f t="shared" si="14"/>
        <v>3.5063517422628573E-2</v>
      </c>
      <c r="AA110" s="226">
        <f t="shared" si="14"/>
        <v>3.3116365505409383E-2</v>
      </c>
      <c r="AB110" s="226">
        <f t="shared" si="14"/>
        <v>3.1277343087664868E-2</v>
      </c>
      <c r="AC110" s="226">
        <f t="shared" si="14"/>
        <v>2.9540445507635842E-2</v>
      </c>
      <c r="AD110" s="226">
        <f t="shared" si="14"/>
        <v>2.7900001555239289E-2</v>
      </c>
      <c r="AE110" s="226">
        <f t="shared" si="12"/>
        <v>2.6350654954785474E-2</v>
      </c>
      <c r="AF110" s="226">
        <f t="shared" si="12"/>
        <v>2.4887346875999306E-2</v>
      </c>
      <c r="AG110" s="226">
        <f t="shared" si="12"/>
        <v>2.3505299416241961E-2</v>
      </c>
      <c r="AH110" s="227">
        <v>2.2200000000000001E-2</v>
      </c>
      <c r="AI110" s="226">
        <f t="shared" si="15"/>
        <v>2.0967186644704126E-2</v>
      </c>
      <c r="AJ110" s="226">
        <f t="shared" si="15"/>
        <v>1.9802834044768427E-2</v>
      </c>
      <c r="AK110" s="226">
        <f t="shared" si="15"/>
        <v>1.8703140428412646E-2</v>
      </c>
      <c r="AL110" s="226">
        <f t="shared" si="15"/>
        <v>1.7664515144353125E-2</v>
      </c>
      <c r="AM110" s="226">
        <f t="shared" si="15"/>
        <v>1.6683566937831289E-2</v>
      </c>
      <c r="AN110" s="226">
        <f t="shared" si="15"/>
        <v>1.5757092877699257E-2</v>
      </c>
      <c r="AO110" s="226">
        <f t="shared" si="15"/>
        <v>1.4882067898408034E-2</v>
      </c>
      <c r="AP110" s="226">
        <f t="shared" si="15"/>
        <v>1.4055634922751394E-2</v>
      </c>
      <c r="AQ110" s="226">
        <f t="shared" si="15"/>
        <v>1.3275095533114862E-2</v>
      </c>
      <c r="AR110" s="226">
        <f t="shared" si="15"/>
        <v>1.253790116077015E-2</v>
      </c>
      <c r="AS110" s="226">
        <f t="shared" si="15"/>
        <v>1.1841644764446857E-2</v>
      </c>
      <c r="AT110" s="226">
        <f t="shared" si="15"/>
        <v>1.1184052971010841E-2</v>
      </c>
      <c r="AU110" s="226">
        <f t="shared" si="15"/>
        <v>1.0562978652587478E-2</v>
      </c>
      <c r="AV110" s="226">
        <f t="shared" si="15"/>
        <v>9.9763939158931062E-3</v>
      </c>
      <c r="AW110" s="226">
        <f t="shared" si="15"/>
        <v>9.4223834808838478E-3</v>
      </c>
      <c r="AX110" s="226">
        <f t="shared" si="15"/>
        <v>8.8991384271021878E-3</v>
      </c>
      <c r="AY110" s="226">
        <f t="shared" si="13"/>
        <v>8.4049502873022649E-3</v>
      </c>
      <c r="AZ110" s="226">
        <f t="shared" si="13"/>
        <v>7.9382054690687459E-3</v>
      </c>
      <c r="BA110" s="226">
        <f t="shared" si="13"/>
        <v>7.4973799862151106E-3</v>
      </c>
      <c r="BB110" s="226">
        <f t="shared" si="13"/>
        <v>7.0810344827586247E-3</v>
      </c>
      <c r="BC110" s="226">
        <f t="shared" si="13"/>
        <v>6.6878095332245958E-3</v>
      </c>
      <c r="BD110" s="226">
        <f t="shared" si="13"/>
        <v>6.3164212039347606E-3</v>
      </c>
      <c r="BE110" s="226">
        <f t="shared" si="13"/>
        <v>5.9656568607867957E-3</v>
      </c>
    </row>
    <row r="111" spans="5:57" s="10" customFormat="1" x14ac:dyDescent="0.35">
      <c r="E111" s="10" t="s">
        <v>641</v>
      </c>
      <c r="F111" s="10" t="s">
        <v>615</v>
      </c>
      <c r="G111" s="43" t="s">
        <v>616</v>
      </c>
      <c r="I111" s="20"/>
      <c r="J111" s="200"/>
      <c r="K111" s="200"/>
      <c r="L111" s="200"/>
      <c r="M111" s="200"/>
      <c r="N111" s="200">
        <v>6.8900000000000003E-2</v>
      </c>
      <c r="O111" s="226">
        <f t="shared" si="14"/>
        <v>6.5135936512040721E-2</v>
      </c>
      <c r="P111" s="226">
        <f t="shared" si="14"/>
        <v>6.1577506898412182E-2</v>
      </c>
      <c r="Q111" s="226">
        <f t="shared" si="14"/>
        <v>5.8213477211969893E-2</v>
      </c>
      <c r="R111" s="226">
        <f t="shared" si="14"/>
        <v>5.5033227225312051E-2</v>
      </c>
      <c r="S111" s="226">
        <f t="shared" si="14"/>
        <v>5.2026716902766862E-2</v>
      </c>
      <c r="T111" s="226">
        <f t="shared" si="14"/>
        <v>4.9184454704042646E-2</v>
      </c>
      <c r="U111" s="226">
        <f t="shared" si="14"/>
        <v>4.6497467619475534E-2</v>
      </c>
      <c r="V111" s="226">
        <f t="shared" si="14"/>
        <v>4.3957272842276164E-2</v>
      </c>
      <c r="W111" s="226">
        <f t="shared" si="14"/>
        <v>4.1555850988344731E-2</v>
      </c>
      <c r="X111" s="226">
        <f t="shared" si="14"/>
        <v>3.9285620779109534E-2</v>
      </c>
      <c r="Y111" s="226">
        <f t="shared" si="14"/>
        <v>3.7139415107462791E-2</v>
      </c>
      <c r="Z111" s="226">
        <f t="shared" si="14"/>
        <v>3.5110458411233995E-2</v>
      </c>
      <c r="AA111" s="226">
        <f t="shared" si="14"/>
        <v>3.3192345282768994E-2</v>
      </c>
      <c r="AB111" s="226">
        <f t="shared" si="14"/>
        <v>3.1379020247085276E-2</v>
      </c>
      <c r="AC111" s="226">
        <f t="shared" si="14"/>
        <v>2.9664758644763235E-2</v>
      </c>
      <c r="AD111" s="226">
        <f t="shared" si="14"/>
        <v>2.8044148559220744E-2</v>
      </c>
      <c r="AE111" s="226">
        <f t="shared" si="12"/>
        <v>2.651207373131554E-2</v>
      </c>
      <c r="AF111" s="226">
        <f t="shared" si="12"/>
        <v>2.5063697407336889E-2</v>
      </c>
      <c r="AG111" s="226">
        <f t="shared" si="12"/>
        <v>2.3694447069394706E-2</v>
      </c>
      <c r="AH111" s="227">
        <v>2.24E-2</v>
      </c>
      <c r="AI111" s="226">
        <f t="shared" si="15"/>
        <v>2.1176269635264328E-2</v>
      </c>
      <c r="AJ111" s="226">
        <f t="shared" si="15"/>
        <v>2.0019392663634731E-2</v>
      </c>
      <c r="AK111" s="226">
        <f t="shared" si="15"/>
        <v>1.8925716829435786E-2</v>
      </c>
      <c r="AL111" s="226">
        <f t="shared" si="15"/>
        <v>1.7891789402713933E-2</v>
      </c>
      <c r="AM111" s="226">
        <f t="shared" si="15"/>
        <v>1.6914346278983711E-2</v>
      </c>
      <c r="AN111" s="226">
        <f t="shared" si="15"/>
        <v>1.5990301674463792E-2</v>
      </c>
      <c r="AO111" s="226">
        <f t="shared" si="15"/>
        <v>1.5116738384270712E-2</v>
      </c>
      <c r="AP111" s="226">
        <f t="shared" si="15"/>
        <v>1.4290898572815474E-2</v>
      </c>
      <c r="AQ111" s="226">
        <f t="shared" si="15"/>
        <v>1.3510175067328331E-2</v>
      </c>
      <c r="AR111" s="226">
        <f t="shared" si="15"/>
        <v>1.2772103127025453E-2</v>
      </c>
      <c r="AS111" s="226">
        <f t="shared" si="15"/>
        <v>1.2074352661932753E-2</v>
      </c>
      <c r="AT111" s="226">
        <f t="shared" si="15"/>
        <v>1.1414720876801766E-2</v>
      </c>
      <c r="AU111" s="226">
        <f t="shared" si="15"/>
        <v>1.0791125316894421E-2</v>
      </c>
      <c r="AV111" s="226">
        <f t="shared" si="15"/>
        <v>1.0201597293682297E-2</v>
      </c>
      <c r="AW111" s="226">
        <f t="shared" si="15"/>
        <v>9.6442756697053197E-3</v>
      </c>
      <c r="AX111" s="226">
        <f t="shared" si="15"/>
        <v>9.117400982968718E-3</v>
      </c>
      <c r="AY111" s="226">
        <f t="shared" si="13"/>
        <v>8.6193098923289992E-3</v>
      </c>
      <c r="AZ111" s="226">
        <f t="shared" si="13"/>
        <v>8.1484299263330368E-3</v>
      </c>
      <c r="BA111" s="226">
        <f t="shared" si="13"/>
        <v>7.7032745189323853E-3</v>
      </c>
      <c r="BB111" s="226">
        <f t="shared" si="13"/>
        <v>7.2824383164005937E-3</v>
      </c>
      <c r="BC111" s="226">
        <f t="shared" si="13"/>
        <v>6.8845927406374716E-3</v>
      </c>
      <c r="BD111" s="226">
        <f t="shared" si="13"/>
        <v>6.5084817948536837E-3</v>
      </c>
      <c r="BE111" s="226">
        <f t="shared" si="13"/>
        <v>6.1529180983942288E-3</v>
      </c>
    </row>
    <row r="112" spans="5:57" s="10" customFormat="1" x14ac:dyDescent="0.35">
      <c r="E112" s="10" t="s">
        <v>642</v>
      </c>
      <c r="F112" s="10" t="s">
        <v>615</v>
      </c>
      <c r="G112" s="43" t="s">
        <v>616</v>
      </c>
      <c r="I112" s="20"/>
      <c r="J112" s="200"/>
      <c r="K112" s="200"/>
      <c r="L112" s="200"/>
      <c r="M112" s="200"/>
      <c r="N112" s="200">
        <v>6.8199999999999997E-2</v>
      </c>
      <c r="O112" s="226">
        <f t="shared" si="14"/>
        <v>6.4521474222092673E-2</v>
      </c>
      <c r="P112" s="226">
        <f t="shared" si="14"/>
        <v>6.1041358296072865E-2</v>
      </c>
      <c r="Q112" s="226">
        <f t="shared" si="14"/>
        <v>5.7748950524656721E-2</v>
      </c>
      <c r="R112" s="226">
        <f t="shared" si="14"/>
        <v>5.4634126431518236E-2</v>
      </c>
      <c r="S112" s="226">
        <f t="shared" si="14"/>
        <v>5.1687307627533076E-2</v>
      </c>
      <c r="T112" s="226">
        <f t="shared" si="14"/>
        <v>4.889943235629398E-2</v>
      </c>
      <c r="U112" s="226">
        <f t="shared" si="14"/>
        <v>4.6261927628322382E-2</v>
      </c>
      <c r="V112" s="226">
        <f t="shared" si="14"/>
        <v>4.3766682858286207E-2</v>
      </c>
      <c r="W112" s="226">
        <f t="shared" si="14"/>
        <v>4.1406024924155703E-2</v>
      </c>
      <c r="X112" s="226">
        <f t="shared" si="14"/>
        <v>3.9172694571601746E-2</v>
      </c>
      <c r="Y112" s="226">
        <f t="shared" si="14"/>
        <v>3.7059824091077886E-2</v>
      </c>
      <c r="Z112" s="226">
        <f t="shared" si="14"/>
        <v>3.5060916198940924E-2</v>
      </c>
      <c r="AA112" s="226">
        <f t="shared" si="14"/>
        <v>3.3169824057667427E-2</v>
      </c>
      <c r="AB112" s="226">
        <f t="shared" si="14"/>
        <v>3.1380732373726371E-2</v>
      </c>
      <c r="AC112" s="226">
        <f t="shared" si="14"/>
        <v>2.9688139514982038E-2</v>
      </c>
      <c r="AD112" s="226">
        <f t="shared" si="14"/>
        <v>2.8086840592636431E-2</v>
      </c>
      <c r="AE112" s="226">
        <f t="shared" si="12"/>
        <v>2.6571911455686475E-2</v>
      </c>
      <c r="AF112" s="226">
        <f t="shared" si="12"/>
        <v>2.5138693548677475E-2</v>
      </c>
      <c r="AG112" s="226">
        <f t="shared" si="12"/>
        <v>2.3782779586188872E-2</v>
      </c>
      <c r="AH112" s="227">
        <v>2.2499999999999999E-2</v>
      </c>
      <c r="AI112" s="226">
        <f t="shared" si="15"/>
        <v>2.1286410117259312E-2</v>
      </c>
      <c r="AJ112" s="226">
        <f t="shared" si="15"/>
        <v>2.0138278030229318E-2</v>
      </c>
      <c r="AK112" s="226">
        <f t="shared" si="15"/>
        <v>1.9052073120304637E-2</v>
      </c>
      <c r="AL112" s="226">
        <f t="shared" si="15"/>
        <v>1.8024455201014082E-2</v>
      </c>
      <c r="AM112" s="226">
        <f t="shared" si="15"/>
        <v>1.7052264246620152E-2</v>
      </c>
      <c r="AN112" s="226">
        <f t="shared" si="15"/>
        <v>1.613251067473042E-2</v>
      </c>
      <c r="AO112" s="226">
        <f t="shared" si="15"/>
        <v>1.5262366153038911E-2</v>
      </c>
      <c r="AP112" s="226">
        <f t="shared" si="15"/>
        <v>1.443915490192727E-2</v>
      </c>
      <c r="AQ112" s="226">
        <f t="shared" si="15"/>
        <v>1.3660345466180402E-2</v>
      </c>
      <c r="AR112" s="226">
        <f t="shared" si="15"/>
        <v>1.2923542930513773E-2</v>
      </c>
      <c r="AS112" s="226">
        <f t="shared" si="15"/>
        <v>1.2226481554974376E-2</v>
      </c>
      <c r="AT112" s="226">
        <f t="shared" si="15"/>
        <v>1.1567017807568487E-2</v>
      </c>
      <c r="AU112" s="226">
        <f t="shared" si="15"/>
        <v>1.0943123772690865E-2</v>
      </c>
      <c r="AV112" s="226">
        <f t="shared" si="15"/>
        <v>1.0352880915085677E-2</v>
      </c>
      <c r="AW112" s="226">
        <f t="shared" si="15"/>
        <v>9.7944741801626947E-3</v>
      </c>
      <c r="AX112" s="226">
        <f t="shared" si="15"/>
        <v>9.2661864125266804E-3</v>
      </c>
      <c r="AY112" s="226">
        <f t="shared" si="13"/>
        <v>8.7663930755563866E-3</v>
      </c>
      <c r="AZ112" s="226">
        <f t="shared" si="13"/>
        <v>8.2935572557953537E-3</v>
      </c>
      <c r="BA112" s="226">
        <f t="shared" si="13"/>
        <v>7.8462249367925157E-3</v>
      </c>
      <c r="BB112" s="226">
        <f t="shared" si="13"/>
        <v>7.4230205278592231E-3</v>
      </c>
      <c r="BC112" s="226">
        <f t="shared" si="13"/>
        <v>7.0226426339931617E-3</v>
      </c>
      <c r="BD112" s="226">
        <f t="shared" si="13"/>
        <v>6.6438600539612726E-3</v>
      </c>
      <c r="BE112" s="226">
        <f t="shared" si="13"/>
        <v>6.2855079942353885E-3</v>
      </c>
    </row>
    <row r="113" spans="5:57" s="10" customFormat="1" x14ac:dyDescent="0.35">
      <c r="E113" s="109" t="s">
        <v>643</v>
      </c>
      <c r="F113" s="10" t="s">
        <v>615</v>
      </c>
      <c r="G113" s="43" t="s">
        <v>616</v>
      </c>
      <c r="I113" s="20"/>
      <c r="J113" s="200"/>
      <c r="K113" s="200"/>
      <c r="L113" s="200"/>
      <c r="M113" s="200"/>
      <c r="N113" s="200">
        <v>6.7900000000000002E-2</v>
      </c>
      <c r="O113" s="226">
        <f t="shared" si="14"/>
        <v>6.420870845929888E-2</v>
      </c>
      <c r="P113" s="226">
        <f t="shared" si="14"/>
        <v>6.0718088983965239E-2</v>
      </c>
      <c r="Q113" s="226">
        <f t="shared" si="14"/>
        <v>5.7417232308942433E-2</v>
      </c>
      <c r="R113" s="226">
        <f t="shared" si="14"/>
        <v>5.4295822236593828E-2</v>
      </c>
      <c r="S113" s="226">
        <f t="shared" si="14"/>
        <v>5.1344103395395739E-2</v>
      </c>
      <c r="T113" s="226">
        <f t="shared" si="14"/>
        <v>4.8552850751385317E-2</v>
      </c>
      <c r="U113" s="226">
        <f t="shared" si="14"/>
        <v>4.591334077707733E-2</v>
      </c>
      <c r="V113" s="226">
        <f t="shared" si="14"/>
        <v>4.3417324187743703E-2</v>
      </c>
      <c r="W113" s="226">
        <f t="shared" si="14"/>
        <v>4.1057000159848325E-2</v>
      </c>
      <c r="X113" s="226">
        <f t="shared" si="14"/>
        <v>3.8824991951061691E-2</v>
      </c>
      <c r="Y113" s="226">
        <f t="shared" si="14"/>
        <v>3.6714323845660465E-2</v>
      </c>
      <c r="Z113" s="226">
        <f t="shared" si="14"/>
        <v>3.4718399353259169E-2</v>
      </c>
      <c r="AA113" s="226">
        <f t="shared" si="14"/>
        <v>3.2830980592738278E-2</v>
      </c>
      <c r="AB113" s="226">
        <f t="shared" si="14"/>
        <v>3.1046168796937137E-2</v>
      </c>
      <c r="AC113" s="226">
        <f t="shared" si="14"/>
        <v>2.9358385877182893E-2</v>
      </c>
      <c r="AD113" s="226">
        <f t="shared" si="14"/>
        <v>2.7762356990038792E-2</v>
      </c>
      <c r="AE113" s="226">
        <f t="shared" si="12"/>
        <v>2.6253094051787617E-2</v>
      </c>
      <c r="AF113" s="226">
        <f t="shared" si="12"/>
        <v>2.4825880149127906E-2</v>
      </c>
      <c r="AG113" s="226">
        <f t="shared" si="12"/>
        <v>2.347625479736155E-2</v>
      </c>
      <c r="AH113" s="227">
        <v>2.2200000000000001E-2</v>
      </c>
      <c r="AI113" s="226">
        <f t="shared" si="15"/>
        <v>2.0993127066221431E-2</v>
      </c>
      <c r="AJ113" s="226">
        <f t="shared" si="15"/>
        <v>1.9851864144978325E-2</v>
      </c>
      <c r="AK113" s="226">
        <f t="shared" si="15"/>
        <v>1.8772644436797083E-2</v>
      </c>
      <c r="AL113" s="226">
        <f t="shared" si="15"/>
        <v>1.7752095046426847E-2</v>
      </c>
      <c r="AM113" s="226">
        <f t="shared" si="15"/>
        <v>1.6787026441499046E-2</v>
      </c>
      <c r="AN113" s="226">
        <f t="shared" si="15"/>
        <v>1.5874422484252634E-2</v>
      </c>
      <c r="AO113" s="226">
        <f t="shared" si="15"/>
        <v>1.5011431005171083E-2</v>
      </c>
      <c r="AP113" s="226">
        <f t="shared" si="15"/>
        <v>1.419535488907084E-2</v>
      </c>
      <c r="AQ113" s="226">
        <f t="shared" si="15"/>
        <v>1.3423643645782512E-2</v>
      </c>
      <c r="AR113" s="226">
        <f t="shared" si="15"/>
        <v>1.2693885439080548E-2</v>
      </c>
      <c r="AS113" s="226">
        <f t="shared" si="15"/>
        <v>1.2003799548949368E-2</v>
      </c>
      <c r="AT113" s="226">
        <f t="shared" si="15"/>
        <v>1.1351229243628179E-2</v>
      </c>
      <c r="AU113" s="226">
        <f t="shared" si="15"/>
        <v>1.0734135039157431E-2</v>
      </c>
      <c r="AV113" s="226">
        <f t="shared" si="15"/>
        <v>1.0150588325360888E-2</v>
      </c>
      <c r="AW113" s="226">
        <f t="shared" si="15"/>
        <v>9.5987653383425645E-3</v>
      </c>
      <c r="AX113" s="226">
        <f t="shared" si="15"/>
        <v>9.0769414606606934E-3</v>
      </c>
      <c r="AY113" s="226">
        <f t="shared" si="13"/>
        <v>8.583485831365022E-3</v>
      </c>
      <c r="AZ113" s="226">
        <f t="shared" si="13"/>
        <v>8.1168562490521266E-3</v>
      </c>
      <c r="BA113" s="226">
        <f t="shared" si="13"/>
        <v>7.6755943520092238E-3</v>
      </c>
      <c r="BB113" s="226">
        <f t="shared" si="13"/>
        <v>7.2583210603829364E-3</v>
      </c>
      <c r="BC113" s="226">
        <f t="shared" si="13"/>
        <v>6.8637322661283815E-3</v>
      </c>
      <c r="BD113" s="226">
        <f t="shared" si="13"/>
        <v>6.4905947572683372E-3</v>
      </c>
      <c r="BE113" s="226">
        <f t="shared" si="13"/>
        <v>6.1377423637245425E-3</v>
      </c>
    </row>
    <row r="114" spans="5:57" s="10" customFormat="1" x14ac:dyDescent="0.35">
      <c r="E114" s="109" t="s">
        <v>644</v>
      </c>
      <c r="F114" s="10" t="s">
        <v>615</v>
      </c>
      <c r="G114" s="43" t="s">
        <v>616</v>
      </c>
      <c r="I114" s="20"/>
      <c r="J114" s="200"/>
      <c r="K114" s="200"/>
      <c r="L114" s="200"/>
      <c r="M114" s="200"/>
      <c r="N114" s="200">
        <v>6.7500000000000004E-2</v>
      </c>
      <c r="O114" s="226">
        <f t="shared" si="14"/>
        <v>6.3820428859228701E-2</v>
      </c>
      <c r="P114" s="226">
        <f t="shared" si="14"/>
        <v>6.034143910779069E-2</v>
      </c>
      <c r="Q114" s="226">
        <f t="shared" si="14"/>
        <v>5.705209661988498E-2</v>
      </c>
      <c r="R114" s="226">
        <f t="shared" si="14"/>
        <v>5.3942063312580911E-2</v>
      </c>
      <c r="S114" s="226">
        <f t="shared" si="14"/>
        <v>5.1001564654230822E-2</v>
      </c>
      <c r="T114" s="226">
        <f t="shared" si="14"/>
        <v>4.8221358944069502E-2</v>
      </c>
      <c r="U114" s="226">
        <f t="shared" si="14"/>
        <v>4.5592708266449178E-2</v>
      </c>
      <c r="V114" s="226">
        <f t="shared" si="14"/>
        <v>4.3107351028422045E-2</v>
      </c>
      <c r="W114" s="226">
        <f t="shared" si="14"/>
        <v>4.0757475994358638E-2</v>
      </c>
      <c r="X114" s="226">
        <f t="shared" si="14"/>
        <v>3.8535697735995363E-2</v>
      </c>
      <c r="Y114" s="226">
        <f t="shared" si="14"/>
        <v>3.6435033420753077E-2</v>
      </c>
      <c r="Z114" s="226">
        <f t="shared" si="14"/>
        <v>3.4448880865374697E-2</v>
      </c>
      <c r="AA114" s="226">
        <f t="shared" si="14"/>
        <v>3.2570997785906532E-2</v>
      </c>
      <c r="AB114" s="226">
        <f t="shared" si="14"/>
        <v>3.0795482178808051E-2</v>
      </c>
      <c r="AC114" s="226">
        <f t="shared" si="14"/>
        <v>2.9116753771529846E-2</v>
      </c>
      <c r="AD114" s="226">
        <f t="shared" si="14"/>
        <v>2.7529536484260732E-2</v>
      </c>
      <c r="AE114" s="226">
        <f t="shared" si="12"/>
        <v>2.602884184772301E-2</v>
      </c>
      <c r="AF114" s="226">
        <f t="shared" si="12"/>
        <v>2.4609953324899576E-2</v>
      </c>
      <c r="AG114" s="226">
        <f t="shared" si="12"/>
        <v>2.3268411487417665E-2</v>
      </c>
      <c r="AH114" s="227">
        <v>2.1999999999999999E-2</v>
      </c>
      <c r="AI114" s="226">
        <f t="shared" si="15"/>
        <v>2.0800732368933799E-2</v>
      </c>
      <c r="AJ114" s="226">
        <f t="shared" si="15"/>
        <v>1.9666839412909559E-2</v>
      </c>
      <c r="AK114" s="226">
        <f t="shared" si="15"/>
        <v>1.8594757416851404E-2</v>
      </c>
      <c r="AL114" s="226">
        <f t="shared" si="15"/>
        <v>1.7581116931507858E-2</v>
      </c>
      <c r="AM114" s="226">
        <f t="shared" si="15"/>
        <v>1.6622732183601163E-2</v>
      </c>
      <c r="AN114" s="226">
        <f t="shared" si="15"/>
        <v>1.5716591063252287E-2</v>
      </c>
      <c r="AO114" s="226">
        <f t="shared" si="15"/>
        <v>1.4859845657213069E-2</v>
      </c>
      <c r="AP114" s="226">
        <f t="shared" si="15"/>
        <v>1.4049803298152374E-2</v>
      </c>
      <c r="AQ114" s="226">
        <f t="shared" si="15"/>
        <v>1.3283918101865043E-2</v>
      </c>
      <c r="AR114" s="226">
        <f t="shared" si="15"/>
        <v>1.2559782965805901E-2</v>
      </c>
      <c r="AS114" s="226">
        <f t="shared" si="15"/>
        <v>1.1875122003801006E-2</v>
      </c>
      <c r="AT114" s="226">
        <f t="shared" si="15"/>
        <v>1.1227783393159163E-2</v>
      </c>
      <c r="AU114" s="226">
        <f t="shared" si="15"/>
        <v>1.0615732611702872E-2</v>
      </c>
      <c r="AV114" s="226">
        <f t="shared" si="15"/>
        <v>1.0037046043463366E-2</v>
      </c>
      <c r="AW114" s="226">
        <f t="shared" si="15"/>
        <v>9.4899049329430617E-3</v>
      </c>
      <c r="AX114" s="226">
        <f t="shared" si="15"/>
        <v>8.9725896689442398E-3</v>
      </c>
      <c r="AY114" s="226">
        <f t="shared" si="13"/>
        <v>8.483474379998612E-3</v>
      </c>
      <c r="AZ114" s="226">
        <f t="shared" si="13"/>
        <v>8.0210218244117139E-3</v>
      </c>
      <c r="BA114" s="226">
        <f t="shared" si="13"/>
        <v>7.5837785588620532E-3</v>
      </c>
      <c r="BB114" s="226">
        <f t="shared" si="13"/>
        <v>7.1703703703703651E-3</v>
      </c>
      <c r="BC114" s="226">
        <f t="shared" si="13"/>
        <v>6.7794979572821223E-3</v>
      </c>
      <c r="BD114" s="226">
        <f t="shared" si="13"/>
        <v>6.4099328456890372E-3</v>
      </c>
      <c r="BE114" s="226">
        <f t="shared" si="13"/>
        <v>6.0605135284552683E-3</v>
      </c>
    </row>
    <row r="115" spans="5:57" s="10" customFormat="1" x14ac:dyDescent="0.35">
      <c r="E115" s="109" t="s">
        <v>645</v>
      </c>
      <c r="F115" s="10" t="s">
        <v>615</v>
      </c>
      <c r="G115" s="43" t="s">
        <v>616</v>
      </c>
      <c r="I115" s="20"/>
      <c r="J115" s="200"/>
      <c r="K115" s="200"/>
      <c r="L115" s="200"/>
      <c r="M115" s="200"/>
      <c r="N115" s="200">
        <v>6.7100000000000007E-2</v>
      </c>
      <c r="O115" s="226">
        <f t="shared" si="14"/>
        <v>6.3417538444604404E-2</v>
      </c>
      <c r="P115" s="226">
        <f t="shared" si="14"/>
        <v>5.9937171123291756E-2</v>
      </c>
      <c r="Q115" s="226">
        <f t="shared" si="14"/>
        <v>5.664780706366896E-2</v>
      </c>
      <c r="R115" s="226">
        <f t="shared" si="14"/>
        <v>5.3538963968148411E-2</v>
      </c>
      <c r="S115" s="226">
        <f t="shared" si="14"/>
        <v>5.0600734809751732E-2</v>
      </c>
      <c r="T115" s="226">
        <f t="shared" si="14"/>
        <v>4.7823756261142505E-2</v>
      </c>
      <c r="U115" s="226">
        <f t="shared" si="14"/>
        <v>4.5199178856280102E-2</v>
      </c>
      <c r="V115" s="226">
        <f t="shared" si="14"/>
        <v>4.2718638789607952E-2</v>
      </c>
      <c r="W115" s="226">
        <f t="shared" si="14"/>
        <v>4.037423126290806E-2</v>
      </c>
      <c r="X115" s="226">
        <f t="shared" si="14"/>
        <v>3.8158485294885552E-2</v>
      </c>
      <c r="Y115" s="226">
        <f t="shared" si="14"/>
        <v>3.6064339913208288E-2</v>
      </c>
      <c r="Z115" s="226">
        <f t="shared" si="14"/>
        <v>3.4085121653132149E-2</v>
      </c>
      <c r="AA115" s="226">
        <f t="shared" si="14"/>
        <v>3.2214523291006346E-2</v>
      </c>
      <c r="AB115" s="226">
        <f t="shared" si="14"/>
        <v>3.0446583744888206E-2</v>
      </c>
      <c r="AC115" s="226">
        <f t="shared" si="14"/>
        <v>2.8775669078216319E-2</v>
      </c>
      <c r="AD115" s="226">
        <f t="shared" si="14"/>
        <v>2.7196454546005919E-2</v>
      </c>
      <c r="AE115" s="226">
        <f t="shared" si="12"/>
        <v>2.57039076263527E-2</v>
      </c>
      <c r="AF115" s="226">
        <f t="shared" si="12"/>
        <v>2.4293271983171123E-2</v>
      </c>
      <c r="AG115" s="226">
        <f t="shared" si="12"/>
        <v>2.2960052309060886E-2</v>
      </c>
      <c r="AH115" s="227">
        <v>2.1700000000000001E-2</v>
      </c>
      <c r="AI115" s="226">
        <f t="shared" si="15"/>
        <v>2.0509099616213344E-2</v>
      </c>
      <c r="AJ115" s="226">
        <f t="shared" si="15"/>
        <v>1.9383556086071996E-2</v>
      </c>
      <c r="AK115" s="226">
        <f t="shared" si="15"/>
        <v>1.8319782612244654E-2</v>
      </c>
      <c r="AL115" s="226">
        <f t="shared" si="15"/>
        <v>1.7314389241562152E-2</v>
      </c>
      <c r="AM115" s="226">
        <f t="shared" si="15"/>
        <v>1.6364172062170081E-2</v>
      </c>
      <c r="AN115" s="226">
        <f t="shared" si="15"/>
        <v>1.5466102993543849E-2</v>
      </c>
      <c r="AO115" s="226">
        <f t="shared" si="15"/>
        <v>1.4617320136829778E-2</v>
      </c>
      <c r="AP115" s="226">
        <f t="shared" si="15"/>
        <v>1.3815118654761437E-2</v>
      </c>
      <c r="AQ115" s="226">
        <f t="shared" si="15"/>
        <v>1.3056942152088E-2</v>
      </c>
      <c r="AR115" s="226">
        <f t="shared" si="15"/>
        <v>1.2340374529046443E-2</v>
      </c>
      <c r="AS115" s="226">
        <f t="shared" si="15"/>
        <v>1.1663132281916835E-2</v>
      </c>
      <c r="AT115" s="226">
        <f t="shared" si="15"/>
        <v>1.1023057226124702E-2</v>
      </c>
      <c r="AU115" s="226">
        <f t="shared" si="15"/>
        <v>1.0418109618701005E-2</v>
      </c>
      <c r="AV115" s="226">
        <f t="shared" si="15"/>
        <v>9.8463616581829175E-3</v>
      </c>
      <c r="AW115" s="226">
        <f t="shared" si="15"/>
        <v>9.3059913412413386E-3</v>
      </c>
      <c r="AX115" s="226">
        <f t="shared" si="15"/>
        <v>8.7952766564579465E-3</v>
      </c>
      <c r="AY115" s="226">
        <f t="shared" si="13"/>
        <v>8.3125900967489334E-3</v>
      </c>
      <c r="AZ115" s="226">
        <f t="shared" si="13"/>
        <v>7.8563934729480363E-3</v>
      </c>
      <c r="BA115" s="226">
        <f t="shared" si="13"/>
        <v>7.425233012021179E-3</v>
      </c>
      <c r="BB115" s="226">
        <f t="shared" si="13"/>
        <v>7.0177347242920832E-3</v>
      </c>
      <c r="BC115" s="226">
        <f t="shared" si="13"/>
        <v>6.6326000249154757E-3</v>
      </c>
      <c r="BD115" s="226">
        <f t="shared" si="13"/>
        <v>6.2686015956447275E-3</v>
      </c>
      <c r="BE115" s="226">
        <f t="shared" si="13"/>
        <v>5.9245794737065264E-3</v>
      </c>
    </row>
    <row r="116" spans="5:57" s="10" customFormat="1" x14ac:dyDescent="0.35">
      <c r="E116" s="10" t="s">
        <v>646</v>
      </c>
      <c r="F116" s="10" t="s">
        <v>615</v>
      </c>
      <c r="G116" s="43" t="s">
        <v>616</v>
      </c>
      <c r="I116" s="20"/>
      <c r="J116" s="200"/>
      <c r="K116" s="200"/>
      <c r="L116" s="200"/>
      <c r="M116" s="200"/>
      <c r="N116" s="200">
        <v>6.6699999999999995E-2</v>
      </c>
      <c r="O116" s="226">
        <f t="shared" si="14"/>
        <v>6.3029152158108753E-2</v>
      </c>
      <c r="P116" s="226">
        <f t="shared" si="14"/>
        <v>5.9560330161469645E-2</v>
      </c>
      <c r="Q116" s="226">
        <f t="shared" si="14"/>
        <v>5.628241547727833E-2</v>
      </c>
      <c r="R116" s="226">
        <f t="shared" si="14"/>
        <v>5.3184901483407362E-2</v>
      </c>
      <c r="S116" s="226">
        <f t="shared" si="14"/>
        <v>5.0257859791779713E-2</v>
      </c>
      <c r="T116" s="226">
        <f t="shared" si="14"/>
        <v>4.7491908425142122E-2</v>
      </c>
      <c r="U116" s="226">
        <f t="shared" si="14"/>
        <v>4.4878181745236133E-2</v>
      </c>
      <c r="V116" s="226">
        <f t="shared" si="14"/>
        <v>4.2408302035978215E-2</v>
      </c>
      <c r="W116" s="226">
        <f t="shared" si="14"/>
        <v>4.0074352650565283E-2</v>
      </c>
      <c r="X116" s="226">
        <f t="shared" si="14"/>
        <v>3.7868852636434608E-2</v>
      </c>
      <c r="Y116" s="226">
        <f t="shared" si="14"/>
        <v>3.5784732756744153E-2</v>
      </c>
      <c r="Z116" s="226">
        <f t="shared" si="14"/>
        <v>3.381531283151553E-2</v>
      </c>
      <c r="AA116" s="226">
        <f t="shared" si="14"/>
        <v>3.1954280325811692E-2</v>
      </c>
      <c r="AB116" s="226">
        <f t="shared" si="14"/>
        <v>3.0195670116318532E-2</v>
      </c>
      <c r="AC116" s="226">
        <f t="shared" si="14"/>
        <v>2.8533845371476737E-2</v>
      </c>
      <c r="AD116" s="226">
        <f t="shared" si="14"/>
        <v>2.6963479483879376E-2</v>
      </c>
      <c r="AE116" s="226">
        <f t="shared" si="12"/>
        <v>2.5479538997023644E-2</v>
      </c>
      <c r="AF116" s="226">
        <f t="shared" si="12"/>
        <v>2.4077267471692188E-2</v>
      </c>
      <c r="AG116" s="226">
        <f t="shared" si="12"/>
        <v>2.2752170240251415E-2</v>
      </c>
      <c r="AH116" s="227">
        <v>2.1499999999999998E-2</v>
      </c>
      <c r="AI116" s="226">
        <f t="shared" si="15"/>
        <v>2.0316743199390377E-2</v>
      </c>
      <c r="AJ116" s="226">
        <f t="shared" si="15"/>
        <v>1.9198607173487217E-2</v>
      </c>
      <c r="AK116" s="226">
        <f t="shared" si="15"/>
        <v>1.8142007987428547E-2</v>
      </c>
      <c r="AL116" s="226">
        <f t="shared" si="15"/>
        <v>1.7143558948924411E-2</v>
      </c>
      <c r="AM116" s="226">
        <f t="shared" si="15"/>
        <v>1.6200059752972468E-2</v>
      </c>
      <c r="AN116" s="226">
        <f t="shared" si="15"/>
        <v>1.5308486223996333E-2</v>
      </c>
      <c r="AO116" s="226">
        <f t="shared" si="15"/>
        <v>1.4465980622527385E-2</v>
      </c>
      <c r="AP116" s="226">
        <f t="shared" si="15"/>
        <v>1.366984248536029E-2</v>
      </c>
      <c r="AQ116" s="226">
        <f t="shared" si="15"/>
        <v>1.2917519969822388E-2</v>
      </c>
      <c r="AR116" s="226">
        <f t="shared" si="15"/>
        <v>1.2206601674412948E-2</v>
      </c>
      <c r="AS116" s="226">
        <f t="shared" si="15"/>
        <v>1.1534808909595184E-2</v>
      </c>
      <c r="AT116" s="226">
        <f t="shared" si="15"/>
        <v>1.0899988393966768E-2</v>
      </c>
      <c r="AU116" s="226">
        <f t="shared" si="15"/>
        <v>1.0300105352398064E-2</v>
      </c>
      <c r="AV116" s="226">
        <f t="shared" si="15"/>
        <v>9.7332369940157128E-3</v>
      </c>
      <c r="AW116" s="226">
        <f t="shared" si="15"/>
        <v>9.197566349126678E-3</v>
      </c>
      <c r="AX116" s="226">
        <f t="shared" si="15"/>
        <v>8.6913764453284293E-3</v>
      </c>
      <c r="AY116" s="226">
        <f t="shared" si="13"/>
        <v>8.2130448041380505E-3</v>
      </c>
      <c r="AZ116" s="226">
        <f t="shared" si="13"/>
        <v>7.7610382405004751E-3</v>
      </c>
      <c r="BA116" s="226">
        <f t="shared" si="13"/>
        <v>7.3339079485068232E-3</v>
      </c>
      <c r="BB116" s="226">
        <f t="shared" si="13"/>
        <v>6.9302848575712112E-3</v>
      </c>
      <c r="BC116" s="226">
        <f t="shared" si="13"/>
        <v>6.5488752441813037E-3</v>
      </c>
      <c r="BD116" s="226">
        <f t="shared" si="13"/>
        <v>6.1884565851570471E-3</v>
      </c>
      <c r="BE116" s="226">
        <f t="shared" si="13"/>
        <v>5.8478736391261417E-3</v>
      </c>
    </row>
    <row r="117" spans="5:57" s="10" customFormat="1" x14ac:dyDescent="0.35">
      <c r="E117" s="10" t="s">
        <v>647</v>
      </c>
      <c r="F117" s="10" t="s">
        <v>615</v>
      </c>
      <c r="G117" s="43" t="s">
        <v>616</v>
      </c>
      <c r="I117" s="20"/>
      <c r="J117" s="200"/>
      <c r="K117" s="200"/>
      <c r="L117" s="200"/>
      <c r="M117" s="200"/>
      <c r="N117" s="200">
        <v>6.6299999999999998E-2</v>
      </c>
      <c r="O117" s="226">
        <f t="shared" si="14"/>
        <v>6.2625995871362999E-2</v>
      </c>
      <c r="P117" s="226">
        <f t="shared" si="14"/>
        <v>5.9155586106786964E-2</v>
      </c>
      <c r="Q117" s="226">
        <f t="shared" si="14"/>
        <v>5.5877488556435886E-2</v>
      </c>
      <c r="R117" s="226">
        <f t="shared" si="14"/>
        <v>5.2781046269042044E-2</v>
      </c>
      <c r="S117" s="226">
        <f t="shared" si="14"/>
        <v>4.9856192846625139E-2</v>
      </c>
      <c r="T117" s="226">
        <f t="shared" si="14"/>
        <v>4.7093419719074263E-2</v>
      </c>
      <c r="U117" s="226">
        <f t="shared" si="14"/>
        <v>4.4483745232203768E-2</v>
      </c>
      <c r="V117" s="226">
        <f t="shared" si="14"/>
        <v>4.20186854487897E-2</v>
      </c>
      <c r="W117" s="226">
        <f t="shared" si="14"/>
        <v>3.9690226567662211E-2</v>
      </c>
      <c r="X117" s="226">
        <f t="shared" si="14"/>
        <v>3.7490798871189682E-2</v>
      </c>
      <c r="Y117" s="226">
        <f t="shared" si="14"/>
        <v>3.5413252116458911E-2</v>
      </c>
      <c r="Z117" s="226">
        <f t="shared" si="14"/>
        <v>3.3450832290149217E-2</v>
      </c>
      <c r="AA117" s="226">
        <f t="shared" si="14"/>
        <v>3.1597159651531537E-2</v>
      </c>
      <c r="AB117" s="226">
        <f t="shared" si="14"/>
        <v>2.9846207992211337E-2</v>
      </c>
      <c r="AC117" s="226">
        <f t="shared" si="14"/>
        <v>2.8192285045189572E-2</v>
      </c>
      <c r="AD117" s="226">
        <f t="shared" si="14"/>
        <v>2.6630013979552506E-2</v>
      </c>
      <c r="AE117" s="226">
        <f t="shared" si="12"/>
        <v>2.5154315920630381E-2</v>
      </c>
      <c r="AF117" s="226">
        <f t="shared" si="12"/>
        <v>2.3760393438798776E-2</v>
      </c>
      <c r="AG117" s="226">
        <f t="shared" si="12"/>
        <v>2.2443714953245441E-2</v>
      </c>
      <c r="AH117" s="227">
        <v>2.12E-2</v>
      </c>
      <c r="AI117" s="226">
        <f t="shared" si="15"/>
        <v>2.0025205316333269E-2</v>
      </c>
      <c r="AJ117" s="226">
        <f t="shared" si="15"/>
        <v>1.8915511696287839E-2</v>
      </c>
      <c r="AK117" s="226">
        <f t="shared" si="15"/>
        <v>1.7867311574606949E-2</v>
      </c>
      <c r="AL117" s="226">
        <f t="shared" si="15"/>
        <v>1.6877197298698209E-2</v>
      </c>
      <c r="AM117" s="226">
        <f t="shared" si="15"/>
        <v>1.5941950050504569E-2</v>
      </c>
      <c r="AN117" s="226">
        <f t="shared" si="15"/>
        <v>1.505852938226809E-2</v>
      </c>
      <c r="AO117" s="226">
        <f t="shared" si="15"/>
        <v>1.4224063332167721E-2</v>
      </c>
      <c r="AP117" s="226">
        <f t="shared" si="15"/>
        <v>1.343583908769746E-2</v>
      </c>
      <c r="AQ117" s="226">
        <f t="shared" si="15"/>
        <v>1.2691294166431957E-2</v>
      </c>
      <c r="AR117" s="226">
        <f t="shared" si="15"/>
        <v>1.1988008085508614E-2</v>
      </c>
      <c r="AS117" s="226">
        <f t="shared" si="15"/>
        <v>1.1323694492744023E-2</v>
      </c>
      <c r="AT117" s="226">
        <f t="shared" si="15"/>
        <v>1.0696193733803367E-2</v>
      </c>
      <c r="AU117" s="226">
        <f t="shared" si="15"/>
        <v>1.0103465831258951E-2</v>
      </c>
      <c r="AV117" s="226">
        <f t="shared" si="15"/>
        <v>9.5435838527131254E-3</v>
      </c>
      <c r="AW117" s="226">
        <f t="shared" si="15"/>
        <v>9.0147276464256233E-3</v>
      </c>
      <c r="AX117" s="226">
        <f t="shared" si="15"/>
        <v>8.5151779240801358E-3</v>
      </c>
      <c r="AY117" s="226">
        <f t="shared" si="13"/>
        <v>8.0433106714534533E-3</v>
      </c>
      <c r="AZ117" s="226">
        <f t="shared" si="13"/>
        <v>7.5975918688165004E-3</v>
      </c>
      <c r="BA117" s="226">
        <f t="shared" si="13"/>
        <v>7.1765725039035187E-3</v>
      </c>
      <c r="BB117" s="226">
        <f t="shared" si="13"/>
        <v>6.7788838612367879E-3</v>
      </c>
      <c r="BC117" s="226">
        <f t="shared" si="13"/>
        <v>6.4032330724926754E-3</v>
      </c>
      <c r="BD117" s="226">
        <f t="shared" si="13"/>
        <v>6.0483989134434589E-3</v>
      </c>
      <c r="BE117" s="226">
        <f t="shared" si="13"/>
        <v>5.7132278338109582E-3</v>
      </c>
    </row>
    <row r="118" spans="5:57" s="10" customFormat="1" x14ac:dyDescent="0.35">
      <c r="E118" s="10" t="s">
        <v>648</v>
      </c>
      <c r="F118" s="10" t="s">
        <v>615</v>
      </c>
      <c r="G118" s="43" t="s">
        <v>616</v>
      </c>
      <c r="I118" s="20"/>
      <c r="J118" s="200"/>
      <c r="K118" s="200"/>
      <c r="L118" s="200"/>
      <c r="M118" s="200"/>
      <c r="N118" s="200">
        <v>6.6100000000000006E-2</v>
      </c>
      <c r="O118" s="226">
        <f t="shared" si="14"/>
        <v>6.2431750091332436E-2</v>
      </c>
      <c r="P118" s="226">
        <f t="shared" si="14"/>
        <v>5.8967071398889369E-2</v>
      </c>
      <c r="Q118" s="226">
        <f t="shared" si="14"/>
        <v>5.5694666644375453E-2</v>
      </c>
      <c r="R118" s="226">
        <f t="shared" si="14"/>
        <v>5.2603865497151535E-2</v>
      </c>
      <c r="S118" s="226">
        <f t="shared" si="14"/>
        <v>4.9684589781486072E-2</v>
      </c>
      <c r="T118" s="226">
        <f t="shared" si="14"/>
        <v>4.6927320614646106E-2</v>
      </c>
      <c r="U118" s="226">
        <f t="shared" si="14"/>
        <v>4.4323067368675015E-2</v>
      </c>
      <c r="V118" s="226">
        <f t="shared" si="14"/>
        <v>4.1863338354650677E-2</v>
      </c>
      <c r="W118" s="226">
        <f t="shared" si="14"/>
        <v>3.9540113133834237E-2</v>
      </c>
      <c r="X118" s="226">
        <f t="shared" si="14"/>
        <v>3.7345816365424361E-2</v>
      </c>
      <c r="Y118" s="226">
        <f t="shared" si="14"/>
        <v>3.5273293105642457E-2</v>
      </c>
      <c r="Z118" s="226">
        <f t="shared" si="14"/>
        <v>3.331578547760649E-2</v>
      </c>
      <c r="AA118" s="226">
        <f t="shared" si="14"/>
        <v>3.1466910635920886E-2</v>
      </c>
      <c r="AB118" s="226">
        <f t="shared" si="14"/>
        <v>2.972063995413167E-2</v>
      </c>
      <c r="AC118" s="226">
        <f t="shared" si="14"/>
        <v>2.807127936718333E-2</v>
      </c>
      <c r="AD118" s="226">
        <f t="shared" ref="AD118:AG133" si="16">AC118*(1+($AH118/$N118)^(1/($AH$6-$N$6))-1)</f>
        <v>2.6513450804780122E-2</v>
      </c>
      <c r="AE118" s="226">
        <f t="shared" si="16"/>
        <v>2.5042074655111487E-2</v>
      </c>
      <c r="AF118" s="226">
        <f t="shared" si="16"/>
        <v>2.3652353201761123E-2</v>
      </c>
      <c r="AG118" s="226">
        <f t="shared" si="16"/>
        <v>2.2339754979792389E-2</v>
      </c>
      <c r="AH118" s="227">
        <v>2.1100000000000001E-2</v>
      </c>
      <c r="AI118" s="226">
        <f t="shared" si="15"/>
        <v>1.9929045793148477E-2</v>
      </c>
      <c r="AJ118" s="226">
        <f t="shared" si="15"/>
        <v>1.8823074228692369E-2</v>
      </c>
      <c r="AK118" s="226">
        <f t="shared" si="15"/>
        <v>1.7778479064997306E-2</v>
      </c>
      <c r="AL118" s="226">
        <f t="shared" si="15"/>
        <v>1.6791854190467432E-2</v>
      </c>
      <c r="AM118" s="226">
        <f t="shared" si="15"/>
        <v>1.5859982517236852E-2</v>
      </c>
      <c r="AN118" s="226">
        <f t="shared" si="15"/>
        <v>1.4979825491210781E-2</v>
      </c>
      <c r="AO118" s="226">
        <f t="shared" si="15"/>
        <v>1.4148513184251778E-2</v>
      </c>
      <c r="AP118" s="226">
        <f t="shared" si="15"/>
        <v>1.3363334936204676E-2</v>
      </c>
      <c r="AQ118" s="226">
        <f t="shared" si="15"/>
        <v>1.2621730516246628E-2</v>
      </c>
      <c r="AR118" s="226">
        <f t="shared" si="15"/>
        <v>1.1921281774742115E-2</v>
      </c>
      <c r="AS118" s="226">
        <f t="shared" si="15"/>
        <v>1.1259704758382083E-2</v>
      </c>
      <c r="AT118" s="226">
        <f t="shared" si="15"/>
        <v>1.0634842262897078E-2</v>
      </c>
      <c r="AU118" s="226">
        <f t="shared" si="15"/>
        <v>1.0044656799060978E-2</v>
      </c>
      <c r="AV118" s="226">
        <f t="shared" si="15"/>
        <v>9.4872239490495936E-3</v>
      </c>
      <c r="AW118" s="226">
        <f t="shared" si="15"/>
        <v>8.9607260914911988E-3</v>
      </c>
      <c r="AX118" s="226">
        <f t="shared" ref="AX118:BE133" si="17">AW118*(1+($AH118/$N118)^(1/($AH$6-$N$6))-1)</f>
        <v>8.4634464747482679E-3</v>
      </c>
      <c r="AY118" s="226">
        <f t="shared" si="17"/>
        <v>7.9937636191051795E-3</v>
      </c>
      <c r="AZ118" s="226">
        <f t="shared" si="17"/>
        <v>7.5501460296090719E-3</v>
      </c>
      <c r="BA118" s="226">
        <f t="shared" si="17"/>
        <v>7.1311472023240447E-3</v>
      </c>
      <c r="BB118" s="226">
        <f t="shared" si="17"/>
        <v>6.7354009077155701E-3</v>
      </c>
      <c r="BC118" s="226">
        <f t="shared" si="17"/>
        <v>6.3616167357856595E-3</v>
      </c>
      <c r="BD118" s="226">
        <f t="shared" si="17"/>
        <v>6.0085758884328025E-3</v>
      </c>
      <c r="BE118" s="226">
        <f t="shared" si="17"/>
        <v>5.6751272053168298E-3</v>
      </c>
    </row>
    <row r="119" spans="5:57" s="10" customFormat="1" x14ac:dyDescent="0.35">
      <c r="E119" s="10" t="s">
        <v>649</v>
      </c>
      <c r="F119" s="10" t="s">
        <v>615</v>
      </c>
      <c r="G119" s="43" t="s">
        <v>616</v>
      </c>
      <c r="I119" s="20"/>
      <c r="J119" s="200"/>
      <c r="K119" s="200"/>
      <c r="L119" s="200"/>
      <c r="M119" s="200"/>
      <c r="N119" s="200">
        <v>6.5799999999999997E-2</v>
      </c>
      <c r="O119" s="226">
        <f t="shared" ref="O119:AD134" si="18">N119*(1+($AH119/$N119)^(1/($AH$6-$N$6))-1)</f>
        <v>6.2147771983826518E-2</v>
      </c>
      <c r="P119" s="226">
        <f t="shared" si="18"/>
        <v>5.8698260829083471E-2</v>
      </c>
      <c r="Q119" s="226">
        <f t="shared" si="18"/>
        <v>5.5440214739408133E-2</v>
      </c>
      <c r="R119" s="226">
        <f t="shared" si="18"/>
        <v>5.2363006449226666E-2</v>
      </c>
      <c r="S119" s="226">
        <f t="shared" si="18"/>
        <v>4.9456598559182011E-2</v>
      </c>
      <c r="T119" s="226">
        <f t="shared" si="18"/>
        <v>4.671151079561834E-2</v>
      </c>
      <c r="U119" s="226">
        <f t="shared" si="18"/>
        <v>4.4118789087327345E-2</v>
      </c>
      <c r="V119" s="226">
        <f t="shared" si="18"/>
        <v>4.1669976358689263E-2</v>
      </c>
      <c r="W119" s="226">
        <f t="shared" si="18"/>
        <v>3.9357084943940149E-2</v>
      </c>
      <c r="X119" s="226">
        <f t="shared" si="18"/>
        <v>3.7172570532584867E-2</v>
      </c>
      <c r="Y119" s="226">
        <f t="shared" si="18"/>
        <v>3.5109307560969499E-2</v>
      </c>
      <c r="Z119" s="226">
        <f t="shared" si="18"/>
        <v>3.3160565969744205E-2</v>
      </c>
      <c r="AA119" s="226">
        <f t="shared" si="18"/>
        <v>3.1319989251402731E-2</v>
      </c>
      <c r="AB119" s="226">
        <f t="shared" si="18"/>
        <v>2.9581573716292924E-2</v>
      </c>
      <c r="AC119" s="226">
        <f t="shared" si="18"/>
        <v>2.7939648909466996E-2</v>
      </c>
      <c r="AD119" s="226">
        <f t="shared" si="18"/>
        <v>2.6388859114494255E-2</v>
      </c>
      <c r="AE119" s="226">
        <f t="shared" si="16"/>
        <v>2.4924145883904424E-2</v>
      </c>
      <c r="AF119" s="226">
        <f t="shared" si="16"/>
        <v>2.3540731539278426E-2</v>
      </c>
      <c r="AG119" s="226">
        <f t="shared" si="16"/>
        <v>2.22341035871664E-2</v>
      </c>
      <c r="AH119" s="227">
        <v>2.1000000000000001E-2</v>
      </c>
      <c r="AI119" s="226">
        <f t="shared" ref="AI119:AX134" si="19">AH119*(1+($AH119/$N119)^(1/($AH$6-$N$6))-1)</f>
        <v>1.9834395313987188E-2</v>
      </c>
      <c r="AJ119" s="226">
        <f t="shared" si="19"/>
        <v>1.8733487498643661E-2</v>
      </c>
      <c r="AK119" s="226">
        <f t="shared" si="19"/>
        <v>1.7693685555130255E-2</v>
      </c>
      <c r="AL119" s="226">
        <f t="shared" si="19"/>
        <v>1.6711597802944681E-2</v>
      </c>
      <c r="AM119" s="226">
        <f t="shared" si="19"/>
        <v>1.5784020816760218E-2</v>
      </c>
      <c r="AN119" s="226">
        <f t="shared" si="19"/>
        <v>1.4907928977325003E-2</v>
      </c>
      <c r="AO119" s="226">
        <f t="shared" si="19"/>
        <v>1.4080464602338515E-2</v>
      </c>
      <c r="AP119" s="226">
        <f t="shared" si="19"/>
        <v>1.3298928625113594E-2</v>
      </c>
      <c r="AQ119" s="226">
        <f t="shared" si="19"/>
        <v>1.2560771790619197E-2</v>
      </c>
      <c r="AR119" s="226">
        <f t="shared" si="19"/>
        <v>1.1863586340186659E-2</v>
      </c>
      <c r="AS119" s="226">
        <f t="shared" si="19"/>
        <v>1.1205098157756221E-2</v>
      </c>
      <c r="AT119" s="226">
        <f t="shared" si="19"/>
        <v>1.0583159352046023E-2</v>
      </c>
      <c r="AU119" s="226">
        <f t="shared" si="19"/>
        <v>9.9957412504476807E-3</v>
      </c>
      <c r="AV119" s="226">
        <f t="shared" si="19"/>
        <v>9.4409277817956144E-3</v>
      </c>
      <c r="AW119" s="226">
        <f t="shared" si="19"/>
        <v>8.9169092264256376E-3</v>
      </c>
      <c r="AX119" s="226">
        <f t="shared" si="19"/>
        <v>8.4219763131364658E-3</v>
      </c>
      <c r="AY119" s="226">
        <f t="shared" si="17"/>
        <v>7.9545146437992858E-3</v>
      </c>
      <c r="AZ119" s="226">
        <f t="shared" si="17"/>
        <v>7.5129994274292858E-3</v>
      </c>
      <c r="BA119" s="226">
        <f t="shared" si="17"/>
        <v>7.0959905065424685E-3</v>
      </c>
      <c r="BB119" s="226">
        <f t="shared" si="17"/>
        <v>6.7021276595744528E-3</v>
      </c>
      <c r="BC119" s="226">
        <f t="shared" si="17"/>
        <v>6.3301261640384496E-3</v>
      </c>
      <c r="BD119" s="226">
        <f t="shared" si="17"/>
        <v>5.9787726059500907E-3</v>
      </c>
      <c r="BE119" s="226">
        <f t="shared" si="17"/>
        <v>5.6469209218500682E-3</v>
      </c>
    </row>
    <row r="120" spans="5:57" s="10" customFormat="1" x14ac:dyDescent="0.35">
      <c r="E120" s="10" t="s">
        <v>650</v>
      </c>
      <c r="F120" s="10" t="s">
        <v>615</v>
      </c>
      <c r="G120" s="43" t="s">
        <v>616</v>
      </c>
      <c r="I120" s="20"/>
      <c r="J120" s="200"/>
      <c r="K120" s="200"/>
      <c r="L120" s="200"/>
      <c r="M120" s="200"/>
      <c r="N120" s="200">
        <v>6.5600000000000006E-2</v>
      </c>
      <c r="O120" s="226">
        <f t="shared" si="18"/>
        <v>6.1938661239768086E-2</v>
      </c>
      <c r="P120" s="226">
        <f t="shared" si="18"/>
        <v>5.848167311241996E-2</v>
      </c>
      <c r="Q120" s="226">
        <f t="shared" si="18"/>
        <v>5.5217630177515756E-2</v>
      </c>
      <c r="R120" s="226">
        <f t="shared" si="18"/>
        <v>5.213576356749914E-2</v>
      </c>
      <c r="S120" s="226">
        <f t="shared" si="18"/>
        <v>4.9225905458597133E-2</v>
      </c>
      <c r="T120" s="226">
        <f t="shared" si="18"/>
        <v>4.6478455524708813E-2</v>
      </c>
      <c r="U120" s="226">
        <f t="shared" si="18"/>
        <v>4.3884349263606195E-2</v>
      </c>
      <c r="V120" s="226">
        <f t="shared" si="18"/>
        <v>4.1435028090947713E-2</v>
      </c>
      <c r="W120" s="226">
        <f t="shared" si="18"/>
        <v>3.9122411103437268E-2</v>
      </c>
      <c r="X120" s="226">
        <f t="shared" si="18"/>
        <v>3.6938868417968632E-2</v>
      </c>
      <c r="Y120" s="226">
        <f t="shared" si="18"/>
        <v>3.4877195998794616E-2</v>
      </c>
      <c r="Z120" s="226">
        <f t="shared" si="18"/>
        <v>3.2930591889669736E-2</v>
      </c>
      <c r="AA120" s="226">
        <f t="shared" si="18"/>
        <v>3.1092633772550428E-2</v>
      </c>
      <c r="AB120" s="226">
        <f t="shared" si="18"/>
        <v>2.9357257778813615E-2</v>
      </c>
      <c r="AC120" s="226">
        <f t="shared" si="18"/>
        <v>2.7718738483086629E-2</v>
      </c>
      <c r="AD120" s="226">
        <f t="shared" si="18"/>
        <v>2.6171670013683319E-2</v>
      </c>
      <c r="AE120" s="226">
        <f t="shared" si="16"/>
        <v>2.4710948217325116E-2</v>
      </c>
      <c r="AF120" s="226">
        <f t="shared" si="16"/>
        <v>2.3331753819304135E-2</v>
      </c>
      <c r="AG120" s="226">
        <f t="shared" si="16"/>
        <v>2.2029536523529632E-2</v>
      </c>
      <c r="AH120" s="227">
        <v>2.0799999999999999E-2</v>
      </c>
      <c r="AI120" s="226">
        <f t="shared" si="19"/>
        <v>1.9639087710170366E-2</v>
      </c>
      <c r="AJ120" s="226">
        <f t="shared" si="19"/>
        <v>1.8542969523450227E-2</v>
      </c>
      <c r="AK120" s="226">
        <f t="shared" si="19"/>
        <v>1.7508029080675721E-2</v>
      </c>
      <c r="AL120" s="226">
        <f t="shared" si="19"/>
        <v>1.6530851862865573E-2</v>
      </c>
      <c r="AM120" s="226">
        <f t="shared" si="19"/>
        <v>1.5608213925896645E-2</v>
      </c>
      <c r="AN120" s="226">
        <f t="shared" si="19"/>
        <v>1.4737071263932058E-2</v>
      </c>
      <c r="AO120" s="226">
        <f t="shared" si="19"/>
        <v>1.3914549766509276E-2</v>
      </c>
      <c r="AP120" s="226">
        <f t="shared" si="19"/>
        <v>1.3137935736154148E-2</v>
      </c>
      <c r="AQ120" s="226">
        <f t="shared" si="19"/>
        <v>1.2404666935236203E-2</v>
      </c>
      <c r="AR120" s="226">
        <f t="shared" si="19"/>
        <v>1.1712324132526635E-2</v>
      </c>
      <c r="AS120" s="226">
        <f t="shared" si="19"/>
        <v>1.1058623121569022E-2</v>
      </c>
      <c r="AT120" s="226">
        <f t="shared" si="19"/>
        <v>1.0441407184529426E-2</v>
      </c>
      <c r="AU120" s="226">
        <f t="shared" si="19"/>
        <v>9.858639976662328E-3</v>
      </c>
      <c r="AV120" s="226">
        <f t="shared" si="19"/>
        <v>9.3083988079165104E-3</v>
      </c>
      <c r="AW120" s="226">
        <f t="shared" si="19"/>
        <v>8.7888682995152703E-3</v>
      </c>
      <c r="AX120" s="226">
        <f t="shared" si="19"/>
        <v>8.2983343945825135E-3</v>
      </c>
      <c r="AY120" s="226">
        <f t="shared" si="17"/>
        <v>7.8351787030543022E-3</v>
      </c>
      <c r="AZ120" s="226">
        <f t="shared" si="17"/>
        <v>7.3978731622183821E-3</v>
      </c>
      <c r="BA120" s="226">
        <f t="shared" si="17"/>
        <v>6.9849749952654912E-3</v>
      </c>
      <c r="BB120" s="226">
        <f t="shared" si="17"/>
        <v>6.5951219512195109E-3</v>
      </c>
      <c r="BC120" s="226">
        <f t="shared" si="17"/>
        <v>6.2270278105418225E-3</v>
      </c>
      <c r="BD120" s="226">
        <f t="shared" si="17"/>
        <v>5.8794781415817789E-3</v>
      </c>
      <c r="BE120" s="226">
        <f t="shared" si="17"/>
        <v>5.5513262938727895E-3</v>
      </c>
    </row>
    <row r="121" spans="5:57" s="10" customFormat="1" x14ac:dyDescent="0.35">
      <c r="E121" s="10" t="s">
        <v>651</v>
      </c>
      <c r="F121" s="10" t="s">
        <v>615</v>
      </c>
      <c r="G121" s="43" t="s">
        <v>616</v>
      </c>
      <c r="I121" s="20"/>
      <c r="J121" s="200"/>
      <c r="K121" s="200"/>
      <c r="L121" s="200"/>
      <c r="M121" s="200"/>
      <c r="N121" s="200">
        <v>6.5299999999999997E-2</v>
      </c>
      <c r="O121" s="226">
        <f t="shared" si="18"/>
        <v>6.1654678788110741E-2</v>
      </c>
      <c r="P121" s="226">
        <f t="shared" si="18"/>
        <v>5.8212854769756704E-2</v>
      </c>
      <c r="Q121" s="226">
        <f t="shared" si="18"/>
        <v>5.4963167873940129E-2</v>
      </c>
      <c r="R121" s="226">
        <f t="shared" si="18"/>
        <v>5.1894892196704234E-2</v>
      </c>
      <c r="S121" s="226">
        <f t="shared" si="18"/>
        <v>4.8997900599256274E-2</v>
      </c>
      <c r="T121" s="226">
        <f t="shared" si="18"/>
        <v>4.6262631282372506E-2</v>
      </c>
      <c r="U121" s="226">
        <f t="shared" si="18"/>
        <v>4.3680056226760806E-2</v>
      </c>
      <c r="V121" s="226">
        <f t="shared" si="18"/>
        <v>4.1241651395215226E-2</v>
      </c>
      <c r="W121" s="226">
        <f t="shared" si="18"/>
        <v>3.8939368598211857E-2</v>
      </c>
      <c r="X121" s="226">
        <f t="shared" si="18"/>
        <v>3.6765608930085729E-2</v>
      </c>
      <c r="Y121" s="226">
        <f t="shared" si="18"/>
        <v>3.4713197688112277E-2</v>
      </c>
      <c r="Z121" s="226">
        <f t="shared" si="18"/>
        <v>3.2775360691711344E-2</v>
      </c>
      <c r="AA121" s="226">
        <f t="shared" si="18"/>
        <v>3.0945701923613081E-2</v>
      </c>
      <c r="AB121" s="226">
        <f t="shared" si="18"/>
        <v>2.9218182419188138E-2</v>
      </c>
      <c r="AC121" s="226">
        <f t="shared" si="18"/>
        <v>2.758710033426446E-2</v>
      </c>
      <c r="AD121" s="226">
        <f t="shared" si="18"/>
        <v>2.6047072125642539E-2</v>
      </c>
      <c r="AE121" s="226">
        <f t="shared" si="16"/>
        <v>2.4593014782193626E-2</v>
      </c>
      <c r="AF121" s="226">
        <f t="shared" si="16"/>
        <v>2.3220129047892914E-2</v>
      </c>
      <c r="AG121" s="226">
        <f t="shared" si="16"/>
        <v>2.1923883581413745E-2</v>
      </c>
      <c r="AH121" s="227">
        <v>2.07E-2</v>
      </c>
      <c r="AI121" s="226">
        <f t="shared" si="19"/>
        <v>1.9544438758252566E-2</v>
      </c>
      <c r="AJ121" s="226">
        <f t="shared" si="19"/>
        <v>1.8453385815221501E-2</v>
      </c>
      <c r="AK121" s="226">
        <f t="shared" si="19"/>
        <v>1.7423240045797254E-2</v>
      </c>
      <c r="AL121" s="226">
        <f t="shared" si="19"/>
        <v>1.6450601354851112E-2</v>
      </c>
      <c r="AM121" s="226">
        <f t="shared" si="19"/>
        <v>1.5532259454894408E-2</v>
      </c>
      <c r="AN121" s="226">
        <f t="shared" si="19"/>
        <v>1.4665183270216093E-2</v>
      </c>
      <c r="AO121" s="226">
        <f t="shared" si="19"/>
        <v>1.3846510932526014E-2</v>
      </c>
      <c r="AP121" s="226">
        <f t="shared" si="19"/>
        <v>1.3073540335083541E-2</v>
      </c>
      <c r="AQ121" s="226">
        <f t="shared" si="19"/>
        <v>1.2343720214134539E-2</v>
      </c>
      <c r="AR121" s="226">
        <f t="shared" si="19"/>
        <v>1.1654641728220132E-2</v>
      </c>
      <c r="AS121" s="226">
        <f t="shared" si="19"/>
        <v>1.1004030507563923E-2</v>
      </c>
      <c r="AT121" s="226">
        <f t="shared" si="19"/>
        <v>1.0389739147295941E-2</v>
      </c>
      <c r="AU121" s="226">
        <f t="shared" si="19"/>
        <v>9.8097401197364612E-3</v>
      </c>
      <c r="AV121" s="226">
        <f t="shared" si="19"/>
        <v>9.2621190823460112E-3</v>
      </c>
      <c r="AW121" s="226">
        <f t="shared" si="19"/>
        <v>8.7450685592538185E-3</v>
      </c>
      <c r="AX121" s="226">
        <f t="shared" si="19"/>
        <v>8.2568819755099634E-3</v>
      </c>
      <c r="AY121" s="226">
        <f t="shared" si="17"/>
        <v>7.7959480243707212E-3</v>
      </c>
      <c r="AZ121" s="226">
        <f t="shared" si="17"/>
        <v>7.3607453490257789E-3</v>
      </c>
      <c r="BA121" s="226">
        <f t="shared" si="17"/>
        <v>6.949837521213852E-3</v>
      </c>
      <c r="BB121" s="226">
        <f t="shared" si="17"/>
        <v>6.5618683001531369E-3</v>
      </c>
      <c r="BC121" s="226">
        <f t="shared" si="17"/>
        <v>6.1955571561382533E-3</v>
      </c>
      <c r="BD121" s="226">
        <f t="shared" si="17"/>
        <v>5.849695044028865E-3</v>
      </c>
      <c r="BE121" s="226">
        <f t="shared" si="17"/>
        <v>5.523140412679985E-3</v>
      </c>
    </row>
    <row r="122" spans="5:57" s="10" customFormat="1" x14ac:dyDescent="0.35">
      <c r="E122" s="10" t="s">
        <v>652</v>
      </c>
      <c r="F122" s="10" t="s">
        <v>615</v>
      </c>
      <c r="G122" s="43" t="s">
        <v>616</v>
      </c>
      <c r="I122" s="20"/>
      <c r="J122" s="200"/>
      <c r="K122" s="200"/>
      <c r="L122" s="200"/>
      <c r="M122" s="200"/>
      <c r="N122" s="200">
        <v>6.5100000000000005E-2</v>
      </c>
      <c r="O122" s="226">
        <f t="shared" si="18"/>
        <v>6.1460388357209329E-2</v>
      </c>
      <c r="P122" s="226">
        <f t="shared" si="18"/>
        <v>5.8024260169262543E-2</v>
      </c>
      <c r="Q122" s="226">
        <f t="shared" si="18"/>
        <v>5.4780239080531923E-2</v>
      </c>
      <c r="R122" s="226">
        <f t="shared" si="18"/>
        <v>5.1717584764827455E-2</v>
      </c>
      <c r="S122" s="226">
        <f t="shared" si="18"/>
        <v>4.8826157366254799E-2</v>
      </c>
      <c r="T122" s="226">
        <f t="shared" si="18"/>
        <v>4.6096383928114236E-2</v>
      </c>
      <c r="U122" s="226">
        <f t="shared" si="18"/>
        <v>4.3519226698693132E-2</v>
      </c>
      <c r="V122" s="226">
        <f t="shared" si="18"/>
        <v>4.1086153209018622E-2</v>
      </c>
      <c r="W122" s="226">
        <f t="shared" si="18"/>
        <v>3.8789108023503632E-2</v>
      </c>
      <c r="X122" s="226">
        <f t="shared" si="18"/>
        <v>3.6620486069958179E-2</v>
      </c>
      <c r="Y122" s="226">
        <f t="shared" si="18"/>
        <v>3.4573107460666726E-2</v>
      </c>
      <c r="Z122" s="226">
        <f t="shared" si="18"/>
        <v>3.2640193721169095E-2</v>
      </c>
      <c r="AA122" s="226">
        <f t="shared" si="18"/>
        <v>3.0815345348042977E-2</v>
      </c>
      <c r="AB122" s="226">
        <f t="shared" si="18"/>
        <v>2.9092520621386252E-2</v>
      </c>
      <c r="AC122" s="226">
        <f t="shared" si="18"/>
        <v>2.7466015601851301E-2</v>
      </c>
      <c r="AD122" s="226">
        <f t="shared" si="18"/>
        <v>2.5930445246005396E-2</v>
      </c>
      <c r="AE122" s="226">
        <f t="shared" si="16"/>
        <v>2.4480725577493763E-2</v>
      </c>
      <c r="AF122" s="226">
        <f t="shared" si="16"/>
        <v>2.3112056854977484E-2</v>
      </c>
      <c r="AG122" s="226">
        <f t="shared" si="16"/>
        <v>2.1819907681118557E-2</v>
      </c>
      <c r="AH122" s="227">
        <v>2.06E-2</v>
      </c>
      <c r="AI122" s="226">
        <f t="shared" si="19"/>
        <v>1.9448294933310475E-2</v>
      </c>
      <c r="AJ122" s="226">
        <f t="shared" si="19"/>
        <v>1.8360979408399512E-2</v>
      </c>
      <c r="AK122" s="226">
        <f t="shared" si="19"/>
        <v>1.7334453533931756E-2</v>
      </c>
      <c r="AL122" s="226">
        <f t="shared" si="19"/>
        <v>1.6365318681343246E-2</v>
      </c>
      <c r="AM122" s="226">
        <f t="shared" si="19"/>
        <v>1.5450366232639763E-2</v>
      </c>
      <c r="AN122" s="226">
        <f t="shared" si="19"/>
        <v>1.4586566957283456E-2</v>
      </c>
      <c r="AO122" s="226">
        <f t="shared" si="19"/>
        <v>1.3771060982996595E-2</v>
      </c>
      <c r="AP122" s="226">
        <f t="shared" si="19"/>
        <v>1.300114832727778E-2</v>
      </c>
      <c r="AQ122" s="226">
        <f t="shared" si="19"/>
        <v>1.2274279958282253E-2</v>
      </c>
      <c r="AR122" s="226">
        <f t="shared" si="19"/>
        <v>1.1588049355470635E-2</v>
      </c>
      <c r="AS122" s="226">
        <f t="shared" si="19"/>
        <v>1.0940184542085014E-2</v>
      </c>
      <c r="AT122" s="226">
        <f t="shared" si="19"/>
        <v>1.0328540563073474E-2</v>
      </c>
      <c r="AU122" s="226">
        <f t="shared" si="19"/>
        <v>9.7510923835589115E-3</v>
      </c>
      <c r="AV122" s="226">
        <f t="shared" si="19"/>
        <v>9.2059281843403472E-3</v>
      </c>
      <c r="AW122" s="226">
        <f t="shared" si="19"/>
        <v>8.6912430322294409E-3</v>
      </c>
      <c r="AX122" s="226">
        <f t="shared" si="19"/>
        <v>8.2053329042659131E-3</v>
      </c>
      <c r="AY122" s="226">
        <f t="shared" si="17"/>
        <v>7.7465890460272089E-3</v>
      </c>
      <c r="AZ122" s="226">
        <f t="shared" si="17"/>
        <v>7.3134926453538541E-3</v>
      </c>
      <c r="BA122" s="226">
        <f t="shared" si="17"/>
        <v>6.9046098038562523E-3</v>
      </c>
      <c r="BB122" s="226">
        <f t="shared" si="17"/>
        <v>6.5185867895545336E-3</v>
      </c>
      <c r="BC122" s="226">
        <f t="shared" si="17"/>
        <v>6.1541455549338851E-3</v>
      </c>
      <c r="BD122" s="226">
        <f t="shared" si="17"/>
        <v>5.8100795055764983E-3</v>
      </c>
      <c r="BE122" s="226">
        <f t="shared" si="17"/>
        <v>5.4852495053608957E-3</v>
      </c>
    </row>
    <row r="123" spans="5:57" s="10" customFormat="1" x14ac:dyDescent="0.35">
      <c r="E123" s="10" t="s">
        <v>653</v>
      </c>
      <c r="F123" s="10" t="s">
        <v>615</v>
      </c>
      <c r="G123" s="43" t="s">
        <v>616</v>
      </c>
      <c r="I123" s="20"/>
      <c r="J123" s="200"/>
      <c r="K123" s="200"/>
      <c r="L123" s="200"/>
      <c r="M123" s="200"/>
      <c r="N123" s="200">
        <v>6.4899999999999999E-2</v>
      </c>
      <c r="O123" s="226">
        <f t="shared" si="18"/>
        <v>6.1266088653822756E-2</v>
      </c>
      <c r="P123" s="226">
        <f t="shared" si="18"/>
        <v>5.7835648982096602E-2</v>
      </c>
      <c r="Q123" s="226">
        <f t="shared" si="18"/>
        <v>5.4597288103058618E-2</v>
      </c>
      <c r="R123" s="226">
        <f t="shared" si="18"/>
        <v>5.1540251050543787E-2</v>
      </c>
      <c r="S123" s="226">
        <f t="shared" si="18"/>
        <v>4.8654385055514594E-2</v>
      </c>
      <c r="T123" s="226">
        <f t="shared" si="18"/>
        <v>4.5930105827556029E-2</v>
      </c>
      <c r="U123" s="226">
        <f t="shared" si="18"/>
        <v>4.335836572435299E-2</v>
      </c>
      <c r="V123" s="226">
        <f t="shared" si="18"/>
        <v>4.0930623703437294E-2</v>
      </c>
      <c r="W123" s="226">
        <f t="shared" si="18"/>
        <v>3.863881695641061E-2</v>
      </c>
      <c r="X123" s="226">
        <f t="shared" si="18"/>
        <v>3.6475334131437324E-2</v>
      </c>
      <c r="Y123" s="226">
        <f t="shared" si="18"/>
        <v>3.4432990055076211E-2</v>
      </c>
      <c r="Z123" s="226">
        <f t="shared" si="18"/>
        <v>3.2505001869499173E-2</v>
      </c>
      <c r="AA123" s="226">
        <f t="shared" si="18"/>
        <v>3.0684966505846085E-2</v>
      </c>
      <c r="AB123" s="226">
        <f t="shared" si="18"/>
        <v>2.8966839418902129E-2</v>
      </c>
      <c r="AC123" s="226">
        <f t="shared" si="18"/>
        <v>2.7344914512473121E-2</v>
      </c>
      <c r="AD123" s="226">
        <f t="shared" si="18"/>
        <v>2.581380518878864E-2</v>
      </c>
      <c r="AE123" s="226">
        <f t="shared" si="16"/>
        <v>2.4368426458995913E-2</v>
      </c>
      <c r="AF123" s="226">
        <f t="shared" si="16"/>
        <v>2.3003978055331338E-2</v>
      </c>
      <c r="AG123" s="226">
        <f t="shared" si="16"/>
        <v>2.1715928488883252E-2</v>
      </c>
      <c r="AH123" s="227">
        <v>2.0500000000000001E-2</v>
      </c>
      <c r="AI123" s="226">
        <f t="shared" si="19"/>
        <v>1.9352154351361582E-2</v>
      </c>
      <c r="AJ123" s="226">
        <f t="shared" si="19"/>
        <v>1.8268579416532829E-2</v>
      </c>
      <c r="AK123" s="226">
        <f t="shared" si="19"/>
        <v>1.7245676519456115E-2</v>
      </c>
      <c r="AL123" s="226">
        <f t="shared" si="19"/>
        <v>1.6280048482837407E-2</v>
      </c>
      <c r="AM123" s="226">
        <f t="shared" si="19"/>
        <v>1.5368488345732654E-2</v>
      </c>
      <c r="AN123" s="226">
        <f t="shared" si="19"/>
        <v>1.4507968712864385E-2</v>
      </c>
      <c r="AO123" s="226">
        <f t="shared" si="19"/>
        <v>1.3695631700296399E-2</v>
      </c>
      <c r="AP123" s="226">
        <f t="shared" si="19"/>
        <v>1.2928779444074954E-2</v>
      </c>
      <c r="AQ123" s="226">
        <f t="shared" si="19"/>
        <v>1.2204865140314597E-2</v>
      </c>
      <c r="AR123" s="226">
        <f t="shared" si="19"/>
        <v>1.1521484586971727E-2</v>
      </c>
      <c r="AS123" s="226">
        <f t="shared" si="19"/>
        <v>1.0876368199215135E-2</v>
      </c>
      <c r="AT123" s="226">
        <f t="shared" si="19"/>
        <v>1.0267373471875701E-2</v>
      </c>
      <c r="AU123" s="226">
        <f t="shared" si="19"/>
        <v>9.6924778639421363E-3</v>
      </c>
      <c r="AV123" s="226">
        <f t="shared" si="19"/>
        <v>9.1497720814713961E-3</v>
      </c>
      <c r="AW123" s="226">
        <f t="shared" si="19"/>
        <v>8.6374537366055298E-3</v>
      </c>
      <c r="AX123" s="226">
        <f t="shared" si="19"/>
        <v>8.1538213616358553E-3</v>
      </c>
      <c r="AY123" s="226">
        <f t="shared" si="17"/>
        <v>7.6972687582344546E-3</v>
      </c>
      <c r="AZ123" s="226">
        <f t="shared" si="17"/>
        <v>7.2662796630861681E-3</v>
      </c>
      <c r="BA123" s="226">
        <f t="shared" si="17"/>
        <v>6.8594227122050315E-3</v>
      </c>
      <c r="BB123" s="226">
        <f t="shared" si="17"/>
        <v>6.4753466872110753E-3</v>
      </c>
      <c r="BC123" s="226">
        <f t="shared" si="17"/>
        <v>6.1127760277798343E-3</v>
      </c>
      <c r="BD123" s="226">
        <f t="shared" si="17"/>
        <v>5.7705065953608916E-3</v>
      </c>
      <c r="BE123" s="226">
        <f t="shared" si="17"/>
        <v>5.4474016740962911E-3</v>
      </c>
    </row>
    <row r="124" spans="5:57" s="10" customFormat="1" x14ac:dyDescent="0.35">
      <c r="E124" s="10" t="s">
        <v>654</v>
      </c>
      <c r="F124" s="10" t="s">
        <v>615</v>
      </c>
      <c r="G124" s="43" t="s">
        <v>616</v>
      </c>
      <c r="I124" s="20"/>
      <c r="J124" s="200"/>
      <c r="K124" s="200"/>
      <c r="L124" s="200"/>
      <c r="M124" s="200"/>
      <c r="N124" s="200">
        <v>6.4699999999999994E-2</v>
      </c>
      <c r="O124" s="226">
        <f t="shared" si="18"/>
        <v>6.1086713390029371E-2</v>
      </c>
      <c r="P124" s="226">
        <f t="shared" si="18"/>
        <v>5.7675217199313664E-2</v>
      </c>
      <c r="Q124" s="226">
        <f t="shared" si="18"/>
        <v>5.4454242082877385E-2</v>
      </c>
      <c r="R124" s="226">
        <f t="shared" si="18"/>
        <v>5.1413148052364875E-2</v>
      </c>
      <c r="S124" s="226">
        <f t="shared" si="18"/>
        <v>4.8541889328500155E-2</v>
      </c>
      <c r="T124" s="226">
        <f t="shared" si="18"/>
        <v>4.5830981156423721E-2</v>
      </c>
      <c r="U124" s="226">
        <f t="shared" si="18"/>
        <v>4.3271468474285826E-2</v>
      </c>
      <c r="V124" s="226">
        <f t="shared" si="18"/>
        <v>4.0854896331597994E-2</v>
      </c>
      <c r="W124" s="226">
        <f t="shared" si="18"/>
        <v>3.8573281959624256E-2</v>
      </c>
      <c r="X124" s="226">
        <f t="shared" si="18"/>
        <v>3.6419088401551121E-2</v>
      </c>
      <c r="Y124" s="226">
        <f t="shared" si="18"/>
        <v>3.4385199615327613E-2</v>
      </c>
      <c r="Z124" s="226">
        <f t="shared" si="18"/>
        <v>3.2464896966931472E-2</v>
      </c>
      <c r="AA124" s="226">
        <f t="shared" si="18"/>
        <v>3.0651837036410771E-2</v>
      </c>
      <c r="AB124" s="226">
        <f t="shared" si="18"/>
        <v>2.8940030663386587E-2</v>
      </c>
      <c r="AC124" s="226">
        <f t="shared" si="18"/>
        <v>2.7323823162796881E-2</v>
      </c>
      <c r="AD124" s="226">
        <f t="shared" si="18"/>
        <v>2.5797875645527341E-2</v>
      </c>
      <c r="AE124" s="226">
        <f t="shared" si="16"/>
        <v>2.4357147382224852E-2</v>
      </c>
      <c r="AF124" s="226">
        <f t="shared" si="16"/>
        <v>2.2996879152035146E-2</v>
      </c>
      <c r="AG124" s="226">
        <f t="shared" si="16"/>
        <v>2.1712577521259858E-2</v>
      </c>
      <c r="AH124" s="227">
        <v>2.0500000000000001E-2</v>
      </c>
      <c r="AI124" s="226">
        <f t="shared" si="19"/>
        <v>1.935514102775274E-2</v>
      </c>
      <c r="AJ124" s="226">
        <f t="shared" si="19"/>
        <v>1.8274218741668166E-2</v>
      </c>
      <c r="AK124" s="226">
        <f t="shared" si="19"/>
        <v>1.7253662483755587E-2</v>
      </c>
      <c r="AL124" s="226">
        <f t="shared" si="19"/>
        <v>1.6290101005772488E-2</v>
      </c>
      <c r="AM124" s="226">
        <f t="shared" si="19"/>
        <v>1.5380351332832354E-2</v>
      </c>
      <c r="AN124" s="226">
        <f t="shared" si="19"/>
        <v>1.4521408248944148E-2</v>
      </c>
      <c r="AO124" s="226">
        <f t="shared" si="19"/>
        <v>1.3710434369750535E-2</v>
      </c>
      <c r="AP124" s="226">
        <f t="shared" si="19"/>
        <v>1.2944750769671699E-2</v>
      </c>
      <c r="AQ124" s="226">
        <f t="shared" si="19"/>
        <v>1.2221828132493003E-2</v>
      </c>
      <c r="AR124" s="226">
        <f t="shared" si="19"/>
        <v>1.1539278396163803E-2</v>
      </c>
      <c r="AS124" s="226">
        <f t="shared" si="19"/>
        <v>1.0894846864207358E-2</v>
      </c>
      <c r="AT124" s="226">
        <f t="shared" si="19"/>
        <v>1.0286404757683078E-2</v>
      </c>
      <c r="AU124" s="226">
        <f t="shared" si="19"/>
        <v>9.7119421830976944E-3</v>
      </c>
      <c r="AV124" s="226">
        <f t="shared" si="19"/>
        <v>9.1695614930359364E-3</v>
      </c>
      <c r="AW124" s="226">
        <f t="shared" si="19"/>
        <v>8.6574710175786104E-3</v>
      </c>
      <c r="AX124" s="226">
        <f t="shared" si="19"/>
        <v>8.1739791458007808E-3</v>
      </c>
      <c r="AY124" s="226">
        <f t="shared" si="17"/>
        <v>7.7174887377992191E-3</v>
      </c>
      <c r="AZ124" s="226">
        <f t="shared" si="17"/>
        <v>7.2864918487901154E-3</v>
      </c>
      <c r="BA124" s="226">
        <f t="shared" si="17"/>
        <v>6.8795647478489498E-3</v>
      </c>
      <c r="BB124" s="226">
        <f t="shared" si="17"/>
        <v>6.4953632148376898E-3</v>
      </c>
      <c r="BC124" s="226">
        <f t="shared" si="17"/>
        <v>6.1326180999834584E-3</v>
      </c>
      <c r="BD124" s="226">
        <f t="shared" si="17"/>
        <v>5.7901311314404336E-3</v>
      </c>
      <c r="BE124" s="226">
        <f t="shared" si="17"/>
        <v>5.4667709569859091E-3</v>
      </c>
    </row>
    <row r="125" spans="5:57" s="10" customFormat="1" x14ac:dyDescent="0.35">
      <c r="E125" s="10" t="s">
        <v>655</v>
      </c>
      <c r="F125" s="10" t="s">
        <v>615</v>
      </c>
      <c r="G125" s="43" t="s">
        <v>616</v>
      </c>
      <c r="I125" s="20"/>
      <c r="J125" s="200"/>
      <c r="K125" s="200"/>
      <c r="L125" s="200"/>
      <c r="M125" s="200"/>
      <c r="N125" s="200">
        <v>6.4500000000000002E-2</v>
      </c>
      <c r="O125" s="226">
        <f t="shared" si="18"/>
        <v>6.0892420427655664E-2</v>
      </c>
      <c r="P125" s="226">
        <f t="shared" si="18"/>
        <v>5.7486618070362427E-2</v>
      </c>
      <c r="Q125" s="226">
        <f t="shared" si="18"/>
        <v>5.4271307232629087E-2</v>
      </c>
      <c r="R125" s="226">
        <f t="shared" si="18"/>
        <v>5.1235833444460775E-2</v>
      </c>
      <c r="S125" s="226">
        <f t="shared" si="18"/>
        <v>4.8370138155991421E-2</v>
      </c>
      <c r="T125" s="226">
        <f t="shared" si="18"/>
        <v>4.5664725406797189E-2</v>
      </c>
      <c r="U125" s="226">
        <f t="shared" si="18"/>
        <v>4.311063035944409E-2</v>
      </c>
      <c r="V125" s="226">
        <f t="shared" si="18"/>
        <v>4.0699389593000401E-2</v>
      </c>
      <c r="W125" s="226">
        <f t="shared" si="18"/>
        <v>3.8423013058076494E-2</v>
      </c>
      <c r="X125" s="226">
        <f t="shared" si="18"/>
        <v>3.6273957600460427E-2</v>
      </c>
      <c r="Y125" s="226">
        <f t="shared" si="18"/>
        <v>3.4245101965615379E-2</v>
      </c>
      <c r="Z125" s="226">
        <f t="shared" si="18"/>
        <v>3.2329723201212232E-2</v>
      </c>
      <c r="AA125" s="226">
        <f t="shared" si="18"/>
        <v>3.0521474379503085E-2</v>
      </c>
      <c r="AB125" s="226">
        <f t="shared" si="18"/>
        <v>2.8814363565715078E-2</v>
      </c>
      <c r="AC125" s="226">
        <f t="shared" si="18"/>
        <v>2.7202733962772806E-2</v>
      </c>
      <c r="AD125" s="226">
        <f t="shared" si="18"/>
        <v>2.5681245166555493E-2</v>
      </c>
      <c r="AE125" s="226">
        <f t="shared" si="16"/>
        <v>2.4244855469575149E-2</v>
      </c>
      <c r="AF125" s="226">
        <f t="shared" si="16"/>
        <v>2.2888805154435921E-2</v>
      </c>
      <c r="AG125" s="226">
        <f t="shared" si="16"/>
        <v>2.1608600721714791E-2</v>
      </c>
      <c r="AH125" s="227">
        <v>2.0400000000000001E-2</v>
      </c>
      <c r="AI125" s="226">
        <f t="shared" si="19"/>
        <v>1.9258998088746909E-2</v>
      </c>
      <c r="AJ125" s="226">
        <f t="shared" si="19"/>
        <v>1.8181814087370445E-2</v>
      </c>
      <c r="AK125" s="226">
        <f t="shared" si="19"/>
        <v>1.7164878566598971E-2</v>
      </c>
      <c r="AL125" s="226">
        <f t="shared" si="19"/>
        <v>1.6204821740573645E-2</v>
      </c>
      <c r="AM125" s="226">
        <f t="shared" si="19"/>
        <v>1.5298462300499617E-2</v>
      </c>
      <c r="AN125" s="226">
        <f t="shared" si="19"/>
        <v>1.4442796872847488E-2</v>
      </c>
      <c r="AO125" s="226">
        <f t="shared" si="19"/>
        <v>1.3634990067173018E-2</v>
      </c>
      <c r="AP125" s="226">
        <f t="shared" si="19"/>
        <v>1.2872365080576873E-2</v>
      </c>
      <c r="AQ125" s="226">
        <f t="shared" si="19"/>
        <v>1.2152394827670708E-2</v>
      </c>
      <c r="AR125" s="226">
        <f t="shared" si="19"/>
        <v>1.1472693566657253E-2</v>
      </c>
      <c r="AS125" s="226">
        <f t="shared" si="19"/>
        <v>1.0831008993776028E-2</v>
      </c>
      <c r="AT125" s="226">
        <f t="shared" si="19"/>
        <v>1.022521477991829E-2</v>
      </c>
      <c r="AU125" s="226">
        <f t="shared" si="19"/>
        <v>9.6533035246800479E-3</v>
      </c>
      <c r="AV125" s="226">
        <f t="shared" si="19"/>
        <v>9.1133801045052368E-3</v>
      </c>
      <c r="AW125" s="226">
        <f t="shared" si="19"/>
        <v>8.6036553928769827E-3</v>
      </c>
      <c r="AX125" s="226">
        <f t="shared" si="19"/>
        <v>8.1224403317477854E-3</v>
      </c>
      <c r="AY125" s="226">
        <f t="shared" si="17"/>
        <v>7.6681403345633036E-3</v>
      </c>
      <c r="AZ125" s="226">
        <f t="shared" si="17"/>
        <v>7.2392500023332222E-3</v>
      </c>
      <c r="BA125" s="226">
        <f t="shared" si="17"/>
        <v>6.834348135240028E-3</v>
      </c>
      <c r="BB125" s="226">
        <f t="shared" si="17"/>
        <v>6.4520930232558182E-3</v>
      </c>
      <c r="BC125" s="226">
        <f t="shared" si="17"/>
        <v>6.0912180001618165E-3</v>
      </c>
      <c r="BD125" s="226">
        <f t="shared" si="17"/>
        <v>5.7505272462380977E-3</v>
      </c>
      <c r="BE125" s="226">
        <f t="shared" si="17"/>
        <v>5.4288918257150267E-3</v>
      </c>
    </row>
    <row r="126" spans="5:57" s="10" customFormat="1" x14ac:dyDescent="0.35">
      <c r="E126" s="10" t="s">
        <v>656</v>
      </c>
      <c r="F126" s="10" t="s">
        <v>615</v>
      </c>
      <c r="G126" s="43" t="s">
        <v>616</v>
      </c>
      <c r="I126" s="20"/>
      <c r="J126" s="200"/>
      <c r="K126" s="200"/>
      <c r="L126" s="200"/>
      <c r="M126" s="200"/>
      <c r="N126" s="200">
        <v>6.4299999999999996E-2</v>
      </c>
      <c r="O126" s="226">
        <f t="shared" si="18"/>
        <v>6.0698118081416327E-2</v>
      </c>
      <c r="P126" s="226">
        <f t="shared" si="18"/>
        <v>5.7298002155918508E-2</v>
      </c>
      <c r="Q126" s="226">
        <f t="shared" si="18"/>
        <v>5.4088349932957837E-2</v>
      </c>
      <c r="R126" s="226">
        <f t="shared" si="18"/>
        <v>5.1058492240429888E-2</v>
      </c>
      <c r="S126" s="226">
        <f t="shared" si="18"/>
        <v>4.8198357559388692E-2</v>
      </c>
      <c r="T126" s="226">
        <f t="shared" si="18"/>
        <v>4.5498438545413689E-2</v>
      </c>
      <c r="U126" s="226">
        <f t="shared" si="18"/>
        <v>4.2949760425343458E-2</v>
      </c>
      <c r="V126" s="226">
        <f t="shared" si="18"/>
        <v>4.0543851164324095E-2</v>
      </c>
      <c r="W126" s="226">
        <f t="shared" si="18"/>
        <v>3.827271330400487E-2</v>
      </c>
      <c r="X126" s="226">
        <f t="shared" si="18"/>
        <v>3.6128797378268761E-2</v>
      </c>
      <c r="Y126" s="226">
        <f t="shared" si="18"/>
        <v>3.4104976818129427E-2</v>
      </c>
      <c r="Z126" s="226">
        <f t="shared" si="18"/>
        <v>3.2194524262376151E-2</v>
      </c>
      <c r="AA126" s="226">
        <f t="shared" si="18"/>
        <v>3.0391089195221314E-2</v>
      </c>
      <c r="AB126" s="226">
        <f t="shared" si="18"/>
        <v>2.8688676836615853E-2</v>
      </c>
      <c r="AC126" s="226">
        <f t="shared" si="18"/>
        <v>2.7081628215062249E-2</v>
      </c>
      <c r="AD126" s="226">
        <f t="shared" si="18"/>
        <v>2.5564601356685295E-2</v>
      </c>
      <c r="AE126" s="226">
        <f t="shared" si="16"/>
        <v>2.4132553528031418E-2</v>
      </c>
      <c r="AF126" s="226">
        <f t="shared" si="16"/>
        <v>2.2780724473570005E-2</v>
      </c>
      <c r="AG126" s="226">
        <f t="shared" si="16"/>
        <v>2.1504620592176719E-2</v>
      </c>
      <c r="AH126" s="227">
        <v>2.0299999999999999E-2</v>
      </c>
      <c r="AI126" s="226">
        <f t="shared" si="19"/>
        <v>1.9162858430058341E-2</v>
      </c>
      <c r="AJ126" s="226">
        <f t="shared" si="19"/>
        <v>1.8089415921697442E-2</v>
      </c>
      <c r="AK126" s="226">
        <f t="shared" si="19"/>
        <v>1.7076104255661646E-2</v>
      </c>
      <c r="AL126" s="226">
        <f t="shared" si="19"/>
        <v>1.6119555093012855E-2</v>
      </c>
      <c r="AM126" s="226">
        <f t="shared" si="19"/>
        <v>1.5216588778469523E-2</v>
      </c>
      <c r="AN126" s="226">
        <f t="shared" si="19"/>
        <v>1.4364203770947088E-2</v>
      </c>
      <c r="AO126" s="226">
        <f t="shared" si="19"/>
        <v>1.3559566666165973E-2</v>
      </c>
      <c r="AP126" s="226">
        <f t="shared" si="19"/>
        <v>1.2800002778161415E-2</v>
      </c>
      <c r="AQ126" s="226">
        <f t="shared" si="19"/>
        <v>1.2082987248387226E-2</v>
      </c>
      <c r="AR126" s="226">
        <f t="shared" si="19"/>
        <v>1.140613665285934E-2</v>
      </c>
      <c r="AS126" s="226">
        <f t="shared" si="19"/>
        <v>1.0767201079440545E-2</v>
      </c>
      <c r="AT126" s="226">
        <f t="shared" si="19"/>
        <v>1.0164056648930568E-2</v>
      </c>
      <c r="AU126" s="226">
        <f t="shared" si="19"/>
        <v>9.5946984551009713E-3</v>
      </c>
      <c r="AV126" s="226">
        <f t="shared" si="19"/>
        <v>9.057233900206867E-3</v>
      </c>
      <c r="AW126" s="226">
        <f t="shared" si="19"/>
        <v>8.5498764038221368E-3</v>
      </c>
      <c r="AX126" s="226">
        <f t="shared" si="19"/>
        <v>8.0709394640857118E-3</v>
      </c>
      <c r="AY126" s="226">
        <f t="shared" si="17"/>
        <v>7.6188310516180028E-3</v>
      </c>
      <c r="AZ126" s="226">
        <f t="shared" si="17"/>
        <v>7.1920483174723309E-3</v>
      </c>
      <c r="BA126" s="226">
        <f t="shared" si="17"/>
        <v>6.7891725975301274E-3</v>
      </c>
      <c r="BB126" s="226">
        <f t="shared" si="17"/>
        <v>6.4088646967340544E-3</v>
      </c>
      <c r="BC126" s="226">
        <f t="shared" si="17"/>
        <v>6.0498604374834225E-3</v>
      </c>
      <c r="BD126" s="226">
        <f t="shared" si="17"/>
        <v>5.7109664573943677E-3</v>
      </c>
      <c r="BE126" s="226">
        <f t="shared" si="17"/>
        <v>5.3910562424561619E-3</v>
      </c>
    </row>
    <row r="127" spans="5:57" s="10" customFormat="1" x14ac:dyDescent="0.35">
      <c r="E127" s="10" t="s">
        <v>657</v>
      </c>
      <c r="F127" s="10" t="s">
        <v>615</v>
      </c>
      <c r="G127" s="43" t="s">
        <v>616</v>
      </c>
      <c r="I127" s="20"/>
      <c r="J127" s="200"/>
      <c r="K127" s="200"/>
      <c r="L127" s="200"/>
      <c r="M127" s="200"/>
      <c r="N127" s="200">
        <v>6.4100000000000004E-2</v>
      </c>
      <c r="O127" s="226">
        <f t="shared" si="18"/>
        <v>6.0518747316294648E-2</v>
      </c>
      <c r="P127" s="226">
        <f t="shared" si="18"/>
        <v>5.7137578420179726E-2</v>
      </c>
      <c r="Q127" s="226">
        <f t="shared" si="18"/>
        <v>5.3945314675129898E-2</v>
      </c>
      <c r="R127" s="226">
        <f t="shared" si="18"/>
        <v>5.0931401992545824E-2</v>
      </c>
      <c r="S127" s="226">
        <f t="shared" si="18"/>
        <v>4.8085875938401031E-2</v>
      </c>
      <c r="T127" s="226">
        <f t="shared" si="18"/>
        <v>4.5399328789372612E-2</v>
      </c>
      <c r="U127" s="226">
        <f t="shared" si="18"/>
        <v>4.2862878429538565E-2</v>
      </c>
      <c r="V127" s="226">
        <f t="shared" si="18"/>
        <v>4.0468138984809679E-2</v>
      </c>
      <c r="W127" s="226">
        <f t="shared" si="18"/>
        <v>3.8207193098009191E-2</v>
      </c>
      <c r="X127" s="226">
        <f t="shared" si="18"/>
        <v>3.6072565752937519E-2</v>
      </c>
      <c r="Y127" s="226">
        <f t="shared" si="18"/>
        <v>3.4057199560880644E-2</v>
      </c>
      <c r="Z127" s="226">
        <f t="shared" si="18"/>
        <v>3.2154431427855797E-2</v>
      </c>
      <c r="AA127" s="226">
        <f t="shared" si="18"/>
        <v>3.0357970525452856E-2</v>
      </c>
      <c r="AB127" s="226">
        <f t="shared" si="18"/>
        <v>2.8661877492439966E-2</v>
      </c>
      <c r="AC127" s="226">
        <f t="shared" si="18"/>
        <v>2.7060544798370778E-2</v>
      </c>
      <c r="AD127" s="226">
        <f t="shared" si="18"/>
        <v>2.554867820427258E-2</v>
      </c>
      <c r="AE127" s="226">
        <f t="shared" si="16"/>
        <v>2.4121279259121633E-2</v>
      </c>
      <c r="AF127" s="226">
        <f t="shared" si="16"/>
        <v>2.2773628774236519E-2</v>
      </c>
      <c r="AG127" s="226">
        <f t="shared" si="16"/>
        <v>2.1501271220953459E-2</v>
      </c>
      <c r="AH127" s="227">
        <v>2.0299999999999999E-2</v>
      </c>
      <c r="AI127" s="226">
        <f t="shared" si="19"/>
        <v>1.916584353386554E-2</v>
      </c>
      <c r="AJ127" s="226">
        <f t="shared" si="19"/>
        <v>1.8095052136187961E-2</v>
      </c>
      <c r="AK127" s="226">
        <f t="shared" si="19"/>
        <v>1.7084085614744723E-2</v>
      </c>
      <c r="AL127" s="226">
        <f t="shared" si="19"/>
        <v>1.6129601567062092E-2</v>
      </c>
      <c r="AM127" s="226">
        <f t="shared" si="19"/>
        <v>1.5228444329946035E-2</v>
      </c>
      <c r="AN127" s="226">
        <f t="shared" si="19"/>
        <v>1.4377634546400373E-2</v>
      </c>
      <c r="AO127" s="226">
        <f t="shared" si="19"/>
        <v>1.3574359315438888E-2</v>
      </c>
      <c r="AP127" s="226">
        <f t="shared" si="19"/>
        <v>1.2815962892225216E-2</v>
      </c>
      <c r="AQ127" s="226">
        <f t="shared" si="19"/>
        <v>1.2099937907793861E-2</v>
      </c>
      <c r="AR127" s="226">
        <f t="shared" si="19"/>
        <v>1.1423917079323425E-2</v>
      </c>
      <c r="AS127" s="226">
        <f t="shared" si="19"/>
        <v>1.0785665383555024E-2</v>
      </c>
      <c r="AT127" s="226">
        <f t="shared" si="19"/>
        <v>1.0183072667480073E-2</v>
      </c>
      <c r="AU127" s="226">
        <f t="shared" si="19"/>
        <v>9.6141466718672845E-3</v>
      </c>
      <c r="AV127" s="226">
        <f t="shared" si="19"/>
        <v>9.0770064445636709E-3</v>
      </c>
      <c r="AW127" s="226">
        <f t="shared" si="19"/>
        <v>8.5698761217929305E-3</v>
      </c>
      <c r="AX127" s="226">
        <f t="shared" si="19"/>
        <v>8.0910790568913173E-3</v>
      </c>
      <c r="AY127" s="226">
        <f t="shared" si="17"/>
        <v>7.6390322770697218E-3</v>
      </c>
      <c r="AZ127" s="226">
        <f t="shared" si="17"/>
        <v>7.2122412498752163E-3</v>
      </c>
      <c r="BA127" s="226">
        <f t="shared" si="17"/>
        <v>6.8092949420492238E-3</v>
      </c>
      <c r="BB127" s="226">
        <f t="shared" si="17"/>
        <v>6.4288611544461799E-3</v>
      </c>
      <c r="BC127" s="226">
        <f t="shared" si="17"/>
        <v>6.0696821175892455E-3</v>
      </c>
      <c r="BD127" s="226">
        <f t="shared" si="17"/>
        <v>5.730570333301337E-3</v>
      </c>
      <c r="BE127" s="226">
        <f t="shared" si="17"/>
        <v>5.4104046486633068E-3</v>
      </c>
    </row>
    <row r="128" spans="5:57" s="10" customFormat="1" x14ac:dyDescent="0.35">
      <c r="E128" s="10" t="s">
        <v>658</v>
      </c>
      <c r="F128" s="10" t="s">
        <v>615</v>
      </c>
      <c r="G128" s="43" t="s">
        <v>616</v>
      </c>
      <c r="I128" s="20"/>
      <c r="J128" s="200"/>
      <c r="K128" s="200"/>
      <c r="L128" s="200"/>
      <c r="M128" s="200"/>
      <c r="N128" s="200">
        <v>6.4299999999999996E-2</v>
      </c>
      <c r="O128" s="226">
        <f t="shared" si="18"/>
        <v>6.0698118081416327E-2</v>
      </c>
      <c r="P128" s="226">
        <f t="shared" si="18"/>
        <v>5.7298002155918508E-2</v>
      </c>
      <c r="Q128" s="226">
        <f t="shared" si="18"/>
        <v>5.4088349932957837E-2</v>
      </c>
      <c r="R128" s="226">
        <f t="shared" si="18"/>
        <v>5.1058492240429888E-2</v>
      </c>
      <c r="S128" s="226">
        <f t="shared" si="18"/>
        <v>4.8198357559388692E-2</v>
      </c>
      <c r="T128" s="226">
        <f t="shared" si="18"/>
        <v>4.5498438545413689E-2</v>
      </c>
      <c r="U128" s="226">
        <f t="shared" si="18"/>
        <v>4.2949760425343458E-2</v>
      </c>
      <c r="V128" s="226">
        <f t="shared" si="18"/>
        <v>4.0543851164324095E-2</v>
      </c>
      <c r="W128" s="226">
        <f t="shared" si="18"/>
        <v>3.827271330400487E-2</v>
      </c>
      <c r="X128" s="226">
        <f t="shared" si="18"/>
        <v>3.6128797378268761E-2</v>
      </c>
      <c r="Y128" s="226">
        <f t="shared" si="18"/>
        <v>3.4104976818129427E-2</v>
      </c>
      <c r="Z128" s="226">
        <f t="shared" si="18"/>
        <v>3.2194524262376151E-2</v>
      </c>
      <c r="AA128" s="226">
        <f t="shared" si="18"/>
        <v>3.0391089195221314E-2</v>
      </c>
      <c r="AB128" s="226">
        <f t="shared" si="18"/>
        <v>2.8688676836615853E-2</v>
      </c>
      <c r="AC128" s="226">
        <f t="shared" si="18"/>
        <v>2.7081628215062249E-2</v>
      </c>
      <c r="AD128" s="226">
        <f t="shared" si="18"/>
        <v>2.5564601356685295E-2</v>
      </c>
      <c r="AE128" s="226">
        <f t="shared" si="16"/>
        <v>2.4132553528031418E-2</v>
      </c>
      <c r="AF128" s="226">
        <f t="shared" si="16"/>
        <v>2.2780724473570005E-2</v>
      </c>
      <c r="AG128" s="226">
        <f t="shared" si="16"/>
        <v>2.1504620592176719E-2</v>
      </c>
      <c r="AH128" s="227">
        <v>2.0299999999999999E-2</v>
      </c>
      <c r="AI128" s="226">
        <f t="shared" si="19"/>
        <v>1.9162858430058341E-2</v>
      </c>
      <c r="AJ128" s="226">
        <f t="shared" si="19"/>
        <v>1.8089415921697442E-2</v>
      </c>
      <c r="AK128" s="226">
        <f t="shared" si="19"/>
        <v>1.7076104255661646E-2</v>
      </c>
      <c r="AL128" s="226">
        <f t="shared" si="19"/>
        <v>1.6119555093012855E-2</v>
      </c>
      <c r="AM128" s="226">
        <f t="shared" si="19"/>
        <v>1.5216588778469523E-2</v>
      </c>
      <c r="AN128" s="226">
        <f t="shared" si="19"/>
        <v>1.4364203770947088E-2</v>
      </c>
      <c r="AO128" s="226">
        <f t="shared" si="19"/>
        <v>1.3559566666165973E-2</v>
      </c>
      <c r="AP128" s="226">
        <f t="shared" si="19"/>
        <v>1.2800002778161415E-2</v>
      </c>
      <c r="AQ128" s="226">
        <f t="shared" si="19"/>
        <v>1.2082987248387226E-2</v>
      </c>
      <c r="AR128" s="226">
        <f t="shared" si="19"/>
        <v>1.140613665285934E-2</v>
      </c>
      <c r="AS128" s="226">
        <f t="shared" si="19"/>
        <v>1.0767201079440545E-2</v>
      </c>
      <c r="AT128" s="226">
        <f t="shared" si="19"/>
        <v>1.0164056648930568E-2</v>
      </c>
      <c r="AU128" s="226">
        <f t="shared" si="19"/>
        <v>9.5946984551009713E-3</v>
      </c>
      <c r="AV128" s="226">
        <f t="shared" si="19"/>
        <v>9.057233900206867E-3</v>
      </c>
      <c r="AW128" s="226">
        <f t="shared" si="19"/>
        <v>8.5498764038221368E-3</v>
      </c>
      <c r="AX128" s="226">
        <f t="shared" si="19"/>
        <v>8.0709394640857118E-3</v>
      </c>
      <c r="AY128" s="226">
        <f t="shared" si="17"/>
        <v>7.6188310516180028E-3</v>
      </c>
      <c r="AZ128" s="226">
        <f t="shared" si="17"/>
        <v>7.1920483174723309E-3</v>
      </c>
      <c r="BA128" s="226">
        <f t="shared" si="17"/>
        <v>6.7891725975301274E-3</v>
      </c>
      <c r="BB128" s="226">
        <f t="shared" si="17"/>
        <v>6.4088646967340544E-3</v>
      </c>
      <c r="BC128" s="226">
        <f t="shared" si="17"/>
        <v>6.0498604374834225E-3</v>
      </c>
      <c r="BD128" s="226">
        <f t="shared" si="17"/>
        <v>5.7109664573943677E-3</v>
      </c>
      <c r="BE128" s="226">
        <f t="shared" si="17"/>
        <v>5.3910562424561619E-3</v>
      </c>
    </row>
    <row r="129" spans="5:57" s="10" customFormat="1" x14ac:dyDescent="0.35">
      <c r="E129" s="10" t="s">
        <v>659</v>
      </c>
      <c r="F129" s="10" t="s">
        <v>615</v>
      </c>
      <c r="G129" s="43" t="s">
        <v>616</v>
      </c>
      <c r="I129" s="20"/>
      <c r="J129" s="200"/>
      <c r="K129" s="200"/>
      <c r="L129" s="200"/>
      <c r="M129" s="200"/>
      <c r="N129" s="200">
        <v>6.4500000000000002E-2</v>
      </c>
      <c r="O129" s="226">
        <f t="shared" si="18"/>
        <v>6.0892420427655664E-2</v>
      </c>
      <c r="P129" s="226">
        <f t="shared" si="18"/>
        <v>5.7486618070362427E-2</v>
      </c>
      <c r="Q129" s="226">
        <f t="shared" si="18"/>
        <v>5.4271307232629087E-2</v>
      </c>
      <c r="R129" s="226">
        <f t="shared" si="18"/>
        <v>5.1235833444460775E-2</v>
      </c>
      <c r="S129" s="226">
        <f t="shared" si="18"/>
        <v>4.8370138155991421E-2</v>
      </c>
      <c r="T129" s="226">
        <f t="shared" si="18"/>
        <v>4.5664725406797189E-2</v>
      </c>
      <c r="U129" s="226">
        <f t="shared" si="18"/>
        <v>4.311063035944409E-2</v>
      </c>
      <c r="V129" s="226">
        <f t="shared" si="18"/>
        <v>4.0699389593000401E-2</v>
      </c>
      <c r="W129" s="226">
        <f t="shared" si="18"/>
        <v>3.8423013058076494E-2</v>
      </c>
      <c r="X129" s="226">
        <f t="shared" si="18"/>
        <v>3.6273957600460427E-2</v>
      </c>
      <c r="Y129" s="226">
        <f t="shared" si="18"/>
        <v>3.4245101965615379E-2</v>
      </c>
      <c r="Z129" s="226">
        <f t="shared" si="18"/>
        <v>3.2329723201212232E-2</v>
      </c>
      <c r="AA129" s="226">
        <f t="shared" si="18"/>
        <v>3.0521474379503085E-2</v>
      </c>
      <c r="AB129" s="226">
        <f t="shared" si="18"/>
        <v>2.8814363565715078E-2</v>
      </c>
      <c r="AC129" s="226">
        <f t="shared" si="18"/>
        <v>2.7202733962772806E-2</v>
      </c>
      <c r="AD129" s="226">
        <f t="shared" si="18"/>
        <v>2.5681245166555493E-2</v>
      </c>
      <c r="AE129" s="226">
        <f t="shared" si="16"/>
        <v>2.4244855469575149E-2</v>
      </c>
      <c r="AF129" s="226">
        <f t="shared" si="16"/>
        <v>2.2888805154435921E-2</v>
      </c>
      <c r="AG129" s="226">
        <f t="shared" si="16"/>
        <v>2.1608600721714791E-2</v>
      </c>
      <c r="AH129" s="227">
        <v>2.0400000000000001E-2</v>
      </c>
      <c r="AI129" s="226">
        <f t="shared" si="19"/>
        <v>1.9258998088746909E-2</v>
      </c>
      <c r="AJ129" s="226">
        <f t="shared" si="19"/>
        <v>1.8181814087370445E-2</v>
      </c>
      <c r="AK129" s="226">
        <f t="shared" si="19"/>
        <v>1.7164878566598971E-2</v>
      </c>
      <c r="AL129" s="226">
        <f t="shared" si="19"/>
        <v>1.6204821740573645E-2</v>
      </c>
      <c r="AM129" s="226">
        <f t="shared" si="19"/>
        <v>1.5298462300499617E-2</v>
      </c>
      <c r="AN129" s="226">
        <f t="shared" si="19"/>
        <v>1.4442796872847488E-2</v>
      </c>
      <c r="AO129" s="226">
        <f t="shared" si="19"/>
        <v>1.3634990067173018E-2</v>
      </c>
      <c r="AP129" s="226">
        <f t="shared" si="19"/>
        <v>1.2872365080576873E-2</v>
      </c>
      <c r="AQ129" s="226">
        <f t="shared" si="19"/>
        <v>1.2152394827670708E-2</v>
      </c>
      <c r="AR129" s="226">
        <f t="shared" si="19"/>
        <v>1.1472693566657253E-2</v>
      </c>
      <c r="AS129" s="226">
        <f t="shared" si="19"/>
        <v>1.0831008993776028E-2</v>
      </c>
      <c r="AT129" s="226">
        <f t="shared" si="19"/>
        <v>1.022521477991829E-2</v>
      </c>
      <c r="AU129" s="226">
        <f t="shared" si="19"/>
        <v>9.6533035246800479E-3</v>
      </c>
      <c r="AV129" s="226">
        <f t="shared" si="19"/>
        <v>9.1133801045052368E-3</v>
      </c>
      <c r="AW129" s="226">
        <f t="shared" si="19"/>
        <v>8.6036553928769827E-3</v>
      </c>
      <c r="AX129" s="226">
        <f t="shared" si="19"/>
        <v>8.1224403317477854E-3</v>
      </c>
      <c r="AY129" s="226">
        <f t="shared" si="17"/>
        <v>7.6681403345633036E-3</v>
      </c>
      <c r="AZ129" s="226">
        <f t="shared" si="17"/>
        <v>7.2392500023332222E-3</v>
      </c>
      <c r="BA129" s="226">
        <f t="shared" si="17"/>
        <v>6.834348135240028E-3</v>
      </c>
      <c r="BB129" s="226">
        <f t="shared" si="17"/>
        <v>6.4520930232558182E-3</v>
      </c>
      <c r="BC129" s="226">
        <f t="shared" si="17"/>
        <v>6.0912180001618165E-3</v>
      </c>
      <c r="BD129" s="226">
        <f t="shared" si="17"/>
        <v>5.7505272462380977E-3</v>
      </c>
      <c r="BE129" s="226">
        <f t="shared" si="17"/>
        <v>5.4288918257150267E-3</v>
      </c>
    </row>
    <row r="130" spans="5:57" s="10" customFormat="1" x14ac:dyDescent="0.35">
      <c r="E130" s="10" t="s">
        <v>660</v>
      </c>
      <c r="F130" s="10" t="s">
        <v>615</v>
      </c>
      <c r="G130" s="43" t="s">
        <v>616</v>
      </c>
      <c r="I130" s="20"/>
      <c r="J130" s="200"/>
      <c r="K130" s="200"/>
      <c r="L130" s="200"/>
      <c r="M130" s="200"/>
      <c r="N130" s="200">
        <v>6.4699999999999994E-2</v>
      </c>
      <c r="O130" s="226">
        <f t="shared" si="18"/>
        <v>6.1086713390029371E-2</v>
      </c>
      <c r="P130" s="226">
        <f t="shared" si="18"/>
        <v>5.7675217199313664E-2</v>
      </c>
      <c r="Q130" s="226">
        <f t="shared" si="18"/>
        <v>5.4454242082877385E-2</v>
      </c>
      <c r="R130" s="226">
        <f t="shared" si="18"/>
        <v>5.1413148052364875E-2</v>
      </c>
      <c r="S130" s="226">
        <f t="shared" si="18"/>
        <v>4.8541889328500155E-2</v>
      </c>
      <c r="T130" s="226">
        <f t="shared" si="18"/>
        <v>4.5830981156423721E-2</v>
      </c>
      <c r="U130" s="226">
        <f t="shared" si="18"/>
        <v>4.3271468474285826E-2</v>
      </c>
      <c r="V130" s="226">
        <f t="shared" si="18"/>
        <v>4.0854896331597994E-2</v>
      </c>
      <c r="W130" s="226">
        <f t="shared" si="18"/>
        <v>3.8573281959624256E-2</v>
      </c>
      <c r="X130" s="226">
        <f t="shared" si="18"/>
        <v>3.6419088401551121E-2</v>
      </c>
      <c r="Y130" s="226">
        <f t="shared" si="18"/>
        <v>3.4385199615327613E-2</v>
      </c>
      <c r="Z130" s="226">
        <f t="shared" si="18"/>
        <v>3.2464896966931472E-2</v>
      </c>
      <c r="AA130" s="226">
        <f t="shared" si="18"/>
        <v>3.0651837036410771E-2</v>
      </c>
      <c r="AB130" s="226">
        <f t="shared" si="18"/>
        <v>2.8940030663386587E-2</v>
      </c>
      <c r="AC130" s="226">
        <f t="shared" si="18"/>
        <v>2.7323823162796881E-2</v>
      </c>
      <c r="AD130" s="226">
        <f t="shared" si="18"/>
        <v>2.5797875645527341E-2</v>
      </c>
      <c r="AE130" s="226">
        <f t="shared" si="16"/>
        <v>2.4357147382224852E-2</v>
      </c>
      <c r="AF130" s="226">
        <f t="shared" si="16"/>
        <v>2.2996879152035146E-2</v>
      </c>
      <c r="AG130" s="226">
        <f t="shared" si="16"/>
        <v>2.1712577521259858E-2</v>
      </c>
      <c r="AH130" s="227">
        <v>2.0500000000000001E-2</v>
      </c>
      <c r="AI130" s="226">
        <f t="shared" si="19"/>
        <v>1.935514102775274E-2</v>
      </c>
      <c r="AJ130" s="226">
        <f t="shared" si="19"/>
        <v>1.8274218741668166E-2</v>
      </c>
      <c r="AK130" s="226">
        <f t="shared" si="19"/>
        <v>1.7253662483755587E-2</v>
      </c>
      <c r="AL130" s="226">
        <f t="shared" si="19"/>
        <v>1.6290101005772488E-2</v>
      </c>
      <c r="AM130" s="226">
        <f t="shared" si="19"/>
        <v>1.5380351332832354E-2</v>
      </c>
      <c r="AN130" s="226">
        <f t="shared" si="19"/>
        <v>1.4521408248944148E-2</v>
      </c>
      <c r="AO130" s="226">
        <f t="shared" si="19"/>
        <v>1.3710434369750535E-2</v>
      </c>
      <c r="AP130" s="226">
        <f t="shared" si="19"/>
        <v>1.2944750769671699E-2</v>
      </c>
      <c r="AQ130" s="226">
        <f t="shared" si="19"/>
        <v>1.2221828132493003E-2</v>
      </c>
      <c r="AR130" s="226">
        <f t="shared" si="19"/>
        <v>1.1539278396163803E-2</v>
      </c>
      <c r="AS130" s="226">
        <f t="shared" si="19"/>
        <v>1.0894846864207358E-2</v>
      </c>
      <c r="AT130" s="226">
        <f t="shared" si="19"/>
        <v>1.0286404757683078E-2</v>
      </c>
      <c r="AU130" s="226">
        <f t="shared" si="19"/>
        <v>9.7119421830976944E-3</v>
      </c>
      <c r="AV130" s="226">
        <f t="shared" si="19"/>
        <v>9.1695614930359364E-3</v>
      </c>
      <c r="AW130" s="226">
        <f t="shared" si="19"/>
        <v>8.6574710175786104E-3</v>
      </c>
      <c r="AX130" s="226">
        <f t="shared" si="19"/>
        <v>8.1739791458007808E-3</v>
      </c>
      <c r="AY130" s="226">
        <f t="shared" si="17"/>
        <v>7.7174887377992191E-3</v>
      </c>
      <c r="AZ130" s="226">
        <f t="shared" si="17"/>
        <v>7.2864918487901154E-3</v>
      </c>
      <c r="BA130" s="226">
        <f t="shared" si="17"/>
        <v>6.8795647478489498E-3</v>
      </c>
      <c r="BB130" s="226">
        <f t="shared" si="17"/>
        <v>6.4953632148376898E-3</v>
      </c>
      <c r="BC130" s="226">
        <f t="shared" si="17"/>
        <v>6.1326180999834584E-3</v>
      </c>
      <c r="BD130" s="226">
        <f t="shared" si="17"/>
        <v>5.7901311314404336E-3</v>
      </c>
      <c r="BE130" s="226">
        <f t="shared" si="17"/>
        <v>5.4667709569859091E-3</v>
      </c>
    </row>
    <row r="131" spans="5:57" s="10" customFormat="1" x14ac:dyDescent="0.35">
      <c r="E131" s="10" t="s">
        <v>661</v>
      </c>
      <c r="F131" s="10" t="s">
        <v>615</v>
      </c>
      <c r="G131" s="43" t="s">
        <v>616</v>
      </c>
      <c r="I131" s="20"/>
      <c r="J131" s="200"/>
      <c r="K131" s="200"/>
      <c r="L131" s="200"/>
      <c r="M131" s="200"/>
      <c r="N131" s="200">
        <v>6.4899999999999999E-2</v>
      </c>
      <c r="O131" s="226">
        <f t="shared" si="18"/>
        <v>6.1280997087759644E-2</v>
      </c>
      <c r="P131" s="226">
        <f t="shared" si="18"/>
        <v>5.7863799754545552E-2</v>
      </c>
      <c r="Q131" s="226">
        <f t="shared" si="18"/>
        <v>5.4637154764946273E-2</v>
      </c>
      <c r="R131" s="226">
        <f t="shared" si="18"/>
        <v>5.1590436394979136E-2</v>
      </c>
      <c r="S131" s="226">
        <f t="shared" si="18"/>
        <v>4.8713611440323046E-2</v>
      </c>
      <c r="T131" s="226">
        <f t="shared" si="18"/>
        <v>4.5997206175788778E-2</v>
      </c>
      <c r="U131" s="226">
        <f t="shared" si="18"/>
        <v>4.3432275157220215E-2</v>
      </c>
      <c r="V131" s="226">
        <f t="shared" si="18"/>
        <v>4.1010371763087639E-2</v>
      </c>
      <c r="W131" s="226">
        <f t="shared" si="18"/>
        <v>3.8723520378762928E-2</v>
      </c>
      <c r="X131" s="226">
        <f t="shared" si="18"/>
        <v>3.6564190131876305E-2</v>
      </c>
      <c r="Y131" s="226">
        <f t="shared" si="18"/>
        <v>3.4525270092261973E-2</v>
      </c>
      <c r="Z131" s="226">
        <f t="shared" si="18"/>
        <v>3.260004585482313E-2</v>
      </c>
      <c r="AA131" s="226">
        <f t="shared" si="18"/>
        <v>3.0782177428201035E-2</v>
      </c>
      <c r="AB131" s="226">
        <f t="shared" si="18"/>
        <v>2.9065678356432794E-2</v>
      </c>
      <c r="AC131" s="226">
        <f t="shared" si="18"/>
        <v>2.7444896004843091E-2</v>
      </c>
      <c r="AD131" s="226">
        <f t="shared" si="18"/>
        <v>2.5914492945248935E-2</v>
      </c>
      <c r="AE131" s="226">
        <f t="shared" si="16"/>
        <v>2.4469429379176701E-2</v>
      </c>
      <c r="AF131" s="226">
        <f t="shared" si="16"/>
        <v>2.3104946541209058E-2</v>
      </c>
      <c r="AG131" s="226">
        <f t="shared" si="16"/>
        <v>2.1816551027807003E-2</v>
      </c>
      <c r="AH131" s="227">
        <v>2.06E-2</v>
      </c>
      <c r="AI131" s="226">
        <f t="shared" si="19"/>
        <v>1.9451287211214925E-2</v>
      </c>
      <c r="AJ131" s="226">
        <f t="shared" si="19"/>
        <v>1.8366629814231716E-2</v>
      </c>
      <c r="AK131" s="226">
        <f t="shared" si="19"/>
        <v>1.734245590381962E-2</v>
      </c>
      <c r="AL131" s="226">
        <f t="shared" si="19"/>
        <v>1.6375392754030358E-2</v>
      </c>
      <c r="AM131" s="226">
        <f t="shared" si="19"/>
        <v>1.5462255711412246E-2</v>
      </c>
      <c r="AN131" s="226">
        <f t="shared" si="19"/>
        <v>1.4600037707569319E-2</v>
      </c>
      <c r="AO131" s="226">
        <f t="shared" si="19"/>
        <v>1.3785899356529067E-2</v>
      </c>
      <c r="AP131" s="226">
        <f t="shared" si="19"/>
        <v>1.301715960430825E-2</v>
      </c>
      <c r="AQ131" s="226">
        <f t="shared" si="19"/>
        <v>1.229128689988469E-2</v>
      </c>
      <c r="AR131" s="226">
        <f t="shared" si="19"/>
        <v>1.160589085850003E-2</v>
      </c>
      <c r="AS131" s="226">
        <f t="shared" si="19"/>
        <v>1.0958714389839702E-2</v>
      </c>
      <c r="AT131" s="226">
        <f t="shared" si="19"/>
        <v>1.0347626265167281E-2</v>
      </c>
      <c r="AU131" s="226">
        <f t="shared" si="19"/>
        <v>9.7706140989359223E-3</v>
      </c>
      <c r="AV131" s="226">
        <f t="shared" si="19"/>
        <v>9.2257777217644929E-3</v>
      </c>
      <c r="AW131" s="226">
        <f t="shared" si="19"/>
        <v>8.711322922954819E-3</v>
      </c>
      <c r="AX131" s="226">
        <f t="shared" si="19"/>
        <v>8.2255555419434231E-3</v>
      </c>
      <c r="AY131" s="226">
        <f t="shared" si="17"/>
        <v>7.7668758892302028E-3</v>
      </c>
      <c r="AZ131" s="226">
        <f t="shared" si="17"/>
        <v>7.3337734784115049E-3</v>
      </c>
      <c r="BA131" s="226">
        <f t="shared" si="17"/>
        <v>6.9248220519695586E-3</v>
      </c>
      <c r="BB131" s="226">
        <f t="shared" si="17"/>
        <v>6.5386748844376008E-3</v>
      </c>
      <c r="BC131" s="226">
        <f t="shared" si="17"/>
        <v>6.1740603474734635E-3</v>
      </c>
      <c r="BD131" s="226">
        <f t="shared" si="17"/>
        <v>5.8297777222368818E-3</v>
      </c>
      <c r="BE131" s="226">
        <f t="shared" si="17"/>
        <v>5.5046932452801917E-3</v>
      </c>
    </row>
    <row r="132" spans="5:57" s="10" customFormat="1" x14ac:dyDescent="0.35">
      <c r="E132" s="10" t="s">
        <v>662</v>
      </c>
      <c r="F132" s="10" t="s">
        <v>615</v>
      </c>
      <c r="G132" s="43" t="s">
        <v>616</v>
      </c>
      <c r="I132" s="20"/>
      <c r="J132" s="200"/>
      <c r="K132" s="200"/>
      <c r="L132" s="200"/>
      <c r="M132" s="200"/>
      <c r="N132" s="200">
        <v>6.5199999999999994E-2</v>
      </c>
      <c r="O132" s="226">
        <f t="shared" si="18"/>
        <v>6.1564978652629811E-2</v>
      </c>
      <c r="P132" s="226">
        <f t="shared" si="18"/>
        <v>5.8132616510717251E-2</v>
      </c>
      <c r="Q132" s="226">
        <f t="shared" si="18"/>
        <v>5.4891614946377655E-2</v>
      </c>
      <c r="R132" s="226">
        <f t="shared" si="18"/>
        <v>5.1831305251259452E-2</v>
      </c>
      <c r="S132" s="226">
        <f t="shared" si="18"/>
        <v>4.894161351735779E-2</v>
      </c>
      <c r="T132" s="226">
        <f t="shared" si="18"/>
        <v>4.6213027475788211E-2</v>
      </c>
      <c r="U132" s="226">
        <f t="shared" si="18"/>
        <v>4.3636565184360376E-2</v>
      </c>
      <c r="V132" s="226">
        <f t="shared" si="18"/>
        <v>4.1203745460877857E-2</v>
      </c>
      <c r="W132" s="226">
        <f t="shared" si="18"/>
        <v>3.8906559964836475E-2</v>
      </c>
      <c r="X132" s="226">
        <f t="shared" si="18"/>
        <v>3.6737446835619927E-2</v>
      </c>
      <c r="Y132" s="226">
        <f t="shared" si="18"/>
        <v>3.4689265800415085E-2</v>
      </c>
      <c r="Z132" s="226">
        <f t="shared" si="18"/>
        <v>3.2755274669907304E-2</v>
      </c>
      <c r="AA132" s="226">
        <f t="shared" si="18"/>
        <v>3.0929107144384498E-2</v>
      </c>
      <c r="AB132" s="226">
        <f t="shared" si="18"/>
        <v>2.9204751857192207E-2</v>
      </c>
      <c r="AC132" s="226">
        <f t="shared" si="18"/>
        <v>2.7576532586555048E-2</v>
      </c>
      <c r="AD132" s="226">
        <f t="shared" si="18"/>
        <v>2.6039089570625951E-2</v>
      </c>
      <c r="AE132" s="226">
        <f t="shared" si="16"/>
        <v>2.4587361864256172E-2</v>
      </c>
      <c r="AF132" s="226">
        <f t="shared" si="16"/>
        <v>2.3216570679408216E-2</v>
      </c>
      <c r="AG132" s="226">
        <f t="shared" si="16"/>
        <v>2.1922203654371749E-2</v>
      </c>
      <c r="AH132" s="227">
        <v>2.07E-2</v>
      </c>
      <c r="AI132" s="226">
        <f t="shared" si="19"/>
        <v>1.9545936474071123E-2</v>
      </c>
      <c r="AJ132" s="226">
        <f t="shared" si="19"/>
        <v>1.8456214137605016E-2</v>
      </c>
      <c r="AK132" s="226">
        <f t="shared" si="19"/>
        <v>1.7427245849540144E-2</v>
      </c>
      <c r="AL132" s="226">
        <f t="shared" si="19"/>
        <v>1.6455644458605378E-2</v>
      </c>
      <c r="AM132" s="226">
        <f t="shared" si="19"/>
        <v>1.5538211653516966E-2</v>
      </c>
      <c r="AN132" s="226">
        <f t="shared" si="19"/>
        <v>1.4671927434797789E-2</v>
      </c>
      <c r="AO132" s="226">
        <f t="shared" si="19"/>
        <v>1.3853940173562264E-2</v>
      </c>
      <c r="AP132" s="226">
        <f t="shared" si="19"/>
        <v>1.3081557224542507E-2</v>
      </c>
      <c r="AQ132" s="226">
        <f t="shared" si="19"/>
        <v>1.2352236062455748E-2</v>
      </c>
      <c r="AR132" s="226">
        <f t="shared" si="19"/>
        <v>1.1663575912535772E-2</v>
      </c>
      <c r="AS132" s="226">
        <f t="shared" si="19"/>
        <v>1.1013309847677793E-2</v>
      </c>
      <c r="AT132" s="226">
        <f t="shared" si="19"/>
        <v>1.0399297326182225E-2</v>
      </c>
      <c r="AU132" s="226">
        <f t="shared" si="19"/>
        <v>9.8195171455331149E-3</v>
      </c>
      <c r="AV132" s="226">
        <f t="shared" si="19"/>
        <v>9.2720607890165452E-3</v>
      </c>
      <c r="AW132" s="226">
        <f t="shared" si="19"/>
        <v>8.7551261432774474E-3</v>
      </c>
      <c r="AX132" s="226">
        <f t="shared" si="19"/>
        <v>8.2670115661343142E-3</v>
      </c>
      <c r="AY132" s="226">
        <f t="shared" si="17"/>
        <v>7.8061102851242764E-3</v>
      </c>
      <c r="AZ132" s="226">
        <f t="shared" si="17"/>
        <v>7.3709051083397257E-3</v>
      </c>
      <c r="BA132" s="226">
        <f t="shared" si="17"/>
        <v>6.9599634301456331E-3</v>
      </c>
      <c r="BB132" s="226">
        <f t="shared" si="17"/>
        <v>6.5719325153374246E-3</v>
      </c>
      <c r="BC132" s="226">
        <f t="shared" si="17"/>
        <v>6.2055350462158331E-3</v>
      </c>
      <c r="BD132" s="226">
        <f t="shared" si="17"/>
        <v>5.859564917920613E-3</v>
      </c>
      <c r="BE132" s="226">
        <f t="shared" si="17"/>
        <v>5.5328832681822262E-3</v>
      </c>
    </row>
    <row r="133" spans="5:57" s="10" customFormat="1" x14ac:dyDescent="0.35">
      <c r="E133" s="10" t="s">
        <v>663</v>
      </c>
      <c r="F133" s="10" t="s">
        <v>615</v>
      </c>
      <c r="G133" s="43" t="s">
        <v>616</v>
      </c>
      <c r="I133" s="20"/>
      <c r="J133" s="200"/>
      <c r="K133" s="200"/>
      <c r="L133" s="200"/>
      <c r="M133" s="200"/>
      <c r="N133" s="200">
        <v>6.5500000000000003E-2</v>
      </c>
      <c r="O133" s="226">
        <f t="shared" si="18"/>
        <v>6.1863793755106165E-2</v>
      </c>
      <c r="P133" s="226">
        <f t="shared" si="18"/>
        <v>5.8429450042355918E-2</v>
      </c>
      <c r="Q133" s="226">
        <f t="shared" si="18"/>
        <v>5.5185762544192149E-2</v>
      </c>
      <c r="R133" s="226">
        <f t="shared" si="18"/>
        <v>5.2122147057284976E-2</v>
      </c>
      <c r="S133" s="226">
        <f t="shared" si="18"/>
        <v>4.9228606956109797E-2</v>
      </c>
      <c r="T133" s="226">
        <f t="shared" si="18"/>
        <v>4.6495700573800931E-2</v>
      </c>
      <c r="U133" s="226">
        <f t="shared" si="18"/>
        <v>4.3914510393844156E-2</v>
      </c>
      <c r="V133" s="226">
        <f t="shared" si="18"/>
        <v>4.1476613952080015E-2</v>
      </c>
      <c r="W133" s="226">
        <f t="shared" si="18"/>
        <v>3.9174056354070792E-2</v>
      </c>
      <c r="X133" s="226">
        <f t="shared" si="18"/>
        <v>3.6999324318154836E-2</v>
      </c>
      <c r="Y133" s="226">
        <f t="shared" si="18"/>
        <v>3.4945321659490304E-2</v>
      </c>
      <c r="Z133" s="226">
        <f t="shared" si="18"/>
        <v>3.3005346135092407E-2</v>
      </c>
      <c r="AA133" s="226">
        <f t="shared" si="18"/>
        <v>3.1173067574309116E-2</v>
      </c>
      <c r="AB133" s="226">
        <f t="shared" si="18"/>
        <v>2.9442507223374759E-2</v>
      </c>
      <c r="AC133" s="226">
        <f t="shared" si="18"/>
        <v>2.7808018236642435E-2</v>
      </c>
      <c r="AD133" s="226">
        <f t="shared" si="18"/>
        <v>2.6264267250837841E-2</v>
      </c>
      <c r="AE133" s="226">
        <f t="shared" si="16"/>
        <v>2.4806216982211013E-2</v>
      </c>
      <c r="AF133" s="226">
        <f t="shared" si="16"/>
        <v>2.3429109789800215E-2</v>
      </c>
      <c r="AG133" s="226">
        <f t="shared" si="16"/>
        <v>2.2128452151174646E-2</v>
      </c>
      <c r="AH133" s="227">
        <v>2.0899999999999998E-2</v>
      </c>
      <c r="AI133" s="226">
        <f t="shared" si="19"/>
        <v>1.9739744877583492E-2</v>
      </c>
      <c r="AJ133" s="226">
        <f t="shared" si="19"/>
        <v>1.8643900853209747E-2</v>
      </c>
      <c r="AK133" s="226">
        <f t="shared" si="19"/>
        <v>1.760889217058955E-2</v>
      </c>
      <c r="AL133" s="226">
        <f t="shared" si="19"/>
        <v>1.6631341580110773E-2</v>
      </c>
      <c r="AM133" s="226">
        <f t="shared" si="19"/>
        <v>1.5708059318819762E-2</v>
      </c>
      <c r="AN133" s="226">
        <f t="shared" si="19"/>
        <v>1.4836032702174644E-2</v>
      </c>
      <c r="AO133" s="226">
        <f t="shared" si="19"/>
        <v>1.4012416293608283E-2</v>
      </c>
      <c r="AP133" s="226">
        <f t="shared" si="19"/>
        <v>1.3234522619824E-2</v>
      </c>
      <c r="AQ133" s="226">
        <f t="shared" si="19"/>
        <v>1.2499813401527927E-2</v>
      </c>
      <c r="AR133" s="226">
        <f t="shared" si="19"/>
        <v>1.1805891270983752E-2</v>
      </c>
      <c r="AS133" s="226">
        <f t="shared" si="19"/>
        <v>1.1150491949364077E-2</v>
      </c>
      <c r="AT133" s="226">
        <f t="shared" si="19"/>
        <v>1.0531476858372992E-2</v>
      </c>
      <c r="AU133" s="226">
        <f t="shared" si="19"/>
        <v>9.9468261420314532E-3</v>
      </c>
      <c r="AV133" s="226">
        <f t="shared" si="19"/>
        <v>9.3946320758554521E-3</v>
      </c>
      <c r="AW133" s="226">
        <f t="shared" si="19"/>
        <v>8.8730928419210164E-3</v>
      </c>
      <c r="AX133" s="226">
        <f t="shared" si="19"/>
        <v>8.3805066495039778E-3</v>
      </c>
      <c r="AY133" s="226">
        <f t="shared" si="17"/>
        <v>7.9152661821100742E-3</v>
      </c>
      <c r="AZ133" s="226">
        <f t="shared" si="17"/>
        <v>7.4758533527759423E-3</v>
      </c>
      <c r="BA133" s="226">
        <f t="shared" si="17"/>
        <v>7.0608343505274779E-3</v>
      </c>
      <c r="BB133" s="226">
        <f t="shared" si="17"/>
        <v>6.6688549618320742E-3</v>
      </c>
      <c r="BC133" s="226">
        <f t="shared" si="17"/>
        <v>6.2986361517785626E-3</v>
      </c>
      <c r="BD133" s="226">
        <f t="shared" si="17"/>
        <v>5.9489698905661765E-3</v>
      </c>
      <c r="BE133" s="226">
        <f t="shared" si="17"/>
        <v>5.6187152116843123E-3</v>
      </c>
    </row>
    <row r="134" spans="5:57" s="10" customFormat="1" x14ac:dyDescent="0.35">
      <c r="E134" s="10" t="s">
        <v>664</v>
      </c>
      <c r="F134" s="10" t="s">
        <v>615</v>
      </c>
      <c r="G134" s="43" t="s">
        <v>616</v>
      </c>
      <c r="I134" s="20"/>
      <c r="J134" s="200"/>
      <c r="K134" s="200"/>
      <c r="L134" s="200"/>
      <c r="M134" s="200"/>
      <c r="N134" s="200">
        <v>6.59E-2</v>
      </c>
      <c r="O134" s="226">
        <f t="shared" si="18"/>
        <v>6.2252280639768717E-2</v>
      </c>
      <c r="P134" s="226">
        <f t="shared" si="18"/>
        <v>5.8806471090326599E-2</v>
      </c>
      <c r="Q134" s="226">
        <f t="shared" si="18"/>
        <v>5.5551395170704967E-2</v>
      </c>
      <c r="R134" s="226">
        <f t="shared" si="18"/>
        <v>5.2476495327730167E-2</v>
      </c>
      <c r="S134" s="226">
        <f t="shared" si="18"/>
        <v>4.9571798393526101E-2</v>
      </c>
      <c r="T134" s="226">
        <f t="shared" si="18"/>
        <v>4.682788323841916E-2</v>
      </c>
      <c r="U134" s="226">
        <f t="shared" si="18"/>
        <v>4.4235850214330671E-2</v>
      </c>
      <c r="V134" s="226">
        <f t="shared" si="18"/>
        <v>4.1787292289549104E-2</v>
      </c>
      <c r="W134" s="226">
        <f t="shared" si="18"/>
        <v>3.9474267781260307E-2</v>
      </c>
      <c r="X134" s="226">
        <f t="shared" si="18"/>
        <v>3.7289274597396012E-2</v>
      </c>
      <c r="Y134" s="226">
        <f t="shared" si="18"/>
        <v>3.5225225904256377E-2</v>
      </c>
      <c r="Z134" s="226">
        <f t="shared" si="18"/>
        <v>3.3275427140986628E-2</v>
      </c>
      <c r="AA134" s="226">
        <f t="shared" si="18"/>
        <v>3.1433554306356241E-2</v>
      </c>
      <c r="AB134" s="226">
        <f t="shared" si="18"/>
        <v>2.9693633447415768E-2</v>
      </c>
      <c r="AC134" s="226">
        <f t="shared" si="18"/>
        <v>2.8050021283504544E-2</v>
      </c>
      <c r="AD134" s="226">
        <f t="shared" ref="AD134:AG149" si="20">AC134*(1+($AH134/$N134)^(1/($AH$6-$N$6))-1)</f>
        <v>2.6497386902764954E-2</v>
      </c>
      <c r="AE134" s="226">
        <f t="shared" si="20"/>
        <v>2.503069447179751E-2</v>
      </c>
      <c r="AF134" s="226">
        <f t="shared" si="20"/>
        <v>2.3645186902377026E-2</v>
      </c>
      <c r="AG134" s="226">
        <f t="shared" si="20"/>
        <v>2.2336370422254295E-2</v>
      </c>
      <c r="AH134" s="227">
        <v>2.1100000000000001E-2</v>
      </c>
      <c r="AI134" s="226">
        <f t="shared" si="19"/>
        <v>1.9932065576617905E-2</v>
      </c>
      <c r="AJ134" s="226">
        <f t="shared" si="19"/>
        <v>1.8828779059269975E-2</v>
      </c>
      <c r="AK134" s="226">
        <f t="shared" si="19"/>
        <v>1.7786562034929815E-2</v>
      </c>
      <c r="AL134" s="226">
        <f t="shared" si="19"/>
        <v>1.6802034164113907E-2</v>
      </c>
      <c r="AM134" s="226">
        <f t="shared" si="19"/>
        <v>1.587200221704705E-2</v>
      </c>
      <c r="AN134" s="226">
        <f t="shared" si="19"/>
        <v>1.4993449716701733E-2</v>
      </c>
      <c r="AO134" s="226">
        <f t="shared" si="19"/>
        <v>1.416352715511953E-2</v>
      </c>
      <c r="AP134" s="226">
        <f t="shared" si="19"/>
        <v>1.3379542751282034E-2</v>
      </c>
      <c r="AQ134" s="226">
        <f t="shared" si="19"/>
        <v>1.2638953720555273E-2</v>
      </c>
      <c r="AR134" s="226">
        <f t="shared" si="19"/>
        <v>1.1939358027390832E-2</v>
      </c>
      <c r="AS134" s="226">
        <f t="shared" si="19"/>
        <v>1.1278486594534287E-2</v>
      </c>
      <c r="AT134" s="226">
        <f t="shared" si="19"/>
        <v>1.0654195943472198E-2</v>
      </c>
      <c r="AU134" s="226">
        <f t="shared" si="19"/>
        <v>1.0064461242247597E-2</v>
      </c>
      <c r="AV134" s="226">
        <f t="shared" si="19"/>
        <v>9.5073697380951856E-3</v>
      </c>
      <c r="AW134" s="226">
        <f t="shared" si="19"/>
        <v>8.9811145535955376E-3</v>
      </c>
      <c r="AX134" s="226">
        <f t="shared" ref="AX134:BE149" si="21">AW134*(1+($AH134/$N134)^(1/($AH$6-$N$6))-1)</f>
        <v>8.4839888262267151E-3</v>
      </c>
      <c r="AY134" s="226">
        <f t="shared" si="21"/>
        <v>8.0143801723054249E-3</v>
      </c>
      <c r="AZ134" s="226">
        <f t="shared" si="21"/>
        <v>7.5707654573619922E-3</v>
      </c>
      <c r="BA134" s="226">
        <f t="shared" si="21"/>
        <v>7.1517058559873396E-3</v>
      </c>
      <c r="BB134" s="226">
        <f t="shared" si="21"/>
        <v>6.7558421851290022E-3</v>
      </c>
      <c r="BC134" s="226">
        <f t="shared" si="21"/>
        <v>6.3818904957001358E-3</v>
      </c>
      <c r="BD134" s="226">
        <f t="shared" si="21"/>
        <v>6.0286379082033006E-3</v>
      </c>
      <c r="BE134" s="226">
        <f t="shared" si="21"/>
        <v>5.6949386788622174E-3</v>
      </c>
    </row>
    <row r="135" spans="5:57" s="10" customFormat="1" x14ac:dyDescent="0.35">
      <c r="E135" s="10" t="s">
        <v>665</v>
      </c>
      <c r="F135" s="10" t="s">
        <v>615</v>
      </c>
      <c r="G135" s="43" t="s">
        <v>616</v>
      </c>
      <c r="I135" s="20"/>
      <c r="J135" s="200"/>
      <c r="K135" s="200"/>
      <c r="L135" s="200"/>
      <c r="M135" s="200"/>
      <c r="N135" s="200">
        <v>6.6299999999999998E-2</v>
      </c>
      <c r="O135" s="226">
        <f t="shared" ref="O135:AD150" si="22">N135*(1+($AH135/$N135)^(1/($AH$6-$N$6))-1)</f>
        <v>6.264073316073096E-2</v>
      </c>
      <c r="P135" s="226">
        <f t="shared" si="22"/>
        <v>5.9183430632185514E-2</v>
      </c>
      <c r="Q135" s="226">
        <f t="shared" si="22"/>
        <v>5.5916945486687235E-2</v>
      </c>
      <c r="R135" s="226">
        <f t="shared" si="22"/>
        <v>5.2830746024053007E-2</v>
      </c>
      <c r="S135" s="226">
        <f t="shared" si="22"/>
        <v>4.9914881815611656E-2</v>
      </c>
      <c r="T135" s="226">
        <f t="shared" si="22"/>
        <v>4.715995162234015E-2</v>
      </c>
      <c r="U135" s="226">
        <f t="shared" si="22"/>
        <v>4.45570730836801E-2</v>
      </c>
      <c r="V135" s="226">
        <f t="shared" si="22"/>
        <v>4.209785407930608E-2</v>
      </c>
      <c r="W135" s="226">
        <f t="shared" si="22"/>
        <v>3.9774365671511339E-2</v>
      </c>
      <c r="X135" s="226">
        <f t="shared" si="22"/>
        <v>3.757911654097254E-2</v>
      </c>
      <c r="Y135" s="226">
        <f t="shared" si="22"/>
        <v>3.5505028833470169E-2</v>
      </c>
      <c r="Z135" s="226">
        <f t="shared" si="22"/>
        <v>3.354541533969025E-2</v>
      </c>
      <c r="AA135" s="226">
        <f t="shared" si="22"/>
        <v>3.1693957934531343E-2</v>
      </c>
      <c r="AB135" s="226">
        <f t="shared" si="22"/>
        <v>2.9944687206401352E-2</v>
      </c>
      <c r="AC135" s="226">
        <f t="shared" si="22"/>
        <v>2.8291963210825662E-2</v>
      </c>
      <c r="AD135" s="226">
        <f t="shared" si="22"/>
        <v>2.6730457286312934E-2</v>
      </c>
      <c r="AE135" s="226">
        <f t="shared" si="20"/>
        <v>2.5255134873849852E-2</v>
      </c>
      <c r="AF135" s="226">
        <f t="shared" si="20"/>
        <v>2.3861239284631967E-2</v>
      </c>
      <c r="AG135" s="226">
        <f t="shared" si="20"/>
        <v>2.2544276363695052E-2</v>
      </c>
      <c r="AH135" s="227">
        <v>2.1299999999999999E-2</v>
      </c>
      <c r="AI135" s="226">
        <f t="shared" ref="AI135:AX150" si="23">AH135*(1+($AH135/$N135)^(1/($AH$6-$N$6))-1)</f>
        <v>2.0124398436252935E-2</v>
      </c>
      <c r="AJ135" s="226">
        <f t="shared" si="23"/>
        <v>1.9013681334322043E-2</v>
      </c>
      <c r="AK135" s="226">
        <f t="shared" si="23"/>
        <v>1.7964267554546578E-2</v>
      </c>
      <c r="AL135" s="226">
        <f t="shared" si="23"/>
        <v>1.6972773609537393E-2</v>
      </c>
      <c r="AM135" s="226">
        <f t="shared" si="23"/>
        <v>1.6036002755241755E-2</v>
      </c>
      <c r="AN135" s="226">
        <f t="shared" si="23"/>
        <v>1.5150934684100231E-2</v>
      </c>
      <c r="AO135" s="226">
        <f t="shared" si="23"/>
        <v>1.4314715787064648E-2</v>
      </c>
      <c r="AP135" s="226">
        <f t="shared" si="23"/>
        <v>1.3524649953080234E-2</v>
      </c>
      <c r="AQ135" s="226">
        <f t="shared" si="23"/>
        <v>1.2778189876367895E-2</v>
      </c>
      <c r="AR135" s="226">
        <f t="shared" si="23"/>
        <v>1.2072928843479866E-2</v>
      </c>
      <c r="AS135" s="226">
        <f t="shared" si="23"/>
        <v>1.1406592973648787E-2</v>
      </c>
      <c r="AT135" s="226">
        <f t="shared" si="23"/>
        <v>1.07770338874118E-2</v>
      </c>
      <c r="AU135" s="226">
        <f t="shared" si="23"/>
        <v>1.0182221779872061E-2</v>
      </c>
      <c r="AV135" s="226">
        <f t="shared" si="23"/>
        <v>9.620238876264689E-3</v>
      </c>
      <c r="AW135" s="226">
        <f t="shared" si="23"/>
        <v>9.089273248726798E-3</v>
      </c>
      <c r="AX135" s="226">
        <f t="shared" si="23"/>
        <v>8.5876129743358304E-3</v>
      </c>
      <c r="AY135" s="226">
        <f t="shared" si="21"/>
        <v>8.1136406155807219E-3</v>
      </c>
      <c r="AZ135" s="226">
        <f t="shared" si="21"/>
        <v>7.665828005469999E-3</v>
      </c>
      <c r="BA135" s="226">
        <f t="shared" si="21"/>
        <v>7.2427313204631166E-3</v>
      </c>
      <c r="BB135" s="226">
        <f t="shared" si="21"/>
        <v>6.8429864253393468E-3</v>
      </c>
      <c r="BC135" s="226">
        <f t="shared" si="21"/>
        <v>6.4653044749952678E-3</v>
      </c>
      <c r="BD135" s="226">
        <f t="shared" si="21"/>
        <v>6.1084677589903222E-3</v>
      </c>
      <c r="BE135" s="226">
        <f t="shared" si="21"/>
        <v>5.7713257754425495E-3</v>
      </c>
    </row>
    <row r="136" spans="5:57" s="10" customFormat="1" x14ac:dyDescent="0.35">
      <c r="E136" s="10" t="s">
        <v>666</v>
      </c>
      <c r="F136" s="10" t="s">
        <v>615</v>
      </c>
      <c r="G136" s="43" t="s">
        <v>616</v>
      </c>
      <c r="I136" s="20"/>
      <c r="J136" s="200"/>
      <c r="K136" s="200"/>
      <c r="L136" s="200"/>
      <c r="M136" s="200"/>
      <c r="N136" s="200">
        <v>6.6699999999999995E-2</v>
      </c>
      <c r="O136" s="226">
        <f t="shared" si="22"/>
        <v>6.3029152158108753E-2</v>
      </c>
      <c r="P136" s="226">
        <f t="shared" si="22"/>
        <v>5.9560330161469645E-2</v>
      </c>
      <c r="Q136" s="226">
        <f t="shared" si="22"/>
        <v>5.628241547727833E-2</v>
      </c>
      <c r="R136" s="226">
        <f t="shared" si="22"/>
        <v>5.3184901483407362E-2</v>
      </c>
      <c r="S136" s="226">
        <f t="shared" si="22"/>
        <v>5.0257859791779713E-2</v>
      </c>
      <c r="T136" s="226">
        <f t="shared" si="22"/>
        <v>4.7491908425142122E-2</v>
      </c>
      <c r="U136" s="226">
        <f t="shared" si="22"/>
        <v>4.4878181745236133E-2</v>
      </c>
      <c r="V136" s="226">
        <f t="shared" si="22"/>
        <v>4.2408302035978215E-2</v>
      </c>
      <c r="W136" s="226">
        <f t="shared" si="22"/>
        <v>4.0074352650565283E-2</v>
      </c>
      <c r="X136" s="226">
        <f t="shared" si="22"/>
        <v>3.7868852636434608E-2</v>
      </c>
      <c r="Y136" s="226">
        <f t="shared" si="22"/>
        <v>3.5784732756744153E-2</v>
      </c>
      <c r="Z136" s="226">
        <f t="shared" si="22"/>
        <v>3.381531283151553E-2</v>
      </c>
      <c r="AA136" s="226">
        <f t="shared" si="22"/>
        <v>3.1954280325811692E-2</v>
      </c>
      <c r="AB136" s="226">
        <f t="shared" si="22"/>
        <v>3.0195670116318532E-2</v>
      </c>
      <c r="AC136" s="226">
        <f t="shared" si="22"/>
        <v>2.8533845371476737E-2</v>
      </c>
      <c r="AD136" s="226">
        <f t="shared" si="22"/>
        <v>2.6963479483879376E-2</v>
      </c>
      <c r="AE136" s="226">
        <f t="shared" si="20"/>
        <v>2.5479538997023644E-2</v>
      </c>
      <c r="AF136" s="226">
        <f t="shared" si="20"/>
        <v>2.4077267471692188E-2</v>
      </c>
      <c r="AG136" s="226">
        <f t="shared" si="20"/>
        <v>2.2752170240251415E-2</v>
      </c>
      <c r="AH136" s="227">
        <v>2.1499999999999998E-2</v>
      </c>
      <c r="AI136" s="226">
        <f t="shared" si="23"/>
        <v>2.0316743199390377E-2</v>
      </c>
      <c r="AJ136" s="226">
        <f t="shared" si="23"/>
        <v>1.9198607173487217E-2</v>
      </c>
      <c r="AK136" s="226">
        <f t="shared" si="23"/>
        <v>1.8142007987428547E-2</v>
      </c>
      <c r="AL136" s="226">
        <f t="shared" si="23"/>
        <v>1.7143558948924411E-2</v>
      </c>
      <c r="AM136" s="226">
        <f t="shared" si="23"/>
        <v>1.6200059752972468E-2</v>
      </c>
      <c r="AN136" s="226">
        <f t="shared" si="23"/>
        <v>1.5308486223996333E-2</v>
      </c>
      <c r="AO136" s="226">
        <f t="shared" si="23"/>
        <v>1.4465980622527385E-2</v>
      </c>
      <c r="AP136" s="226">
        <f t="shared" si="23"/>
        <v>1.366984248536029E-2</v>
      </c>
      <c r="AQ136" s="226">
        <f t="shared" si="23"/>
        <v>1.2917519969822388E-2</v>
      </c>
      <c r="AR136" s="226">
        <f t="shared" si="23"/>
        <v>1.2206601674412948E-2</v>
      </c>
      <c r="AS136" s="226">
        <f t="shared" si="23"/>
        <v>1.1534808909595184E-2</v>
      </c>
      <c r="AT136" s="226">
        <f t="shared" si="23"/>
        <v>1.0899988393966768E-2</v>
      </c>
      <c r="AU136" s="226">
        <f t="shared" si="23"/>
        <v>1.0300105352398064E-2</v>
      </c>
      <c r="AV136" s="226">
        <f t="shared" si="23"/>
        <v>9.7332369940157128E-3</v>
      </c>
      <c r="AW136" s="226">
        <f t="shared" si="23"/>
        <v>9.197566349126678E-3</v>
      </c>
      <c r="AX136" s="226">
        <f t="shared" si="23"/>
        <v>8.6913764453284293E-3</v>
      </c>
      <c r="AY136" s="226">
        <f t="shared" si="21"/>
        <v>8.2130448041380505E-3</v>
      </c>
      <c r="AZ136" s="226">
        <f t="shared" si="21"/>
        <v>7.7610382405004751E-3</v>
      </c>
      <c r="BA136" s="226">
        <f t="shared" si="21"/>
        <v>7.3339079485068232E-3</v>
      </c>
      <c r="BB136" s="226">
        <f t="shared" si="21"/>
        <v>6.9302848575712112E-3</v>
      </c>
      <c r="BC136" s="226">
        <f t="shared" si="21"/>
        <v>6.5488752441813037E-3</v>
      </c>
      <c r="BD136" s="226">
        <f t="shared" si="21"/>
        <v>6.1884565851570471E-3</v>
      </c>
      <c r="BE136" s="226">
        <f t="shared" si="21"/>
        <v>5.8478736391261417E-3</v>
      </c>
    </row>
    <row r="137" spans="5:57" s="10" customFormat="1" x14ac:dyDescent="0.35">
      <c r="E137" s="10" t="s">
        <v>667</v>
      </c>
      <c r="F137" s="10" t="s">
        <v>615</v>
      </c>
      <c r="G137" s="43" t="s">
        <v>616</v>
      </c>
      <c r="I137" s="20"/>
      <c r="J137" s="200"/>
      <c r="K137" s="200"/>
      <c r="L137" s="200"/>
      <c r="M137" s="200"/>
      <c r="N137" s="200">
        <v>6.7100000000000007E-2</v>
      </c>
      <c r="O137" s="226">
        <f t="shared" si="22"/>
        <v>6.3417538444604404E-2</v>
      </c>
      <c r="P137" s="226">
        <f t="shared" si="22"/>
        <v>5.9937171123291756E-2</v>
      </c>
      <c r="Q137" s="226">
        <f t="shared" si="22"/>
        <v>5.664780706366896E-2</v>
      </c>
      <c r="R137" s="226">
        <f t="shared" si="22"/>
        <v>5.3538963968148411E-2</v>
      </c>
      <c r="S137" s="226">
        <f t="shared" si="22"/>
        <v>5.0600734809751732E-2</v>
      </c>
      <c r="T137" s="226">
        <f t="shared" si="22"/>
        <v>4.7823756261142505E-2</v>
      </c>
      <c r="U137" s="226">
        <f t="shared" si="22"/>
        <v>4.5199178856280102E-2</v>
      </c>
      <c r="V137" s="226">
        <f t="shared" si="22"/>
        <v>4.2718638789607952E-2</v>
      </c>
      <c r="W137" s="226">
        <f t="shared" si="22"/>
        <v>4.037423126290806E-2</v>
      </c>
      <c r="X137" s="226">
        <f t="shared" si="22"/>
        <v>3.8158485294885552E-2</v>
      </c>
      <c r="Y137" s="226">
        <f t="shared" si="22"/>
        <v>3.6064339913208288E-2</v>
      </c>
      <c r="Z137" s="226">
        <f t="shared" si="22"/>
        <v>3.4085121653132149E-2</v>
      </c>
      <c r="AA137" s="226">
        <f t="shared" si="22"/>
        <v>3.2214523291006346E-2</v>
      </c>
      <c r="AB137" s="226">
        <f t="shared" si="22"/>
        <v>3.0446583744888206E-2</v>
      </c>
      <c r="AC137" s="226">
        <f t="shared" si="22"/>
        <v>2.8775669078216319E-2</v>
      </c>
      <c r="AD137" s="226">
        <f t="shared" si="22"/>
        <v>2.7196454546005919E-2</v>
      </c>
      <c r="AE137" s="226">
        <f t="shared" si="20"/>
        <v>2.57039076263527E-2</v>
      </c>
      <c r="AF137" s="226">
        <f t="shared" si="20"/>
        <v>2.4293271983171123E-2</v>
      </c>
      <c r="AG137" s="226">
        <f t="shared" si="20"/>
        <v>2.2960052309060886E-2</v>
      </c>
      <c r="AH137" s="227">
        <v>2.1700000000000001E-2</v>
      </c>
      <c r="AI137" s="226">
        <f t="shared" si="23"/>
        <v>2.0509099616213344E-2</v>
      </c>
      <c r="AJ137" s="226">
        <f t="shared" si="23"/>
        <v>1.9383556086071996E-2</v>
      </c>
      <c r="AK137" s="226">
        <f t="shared" si="23"/>
        <v>1.8319782612244654E-2</v>
      </c>
      <c r="AL137" s="226">
        <f t="shared" si="23"/>
        <v>1.7314389241562152E-2</v>
      </c>
      <c r="AM137" s="226">
        <f t="shared" si="23"/>
        <v>1.6364172062170081E-2</v>
      </c>
      <c r="AN137" s="226">
        <f t="shared" si="23"/>
        <v>1.5466102993543849E-2</v>
      </c>
      <c r="AO137" s="226">
        <f t="shared" si="23"/>
        <v>1.4617320136829778E-2</v>
      </c>
      <c r="AP137" s="226">
        <f t="shared" si="23"/>
        <v>1.3815118654761437E-2</v>
      </c>
      <c r="AQ137" s="226">
        <f t="shared" si="23"/>
        <v>1.3056942152088E-2</v>
      </c>
      <c r="AR137" s="226">
        <f t="shared" si="23"/>
        <v>1.2340374529046443E-2</v>
      </c>
      <c r="AS137" s="226">
        <f t="shared" si="23"/>
        <v>1.1663132281916835E-2</v>
      </c>
      <c r="AT137" s="226">
        <f t="shared" si="23"/>
        <v>1.1023057226124702E-2</v>
      </c>
      <c r="AU137" s="226">
        <f t="shared" si="23"/>
        <v>1.0418109618701005E-2</v>
      </c>
      <c r="AV137" s="226">
        <f t="shared" si="23"/>
        <v>9.8463616581829175E-3</v>
      </c>
      <c r="AW137" s="226">
        <f t="shared" si="23"/>
        <v>9.3059913412413386E-3</v>
      </c>
      <c r="AX137" s="226">
        <f t="shared" si="23"/>
        <v>8.7952766564579465E-3</v>
      </c>
      <c r="AY137" s="226">
        <f t="shared" si="21"/>
        <v>8.3125900967489334E-3</v>
      </c>
      <c r="AZ137" s="226">
        <f t="shared" si="21"/>
        <v>7.8563934729480363E-3</v>
      </c>
      <c r="BA137" s="226">
        <f t="shared" si="21"/>
        <v>7.425233012021179E-3</v>
      </c>
      <c r="BB137" s="226">
        <f t="shared" si="21"/>
        <v>7.0177347242920832E-3</v>
      </c>
      <c r="BC137" s="226">
        <f t="shared" si="21"/>
        <v>6.6326000249154757E-3</v>
      </c>
      <c r="BD137" s="226">
        <f t="shared" si="21"/>
        <v>6.2686015956447275E-3</v>
      </c>
      <c r="BE137" s="226">
        <f t="shared" si="21"/>
        <v>5.9245794737065264E-3</v>
      </c>
    </row>
    <row r="138" spans="5:57" s="10" customFormat="1" x14ac:dyDescent="0.35">
      <c r="E138" s="10" t="s">
        <v>668</v>
      </c>
      <c r="F138" s="10" t="s">
        <v>615</v>
      </c>
      <c r="G138" s="43" t="s">
        <v>616</v>
      </c>
      <c r="I138" s="20"/>
      <c r="J138" s="200"/>
      <c r="K138" s="200"/>
      <c r="L138" s="200"/>
      <c r="M138" s="200"/>
      <c r="N138" s="200">
        <v>6.6799999999999998E-2</v>
      </c>
      <c r="O138" s="226">
        <f t="shared" si="22"/>
        <v>6.3162667657953739E-2</v>
      </c>
      <c r="P138" s="226">
        <f t="shared" si="22"/>
        <v>5.9723392001034659E-2</v>
      </c>
      <c r="Q138" s="226">
        <f t="shared" si="22"/>
        <v>5.6471388628249172E-2</v>
      </c>
      <c r="R138" s="226">
        <f t="shared" si="22"/>
        <v>5.3396460360916921E-2</v>
      </c>
      <c r="S138" s="226">
        <f t="shared" si="22"/>
        <v>5.0488965267779878E-2</v>
      </c>
      <c r="T138" s="226">
        <f t="shared" si="22"/>
        <v>4.7739786431178884E-2</v>
      </c>
      <c r="U138" s="226">
        <f t="shared" si="22"/>
        <v>4.5140303359494628E-2</v>
      </c>
      <c r="V138" s="226">
        <f t="shared" si="22"/>
        <v>4.2682364956212152E-2</v>
      </c>
      <c r="W138" s="226">
        <f t="shared" si="22"/>
        <v>4.0358263960849093E-2</v>
      </c>
      <c r="X138" s="226">
        <f t="shared" si="22"/>
        <v>3.8160712781603039E-2</v>
      </c>
      <c r="Y138" s="226">
        <f t="shared" si="22"/>
        <v>3.6082820643937426E-2</v>
      </c>
      <c r="Z138" s="226">
        <f t="shared" si="22"/>
        <v>3.4118071983451674E-2</v>
      </c>
      <c r="AA138" s="226">
        <f t="shared" si="22"/>
        <v>3.2260306015282944E-2</v>
      </c>
      <c r="AB138" s="226">
        <f t="shared" si="22"/>
        <v>3.0503697415976083E-2</v>
      </c>
      <c r="AC138" s="226">
        <f t="shared" si="22"/>
        <v>2.88427380572467E-2</v>
      </c>
      <c r="AD138" s="226">
        <f t="shared" si="22"/>
        <v>2.7272219734360593E-2</v>
      </c>
      <c r="AE138" s="226">
        <f t="shared" si="20"/>
        <v>2.5787217834971638E-2</v>
      </c>
      <c r="AF138" s="226">
        <f t="shared" si="20"/>
        <v>2.4383075897209144E-2</v>
      </c>
      <c r="AG138" s="226">
        <f t="shared" si="20"/>
        <v>2.3055391008594061E-2</v>
      </c>
      <c r="AH138" s="227">
        <v>2.18E-2</v>
      </c>
      <c r="AI138" s="226">
        <f t="shared" si="23"/>
        <v>2.0612966391368136E-2</v>
      </c>
      <c r="AJ138" s="226">
        <f t="shared" si="23"/>
        <v>1.9490568048241848E-2</v>
      </c>
      <c r="AK138" s="226">
        <f t="shared" si="23"/>
        <v>1.8429285510416643E-2</v>
      </c>
      <c r="AL138" s="226">
        <f t="shared" si="23"/>
        <v>1.7425790956107617E-2</v>
      </c>
      <c r="AM138" s="226">
        <f t="shared" si="23"/>
        <v>1.6476937767029961E-2</v>
      </c>
      <c r="AN138" s="226">
        <f t="shared" si="23"/>
        <v>1.5579750661672153E-2</v>
      </c>
      <c r="AO138" s="226">
        <f t="shared" si="23"/>
        <v>1.4731416365823098E-2</v>
      </c>
      <c r="AP138" s="226">
        <f t="shared" si="23"/>
        <v>1.3929274791099176E-2</v>
      </c>
      <c r="AQ138" s="226">
        <f t="shared" si="23"/>
        <v>1.3170810693810034E-2</v>
      </c>
      <c r="AR138" s="226">
        <f t="shared" si="23"/>
        <v>1.2453645788008177E-2</v>
      </c>
      <c r="AS138" s="226">
        <f t="shared" si="23"/>
        <v>1.1775531287991555E-2</v>
      </c>
      <c r="AT138" s="226">
        <f t="shared" si="23"/>
        <v>1.1134340856874947E-2</v>
      </c>
      <c r="AU138" s="226">
        <f t="shared" si="23"/>
        <v>1.0528063939119283E-2</v>
      </c>
      <c r="AV138" s="226">
        <f t="shared" si="23"/>
        <v>9.954799456111954E-3</v>
      </c>
      <c r="AW138" s="226">
        <f t="shared" si="23"/>
        <v>9.4127498450296103E-3</v>
      </c>
      <c r="AX138" s="226">
        <f t="shared" si="23"/>
        <v>8.9002154222913299E-3</v>
      </c>
      <c r="AY138" s="226">
        <f t="shared" si="21"/>
        <v>8.4155890539278685E-3</v>
      </c>
      <c r="AZ138" s="226">
        <f t="shared" si="21"/>
        <v>7.9573511161550783E-3</v>
      </c>
      <c r="BA138" s="226">
        <f t="shared" si="21"/>
        <v>7.5240647303495573E-3</v>
      </c>
      <c r="BB138" s="226">
        <f t="shared" si="21"/>
        <v>7.1143712574850354E-3</v>
      </c>
      <c r="BC138" s="226">
        <f t="shared" si="21"/>
        <v>6.7269860379015828E-3</v>
      </c>
      <c r="BD138" s="226">
        <f t="shared" si="21"/>
        <v>6.360694363048992E-3</v>
      </c>
      <c r="BE138" s="226">
        <f t="shared" si="21"/>
        <v>6.014347666573102E-3</v>
      </c>
    </row>
    <row r="139" spans="5:57" s="10" customFormat="1" x14ac:dyDescent="0.35">
      <c r="E139" s="10" t="s">
        <v>669</v>
      </c>
      <c r="F139" s="10" t="s">
        <v>615</v>
      </c>
      <c r="G139" s="43" t="s">
        <v>616</v>
      </c>
      <c r="I139" s="20"/>
      <c r="J139" s="200"/>
      <c r="K139" s="200"/>
      <c r="L139" s="200"/>
      <c r="M139" s="200"/>
      <c r="N139" s="200">
        <v>6.6600000000000006E-2</v>
      </c>
      <c r="O139" s="226">
        <f t="shared" si="22"/>
        <v>6.3011766030149935E-2</v>
      </c>
      <c r="P139" s="226">
        <f t="shared" si="22"/>
        <v>5.9616856730305659E-2</v>
      </c>
      <c r="Q139" s="226">
        <f t="shared" si="22"/>
        <v>5.6404856272417252E-2</v>
      </c>
      <c r="R139" s="226">
        <f t="shared" si="22"/>
        <v>5.3365910006032885E-2</v>
      </c>
      <c r="S139" s="226">
        <f t="shared" si="22"/>
        <v>5.0490694223516229E-2</v>
      </c>
      <c r="T139" s="226">
        <f t="shared" si="22"/>
        <v>4.777038755423494E-2</v>
      </c>
      <c r="U139" s="226">
        <f t="shared" si="22"/>
        <v>4.5196643899955528E-2</v>
      </c>
      <c r="V139" s="226">
        <f t="shared" si="22"/>
        <v>4.2761566828408419E-2</v>
      </c>
      <c r="W139" s="226">
        <f t="shared" si="22"/>
        <v>4.0457685346460832E-2</v>
      </c>
      <c r="X139" s="226">
        <f t="shared" si="22"/>
        <v>3.8277930978567791E-2</v>
      </c>
      <c r="Y139" s="226">
        <f t="shared" si="22"/>
        <v>3.6215616080176295E-2</v>
      </c>
      <c r="Z139" s="226">
        <f t="shared" si="22"/>
        <v>3.4264413319546605E-2</v>
      </c>
      <c r="AA139" s="226">
        <f t="shared" si="22"/>
        <v>3.2418336265039392E-2</v>
      </c>
      <c r="AB139" s="226">
        <f t="shared" si="22"/>
        <v>3.0671721018309107E-2</v>
      </c>
      <c r="AC139" s="226">
        <f t="shared" si="22"/>
        <v>2.9019208837052932E-2</v>
      </c>
      <c r="AD139" s="226">
        <f t="shared" si="22"/>
        <v>2.7455729694000577E-2</v>
      </c>
      <c r="AE139" s="226">
        <f t="shared" si="20"/>
        <v>2.5976486721702767E-2</v>
      </c>
      <c r="AF139" s="226">
        <f t="shared" si="20"/>
        <v>2.4576941495393859E-2</v>
      </c>
      <c r="AG139" s="226">
        <f t="shared" si="20"/>
        <v>2.3252800108775389E-2</v>
      </c>
      <c r="AH139" s="227">
        <v>2.1999999999999999E-2</v>
      </c>
      <c r="AI139" s="226">
        <f t="shared" si="23"/>
        <v>2.081469748743691E-2</v>
      </c>
      <c r="AJ139" s="226">
        <f t="shared" si="23"/>
        <v>1.9693255976977839E-2</v>
      </c>
      <c r="AK139" s="226">
        <f t="shared" si="23"/>
        <v>1.8632234804702389E-2</v>
      </c>
      <c r="AL139" s="226">
        <f t="shared" si="23"/>
        <v>1.7628378680671519E-2</v>
      </c>
      <c r="AM139" s="226">
        <f t="shared" si="23"/>
        <v>1.6678607701461814E-2</v>
      </c>
      <c r="AN139" s="226">
        <f t="shared" si="23"/>
        <v>1.5780007900798323E-2</v>
      </c>
      <c r="AO139" s="226">
        <f t="shared" si="23"/>
        <v>1.4929822309294613E-2</v>
      </c>
      <c r="AP139" s="226">
        <f t="shared" si="23"/>
        <v>1.4125442495870643E-2</v>
      </c>
      <c r="AQ139" s="226">
        <f t="shared" si="23"/>
        <v>1.3364400564896966E-2</v>
      </c>
      <c r="AR139" s="226">
        <f t="shared" si="23"/>
        <v>1.264436158451188E-2</v>
      </c>
      <c r="AS139" s="226">
        <f t="shared" si="23"/>
        <v>1.1963116422881056E-2</v>
      </c>
      <c r="AT139" s="226">
        <f t="shared" si="23"/>
        <v>1.1318574970420799E-2</v>
      </c>
      <c r="AU139" s="226">
        <f t="shared" si="23"/>
        <v>1.0708759727190188E-2</v>
      </c>
      <c r="AV139" s="226">
        <f t="shared" si="23"/>
        <v>1.0131799735777783E-2</v>
      </c>
      <c r="AW139" s="226">
        <f t="shared" si="23"/>
        <v>9.5859248410685351E-3</v>
      </c>
      <c r="AX139" s="226">
        <f t="shared" si="23"/>
        <v>9.0694602592794691E-3</v>
      </c>
      <c r="AY139" s="226">
        <f t="shared" si="21"/>
        <v>8.5808214396015138E-3</v>
      </c>
      <c r="AZ139" s="226">
        <f t="shared" si="21"/>
        <v>8.1185092026826548E-3</v>
      </c>
      <c r="BA139" s="226">
        <f t="shared" si="21"/>
        <v>7.6811051410369136E-3</v>
      </c>
      <c r="BB139" s="226">
        <f t="shared" si="21"/>
        <v>7.2672672672672639E-3</v>
      </c>
      <c r="BC139" s="226">
        <f t="shared" si="21"/>
        <v>6.8757258967509288E-3</v>
      </c>
      <c r="BD139" s="226">
        <f t="shared" si="21"/>
        <v>6.5052797521548394E-3</v>
      </c>
      <c r="BE139" s="226">
        <f t="shared" si="21"/>
        <v>6.1547922778296162E-3</v>
      </c>
    </row>
    <row r="140" spans="5:57" s="10" customFormat="1" x14ac:dyDescent="0.35">
      <c r="E140" s="10" t="s">
        <v>670</v>
      </c>
      <c r="F140" s="10" t="s">
        <v>615</v>
      </c>
      <c r="G140" s="43" t="s">
        <v>616</v>
      </c>
      <c r="I140" s="20"/>
      <c r="J140" s="200"/>
      <c r="K140" s="200"/>
      <c r="L140" s="200"/>
      <c r="M140" s="200"/>
      <c r="N140" s="200">
        <v>6.6400000000000001E-2</v>
      </c>
      <c r="O140" s="226">
        <f t="shared" si="22"/>
        <v>6.2860426615468881E-2</v>
      </c>
      <c r="P140" s="226">
        <f t="shared" si="22"/>
        <v>5.9509536660824522E-2</v>
      </c>
      <c r="Q140" s="226">
        <f t="shared" si="22"/>
        <v>5.6337272020908352E-2</v>
      </c>
      <c r="R140" s="226">
        <f t="shared" si="22"/>
        <v>5.3334110746777373E-2</v>
      </c>
      <c r="S140" s="226">
        <f t="shared" si="22"/>
        <v>5.0491038474383874E-2</v>
      </c>
      <c r="T140" s="226">
        <f t="shared" si="22"/>
        <v>4.7799521366834685E-2</v>
      </c>
      <c r="U140" s="226">
        <f t="shared" si="22"/>
        <v>4.5251480499012779E-2</v>
      </c>
      <c r="V140" s="226">
        <f t="shared" si="22"/>
        <v>4.2839267607673398E-2</v>
      </c>
      <c r="W140" s="226">
        <f t="shared" si="22"/>
        <v>4.0555642134225703E-2</v>
      </c>
      <c r="X140" s="226">
        <f t="shared" si="22"/>
        <v>3.8393749491290853E-2</v>
      </c>
      <c r="Y140" s="226">
        <f t="shared" si="22"/>
        <v>3.6347100487800967E-2</v>
      </c>
      <c r="Z140" s="226">
        <f t="shared" si="22"/>
        <v>3.4409551850880807E-2</v>
      </c>
      <c r="AA140" s="226">
        <f t="shared" si="22"/>
        <v>3.2575287786046146E-2</v>
      </c>
      <c r="AB140" s="226">
        <f t="shared" si="22"/>
        <v>3.0838802520369479E-2</v>
      </c>
      <c r="AC140" s="226">
        <f t="shared" si="22"/>
        <v>2.9194883776214191E-2</v>
      </c>
      <c r="AD140" s="226">
        <f t="shared" si="22"/>
        <v>2.7638597125931554E-2</v>
      </c>
      <c r="AE140" s="226">
        <f t="shared" si="20"/>
        <v>2.6165271180559179E-2</v>
      </c>
      <c r="AF140" s="226">
        <f t="shared" si="20"/>
        <v>2.4770483568062999E-2</v>
      </c>
      <c r="AG140" s="226">
        <f t="shared" si="20"/>
        <v>2.3450047659034665E-2</v>
      </c>
      <c r="AH140" s="227">
        <v>2.2200000000000001E-2</v>
      </c>
      <c r="AI140" s="226">
        <f t="shared" si="23"/>
        <v>2.1016588416617608E-2</v>
      </c>
      <c r="AJ140" s="226">
        <f t="shared" si="23"/>
        <v>1.9896260751058801E-2</v>
      </c>
      <c r="AK140" s="226">
        <f t="shared" si="23"/>
        <v>1.8835654199761527E-2</v>
      </c>
      <c r="AL140" s="226">
        <f t="shared" si="23"/>
        <v>1.7831585219555086E-2</v>
      </c>
      <c r="AM140" s="226">
        <f t="shared" si="23"/>
        <v>1.6881039971857258E-2</v>
      </c>
      <c r="AN140" s="226">
        <f t="shared" si="23"/>
        <v>1.5981165276260995E-2</v>
      </c>
      <c r="AO140" s="226">
        <f t="shared" si="23"/>
        <v>1.5129260046356683E-2</v>
      </c>
      <c r="AP140" s="226">
        <f t="shared" si="23"/>
        <v>1.4322767182083578E-2</v>
      </c>
      <c r="AQ140" s="226">
        <f t="shared" si="23"/>
        <v>1.3559265894274258E-2</v>
      </c>
      <c r="AR140" s="226">
        <f t="shared" si="23"/>
        <v>1.2836464438353267E-2</v>
      </c>
      <c r="AS140" s="226">
        <f t="shared" si="23"/>
        <v>1.2152193235379239E-2</v>
      </c>
      <c r="AT140" s="226">
        <f t="shared" si="23"/>
        <v>1.1504398359782439E-2</v>
      </c>
      <c r="AU140" s="226">
        <f t="shared" si="23"/>
        <v>1.089113537425037E-2</v>
      </c>
      <c r="AV140" s="226">
        <f t="shared" si="23"/>
        <v>1.0310563493256063E-2</v>
      </c>
      <c r="AW140" s="226">
        <f t="shared" si="23"/>
        <v>9.7609400577101692E-3</v>
      </c>
      <c r="AX140" s="226">
        <f t="shared" si="23"/>
        <v>9.2406153041518172E-3</v>
      </c>
      <c r="AY140" s="226">
        <f t="shared" si="21"/>
        <v>8.7480274127773178E-3</v>
      </c>
      <c r="AZ140" s="226">
        <f t="shared" si="21"/>
        <v>8.2816978194427508E-3</v>
      </c>
      <c r="BA140" s="226">
        <f t="shared" si="21"/>
        <v>7.8402267775688206E-3</v>
      </c>
      <c r="BB140" s="226">
        <f t="shared" si="21"/>
        <v>7.422289156626489E-3</v>
      </c>
      <c r="BC140" s="226">
        <f t="shared" si="21"/>
        <v>7.0266304645920149E-3</v>
      </c>
      <c r="BD140" s="226">
        <f t="shared" si="21"/>
        <v>6.6520630824322942E-3</v>
      </c>
      <c r="BE140" s="226">
        <f t="shared" si="21"/>
        <v>6.2974626993178452E-3</v>
      </c>
    </row>
    <row r="141" spans="5:57" s="10" customFormat="1" x14ac:dyDescent="0.35">
      <c r="E141" s="10" t="s">
        <v>671</v>
      </c>
      <c r="F141" s="10" t="s">
        <v>615</v>
      </c>
      <c r="G141" s="43" t="s">
        <v>616</v>
      </c>
      <c r="I141" s="20"/>
      <c r="J141" s="200"/>
      <c r="K141" s="200"/>
      <c r="L141" s="200"/>
      <c r="M141" s="200"/>
      <c r="N141" s="200">
        <v>6.6199999999999995E-2</v>
      </c>
      <c r="O141" s="226">
        <f t="shared" si="22"/>
        <v>6.2694628475334316E-2</v>
      </c>
      <c r="P141" s="226">
        <f t="shared" si="22"/>
        <v>5.937487068973113E-2</v>
      </c>
      <c r="Q141" s="226">
        <f t="shared" si="22"/>
        <v>5.6230898167125537E-2</v>
      </c>
      <c r="R141" s="226">
        <f t="shared" si="22"/>
        <v>5.3253402861363944E-2</v>
      </c>
      <c r="S141" s="226">
        <f t="shared" si="22"/>
        <v>5.0433569598799369E-2</v>
      </c>
      <c r="T141" s="226">
        <f t="shared" si="22"/>
        <v>4.776304998008523E-2</v>
      </c>
      <c r="U141" s="226">
        <f t="shared" si="22"/>
        <v>4.5233937663901325E-2</v>
      </c>
      <c r="V141" s="226">
        <f t="shared" si="22"/>
        <v>4.2838744959436945E-2</v>
      </c>
      <c r="W141" s="226">
        <f t="shared" si="22"/>
        <v>4.0570380658330817E-2</v>
      </c>
      <c r="X141" s="226">
        <f t="shared" si="22"/>
        <v>3.842212904043716E-2</v>
      </c>
      <c r="Y141" s="226">
        <f t="shared" si="22"/>
        <v>3.6387629991262258E-2</v>
      </c>
      <c r="Z141" s="226">
        <f t="shared" si="22"/>
        <v>3.4460860172207251E-2</v>
      </c>
      <c r="AA141" s="226">
        <f t="shared" si="22"/>
        <v>3.2636115187869776E-2</v>
      </c>
      <c r="AB141" s="226">
        <f t="shared" si="22"/>
        <v>3.0907992697608931E-2</v>
      </c>
      <c r="AC141" s="226">
        <f t="shared" si="22"/>
        <v>2.9271376421373688E-2</v>
      </c>
      <c r="AD141" s="226">
        <f t="shared" si="22"/>
        <v>2.7721420992442361E-2</v>
      </c>
      <c r="AE141" s="226">
        <f t="shared" si="20"/>
        <v>2.625353761222821E-2</v>
      </c>
      <c r="AF141" s="226">
        <f t="shared" si="20"/>
        <v>2.4863380464680715E-2</v>
      </c>
      <c r="AG141" s="226">
        <f t="shared" si="20"/>
        <v>2.3546833850061066E-2</v>
      </c>
      <c r="AH141" s="227">
        <v>2.23E-2</v>
      </c>
      <c r="AI141" s="226">
        <f t="shared" si="23"/>
        <v>2.1119187537763675E-2</v>
      </c>
      <c r="AJ141" s="226">
        <f t="shared" si="23"/>
        <v>2.0000900549561995E-2</v>
      </c>
      <c r="AK141" s="226">
        <f t="shared" si="23"/>
        <v>1.8941828234545308E-2</v>
      </c>
      <c r="AL141" s="226">
        <f t="shared" si="23"/>
        <v>1.7938835102846162E-2</v>
      </c>
      <c r="AM141" s="226">
        <f t="shared" si="23"/>
        <v>1.6988951692646918E-2</v>
      </c>
      <c r="AN141" s="226">
        <f t="shared" si="23"/>
        <v>1.6089365778790041E-2</v>
      </c>
      <c r="AO141" s="226">
        <f t="shared" si="23"/>
        <v>1.5237414046903318E-2</v>
      </c>
      <c r="AP141" s="226">
        <f t="shared" si="23"/>
        <v>1.4430574208390392E-2</v>
      </c>
      <c r="AQ141" s="226">
        <f t="shared" si="23"/>
        <v>1.3666457532942254E-2</v>
      </c>
      <c r="AR141" s="226">
        <f t="shared" si="23"/>
        <v>1.294280177646146E-2</v>
      </c>
      <c r="AS141" s="226">
        <f t="shared" si="23"/>
        <v>1.2257464483461454E-2</v>
      </c>
      <c r="AT141" s="226">
        <f t="shared" si="23"/>
        <v>1.1608416644112107E-2</v>
      </c>
      <c r="AU141" s="226">
        <f t="shared" si="23"/>
        <v>1.0993736687152504E-2</v>
      </c>
      <c r="AV141" s="226">
        <f t="shared" si="23"/>
        <v>1.0411604790886389E-2</v>
      </c>
      <c r="AW141" s="226">
        <f t="shared" si="23"/>
        <v>9.8602974954174177E-3</v>
      </c>
      <c r="AX141" s="226">
        <f t="shared" si="23"/>
        <v>9.3381826001731789E-3</v>
      </c>
      <c r="AY141" s="226">
        <f t="shared" si="21"/>
        <v>8.843714331611614E-3</v>
      </c>
      <c r="AZ141" s="226">
        <f t="shared" si="21"/>
        <v>8.3754287668033195E-3</v>
      </c>
      <c r="BA141" s="226">
        <f t="shared" si="21"/>
        <v>7.931939499340809E-3</v>
      </c>
      <c r="BB141" s="226">
        <f t="shared" si="21"/>
        <v>7.5119335347432221E-3</v>
      </c>
      <c r="BC141" s="226">
        <f t="shared" si="21"/>
        <v>7.1141674032043989E-3</v>
      </c>
      <c r="BD141" s="226">
        <f t="shared" si="21"/>
        <v>6.7374634781757359E-3</v>
      </c>
      <c r="BE141" s="226">
        <f t="shared" si="21"/>
        <v>6.3807064898846145E-3</v>
      </c>
    </row>
    <row r="142" spans="5:57" s="10" customFormat="1" x14ac:dyDescent="0.35">
      <c r="E142" s="10" t="s">
        <v>672</v>
      </c>
      <c r="F142" s="10" t="s">
        <v>615</v>
      </c>
      <c r="G142" s="43" t="s">
        <v>616</v>
      </c>
      <c r="I142" s="20"/>
      <c r="J142" s="200"/>
      <c r="K142" s="200"/>
      <c r="L142" s="200"/>
      <c r="M142" s="200"/>
      <c r="N142" s="200">
        <v>6.6000000000000003E-2</v>
      </c>
      <c r="O142" s="226">
        <f t="shared" si="22"/>
        <v>6.2542590357623537E-2</v>
      </c>
      <c r="P142" s="226">
        <f t="shared" si="22"/>
        <v>5.9266297100628855E-2</v>
      </c>
      <c r="Q142" s="226">
        <f t="shared" si="22"/>
        <v>5.6161632448149118E-2</v>
      </c>
      <c r="R142" s="226">
        <f t="shared" si="22"/>
        <v>5.3219605636666785E-2</v>
      </c>
      <c r="S142" s="226">
        <f t="shared" si="22"/>
        <v>5.0431696883762471E-2</v>
      </c>
      <c r="T142" s="226">
        <f t="shared" si="22"/>
        <v>4.7789832715772661E-2</v>
      </c>
      <c r="U142" s="226">
        <f t="shared" si="22"/>
        <v>4.5286362587907955E-2</v>
      </c>
      <c r="V142" s="226">
        <f t="shared" si="22"/>
        <v>4.291403672912629E-2</v>
      </c>
      <c r="W142" s="226">
        <f t="shared" si="22"/>
        <v>4.0665985147602363E-2</v>
      </c>
      <c r="X142" s="226">
        <f t="shared" si="22"/>
        <v>3.8535697735995411E-2</v>
      </c>
      <c r="Y142" s="226">
        <f t="shared" si="22"/>
        <v>3.6517005418902446E-2</v>
      </c>
      <c r="Z142" s="226">
        <f t="shared" si="22"/>
        <v>3.4604062287902033E-2</v>
      </c>
      <c r="AA142" s="226">
        <f t="shared" si="22"/>
        <v>3.2791328672453726E-2</v>
      </c>
      <c r="AB142" s="226">
        <f t="shared" si="22"/>
        <v>3.1073555097628311E-2</v>
      </c>
      <c r="AC142" s="226">
        <f t="shared" si="22"/>
        <v>2.9445767082212304E-2</v>
      </c>
      <c r="AD142" s="226">
        <f t="shared" si="22"/>
        <v>2.7903250733163631E-2</v>
      </c>
      <c r="AE142" s="226">
        <f t="shared" si="20"/>
        <v>2.6441539094701691E-2</v>
      </c>
      <c r="AF142" s="226">
        <f t="shared" si="20"/>
        <v>2.5056399212500236E-2</v>
      </c>
      <c r="AG142" s="226">
        <f t="shared" si="20"/>
        <v>2.3743819875522473E-2</v>
      </c>
      <c r="AH142" s="227">
        <v>2.2499999999999999E-2</v>
      </c>
      <c r="AI142" s="226">
        <f t="shared" si="23"/>
        <v>2.1321337621917114E-2</v>
      </c>
      <c r="AJ142" s="226">
        <f t="shared" si="23"/>
        <v>2.0204419466123471E-2</v>
      </c>
      <c r="AK142" s="226">
        <f t="shared" si="23"/>
        <v>1.9146011061869014E-2</v>
      </c>
      <c r="AL142" s="226">
        <f t="shared" si="23"/>
        <v>1.8143047376136402E-2</v>
      </c>
      <c r="AM142" s="226">
        <f t="shared" si="23"/>
        <v>1.7192623937646295E-2</v>
      </c>
      <c r="AN142" s="226">
        <f t="shared" si="23"/>
        <v>1.6291988425831586E-2</v>
      </c>
      <c r="AO142" s="226">
        <f t="shared" si="23"/>
        <v>1.5438532700423162E-2</v>
      </c>
      <c r="AP142" s="226">
        <f t="shared" si="23"/>
        <v>1.4629785248565777E-2</v>
      </c>
      <c r="AQ142" s="226">
        <f t="shared" si="23"/>
        <v>1.3863404027591711E-2</v>
      </c>
      <c r="AR142" s="226">
        <f t="shared" si="23"/>
        <v>1.3137169682725706E-2</v>
      </c>
      <c r="AS142" s="226">
        <f t="shared" si="23"/>
        <v>1.2448979120080379E-2</v>
      </c>
      <c r="AT142" s="226">
        <f t="shared" si="23"/>
        <v>1.1796839416330239E-2</v>
      </c>
      <c r="AU142" s="226">
        <f t="shared" si="23"/>
        <v>1.1178862047427407E-2</v>
      </c>
      <c r="AV142" s="226">
        <f t="shared" si="23"/>
        <v>1.0593257419646016E-2</v>
      </c>
      <c r="AW142" s="226">
        <f t="shared" si="23"/>
        <v>1.0038329687117832E-2</v>
      </c>
      <c r="AX142" s="226">
        <f t="shared" si="23"/>
        <v>9.5124718408512391E-3</v>
      </c>
      <c r="AY142" s="226">
        <f t="shared" si="21"/>
        <v>9.0141610550119409E-3</v>
      </c>
      <c r="AZ142" s="226">
        <f t="shared" si="21"/>
        <v>8.5419542769887176E-3</v>
      </c>
      <c r="BA142" s="226">
        <f t="shared" si="21"/>
        <v>8.0944840484735714E-3</v>
      </c>
      <c r="BB142" s="226">
        <f t="shared" si="21"/>
        <v>7.6704545454545558E-3</v>
      </c>
      <c r="BC142" s="226">
        <f t="shared" si="21"/>
        <v>7.2686378256535712E-3</v>
      </c>
      <c r="BD142" s="226">
        <f t="shared" si="21"/>
        <v>6.8878702725421017E-3</v>
      </c>
      <c r="BE142" s="226">
        <f t="shared" si="21"/>
        <v>6.5270492256371731E-3</v>
      </c>
    </row>
    <row r="143" spans="5:57" s="10" customFormat="1" x14ac:dyDescent="0.35">
      <c r="E143" s="10" t="s">
        <v>673</v>
      </c>
      <c r="F143" s="10" t="s">
        <v>615</v>
      </c>
      <c r="G143" s="43" t="s">
        <v>616</v>
      </c>
      <c r="I143" s="20"/>
      <c r="J143" s="200"/>
      <c r="K143" s="200"/>
      <c r="L143" s="200"/>
      <c r="M143" s="200"/>
      <c r="N143" s="200">
        <v>6.7199999999999996E-2</v>
      </c>
      <c r="O143" s="226">
        <f t="shared" si="22"/>
        <v>6.3650541432982502E-2</v>
      </c>
      <c r="P143" s="226">
        <f t="shared" si="22"/>
        <v>6.0288562867735457E-2</v>
      </c>
      <c r="Q143" s="226">
        <f t="shared" si="22"/>
        <v>5.7104161737317957E-2</v>
      </c>
      <c r="R143" s="226">
        <f t="shared" si="22"/>
        <v>5.4087958521679927E-2</v>
      </c>
      <c r="S143" s="226">
        <f t="shared" si="22"/>
        <v>5.1231069120678985E-2</v>
      </c>
      <c r="T143" s="226">
        <f t="shared" si="22"/>
        <v>4.8525078686335842E-2</v>
      </c>
      <c r="U143" s="226">
        <f t="shared" si="22"/>
        <v>4.5962016837252324E-2</v>
      </c>
      <c r="V143" s="226">
        <f t="shared" si="22"/>
        <v>4.3534334182187037E-2</v>
      </c>
      <c r="W143" s="226">
        <f t="shared" si="22"/>
        <v>4.1234880083639923E-2</v>
      </c>
      <c r="X143" s="226">
        <f t="shared" si="22"/>
        <v>3.9056881595949229E-2</v>
      </c>
      <c r="Y143" s="226">
        <f t="shared" si="22"/>
        <v>3.6993923515863968E-2</v>
      </c>
      <c r="Z143" s="226">
        <f t="shared" si="22"/>
        <v>3.5039929486831628E-2</v>
      </c>
      <c r="AA143" s="226">
        <f t="shared" si="22"/>
        <v>3.3189144101344673E-2</v>
      </c>
      <c r="AB143" s="226">
        <f t="shared" si="22"/>
        <v>3.1436115948628961E-2</v>
      </c>
      <c r="AC143" s="226">
        <f t="shared" si="22"/>
        <v>2.9775681557741816E-2</v>
      </c>
      <c r="AD143" s="226">
        <f t="shared" si="22"/>
        <v>2.8202950188784801E-2</v>
      </c>
      <c r="AE143" s="226">
        <f t="shared" si="20"/>
        <v>2.671328942743436E-2</v>
      </c>
      <c r="AF143" s="226">
        <f t="shared" si="20"/>
        <v>2.5302311540359588E-2</v>
      </c>
      <c r="AG143" s="226">
        <f t="shared" si="20"/>
        <v>2.3965860551337641E-2</v>
      </c>
      <c r="AH143" s="227">
        <v>2.2700000000000001E-2</v>
      </c>
      <c r="AI143" s="226">
        <f t="shared" si="23"/>
        <v>2.1501001347153319E-2</v>
      </c>
      <c r="AJ143" s="226">
        <f t="shared" si="23"/>
        <v>2.0365332992523737E-2</v>
      </c>
      <c r="AK143" s="226">
        <f t="shared" si="23"/>
        <v>1.928964987257616E-2</v>
      </c>
      <c r="AL143" s="226">
        <f t="shared" si="23"/>
        <v>1.8270783607769861E-2</v>
      </c>
      <c r="AM143" s="226">
        <f t="shared" si="23"/>
        <v>1.7305733170229362E-2</v>
      </c>
      <c r="AN143" s="226">
        <f t="shared" si="23"/>
        <v>1.6391656044342617E-2</v>
      </c>
      <c r="AO143" s="226">
        <f t="shared" si="23"/>
        <v>1.5525859854250416E-2</v>
      </c>
      <c r="AP143" s="226">
        <f t="shared" si="23"/>
        <v>1.470579443356616E-2</v>
      </c>
      <c r="AQ143" s="226">
        <f t="shared" si="23"/>
        <v>1.3929044313967655E-2</v>
      </c>
      <c r="AR143" s="226">
        <f t="shared" si="23"/>
        <v>1.3193321610536424E-2</v>
      </c>
      <c r="AS143" s="226">
        <f t="shared" si="23"/>
        <v>1.2496459282888575E-2</v>
      </c>
      <c r="AT143" s="226">
        <f t="shared" si="23"/>
        <v>1.1836404752248187E-2</v>
      </c>
      <c r="AU143" s="226">
        <f t="shared" si="23"/>
        <v>1.1211213855662564E-2</v>
      </c>
      <c r="AV143" s="226">
        <f t="shared" si="23"/>
        <v>1.0619045119551751E-2</v>
      </c>
      <c r="AW143" s="226">
        <f t="shared" si="23"/>
        <v>1.0058154335725289E-2</v>
      </c>
      <c r="AX143" s="226">
        <f t="shared" si="23"/>
        <v>9.5268894238901072E-3</v>
      </c>
      <c r="AY143" s="226">
        <f t="shared" si="21"/>
        <v>9.023685565517265E-3</v>
      </c>
      <c r="AZ143" s="226">
        <f t="shared" si="21"/>
        <v>8.5470605947345676E-3</v>
      </c>
      <c r="BA143" s="226">
        <f t="shared" si="21"/>
        <v>8.0956106326691181E-3</v>
      </c>
      <c r="BB143" s="226">
        <f t="shared" si="21"/>
        <v>7.6680059523809444E-3</v>
      </c>
      <c r="BC143" s="226">
        <f t="shared" si="21"/>
        <v>7.2629870622080333E-3</v>
      </c>
      <c r="BD143" s="226">
        <f t="shared" si="21"/>
        <v>6.8793609959864341E-3</v>
      </c>
      <c r="BE143" s="226">
        <f t="shared" si="21"/>
        <v>6.5159977992184284E-3</v>
      </c>
    </row>
    <row r="144" spans="5:57" s="10" customFormat="1" x14ac:dyDescent="0.35">
      <c r="E144" s="10" t="s">
        <v>674</v>
      </c>
      <c r="F144" s="10" t="s">
        <v>615</v>
      </c>
      <c r="G144" s="43" t="s">
        <v>616</v>
      </c>
      <c r="I144" s="20"/>
      <c r="J144" s="200"/>
      <c r="K144" s="200"/>
      <c r="L144" s="200"/>
      <c r="M144" s="200"/>
      <c r="N144" s="200">
        <v>6.8400000000000002E-2</v>
      </c>
      <c r="O144" s="226">
        <f t="shared" si="22"/>
        <v>6.4758245035269585E-2</v>
      </c>
      <c r="P144" s="226">
        <f t="shared" si="22"/>
        <v>6.1310384503625991E-2</v>
      </c>
      <c r="Q144" s="226">
        <f t="shared" si="22"/>
        <v>5.8046095071526423E-2</v>
      </c>
      <c r="R144" s="226">
        <f t="shared" si="22"/>
        <v>5.4955603040679271E-2</v>
      </c>
      <c r="S144" s="226">
        <f t="shared" si="22"/>
        <v>5.2029655084346704E-2</v>
      </c>
      <c r="T144" s="226">
        <f t="shared" si="22"/>
        <v>4.9259490541705905E-2</v>
      </c>
      <c r="U144" s="226">
        <f t="shared" si="22"/>
        <v>4.6636815187314849E-2</v>
      </c>
      <c r="V144" s="226">
        <f t="shared" si="22"/>
        <v>4.4153776397144982E-2</v>
      </c>
      <c r="W144" s="226">
        <f t="shared" si="22"/>
        <v>4.1802939636824819E-2</v>
      </c>
      <c r="X144" s="226">
        <f t="shared" si="22"/>
        <v>3.9577266201697152E-2</v>
      </c>
      <c r="Y144" s="226">
        <f t="shared" si="22"/>
        <v>3.7470092142040896E-2</v>
      </c>
      <c r="Z144" s="226">
        <f t="shared" si="22"/>
        <v>3.5475108310356926E-2</v>
      </c>
      <c r="AA144" s="226">
        <f t="shared" si="22"/>
        <v>3.358634147097693E-2</v>
      </c>
      <c r="AB144" s="226">
        <f t="shared" si="22"/>
        <v>3.1798136415435101E-2</v>
      </c>
      <c r="AC144" s="226">
        <f t="shared" si="22"/>
        <v>3.010513903005373E-2</v>
      </c>
      <c r="AD144" s="226">
        <f t="shared" si="22"/>
        <v>2.8502280265044994E-2</v>
      </c>
      <c r="AE144" s="226">
        <f t="shared" si="20"/>
        <v>2.6984760957130295E-2</v>
      </c>
      <c r="AF144" s="226">
        <f t="shared" si="20"/>
        <v>2.5548037460234204E-2</v>
      </c>
      <c r="AG144" s="226">
        <f t="shared" si="20"/>
        <v>2.4187808041229431E-2</v>
      </c>
      <c r="AH144" s="227">
        <v>2.29E-2</v>
      </c>
      <c r="AI144" s="226">
        <f t="shared" si="23"/>
        <v>2.1680757475258383E-2</v>
      </c>
      <c r="AJ144" s="226">
        <f t="shared" si="23"/>
        <v>2.0526429899605778E-2</v>
      </c>
      <c r="AK144" s="226">
        <f t="shared" si="23"/>
        <v>1.9433561069268347E-2</v>
      </c>
      <c r="AL144" s="226">
        <f t="shared" si="23"/>
        <v>1.8398878795782971E-2</v>
      </c>
      <c r="AM144" s="226">
        <f t="shared" si="23"/>
        <v>1.7419285108648236E-2</v>
      </c>
      <c r="AN144" s="226">
        <f t="shared" si="23"/>
        <v>1.6491846979606213E-2</v>
      </c>
      <c r="AO144" s="226">
        <f t="shared" si="23"/>
        <v>1.5613787540782307E-2</v>
      </c>
      <c r="AP144" s="226">
        <f t="shared" si="23"/>
        <v>1.478247777038918E-2</v>
      </c>
      <c r="AQ144" s="226">
        <f t="shared" si="23"/>
        <v>1.3995428621100703E-2</v>
      </c>
      <c r="AR144" s="226">
        <f t="shared" si="23"/>
        <v>1.3250283567527258E-2</v>
      </c>
      <c r="AS144" s="226">
        <f t="shared" si="23"/>
        <v>1.25448115504786E-2</v>
      </c>
      <c r="AT144" s="226">
        <f t="shared" si="23"/>
        <v>1.1876900296888499E-2</v>
      </c>
      <c r="AU144" s="226">
        <f t="shared" si="23"/>
        <v>1.1244549995400168E-2</v>
      </c>
      <c r="AV144" s="226">
        <f t="shared" si="23"/>
        <v>1.0645867308676367E-2</v>
      </c>
      <c r="AW144" s="226">
        <f t="shared" si="23"/>
        <v>1.0079059704506288E-2</v>
      </c>
      <c r="AX144" s="226">
        <f t="shared" si="23"/>
        <v>9.5424300887358201E-3</v>
      </c>
      <c r="AY144" s="226">
        <f t="shared" si="21"/>
        <v>9.0343717239515127E-3</v>
      </c>
      <c r="AZ144" s="226">
        <f t="shared" si="21"/>
        <v>8.5533634187041369E-3</v>
      </c>
      <c r="BA144" s="226">
        <f t="shared" si="21"/>
        <v>8.0979649728677439E-3</v>
      </c>
      <c r="BB144" s="226">
        <f t="shared" si="21"/>
        <v>7.6668128654970701E-3</v>
      </c>
      <c r="BC144" s="226">
        <f t="shared" si="21"/>
        <v>7.2586161722721729E-3</v>
      </c>
      <c r="BD144" s="226">
        <f t="shared" si="21"/>
        <v>6.8721527003066073E-3</v>
      </c>
      <c r="BE144" s="226">
        <f t="shared" si="21"/>
        <v>6.5062653287462696E-3</v>
      </c>
    </row>
    <row r="145" spans="4:57" s="10" customFormat="1" x14ac:dyDescent="0.35">
      <c r="D145" s="169"/>
      <c r="E145" s="10" t="s">
        <v>675</v>
      </c>
      <c r="F145" s="10" t="s">
        <v>615</v>
      </c>
      <c r="G145" s="43" t="s">
        <v>616</v>
      </c>
      <c r="I145" s="20"/>
      <c r="J145" s="200"/>
      <c r="K145" s="200"/>
      <c r="L145" s="200"/>
      <c r="M145" s="200"/>
      <c r="N145" s="200">
        <v>6.9699999999999998E-2</v>
      </c>
      <c r="O145" s="226">
        <f t="shared" si="22"/>
        <v>6.5955609522892478E-2</v>
      </c>
      <c r="P145" s="226">
        <f t="shared" si="22"/>
        <v>6.2412373422328055E-2</v>
      </c>
      <c r="Q145" s="226">
        <f t="shared" si="22"/>
        <v>5.9059485377905625E-2</v>
      </c>
      <c r="R145" s="226">
        <f t="shared" si="22"/>
        <v>5.5886719601264297E-2</v>
      </c>
      <c r="S145" s="226">
        <f t="shared" si="22"/>
        <v>5.2884399649015347E-2</v>
      </c>
      <c r="T145" s="226">
        <f t="shared" si="22"/>
        <v>5.0043368911091082E-2</v>
      </c>
      <c r="U145" s="226">
        <f t="shared" si="22"/>
        <v>4.7354962684504745E-2</v>
      </c>
      <c r="V145" s="226">
        <f t="shared" si="22"/>
        <v>4.4810981747350639E-2</v>
      </c>
      <c r="W145" s="226">
        <f t="shared" si="22"/>
        <v>4.2403667352449367E-2</v>
      </c>
      <c r="X145" s="226">
        <f t="shared" si="22"/>
        <v>4.0125677564372665E-2</v>
      </c>
      <c r="Y145" s="226">
        <f t="shared" si="22"/>
        <v>3.7970064867679357E-2</v>
      </c>
      <c r="Z145" s="226">
        <f t="shared" si="22"/>
        <v>3.5930254978071133E-2</v>
      </c>
      <c r="AA145" s="226">
        <f t="shared" si="22"/>
        <v>3.4000026791845384E-2</v>
      </c>
      <c r="AB145" s="226">
        <f t="shared" si="22"/>
        <v>3.2173493412494071E-2</v>
      </c>
      <c r="AC145" s="226">
        <f t="shared" si="22"/>
        <v>3.0445084196582678E-2</v>
      </c>
      <c r="AD145" s="226">
        <f t="shared" si="22"/>
        <v>2.8809527764151965E-2</v>
      </c>
      <c r="AE145" s="226">
        <f t="shared" si="20"/>
        <v>2.7261835921826925E-2</v>
      </c>
      <c r="AF145" s="226">
        <f t="shared" si="20"/>
        <v>2.5797288449600865E-2</v>
      </c>
      <c r="AG145" s="226">
        <f t="shared" si="20"/>
        <v>2.4411418704896687E-2</v>
      </c>
      <c r="AH145" s="227">
        <v>2.3099999999999999E-2</v>
      </c>
      <c r="AI145" s="226">
        <f t="shared" si="23"/>
        <v>2.1859032711317308E-2</v>
      </c>
      <c r="AJ145" s="226">
        <f t="shared" si="23"/>
        <v>2.0684732081144592E-2</v>
      </c>
      <c r="AK145" s="226">
        <f t="shared" si="23"/>
        <v>1.9573516674743472E-2</v>
      </c>
      <c r="AL145" s="226">
        <f t="shared" si="23"/>
        <v>1.8521997457520881E-2</v>
      </c>
      <c r="AM145" s="226">
        <f t="shared" si="23"/>
        <v>1.7526967458999346E-2</v>
      </c>
      <c r="AN145" s="226">
        <f t="shared" si="23"/>
        <v>1.6585391992054575E-2</v>
      </c>
      <c r="AO145" s="226">
        <f t="shared" si="23"/>
        <v>1.5694399397590524E-2</v>
      </c>
      <c r="AP145" s="226">
        <f t="shared" si="23"/>
        <v>1.4851272286424673E-2</v>
      </c>
      <c r="AQ145" s="226">
        <f t="shared" si="23"/>
        <v>1.4053439251672602E-2</v>
      </c>
      <c r="AR145" s="226">
        <f t="shared" si="23"/>
        <v>1.3298467026355933E-2</v>
      </c>
      <c r="AS145" s="226">
        <f t="shared" si="23"/>
        <v>1.2584053062315538E-2</v>
      </c>
      <c r="AT145" s="226">
        <f t="shared" si="23"/>
        <v>1.1908018507796887E-2</v>
      </c>
      <c r="AU145" s="226">
        <f t="shared" si="23"/>
        <v>1.1268301562290219E-2</v>
      </c>
      <c r="AV145" s="226">
        <f t="shared" si="23"/>
        <v>1.0662951188358867E-2</v>
      </c>
      <c r="AW145" s="226">
        <f t="shared" si="23"/>
        <v>1.0090121161277759E-2</v>
      </c>
      <c r="AX145" s="226">
        <f t="shared" si="23"/>
        <v>9.5480644383344384E-3</v>
      </c>
      <c r="AY145" s="226">
        <f t="shared" si="21"/>
        <v>9.0351278306198268E-3</v>
      </c>
      <c r="AZ145" s="226">
        <f t="shared" si="21"/>
        <v>8.5497469610585353E-3</v>
      </c>
      <c r="BA145" s="226">
        <f t="shared" si="21"/>
        <v>8.0904414933014833E-3</v>
      </c>
      <c r="BB145" s="226">
        <f t="shared" si="21"/>
        <v>7.6558106169296956E-3</v>
      </c>
      <c r="BC145" s="226">
        <f t="shared" si="21"/>
        <v>7.2445287751998506E-3</v>
      </c>
      <c r="BD145" s="226">
        <f t="shared" si="21"/>
        <v>6.8553416223018637E-3</v>
      </c>
      <c r="BE145" s="226">
        <f t="shared" si="21"/>
        <v>6.4870621977987661E-3</v>
      </c>
    </row>
    <row r="146" spans="4:57" s="10" customFormat="1" x14ac:dyDescent="0.35">
      <c r="D146" s="169"/>
      <c r="E146" s="10" t="s">
        <v>676</v>
      </c>
      <c r="F146" s="10" t="s">
        <v>615</v>
      </c>
      <c r="G146" s="43" t="s">
        <v>616</v>
      </c>
      <c r="I146" s="20"/>
      <c r="J146" s="200"/>
      <c r="K146" s="200"/>
      <c r="L146" s="200"/>
      <c r="M146" s="200"/>
      <c r="N146" s="200">
        <v>7.0999999999999994E-2</v>
      </c>
      <c r="O146" s="226">
        <f t="shared" si="22"/>
        <v>6.7152661089619342E-2</v>
      </c>
      <c r="P146" s="226">
        <f t="shared" si="22"/>
        <v>6.351380128756727E-2</v>
      </c>
      <c r="Q146" s="226">
        <f t="shared" si="22"/>
        <v>6.007212355461175E-2</v>
      </c>
      <c r="R146" s="226">
        <f t="shared" si="22"/>
        <v>5.6816943014036378E-2</v>
      </c>
      <c r="S146" s="226">
        <f t="shared" si="22"/>
        <v>5.373815377985635E-2</v>
      </c>
      <c r="T146" s="226">
        <f t="shared" si="22"/>
        <v>5.0826197582542823E-2</v>
      </c>
      <c r="U146" s="226">
        <f t="shared" si="22"/>
        <v>4.8072034094852514E-2</v>
      </c>
      <c r="V146" s="226">
        <f t="shared" si="22"/>
        <v>4.5467112865637427E-2</v>
      </c>
      <c r="W146" s="226">
        <f t="shared" si="22"/>
        <v>4.3003346774501718E-2</v>
      </c>
      <c r="X146" s="226">
        <f t="shared" si="22"/>
        <v>4.0673086924894214E-2</v>
      </c>
      <c r="Y146" s="226">
        <f t="shared" si="22"/>
        <v>3.8469098897690839E-2</v>
      </c>
      <c r="Z146" s="226">
        <f t="shared" si="22"/>
        <v>3.6384540291544823E-2</v>
      </c>
      <c r="AA146" s="226">
        <f t="shared" si="22"/>
        <v>3.4412939480277599E-2</v>
      </c>
      <c r="AB146" s="226">
        <f t="shared" si="22"/>
        <v>3.2548175521361453E-2</v>
      </c>
      <c r="AC146" s="226">
        <f t="shared" si="22"/>
        <v>3.0784459153118737E-2</v>
      </c>
      <c r="AD146" s="226">
        <f t="shared" si="22"/>
        <v>2.9116314821642435E-2</v>
      </c>
      <c r="AE146" s="226">
        <f t="shared" si="20"/>
        <v>2.753856368163965E-2</v>
      </c>
      <c r="AF146" s="226">
        <f t="shared" si="20"/>
        <v>2.6046307518423205E-2</v>
      </c>
      <c r="AG146" s="226">
        <f t="shared" si="20"/>
        <v>2.4634913541136311E-2</v>
      </c>
      <c r="AH146" s="227">
        <v>2.3300000000000001E-2</v>
      </c>
      <c r="AI146" s="226">
        <f t="shared" si="23"/>
        <v>2.2037422582931423E-2</v>
      </c>
      <c r="AJ146" s="226">
        <f t="shared" si="23"/>
        <v>2.0843261549300249E-2</v>
      </c>
      <c r="AK146" s="226">
        <f t="shared" si="23"/>
        <v>1.9713809560879633E-2</v>
      </c>
      <c r="AL146" s="226">
        <f t="shared" si="23"/>
        <v>1.8645560172211941E-2</v>
      </c>
      <c r="AM146" s="226">
        <f t="shared" si="23"/>
        <v>1.7635196944657087E-2</v>
      </c>
      <c r="AN146" s="226">
        <f t="shared" si="23"/>
        <v>1.6679583150327439E-2</v>
      </c>
      <c r="AO146" s="226">
        <f t="shared" si="23"/>
        <v>1.5775752033944563E-2</v>
      </c>
      <c r="AP146" s="226">
        <f t="shared" si="23"/>
        <v>1.4920897602385245E-2</v>
      </c>
      <c r="AQ146" s="226">
        <f t="shared" si="23"/>
        <v>1.4112365913322399E-2</v>
      </c>
      <c r="AR146" s="226">
        <f t="shared" si="23"/>
        <v>1.3347646835915994E-2</v>
      </c>
      <c r="AS146" s="226">
        <f t="shared" si="23"/>
        <v>1.2624366257974603E-2</v>
      </c>
      <c r="AT146" s="226">
        <f t="shared" si="23"/>
        <v>1.1940278715394291E-2</v>
      </c>
      <c r="AU146" s="226">
        <f t="shared" si="23"/>
        <v>1.1293260420992513E-2</v>
      </c>
      <c r="AV146" s="226">
        <f t="shared" si="23"/>
        <v>1.0681302671094678E-2</v>
      </c>
      <c r="AW146" s="226">
        <f t="shared" si="23"/>
        <v>1.0102505609403758E-2</v>
      </c>
      <c r="AX146" s="226">
        <f t="shared" si="23"/>
        <v>9.5550723287925205E-3</v>
      </c>
      <c r="AY146" s="226">
        <f t="shared" si="21"/>
        <v>9.0373032927070999E-3</v>
      </c>
      <c r="AZ146" s="226">
        <f t="shared" si="21"/>
        <v>8.5475910588628298E-3</v>
      </c>
      <c r="BA146" s="226">
        <f t="shared" si="21"/>
        <v>8.0844152888517786E-3</v>
      </c>
      <c r="BB146" s="226">
        <f t="shared" si="21"/>
        <v>7.6463380281690226E-3</v>
      </c>
      <c r="BC146" s="226">
        <f t="shared" si="21"/>
        <v>7.2319992420042632E-3</v>
      </c>
      <c r="BD146" s="226">
        <f t="shared" si="21"/>
        <v>6.8401125929393848E-3</v>
      </c>
      <c r="BE146" s="226">
        <f t="shared" si="21"/>
        <v>6.4694614474436049E-3</v>
      </c>
    </row>
    <row r="147" spans="4:57" s="10" customFormat="1" x14ac:dyDescent="0.35">
      <c r="D147" s="169"/>
      <c r="E147" s="10" t="s">
        <v>677</v>
      </c>
      <c r="F147" s="10" t="s">
        <v>615</v>
      </c>
      <c r="G147" s="43" t="s">
        <v>616</v>
      </c>
      <c r="I147" s="20"/>
      <c r="J147" s="200"/>
      <c r="K147" s="200"/>
      <c r="L147" s="200"/>
      <c r="M147" s="200"/>
      <c r="N147" s="200">
        <v>7.2300000000000003E-2</v>
      </c>
      <c r="O147" s="226">
        <f t="shared" si="22"/>
        <v>6.834941086614095E-2</v>
      </c>
      <c r="P147" s="226">
        <f t="shared" si="22"/>
        <v>6.4614688322939789E-2</v>
      </c>
      <c r="Q147" s="226">
        <f t="shared" si="22"/>
        <v>6.1084037070155625E-2</v>
      </c>
      <c r="R147" s="226">
        <f t="shared" si="22"/>
        <v>5.7746306321862402E-2</v>
      </c>
      <c r="S147" s="226">
        <f t="shared" si="22"/>
        <v>5.4590954589142544E-2</v>
      </c>
      <c r="T147" s="226">
        <f t="shared" si="22"/>
        <v>5.1608016387111294E-2</v>
      </c>
      <c r="U147" s="226">
        <f t="shared" si="22"/>
        <v>4.8788070761123167E-2</v>
      </c>
      <c r="V147" s="226">
        <f t="shared" si="22"/>
        <v>4.6122211532757473E-2</v>
      </c>
      <c r="W147" s="226">
        <f t="shared" si="22"/>
        <v>4.3602019171611411E-2</v>
      </c>
      <c r="X147" s="226">
        <f t="shared" si="22"/>
        <v>4.1219534204063941E-2</v>
      </c>
      <c r="Y147" s="226">
        <f t="shared" si="22"/>
        <v>3.8967232075027891E-2</v>
      </c>
      <c r="Z147" s="226">
        <f t="shared" si="22"/>
        <v>3.6837999383296648E-2</v>
      </c>
      <c r="AA147" s="226">
        <f t="shared" si="22"/>
        <v>3.4825111415430009E-2</v>
      </c>
      <c r="AB147" s="226">
        <f t="shared" si="22"/>
        <v>3.2922210907224914E-2</v>
      </c>
      <c r="AC147" s="226">
        <f t="shared" si="22"/>
        <v>3.1123287965693813E-2</v>
      </c>
      <c r="AD147" s="226">
        <f t="shared" si="22"/>
        <v>2.942266108813868E-2</v>
      </c>
      <c r="AE147" s="226">
        <f t="shared" si="20"/>
        <v>2.7814959218373559E-2</v>
      </c>
      <c r="AF147" s="226">
        <f t="shared" si="20"/>
        <v>2.6295104783424193E-2</v>
      </c>
      <c r="AG147" s="226">
        <f t="shared" si="20"/>
        <v>2.4858297657129855E-2</v>
      </c>
      <c r="AH147" s="227">
        <v>2.35E-2</v>
      </c>
      <c r="AI147" s="226">
        <f t="shared" si="23"/>
        <v>2.2215921927445537E-2</v>
      </c>
      <c r="AJ147" s="226">
        <f t="shared" si="23"/>
        <v>2.1002007961121508E-2</v>
      </c>
      <c r="AK147" s="226">
        <f t="shared" si="23"/>
        <v>1.9854424220590004E-2</v>
      </c>
      <c r="AL147" s="226">
        <f t="shared" si="23"/>
        <v>1.8769546314851542E-2</v>
      </c>
      <c r="AM147" s="226">
        <f t="shared" si="23"/>
        <v>1.7743947895502765E-2</v>
      </c>
      <c r="AN147" s="226">
        <f t="shared" si="23"/>
        <v>1.6774389835368126E-2</v>
      </c>
      <c r="AO147" s="226">
        <f t="shared" si="23"/>
        <v>1.5857809998428694E-2</v>
      </c>
      <c r="AP147" s="226">
        <f t="shared" si="23"/>
        <v>1.4991313568738601E-2</v>
      </c>
      <c r="AQ147" s="226">
        <f t="shared" si="23"/>
        <v>1.4172163907785178E-2</v>
      </c>
      <c r="AR147" s="226">
        <f t="shared" si="23"/>
        <v>1.3397773911417743E-2</v>
      </c>
      <c r="AS147" s="226">
        <f t="shared" si="23"/>
        <v>1.2665697839047797E-2</v>
      </c>
      <c r="AT147" s="226">
        <f t="shared" si="23"/>
        <v>1.1973623589314957E-2</v>
      </c>
      <c r="AU147" s="226">
        <f t="shared" si="23"/>
        <v>1.1319365397823035E-2</v>
      </c>
      <c r="AV147" s="226">
        <f t="shared" si="23"/>
        <v>1.0700856933883618E-2</v>
      </c>
      <c r="AW147" s="226">
        <f t="shared" si="23"/>
        <v>1.0116144774464795E-2</v>
      </c>
      <c r="AX147" s="226">
        <f t="shared" si="23"/>
        <v>9.5633822347338734E-3</v>
      </c>
      <c r="AY147" s="226">
        <f t="shared" si="21"/>
        <v>9.0408235357092494E-3</v>
      </c>
      <c r="AZ147" s="226">
        <f t="shared" si="21"/>
        <v>8.5468182906012265E-3</v>
      </c>
      <c r="BA147" s="226">
        <f t="shared" si="21"/>
        <v>8.079806292428101E-3</v>
      </c>
      <c r="BB147" s="226">
        <f t="shared" si="21"/>
        <v>7.6383125864453562E-3</v>
      </c>
      <c r="BC147" s="226">
        <f t="shared" si="21"/>
        <v>7.2209428118253033E-3</v>
      </c>
      <c r="BD147" s="226">
        <f t="shared" si="21"/>
        <v>6.826378797874893E-3</v>
      </c>
      <c r="BE147" s="226">
        <f t="shared" si="21"/>
        <v>6.4533744008833252E-3</v>
      </c>
    </row>
    <row r="148" spans="4:57" s="10" customFormat="1" x14ac:dyDescent="0.35">
      <c r="D148" s="169"/>
      <c r="E148" s="10" t="s">
        <v>678</v>
      </c>
      <c r="F148" s="10" t="s">
        <v>615</v>
      </c>
      <c r="G148" s="43" t="s">
        <v>616</v>
      </c>
      <c r="I148" s="20"/>
      <c r="J148" s="200"/>
      <c r="K148" s="200"/>
      <c r="L148" s="200"/>
      <c r="M148" s="200"/>
      <c r="N148" s="200">
        <v>7.2800000000000004E-2</v>
      </c>
      <c r="O148" s="226">
        <f t="shared" si="22"/>
        <v>6.8812987095215702E-2</v>
      </c>
      <c r="P148" s="226">
        <f t="shared" si="22"/>
        <v>6.5044329573713228E-2</v>
      </c>
      <c r="Q148" s="226">
        <f t="shared" si="22"/>
        <v>6.1482068840286883E-2</v>
      </c>
      <c r="R148" s="226">
        <f t="shared" si="22"/>
        <v>5.8114901232058029E-2</v>
      </c>
      <c r="S148" s="226">
        <f t="shared" si="22"/>
        <v>5.4932142150018459E-2</v>
      </c>
      <c r="T148" s="226">
        <f t="shared" si="22"/>
        <v>5.1923692154969434E-2</v>
      </c>
      <c r="U148" s="226">
        <f t="shared" si="22"/>
        <v>4.9080004920272861E-2</v>
      </c>
      <c r="V148" s="226">
        <f t="shared" si="22"/>
        <v>4.6392056939723342E-2</v>
      </c>
      <c r="W148" s="226">
        <f t="shared" si="22"/>
        <v>4.3851318894418879E-2</v>
      </c>
      <c r="X148" s="226">
        <f t="shared" si="22"/>
        <v>4.1449728587772454E-2</v>
      </c>
      <c r="Y148" s="226">
        <f t="shared" si="22"/>
        <v>3.9179665362782681E-2</v>
      </c>
      <c r="Z148" s="226">
        <f t="shared" si="22"/>
        <v>3.7033925920385083E-2</v>
      </c>
      <c r="AA148" s="226">
        <f t="shared" si="22"/>
        <v>3.5005701462151553E-2</v>
      </c>
      <c r="AB148" s="226">
        <f t="shared" si="22"/>
        <v>3.3088556084807805E-2</v>
      </c>
      <c r="AC148" s="226">
        <f t="shared" si="22"/>
        <v>3.1276406358010996E-2</v>
      </c>
      <c r="AD148" s="226">
        <f t="shared" si="22"/>
        <v>2.9563502020584241E-2</v>
      </c>
      <c r="AE148" s="226">
        <f t="shared" si="20"/>
        <v>2.7944407733953937E-2</v>
      </c>
      <c r="AF148" s="226">
        <f t="shared" si="20"/>
        <v>2.6413985834890356E-2</v>
      </c>
      <c r="AG148" s="226">
        <f t="shared" si="20"/>
        <v>2.4967380032823082E-2</v>
      </c>
      <c r="AH148" s="227">
        <v>2.3599999999999999E-2</v>
      </c>
      <c r="AI148" s="226">
        <f t="shared" si="23"/>
        <v>2.2307506805591903E-2</v>
      </c>
      <c r="AJ148" s="226">
        <f t="shared" si="23"/>
        <v>2.1085799147522417E-2</v>
      </c>
      <c r="AK148" s="226">
        <f t="shared" si="23"/>
        <v>1.9931000338334757E-2</v>
      </c>
      <c r="AL148" s="226">
        <f t="shared" si="23"/>
        <v>1.883944600379903E-2</v>
      </c>
      <c r="AM148" s="226">
        <f t="shared" si="23"/>
        <v>1.7807672455225763E-2</v>
      </c>
      <c r="AN148" s="226">
        <f t="shared" si="23"/>
        <v>1.683240569858899E-2</v>
      </c>
      <c r="AO148" s="226">
        <f t="shared" si="23"/>
        <v>1.5910551045582959E-2</v>
      </c>
      <c r="AP148" s="226">
        <f t="shared" si="23"/>
        <v>1.5039183293646577E-2</v>
      </c>
      <c r="AQ148" s="226">
        <f t="shared" si="23"/>
        <v>1.4215537443795129E-2</v>
      </c>
      <c r="AR148" s="226">
        <f t="shared" si="23"/>
        <v>1.3436999926805355E-2</v>
      </c>
      <c r="AS148" s="226">
        <f t="shared" si="23"/>
        <v>1.2701100309913066E-2</v>
      </c>
      <c r="AT148" s="226">
        <f t="shared" si="23"/>
        <v>1.2005503457707251E-2</v>
      </c>
      <c r="AU148" s="226">
        <f t="shared" si="23"/>
        <v>1.1348002122345831E-2</v>
      </c>
      <c r="AV148" s="226">
        <f t="shared" si="23"/>
        <v>1.0726509939580549E-2</v>
      </c>
      <c r="AW148" s="226">
        <f t="shared" si="23"/>
        <v>1.0139054808366198E-2</v>
      </c>
      <c r="AX148" s="226">
        <f t="shared" si="23"/>
        <v>9.5837726330465361E-3</v>
      </c>
      <c r="AY148" s="226">
        <f t="shared" si="21"/>
        <v>9.05890140825979E-3</v>
      </c>
      <c r="AZ148" s="226">
        <f t="shared" si="21"/>
        <v>8.5627756277941239E-3</v>
      </c>
      <c r="BA148" s="226">
        <f t="shared" si="21"/>
        <v>8.0938209996514361E-3</v>
      </c>
      <c r="BB148" s="226">
        <f t="shared" si="21"/>
        <v>7.6505494505494523E-3</v>
      </c>
      <c r="BC148" s="226">
        <f t="shared" si="21"/>
        <v>7.2315544040105631E-3</v>
      </c>
      <c r="BD148" s="226">
        <f t="shared" si="21"/>
        <v>6.8355063170539715E-3</v>
      </c>
      <c r="BE148" s="226">
        <f t="shared" si="21"/>
        <v>6.461148461328301E-3</v>
      </c>
    </row>
    <row r="149" spans="4:57" s="10" customFormat="1" x14ac:dyDescent="0.35">
      <c r="D149" s="169"/>
      <c r="E149" s="10" t="s">
        <v>679</v>
      </c>
      <c r="F149" s="10" t="s">
        <v>615</v>
      </c>
      <c r="G149" s="43" t="s">
        <v>616</v>
      </c>
      <c r="I149" s="20"/>
      <c r="J149" s="200"/>
      <c r="K149" s="200"/>
      <c r="L149" s="200"/>
      <c r="M149" s="200"/>
      <c r="N149" s="200">
        <v>7.3200000000000001E-2</v>
      </c>
      <c r="O149" s="226">
        <f t="shared" si="22"/>
        <v>6.9186752215654276E-2</v>
      </c>
      <c r="P149" s="226">
        <f t="shared" si="22"/>
        <v>6.539353390915767E-2</v>
      </c>
      <c r="Q149" s="226">
        <f t="shared" si="22"/>
        <v>6.1808281790695044E-2</v>
      </c>
      <c r="R149" s="226">
        <f t="shared" si="22"/>
        <v>5.8419593949838172E-2</v>
      </c>
      <c r="S149" s="226">
        <f t="shared" si="22"/>
        <v>5.5216693594898759E-2</v>
      </c>
      <c r="T149" s="226">
        <f t="shared" si="22"/>
        <v>5.2189394780300068E-2</v>
      </c>
      <c r="U149" s="226">
        <f t="shared" si="22"/>
        <v>4.9328070012972423E-2</v>
      </c>
      <c r="V149" s="226">
        <f t="shared" si="22"/>
        <v>4.6623619634753671E-2</v>
      </c>
      <c r="W149" s="226">
        <f t="shared" si="22"/>
        <v>4.4067442883423714E-2</v>
      </c>
      <c r="X149" s="226">
        <f t="shared" si="22"/>
        <v>4.1651410540340626E-2</v>
      </c>
      <c r="Y149" s="226">
        <f t="shared" si="22"/>
        <v>3.9367839077691771E-2</v>
      </c>
      <c r="Z149" s="226">
        <f t="shared" si="22"/>
        <v>3.7209466223142244E-2</v>
      </c>
      <c r="AA149" s="226">
        <f t="shared" si="22"/>
        <v>3.5169427864170759E-2</v>
      </c>
      <c r="AB149" s="226">
        <f t="shared" si="22"/>
        <v>3.3241236218643569E-2</v>
      </c>
      <c r="AC149" s="226">
        <f t="shared" si="22"/>
        <v>3.1418759202203897E-2</v>
      </c>
      <c r="AD149" s="226">
        <f t="shared" si="22"/>
        <v>2.9696200926860501E-2</v>
      </c>
      <c r="AE149" s="226">
        <f t="shared" si="20"/>
        <v>2.8068083268756559E-2</v>
      </c>
      <c r="AF149" s="226">
        <f t="shared" si="20"/>
        <v>2.6529228446500158E-2</v>
      </c>
      <c r="AG149" s="226">
        <f t="shared" si="20"/>
        <v>2.5074742554651547E-2</v>
      </c>
      <c r="AH149" s="227">
        <v>2.3699999999999999E-2</v>
      </c>
      <c r="AI149" s="226">
        <f t="shared" si="23"/>
        <v>2.2400628791133966E-2</v>
      </c>
      <c r="AJ149" s="226">
        <f t="shared" si="23"/>
        <v>2.1172496634522361E-2</v>
      </c>
      <c r="AK149" s="226">
        <f t="shared" si="23"/>
        <v>2.0011697792888968E-2</v>
      </c>
      <c r="AL149" s="226">
        <f t="shared" si="23"/>
        <v>1.8914540664086949E-2</v>
      </c>
      <c r="AM149" s="226">
        <f t="shared" si="23"/>
        <v>1.787753604097132E-2</v>
      </c>
      <c r="AN149" s="226">
        <f t="shared" si="23"/>
        <v>1.6897386014933218E-2</v>
      </c>
      <c r="AO149" s="226">
        <f t="shared" si="23"/>
        <v>1.5970973487806645E-2</v>
      </c>
      <c r="AP149" s="226">
        <f t="shared" si="23"/>
        <v>1.5095352258793198E-2</v>
      </c>
      <c r="AQ149" s="226">
        <f t="shared" si="23"/>
        <v>1.426773765487899E-2</v>
      </c>
      <c r="AR149" s="226">
        <f t="shared" si="23"/>
        <v>1.3485497674946351E-2</v>
      </c>
      <c r="AS149" s="226">
        <f t="shared" si="23"/>
        <v>1.2746144619416599E-2</v>
      </c>
      <c r="AT149" s="226">
        <f t="shared" si="23"/>
        <v>1.2047327178804251E-2</v>
      </c>
      <c r="AU149" s="226">
        <f t="shared" si="23"/>
        <v>1.1386822956022499E-2</v>
      </c>
      <c r="AV149" s="226">
        <f t="shared" si="23"/>
        <v>1.0762531398659188E-2</v>
      </c>
      <c r="AW149" s="226">
        <f t="shared" si="23"/>
        <v>1.0172467118746342E-2</v>
      </c>
      <c r="AX149" s="226">
        <f t="shared" si="23"/>
        <v>9.6147535787786034E-3</v>
      </c>
      <c r="AY149" s="226">
        <f t="shared" si="21"/>
        <v>9.0876171239006875E-3</v>
      </c>
      <c r="AZ149" s="226">
        <f t="shared" si="21"/>
        <v>8.5893813412848859E-3</v>
      </c>
      <c r="BA149" s="226">
        <f t="shared" si="21"/>
        <v>8.1184617287601308E-3</v>
      </c>
      <c r="BB149" s="226">
        <f t="shared" si="21"/>
        <v>7.6733606557376965E-3</v>
      </c>
      <c r="BC149" s="226">
        <f t="shared" si="21"/>
        <v>7.2526626004081199E-3</v>
      </c>
      <c r="BD149" s="226">
        <f t="shared" si="21"/>
        <v>6.8550296480625597E-3</v>
      </c>
      <c r="BE149" s="226">
        <f t="shared" si="21"/>
        <v>6.4791972362222413E-3</v>
      </c>
    </row>
    <row r="150" spans="4:57" s="10" customFormat="1" x14ac:dyDescent="0.35">
      <c r="D150" s="169"/>
      <c r="E150" s="10" t="s">
        <v>680</v>
      </c>
      <c r="F150" s="10" t="s">
        <v>615</v>
      </c>
      <c r="G150" s="43" t="s">
        <v>616</v>
      </c>
      <c r="I150" s="20"/>
      <c r="J150" s="200"/>
      <c r="K150" s="200"/>
      <c r="L150" s="200"/>
      <c r="M150" s="200"/>
      <c r="N150" s="200">
        <v>7.3700000000000002E-2</v>
      </c>
      <c r="O150" s="226">
        <f t="shared" si="22"/>
        <v>6.9650295180361046E-2</v>
      </c>
      <c r="P150" s="226">
        <f t="shared" si="22"/>
        <v>6.5823115586315137E-2</v>
      </c>
      <c r="Q150" s="226">
        <f t="shared" si="22"/>
        <v>6.2206233789387701E-2</v>
      </c>
      <c r="R150" s="226">
        <f t="shared" si="22"/>
        <v>5.8788094240019032E-2</v>
      </c>
      <c r="S150" s="226">
        <f t="shared" si="22"/>
        <v>5.555777634882237E-2</v>
      </c>
      <c r="T150" s="226">
        <f t="shared" si="22"/>
        <v>5.250495959647164E-2</v>
      </c>
      <c r="U150" s="226">
        <f t="shared" si="22"/>
        <v>4.9619890560748711E-2</v>
      </c>
      <c r="V150" s="226">
        <f t="shared" si="22"/>
        <v>4.6893351755405134E-2</v>
      </c>
      <c r="W150" s="226">
        <f t="shared" si="22"/>
        <v>4.4316632181281811E-2</v>
      </c>
      <c r="X150" s="226">
        <f t="shared" si="22"/>
        <v>4.1881499495600619E-2</v>
      </c>
      <c r="Y150" s="226">
        <f t="shared" si="22"/>
        <v>3.9580173710511882E-2</v>
      </c>
      <c r="Z150" s="226">
        <f t="shared" si="22"/>
        <v>3.7405302336867285E-2</v>
      </c>
      <c r="AA150" s="226">
        <f t="shared" si="22"/>
        <v>3.5349936893805362E-2</v>
      </c>
      <c r="AB150" s="226">
        <f t="shared" si="22"/>
        <v>3.340751070910012E-2</v>
      </c>
      <c r="AC150" s="226">
        <f t="shared" si="22"/>
        <v>3.1571817939347303E-2</v>
      </c>
      <c r="AD150" s="226">
        <f t="shared" ref="AD150:AG152" si="24">AC150*(1+($AH150/$N150)^(1/($AH$6-$N$6))-1)</f>
        <v>2.9836993742960081E-2</v>
      </c>
      <c r="AE150" s="226">
        <f t="shared" si="24"/>
        <v>2.8197495542628973E-2</v>
      </c>
      <c r="AF150" s="226">
        <f t="shared" si="24"/>
        <v>2.6648085317381585E-2</v>
      </c>
      <c r="AG150" s="226">
        <f t="shared" si="24"/>
        <v>2.5183812867667198E-2</v>
      </c>
      <c r="AH150" s="227">
        <v>2.3800000000000002E-2</v>
      </c>
      <c r="AI150" s="226">
        <f t="shared" si="23"/>
        <v>2.24922255806322E-2</v>
      </c>
      <c r="AJ150" s="226">
        <f t="shared" si="23"/>
        <v>2.1256311410506112E-2</v>
      </c>
      <c r="AK150" s="226">
        <f t="shared" si="23"/>
        <v>2.0088308876355866E-2</v>
      </c>
      <c r="AL150" s="226">
        <f t="shared" si="23"/>
        <v>1.8984486335311437E-2</v>
      </c>
      <c r="AM150" s="226">
        <f t="shared" si="23"/>
        <v>1.7941317192699761E-2</v>
      </c>
      <c r="AN150" s="226">
        <f t="shared" si="23"/>
        <v>1.6955468634952849E-2</v>
      </c>
      <c r="AO150" s="226">
        <f t="shared" si="23"/>
        <v>1.602379098162577E-2</v>
      </c>
      <c r="AP150" s="226">
        <f t="shared" si="23"/>
        <v>1.5143307622505322E-2</v>
      </c>
      <c r="AQ150" s="226">
        <f t="shared" si="23"/>
        <v>1.4311205507659526E-2</v>
      </c>
      <c r="AR150" s="226">
        <f t="shared" si="23"/>
        <v>1.3524826160044705E-2</v>
      </c>
      <c r="AS150" s="226">
        <f t="shared" si="23"/>
        <v>1.2781657181956346E-2</v>
      </c>
      <c r="AT150" s="226">
        <f t="shared" si="23"/>
        <v>1.2079324228187806E-2</v>
      </c>
      <c r="AU150" s="226">
        <f t="shared" si="23"/>
        <v>1.1415583420251934E-2</v>
      </c>
      <c r="AV150" s="226">
        <f t="shared" si="23"/>
        <v>1.0788314177429889E-2</v>
      </c>
      <c r="AW150" s="226">
        <f t="shared" si="23"/>
        <v>1.019551244174309E-2</v>
      </c>
      <c r="AX150" s="226">
        <f t="shared" ref="AX150:BE152" si="25">AW150*(1+($AH150/$N150)^(1/($AH$6-$N$6))-1)</f>
        <v>9.6352842752028475E-3</v>
      </c>
      <c r="AY150" s="226">
        <f t="shared" si="25"/>
        <v>9.1058398088815391E-3</v>
      </c>
      <c r="AZ150" s="226">
        <f t="shared" si="25"/>
        <v>8.6054875244732914E-3</v>
      </c>
      <c r="BA150" s="226">
        <f t="shared" si="25"/>
        <v>8.1326288500743454E-3</v>
      </c>
      <c r="BB150" s="226">
        <f t="shared" si="25"/>
        <v>7.6857530529172106E-3</v>
      </c>
      <c r="BC150" s="226">
        <f t="shared" si="25"/>
        <v>7.2634324127414489E-3</v>
      </c>
      <c r="BD150" s="226">
        <f t="shared" si="25"/>
        <v>6.864317660380515E-3</v>
      </c>
      <c r="BE150" s="226">
        <f t="shared" si="25"/>
        <v>6.4871336669914273E-3</v>
      </c>
    </row>
    <row r="151" spans="4:57" s="10" customFormat="1" x14ac:dyDescent="0.35">
      <c r="E151" s="10" t="s">
        <v>681</v>
      </c>
      <c r="F151" s="10" t="s">
        <v>615</v>
      </c>
      <c r="G151" s="43" t="s">
        <v>616</v>
      </c>
      <c r="I151" s="20"/>
      <c r="J151" s="200"/>
      <c r="K151" s="200"/>
      <c r="L151" s="200"/>
      <c r="M151" s="200"/>
      <c r="N151" s="200">
        <v>7.4200000000000002E-2</v>
      </c>
      <c r="O151" s="226">
        <f t="shared" ref="O151:AD152" si="26">N151*(1+($AH151/$N151)^(1/($AH$6-$N$6))-1)</f>
        <v>7.0113816078460317E-2</v>
      </c>
      <c r="P151" s="226">
        <f t="shared" si="26"/>
        <v>6.6252657750460381E-2</v>
      </c>
      <c r="Q151" s="226">
        <f t="shared" si="26"/>
        <v>6.2604132887128808E-2</v>
      </c>
      <c r="R151" s="226">
        <f t="shared" si="26"/>
        <v>5.9156531792447953E-2</v>
      </c>
      <c r="S151" s="226">
        <f t="shared" si="26"/>
        <v>5.5898789621769356E-2</v>
      </c>
      <c r="T151" s="226">
        <f t="shared" si="26"/>
        <v>5.2820450869936433E-2</v>
      </c>
      <c r="U151" s="226">
        <f t="shared" si="26"/>
        <v>4.9911635815041405E-2</v>
      </c>
      <c r="V151" s="226">
        <f t="shared" si="26"/>
        <v>4.7163008810120026E-2</v>
      </c>
      <c r="W151" s="226">
        <f t="shared" si="26"/>
        <v>4.4565748321018318E-2</v>
      </c>
      <c r="X151" s="226">
        <f t="shared" si="26"/>
        <v>4.2111518614269948E-2</v>
      </c>
      <c r="Y151" s="226">
        <f t="shared" si="26"/>
        <v>3.9792443004118348E-2</v>
      </c>
      <c r="Z151" s="226">
        <f t="shared" si="26"/>
        <v>3.7601078572821682E-2</v>
      </c>
      <c r="AA151" s="226">
        <f t="shared" si="26"/>
        <v>3.5530392283107205E-2</v>
      </c>
      <c r="AB151" s="226">
        <f t="shared" si="26"/>
        <v>3.3573738406109492E-2</v>
      </c>
      <c r="AC151" s="226">
        <f t="shared" si="26"/>
        <v>3.1724837192349066E-2</v>
      </c>
      <c r="AD151" s="226">
        <f t="shared" si="26"/>
        <v>2.9977754717297304E-2</v>
      </c>
      <c r="AE151" s="226">
        <f t="shared" si="24"/>
        <v>2.8326883836843387E-2</v>
      </c>
      <c r="AF151" s="226">
        <f t="shared" si="24"/>
        <v>2.6766926191541075E-2</v>
      </c>
      <c r="AG151" s="226">
        <f t="shared" si="24"/>
        <v>2.5292875201879155E-2</v>
      </c>
      <c r="AH151" s="227">
        <v>2.3900000000000001E-2</v>
      </c>
      <c r="AI151" s="226">
        <f t="shared" ref="AI151:AX152" si="27">AH151*(1+($AH151/$N151)^(1/($AH$6-$N$6))-1)</f>
        <v>2.2583830246296521E-2</v>
      </c>
      <c r="AJ151" s="226">
        <f t="shared" si="27"/>
        <v>2.1340141782156381E-2</v>
      </c>
      <c r="AK151" s="226">
        <f t="shared" si="27"/>
        <v>2.016494307280834E-2</v>
      </c>
      <c r="AL151" s="226">
        <f t="shared" si="27"/>
        <v>1.9054462396758846E-2</v>
      </c>
      <c r="AM151" s="226">
        <f t="shared" si="27"/>
        <v>1.8005135740704691E-2</v>
      </c>
      <c r="AN151" s="226">
        <f t="shared" si="27"/>
        <v>1.7013595361071172E-2</v>
      </c>
      <c r="AO151" s="226">
        <f t="shared" si="27"/>
        <v>1.6076658975464824E-2</v>
      </c>
      <c r="AP151" s="226">
        <f t="shared" si="27"/>
        <v>1.5191319549351334E-2</v>
      </c>
      <c r="AQ151" s="226">
        <f t="shared" si="27"/>
        <v>1.4354735645179759E-2</v>
      </c>
      <c r="AR151" s="226">
        <f t="shared" si="27"/>
        <v>1.3564222302979139E-2</v>
      </c>
      <c r="AS151" s="226">
        <f t="shared" si="27"/>
        <v>1.2817242423159418E-2</v>
      </c>
      <c r="AT151" s="226">
        <f t="shared" si="27"/>
        <v>1.2111398623860358E-2</v>
      </c>
      <c r="AU151" s="226">
        <f t="shared" si="27"/>
        <v>1.1444425546715129E-2</v>
      </c>
      <c r="AV151" s="226">
        <f t="shared" si="27"/>
        <v>1.0814182586334464E-2</v>
      </c>
      <c r="AW151" s="226">
        <f t="shared" si="27"/>
        <v>1.0218647020177128E-2</v>
      </c>
      <c r="AX151" s="226">
        <f t="shared" si="27"/>
        <v>9.655907516757491E-3</v>
      </c>
      <c r="AY151" s="226">
        <f t="shared" si="25"/>
        <v>9.1241580013552183E-3</v>
      </c>
      <c r="AZ151" s="226">
        <f t="shared" si="25"/>
        <v>8.6216918595395133E-3</v>
      </c>
      <c r="BA151" s="226">
        <f t="shared" si="25"/>
        <v>8.1468964599044746E-3</v>
      </c>
      <c r="BB151" s="226">
        <f t="shared" si="25"/>
        <v>7.6982479784366824E-3</v>
      </c>
      <c r="BC151" s="226">
        <f t="shared" si="25"/>
        <v>7.2743065079041583E-3</v>
      </c>
      <c r="BD151" s="226">
        <f t="shared" si="25"/>
        <v>6.873711436570608E-3</v>
      </c>
      <c r="BE151" s="226">
        <f t="shared" si="25"/>
        <v>6.4951770814032465E-3</v>
      </c>
    </row>
    <row r="152" spans="4:57" s="10" customFormat="1" x14ac:dyDescent="0.35">
      <c r="E152" s="10" t="s">
        <v>682</v>
      </c>
      <c r="F152" s="10" t="s">
        <v>615</v>
      </c>
      <c r="G152" s="43" t="s">
        <v>616</v>
      </c>
      <c r="I152" s="20"/>
      <c r="J152" s="200"/>
      <c r="K152" s="200"/>
      <c r="L152" s="200"/>
      <c r="M152" s="200"/>
      <c r="N152" s="200">
        <v>7.46E-2</v>
      </c>
      <c r="O152" s="226">
        <f t="shared" si="26"/>
        <v>7.0502211200612425E-2</v>
      </c>
      <c r="P152" s="226">
        <f t="shared" si="26"/>
        <v>6.6629514533187134E-2</v>
      </c>
      <c r="Q152" s="226">
        <f t="shared" si="26"/>
        <v>6.2969545654330217E-2</v>
      </c>
      <c r="R152" s="226">
        <f t="shared" si="26"/>
        <v>5.9510619395820308E-2</v>
      </c>
      <c r="S152" s="226">
        <f t="shared" si="26"/>
        <v>5.6241692457418037E-2</v>
      </c>
      <c r="T152" s="226">
        <f t="shared" si="26"/>
        <v>5.3152328148964839E-2</v>
      </c>
      <c r="U152" s="226">
        <f t="shared" si="26"/>
        <v>5.0232663069203431E-2</v>
      </c>
      <c r="V152" s="226">
        <f t="shared" si="26"/>
        <v>4.7473375614935441E-2</v>
      </c>
      <c r="W152" s="226">
        <f t="shared" si="26"/>
        <v>4.4865656219975632E-2</v>
      </c>
      <c r="X152" s="226">
        <f t="shared" si="26"/>
        <v>4.2401179228884617E-2</v>
      </c>
      <c r="Y152" s="226">
        <f t="shared" si="26"/>
        <v>4.0072076315681555E-2</v>
      </c>
      <c r="Z152" s="226">
        <f t="shared" si="26"/>
        <v>3.7870911362670776E-2</v>
      </c>
      <c r="AA152" s="226">
        <f t="shared" si="26"/>
        <v>3.5790656719178117E-2</v>
      </c>
      <c r="AB152" s="226">
        <f t="shared" si="26"/>
        <v>3.382467076439831E-2</v>
      </c>
      <c r="AC152" s="226">
        <f t="shared" si="26"/>
        <v>3.1966676702718362E-2</v>
      </c>
      <c r="AD152" s="226">
        <f t="shared" si="26"/>
        <v>3.0210742523816978E-2</v>
      </c>
      <c r="AE152" s="226">
        <f t="shared" si="24"/>
        <v>2.8551262063558545E-2</v>
      </c>
      <c r="AF152" s="226">
        <f t="shared" si="24"/>
        <v>2.6982937105214985E-2</v>
      </c>
      <c r="AG152" s="226">
        <f t="shared" si="24"/>
        <v>2.5500760463870085E-2</v>
      </c>
      <c r="AH152" s="227">
        <v>2.41E-2</v>
      </c>
      <c r="AI152" s="226">
        <f t="shared" si="27"/>
        <v>2.2776183511189804E-2</v>
      </c>
      <c r="AJ152" s="226">
        <f t="shared" si="27"/>
        <v>2.1525084453750801E-2</v>
      </c>
      <c r="AK152" s="226">
        <f t="shared" si="27"/>
        <v>2.0342708448650913E-2</v>
      </c>
      <c r="AL152" s="226">
        <f t="shared" si="27"/>
        <v>1.922528052867653E-2</v>
      </c>
      <c r="AM152" s="226">
        <f t="shared" si="27"/>
        <v>1.8169233086109578E-2</v>
      </c>
      <c r="AN152" s="226">
        <f t="shared" si="27"/>
        <v>1.717119448244038E-2</v>
      </c>
      <c r="AO152" s="226">
        <f t="shared" si="27"/>
        <v>1.6227978283750701E-2</v>
      </c>
      <c r="AP152" s="226">
        <f t="shared" si="27"/>
        <v>1.5336573087398711E-2</v>
      </c>
      <c r="AQ152" s="226">
        <f t="shared" si="27"/>
        <v>1.4494132907525636E-2</v>
      </c>
      <c r="AR152" s="226">
        <f t="shared" si="27"/>
        <v>1.3697968088687921E-2</v>
      </c>
      <c r="AS152" s="226">
        <f t="shared" si="27"/>
        <v>1.2945536718604893E-2</v>
      </c>
      <c r="AT152" s="226">
        <f t="shared" si="27"/>
        <v>1.2234436512605433E-2</v>
      </c>
      <c r="AU152" s="226">
        <f t="shared" si="27"/>
        <v>1.1562397143863168E-2</v>
      </c>
      <c r="AV152" s="226">
        <f t="shared" si="27"/>
        <v>1.0927272994932961E-2</v>
      </c>
      <c r="AW152" s="226">
        <f t="shared" si="27"/>
        <v>1.0327036307446545E-2</v>
      </c>
      <c r="AX152" s="226">
        <f t="shared" si="27"/>
        <v>9.7597707080963672E-3</v>
      </c>
      <c r="AY152" s="226">
        <f t="shared" si="25"/>
        <v>9.2236650902380798E-3</v>
      </c>
      <c r="AZ152" s="226">
        <f t="shared" si="25"/>
        <v>8.7170078315774932E-3</v>
      </c>
      <c r="BA152" s="226">
        <f t="shared" si="25"/>
        <v>8.2381813294808166E-3</v>
      </c>
      <c r="BB152" s="226">
        <f t="shared" si="25"/>
        <v>7.7856568364611063E-3</v>
      </c>
      <c r="BC152" s="226">
        <f t="shared" si="25"/>
        <v>7.3579895793521831E-3</v>
      </c>
      <c r="BD152" s="226">
        <f t="shared" si="25"/>
        <v>6.9538141465870368E-3</v>
      </c>
      <c r="BE152" s="226">
        <f t="shared" si="25"/>
        <v>6.5718401288536957E-3</v>
      </c>
    </row>
    <row r="153" spans="4:57" s="10" customFormat="1" ht="5.25" customHeight="1" x14ac:dyDescent="0.35">
      <c r="D153" s="169"/>
      <c r="E153" s="109"/>
      <c r="G153" s="302"/>
      <c r="I153" s="122"/>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170"/>
      <c r="AU153" s="170"/>
      <c r="AV153" s="170"/>
      <c r="AW153" s="170"/>
      <c r="AX153" s="170"/>
      <c r="AY153" s="170"/>
      <c r="AZ153" s="170"/>
      <c r="BA153" s="170"/>
      <c r="BB153" s="170"/>
      <c r="BC153" s="170"/>
      <c r="BD153" s="170"/>
      <c r="BE153" s="170"/>
    </row>
    <row r="154" spans="4:57" s="10" customFormat="1" ht="15" customHeight="1" x14ac:dyDescent="0.35">
      <c r="D154" s="168" t="s">
        <v>683</v>
      </c>
      <c r="E154" s="109"/>
      <c r="G154" s="302"/>
      <c r="I154" s="122"/>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6"/>
      <c r="AP154" s="226"/>
      <c r="AQ154" s="226"/>
      <c r="AR154" s="226"/>
      <c r="AS154" s="226"/>
      <c r="AT154" s="170"/>
      <c r="AU154" s="170"/>
      <c r="AV154" s="170"/>
      <c r="AW154" s="170"/>
      <c r="AX154" s="170"/>
      <c r="AY154" s="170"/>
      <c r="AZ154" s="170"/>
      <c r="BA154" s="170"/>
      <c r="BB154" s="170"/>
      <c r="BC154" s="170"/>
      <c r="BD154" s="170"/>
      <c r="BE154" s="170"/>
    </row>
    <row r="155" spans="4:57" s="10" customFormat="1" ht="5.25" customHeight="1" x14ac:dyDescent="0.35">
      <c r="D155" s="169"/>
      <c r="E155" s="109"/>
      <c r="G155" s="302"/>
      <c r="I155" s="122"/>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170"/>
      <c r="AU155" s="170"/>
      <c r="AV155" s="170"/>
      <c r="AW155" s="170"/>
      <c r="AX155" s="170"/>
      <c r="AY155" s="170"/>
      <c r="AZ155" s="170"/>
      <c r="BA155" s="170"/>
      <c r="BB155" s="170"/>
      <c r="BC155" s="170"/>
      <c r="BD155" s="170"/>
      <c r="BE155" s="170"/>
    </row>
    <row r="156" spans="4:57" s="10" customFormat="1" x14ac:dyDescent="0.35">
      <c r="E156" s="169" t="s">
        <v>614</v>
      </c>
      <c r="F156" s="10" t="s">
        <v>615</v>
      </c>
      <c r="G156" s="43" t="s">
        <v>616</v>
      </c>
      <c r="I156" s="20"/>
      <c r="J156" s="200"/>
      <c r="K156" s="200"/>
      <c r="L156" s="200"/>
      <c r="M156" s="200"/>
      <c r="N156" s="200">
        <v>2E-3</v>
      </c>
      <c r="O156" s="226">
        <f>N156*(1+($AH156/$N156)^(1/($AH$6-$N$6))-1)</f>
        <v>1.9104382079046483E-3</v>
      </c>
      <c r="P156" s="226">
        <f t="shared" ref="P156:AG171" si="28">O156*(1+($AH156/$N156)^(1/($AH$6-$N$6))-1)</f>
        <v>1.824887073110962E-3</v>
      </c>
      <c r="Q156" s="226">
        <f t="shared" si="28"/>
        <v>1.7431669947912324E-3</v>
      </c>
      <c r="R156" s="226">
        <f t="shared" si="28"/>
        <v>1.6651064148037467E-3</v>
      </c>
      <c r="S156" s="226">
        <f t="shared" si="28"/>
        <v>1.5905414575341018E-3</v>
      </c>
      <c r="T156" s="226">
        <f t="shared" si="28"/>
        <v>1.5193155858647482E-3</v>
      </c>
      <c r="U156" s="226">
        <f t="shared" si="28"/>
        <v>1.4512792725505251E-3</v>
      </c>
      <c r="V156" s="226">
        <f t="shared" si="28"/>
        <v>1.3862896863102933E-3</v>
      </c>
      <c r="W156" s="226">
        <f t="shared" si="28"/>
        <v>1.3242103919756669E-3</v>
      </c>
      <c r="X156" s="226">
        <f t="shared" si="28"/>
        <v>1.2649110640673524E-3</v>
      </c>
      <c r="Y156" s="226">
        <f t="shared" si="28"/>
        <v>1.2082672131977972E-3</v>
      </c>
      <c r="Z156" s="226">
        <f t="shared" si="28"/>
        <v>1.1541599247257715E-3</v>
      </c>
      <c r="AA156" s="226">
        <f t="shared" si="28"/>
        <v>1.1024756091142333E-3</v>
      </c>
      <c r="AB156" s="226">
        <f t="shared" si="28"/>
        <v>1.0531057634673908E-3</v>
      </c>
      <c r="AC156" s="226">
        <f t="shared" si="28"/>
        <v>1.0059467437463492E-3</v>
      </c>
      <c r="AD156" s="226">
        <f t="shared" si="28"/>
        <v>9.6089954718514591E-4</v>
      </c>
      <c r="AE156" s="226">
        <f t="shared" si="28"/>
        <v>9.1786960445038902E-4</v>
      </c>
      <c r="AF156" s="226">
        <f t="shared" si="28"/>
        <v>8.7676658110817478E-4</v>
      </c>
      <c r="AG156" s="226">
        <f t="shared" si="28"/>
        <v>8.3750418798149342E-4</v>
      </c>
      <c r="AH156" s="227">
        <v>8.0000000000000004E-4</v>
      </c>
      <c r="AI156" s="226">
        <f>AH156*(1+($AH156/$N156)^(1/($AH$6-$N$6))-1)</f>
        <v>7.6417528316185938E-4</v>
      </c>
      <c r="AJ156" s="226">
        <f t="shared" ref="AJ156:BB171" si="29">AI156*(1+($AH156/$N156)^(1/($AH$6-$N$6))-1)</f>
        <v>7.2995482924438485E-4</v>
      </c>
      <c r="AK156" s="226">
        <f t="shared" si="29"/>
        <v>6.9726679791649307E-4</v>
      </c>
      <c r="AL156" s="226">
        <f t="shared" si="29"/>
        <v>6.6604256592149873E-4</v>
      </c>
      <c r="AM156" s="226">
        <f t="shared" si="29"/>
        <v>6.3621658301364083E-4</v>
      </c>
      <c r="AN156" s="226">
        <f t="shared" si="29"/>
        <v>6.077262343458994E-4</v>
      </c>
      <c r="AO156" s="226">
        <f t="shared" si="29"/>
        <v>5.8051170902021019E-4</v>
      </c>
      <c r="AP156" s="226">
        <f t="shared" si="29"/>
        <v>5.5451587452411751E-4</v>
      </c>
      <c r="AQ156" s="226">
        <f t="shared" si="29"/>
        <v>5.2968415679026696E-4</v>
      </c>
      <c r="AR156" s="226">
        <f t="shared" si="29"/>
        <v>5.0596442562694116E-4</v>
      </c>
      <c r="AS156" s="226">
        <f t="shared" si="29"/>
        <v>4.8330688527911908E-4</v>
      </c>
      <c r="AT156" s="226">
        <f t="shared" si="29"/>
        <v>4.6166396989030881E-4</v>
      </c>
      <c r="AU156" s="226">
        <f t="shared" si="29"/>
        <v>4.4099024364569351E-4</v>
      </c>
      <c r="AV156" s="226">
        <f t="shared" si="29"/>
        <v>4.2124230538695645E-4</v>
      </c>
      <c r="AW156" s="226">
        <f t="shared" si="29"/>
        <v>4.0237869749853983E-4</v>
      </c>
      <c r="AX156" s="226">
        <f t="shared" si="29"/>
        <v>3.8435981887405848E-4</v>
      </c>
      <c r="AY156" s="226">
        <f t="shared" si="29"/>
        <v>3.6714784178015574E-4</v>
      </c>
      <c r="AZ156" s="226">
        <f t="shared" si="29"/>
        <v>3.5070663244327001E-4</v>
      </c>
      <c r="BA156" s="226">
        <f t="shared" si="29"/>
        <v>3.3500167519259744E-4</v>
      </c>
      <c r="BB156" s="226">
        <f t="shared" si="29"/>
        <v>3.2000000000000046E-4</v>
      </c>
      <c r="BC156" s="226">
        <f>BB156*(1+($AH156/$N156)^(1/($AH$6-$N$6))-1)</f>
        <v>3.0567011326474417E-4</v>
      </c>
      <c r="BD156" s="226">
        <f>BC156*(1+($AH156/$N156)^(1/($AH$6-$N$6))-1)</f>
        <v>2.9198193169775434E-4</v>
      </c>
      <c r="BE156" s="226">
        <f>BD156*(1+($AH156/$N156)^(1/($AH$6-$N$6))-1)</f>
        <v>2.7890671916659763E-4</v>
      </c>
    </row>
    <row r="157" spans="4:57" s="10" customFormat="1" x14ac:dyDescent="0.35">
      <c r="D157" s="169"/>
      <c r="E157" s="10" t="s">
        <v>617</v>
      </c>
      <c r="F157" s="10" t="s">
        <v>615</v>
      </c>
      <c r="G157" s="43" t="s">
        <v>616</v>
      </c>
      <c r="I157" s="20"/>
      <c r="J157" s="200"/>
      <c r="K157" s="200"/>
      <c r="L157" s="200"/>
      <c r="M157" s="200"/>
      <c r="N157" s="200">
        <v>6.4999999999999997E-3</v>
      </c>
      <c r="O157" s="226">
        <f t="shared" ref="O157:AD172" si="30">N157*(1+($AH157/$N157)^(1/($AH$6-$N$6))-1)</f>
        <v>6.0958084844721398E-3</v>
      </c>
      <c r="P157" s="226">
        <f t="shared" si="30"/>
        <v>5.7167509352865423E-3</v>
      </c>
      <c r="Q157" s="226">
        <f t="shared" si="30"/>
        <v>5.3612644392205758E-3</v>
      </c>
      <c r="R157" s="226">
        <f t="shared" si="30"/>
        <v>5.0278832701691626E-3</v>
      </c>
      <c r="S157" s="226">
        <f t="shared" si="30"/>
        <v>4.7152328457281088E-3</v>
      </c>
      <c r="T157" s="226">
        <f t="shared" si="30"/>
        <v>4.4220240595770951E-3</v>
      </c>
      <c r="U157" s="226">
        <f t="shared" si="30"/>
        <v>4.1470479662938445E-3</v>
      </c>
      <c r="V157" s="226">
        <f t="shared" si="30"/>
        <v>3.8891707966841461E-3</v>
      </c>
      <c r="W157" s="226">
        <f t="shared" si="30"/>
        <v>3.6473292830751522E-3</v>
      </c>
      <c r="X157" s="226">
        <f t="shared" si="30"/>
        <v>3.4205262752974152E-3</v>
      </c>
      <c r="Y157" s="226">
        <f t="shared" si="30"/>
        <v>3.2078266292796722E-3</v>
      </c>
      <c r="Z157" s="226">
        <f t="shared" si="30"/>
        <v>3.008353351304414E-3</v>
      </c>
      <c r="AA157" s="226">
        <f t="shared" si="30"/>
        <v>2.8212839820264068E-3</v>
      </c>
      <c r="AB157" s="226">
        <f t="shared" si="30"/>
        <v>2.6458472053449101E-3</v>
      </c>
      <c r="AC157" s="226">
        <f t="shared" si="30"/>
        <v>2.4813196681474467E-3</v>
      </c>
      <c r="AD157" s="226">
        <f t="shared" si="30"/>
        <v>2.327022997812431E-3</v>
      </c>
      <c r="AE157" s="226">
        <f t="shared" si="28"/>
        <v>2.1823210051733553E-3</v>
      </c>
      <c r="AF157" s="226">
        <f t="shared" si="28"/>
        <v>2.0466170614119243E-3</v>
      </c>
      <c r="AG157" s="226">
        <f t="shared" si="28"/>
        <v>1.9193516380646533E-3</v>
      </c>
      <c r="AH157" s="227">
        <v>1.8E-3</v>
      </c>
      <c r="AI157" s="226">
        <f t="shared" ref="AI157:AX172" si="31">AH157*(1+($AH157/$N157)^(1/($AH$6-$N$6))-1)</f>
        <v>1.6880700418538232E-3</v>
      </c>
      <c r="AJ157" s="226">
        <f t="shared" si="31"/>
        <v>1.583100259002427E-3</v>
      </c>
      <c r="AK157" s="226">
        <f t="shared" si="31"/>
        <v>1.4846578447072364E-3</v>
      </c>
      <c r="AL157" s="226">
        <f t="shared" si="31"/>
        <v>1.3923369055853065E-3</v>
      </c>
      <c r="AM157" s="226">
        <f t="shared" si="31"/>
        <v>1.3057567880477841E-3</v>
      </c>
      <c r="AN157" s="226">
        <f t="shared" si="31"/>
        <v>1.224560508805965E-3</v>
      </c>
      <c r="AO157" s="226">
        <f t="shared" si="31"/>
        <v>1.1484132829736803E-3</v>
      </c>
      <c r="AP157" s="226">
        <f t="shared" si="31"/>
        <v>1.0770011436971485E-3</v>
      </c>
      <c r="AQ157" s="226">
        <f t="shared" si="31"/>
        <v>1.0100296476208118E-3</v>
      </c>
      <c r="AR157" s="226">
        <f t="shared" si="31"/>
        <v>9.4722266085159226E-4</v>
      </c>
      <c r="AS157" s="226">
        <f t="shared" si="31"/>
        <v>8.8832122041590956E-4</v>
      </c>
      <c r="AT157" s="226">
        <f t="shared" si="31"/>
        <v>8.3308246651506883E-4</v>
      </c>
      <c r="AU157" s="226">
        <f t="shared" si="31"/>
        <v>7.8127864117654366E-4</v>
      </c>
      <c r="AV157" s="226">
        <f t="shared" si="31"/>
        <v>7.3269614917243679E-4</v>
      </c>
      <c r="AW157" s="226">
        <f t="shared" si="31"/>
        <v>6.8713467733313917E-4</v>
      </c>
      <c r="AX157" s="226">
        <f t="shared" si="31"/>
        <v>6.4440636862498095E-4</v>
      </c>
      <c r="AY157" s="226">
        <f t="shared" si="29"/>
        <v>6.0433504758646776E-4</v>
      </c>
      <c r="AZ157" s="226">
        <f t="shared" si="29"/>
        <v>5.667554939294561E-4</v>
      </c>
      <c r="BA157" s="226">
        <f t="shared" si="29"/>
        <v>5.3151276131021186E-4</v>
      </c>
      <c r="BB157" s="226">
        <f t="shared" si="29"/>
        <v>4.984615384615392E-4</v>
      </c>
      <c r="BC157" s="226">
        <f t="shared" ref="BB157:BE172" si="32">BB157*(1+($AH157/$N157)^(1/($AH$6-$N$6))-1)</f>
        <v>4.6746555005182871E-4</v>
      </c>
      <c r="BD157" s="226">
        <f t="shared" si="32"/>
        <v>4.383969948006728E-4</v>
      </c>
      <c r="BE157" s="226">
        <f t="shared" si="32"/>
        <v>4.1113601853431226E-4</v>
      </c>
    </row>
    <row r="158" spans="4:57" s="10" customFormat="1" x14ac:dyDescent="0.35">
      <c r="D158" s="169"/>
      <c r="E158" s="10" t="s">
        <v>618</v>
      </c>
      <c r="F158" s="10" t="s">
        <v>615</v>
      </c>
      <c r="G158" s="43" t="s">
        <v>616</v>
      </c>
      <c r="I158" s="20"/>
      <c r="J158" s="200"/>
      <c r="K158" s="200"/>
      <c r="L158" s="200"/>
      <c r="M158" s="200"/>
      <c r="N158" s="200">
        <v>6.0000000000000001E-3</v>
      </c>
      <c r="O158" s="226">
        <f t="shared" si="30"/>
        <v>5.6162920985945216E-3</v>
      </c>
      <c r="P158" s="226">
        <f t="shared" si="30"/>
        <v>5.2571228227892087E-3</v>
      </c>
      <c r="Q158" s="226">
        <f t="shared" si="30"/>
        <v>4.9209228951619926E-3</v>
      </c>
      <c r="R158" s="226">
        <f t="shared" si="30"/>
        <v>4.6062233956485291E-3</v>
      </c>
      <c r="S158" s="226">
        <f t="shared" si="30"/>
        <v>4.31164934355701E-3</v>
      </c>
      <c r="T158" s="226">
        <f t="shared" si="30"/>
        <v>4.035913690021581E-3</v>
      </c>
      <c r="U158" s="226">
        <f t="shared" si="30"/>
        <v>3.777811694646277E-3</v>
      </c>
      <c r="V158" s="226">
        <f t="shared" si="30"/>
        <v>3.536215661769977E-3</v>
      </c>
      <c r="W158" s="226">
        <f t="shared" si="30"/>
        <v>3.3100700133541529E-3</v>
      </c>
      <c r="X158" s="226">
        <f t="shared" si="30"/>
        <v>3.0983866769659315E-3</v>
      </c>
      <c r="Y158" s="226">
        <f t="shared" si="30"/>
        <v>2.9002407687057159E-3</v>
      </c>
      <c r="Z158" s="226">
        <f t="shared" si="30"/>
        <v>2.7147665522172688E-3</v>
      </c>
      <c r="AA158" s="226">
        <f t="shared" si="30"/>
        <v>2.541153656124423E-3</v>
      </c>
      <c r="AB158" s="226">
        <f t="shared" si="30"/>
        <v>2.3786435333676961E-3</v>
      </c>
      <c r="AC158" s="226">
        <f t="shared" si="30"/>
        <v>2.2265261469709909E-3</v>
      </c>
      <c r="AD158" s="226">
        <f t="shared" si="30"/>
        <v>2.0841368677578798E-3</v>
      </c>
      <c r="AE158" s="226">
        <f t="shared" si="28"/>
        <v>1.9508535704630191E-3</v>
      </c>
      <c r="AF158" s="226">
        <f t="shared" si="28"/>
        <v>1.8260939155510605E-3</v>
      </c>
      <c r="AG158" s="226">
        <f t="shared" si="28"/>
        <v>1.7093128048668253E-3</v>
      </c>
      <c r="AH158" s="227">
        <v>1.6000000000000001E-3</v>
      </c>
      <c r="AI158" s="226">
        <f t="shared" si="31"/>
        <v>1.4976778929585389E-3</v>
      </c>
      <c r="AJ158" s="226">
        <f t="shared" si="31"/>
        <v>1.4018994194104554E-3</v>
      </c>
      <c r="AK158" s="226">
        <f t="shared" si="31"/>
        <v>1.3122461053765313E-3</v>
      </c>
      <c r="AL158" s="226">
        <f t="shared" si="31"/>
        <v>1.2283262388396077E-3</v>
      </c>
      <c r="AM158" s="226">
        <f t="shared" si="31"/>
        <v>1.1497731582818691E-3</v>
      </c>
      <c r="AN158" s="226">
        <f t="shared" si="31"/>
        <v>1.0762436506724215E-3</v>
      </c>
      <c r="AO158" s="226">
        <f t="shared" si="31"/>
        <v>1.0074164519056738E-3</v>
      </c>
      <c r="AP158" s="226">
        <f t="shared" si="31"/>
        <v>9.4299084313866056E-4</v>
      </c>
      <c r="AQ158" s="226">
        <f t="shared" si="31"/>
        <v>8.8268533689444075E-4</v>
      </c>
      <c r="AR158" s="226">
        <f t="shared" si="31"/>
        <v>8.262364471909151E-4</v>
      </c>
      <c r="AS158" s="226">
        <f t="shared" si="31"/>
        <v>7.7339753832152429E-4</v>
      </c>
      <c r="AT158" s="226">
        <f t="shared" si="31"/>
        <v>7.2393774725793838E-4</v>
      </c>
      <c r="AU158" s="226">
        <f t="shared" si="31"/>
        <v>6.7764097496651277E-4</v>
      </c>
      <c r="AV158" s="226">
        <f t="shared" si="31"/>
        <v>6.343049422313855E-4</v>
      </c>
      <c r="AW158" s="226">
        <f t="shared" si="31"/>
        <v>5.9374030585893078E-4</v>
      </c>
      <c r="AX158" s="226">
        <f t="shared" si="31"/>
        <v>5.5576983140210115E-4</v>
      </c>
      <c r="AY158" s="226">
        <f t="shared" si="29"/>
        <v>5.2022761879013833E-4</v>
      </c>
      <c r="AZ158" s="226">
        <f t="shared" si="29"/>
        <v>4.8695837748028277E-4</v>
      </c>
      <c r="BA158" s="226">
        <f t="shared" si="29"/>
        <v>4.5581674796448673E-4</v>
      </c>
      <c r="BB158" s="226">
        <f t="shared" si="32"/>
        <v>4.2666666666666618E-4</v>
      </c>
      <c r="BC158" s="226">
        <f t="shared" si="32"/>
        <v>3.9938077145560991E-4</v>
      </c>
      <c r="BD158" s="226">
        <f t="shared" si="32"/>
        <v>3.7383984517612103E-4</v>
      </c>
      <c r="BE158" s="226">
        <f t="shared" si="32"/>
        <v>3.4993229476707458E-4</v>
      </c>
    </row>
    <row r="159" spans="4:57" s="10" customFormat="1" x14ac:dyDescent="0.35">
      <c r="D159" s="169"/>
      <c r="E159" s="10" t="s">
        <v>619</v>
      </c>
      <c r="F159" s="10" t="s">
        <v>615</v>
      </c>
      <c r="G159" s="43" t="s">
        <v>616</v>
      </c>
      <c r="I159" s="20"/>
      <c r="J159" s="200"/>
      <c r="K159" s="200"/>
      <c r="L159" s="200"/>
      <c r="M159" s="200"/>
      <c r="N159" s="200">
        <v>5.4999999999999997E-3</v>
      </c>
      <c r="O159" s="226">
        <f t="shared" si="30"/>
        <v>5.1540558222544618E-3</v>
      </c>
      <c r="P159" s="226">
        <f t="shared" si="30"/>
        <v>4.8298711670754753E-3</v>
      </c>
      <c r="Q159" s="226">
        <f t="shared" si="30"/>
        <v>4.5260773835280555E-3</v>
      </c>
      <c r="R159" s="226">
        <f t="shared" si="30"/>
        <v>4.2413919073721849E-3</v>
      </c>
      <c r="S159" s="226">
        <f t="shared" si="30"/>
        <v>3.9746128463008304E-3</v>
      </c>
      <c r="T159" s="226">
        <f t="shared" si="30"/>
        <v>3.7246139057607588E-3</v>
      </c>
      <c r="U159" s="226">
        <f t="shared" si="30"/>
        <v>3.4903396339338493E-3</v>
      </c>
      <c r="V159" s="226">
        <f t="shared" si="30"/>
        <v>3.2708009658040478E-3</v>
      </c>
      <c r="W159" s="226">
        <f t="shared" si="30"/>
        <v>3.0650710474977943E-3</v>
      </c>
      <c r="X159" s="226">
        <f t="shared" si="30"/>
        <v>2.8722813232690161E-3</v>
      </c>
      <c r="Y159" s="226">
        <f t="shared" si="30"/>
        <v>2.6916178686086224E-3</v>
      </c>
      <c r="Z159" s="226">
        <f t="shared" si="30"/>
        <v>2.5223179539975299E-3</v>
      </c>
      <c r="AA159" s="226">
        <f t="shared" si="30"/>
        <v>2.3636668247959875E-3</v>
      </c>
      <c r="AB159" s="226">
        <f t="shared" si="30"/>
        <v>2.2149946836744505E-3</v>
      </c>
      <c r="AC159" s="226">
        <f t="shared" si="30"/>
        <v>2.0756738628463604E-3</v>
      </c>
      <c r="AD159" s="226">
        <f t="shared" si="30"/>
        <v>1.9451161741644897E-3</v>
      </c>
      <c r="AE159" s="226">
        <f t="shared" si="28"/>
        <v>1.8227704258934204E-3</v>
      </c>
      <c r="AF159" s="226">
        <f t="shared" si="28"/>
        <v>1.7081200956744051E-3</v>
      </c>
      <c r="AG159" s="226">
        <f t="shared" si="28"/>
        <v>1.6006811498582756E-3</v>
      </c>
      <c r="AH159" s="227">
        <v>1.5E-3</v>
      </c>
      <c r="AI159" s="226">
        <f t="shared" si="31"/>
        <v>1.4056515878875806E-3</v>
      </c>
      <c r="AJ159" s="226">
        <f t="shared" si="31"/>
        <v>1.3172375910205844E-3</v>
      </c>
      <c r="AK159" s="226">
        <f t="shared" si="31"/>
        <v>1.2343847409621972E-3</v>
      </c>
      <c r="AL159" s="226">
        <f t="shared" si="31"/>
        <v>1.1567432474651415E-3</v>
      </c>
      <c r="AM159" s="226">
        <f t="shared" si="31"/>
        <v>1.0839853217184084E-3</v>
      </c>
      <c r="AN159" s="226">
        <f t="shared" si="31"/>
        <v>1.0158037924802071E-3</v>
      </c>
      <c r="AO159" s="226">
        <f t="shared" si="31"/>
        <v>9.5191080925468631E-4</v>
      </c>
      <c r="AP159" s="226">
        <f t="shared" si="31"/>
        <v>8.9203662703746765E-4</v>
      </c>
      <c r="AQ159" s="226">
        <f t="shared" si="31"/>
        <v>8.3592846749939856E-4</v>
      </c>
      <c r="AR159" s="226">
        <f t="shared" si="31"/>
        <v>7.8334945180064087E-4</v>
      </c>
      <c r="AS159" s="226">
        <f t="shared" si="31"/>
        <v>7.3407760052962437E-4</v>
      </c>
      <c r="AT159" s="226">
        <f t="shared" si="31"/>
        <v>6.8790489654478105E-4</v>
      </c>
      <c r="AU159" s="226">
        <f t="shared" si="31"/>
        <v>6.4463640676254213E-4</v>
      </c>
      <c r="AV159" s="226">
        <f t="shared" si="31"/>
        <v>6.0408945918394102E-4</v>
      </c>
      <c r="AW159" s="226">
        <f t="shared" si="31"/>
        <v>5.6609287168537094E-4</v>
      </c>
      <c r="AX159" s="226">
        <f t="shared" si="31"/>
        <v>5.3048622931758797E-4</v>
      </c>
      <c r="AY159" s="226">
        <f t="shared" si="29"/>
        <v>4.9711920706184182E-4</v>
      </c>
      <c r="AZ159" s="226">
        <f t="shared" si="29"/>
        <v>4.6585093518392858E-4</v>
      </c>
      <c r="BA159" s="226">
        <f t="shared" si="29"/>
        <v>4.3654940450680235E-4</v>
      </c>
      <c r="BB159" s="226">
        <f t="shared" si="32"/>
        <v>4.0909090909090962E-4</v>
      </c>
      <c r="BC159" s="226">
        <f t="shared" si="32"/>
        <v>3.8335952396934063E-4</v>
      </c>
      <c r="BD159" s="226">
        <f t="shared" si="32"/>
        <v>3.5924661573288706E-4</v>
      </c>
      <c r="BE159" s="226">
        <f t="shared" si="32"/>
        <v>3.3665038389878144E-4</v>
      </c>
    </row>
    <row r="160" spans="4:57" s="10" customFormat="1" x14ac:dyDescent="0.35">
      <c r="D160" s="169"/>
      <c r="E160" s="10" t="s">
        <v>620</v>
      </c>
      <c r="F160" s="10" t="s">
        <v>615</v>
      </c>
      <c r="G160" s="43" t="s">
        <v>616</v>
      </c>
      <c r="I160" s="20"/>
      <c r="J160" s="200"/>
      <c r="K160" s="200"/>
      <c r="L160" s="200"/>
      <c r="M160" s="200"/>
      <c r="N160" s="200">
        <v>5.1000000000000004E-3</v>
      </c>
      <c r="O160" s="226">
        <f t="shared" si="30"/>
        <v>4.7807724055818103E-3</v>
      </c>
      <c r="P160" s="226">
        <f t="shared" si="30"/>
        <v>4.4815264301906839E-3</v>
      </c>
      <c r="Q160" s="226">
        <f t="shared" si="30"/>
        <v>4.2010113514394463E-3</v>
      </c>
      <c r="R160" s="226">
        <f t="shared" si="30"/>
        <v>3.9380547342152258E-3</v>
      </c>
      <c r="S160" s="226">
        <f t="shared" si="30"/>
        <v>3.6915575303935215E-3</v>
      </c>
      <c r="T160" s="226">
        <f t="shared" si="30"/>
        <v>3.4604894852790355E-3</v>
      </c>
      <c r="U160" s="226">
        <f t="shared" si="30"/>
        <v>3.2438848315741202E-3</v>
      </c>
      <c r="V160" s="226">
        <f t="shared" si="30"/>
        <v>3.0408382528774413E-3</v>
      </c>
      <c r="W160" s="226">
        <f t="shared" si="30"/>
        <v>2.850501099841975E-3</v>
      </c>
      <c r="X160" s="226">
        <f t="shared" si="30"/>
        <v>2.6720778431774733E-3</v>
      </c>
      <c r="Y160" s="226">
        <f t="shared" si="30"/>
        <v>2.504822748672436E-3</v>
      </c>
      <c r="Z160" s="226">
        <f t="shared" si="30"/>
        <v>2.3480367603385811E-3</v>
      </c>
      <c r="AA160" s="226">
        <f t="shared" si="30"/>
        <v>2.2010645786506664E-3</v>
      </c>
      <c r="AB160" s="226">
        <f t="shared" si="30"/>
        <v>2.0632919216699332E-3</v>
      </c>
      <c r="AC160" s="226">
        <f t="shared" si="30"/>
        <v>1.9341429576038198E-3</v>
      </c>
      <c r="AD160" s="226">
        <f t="shared" si="30"/>
        <v>1.8130778980711235E-3</v>
      </c>
      <c r="AE160" s="226">
        <f t="shared" si="28"/>
        <v>1.6995907420134699E-3</v>
      </c>
      <c r="AF160" s="226">
        <f t="shared" si="28"/>
        <v>1.5932071608235903E-3</v>
      </c>
      <c r="AG160" s="226">
        <f t="shared" si="28"/>
        <v>1.4934825158511296E-3</v>
      </c>
      <c r="AH160" s="227">
        <v>1.4E-3</v>
      </c>
      <c r="AI160" s="226">
        <f t="shared" si="31"/>
        <v>1.3123688956499086E-3</v>
      </c>
      <c r="AJ160" s="226">
        <f t="shared" si="31"/>
        <v>1.2302229416209719E-3</v>
      </c>
      <c r="AK160" s="226">
        <f t="shared" si="31"/>
        <v>1.1532188023559264E-3</v>
      </c>
      <c r="AL160" s="226">
        <f t="shared" si="31"/>
        <v>1.0810346329218267E-3</v>
      </c>
      <c r="AM160" s="226">
        <f t="shared" si="31"/>
        <v>1.0133687338335158E-3</v>
      </c>
      <c r="AN160" s="226">
        <f t="shared" si="31"/>
        <v>9.4993829007659805E-4</v>
      </c>
      <c r="AO160" s="226">
        <f t="shared" si="31"/>
        <v>8.9047818905956249E-4</v>
      </c>
      <c r="AP160" s="226">
        <f t="shared" si="31"/>
        <v>8.3473991255459182E-4</v>
      </c>
      <c r="AQ160" s="226">
        <f t="shared" si="31"/>
        <v>7.8249049799583635E-4</v>
      </c>
      <c r="AR160" s="226">
        <f t="shared" si="31"/>
        <v>7.3351156479381627E-4</v>
      </c>
      <c r="AS160" s="226">
        <f t="shared" si="31"/>
        <v>6.8759840159635501E-4</v>
      </c>
      <c r="AT160" s="226">
        <f t="shared" si="31"/>
        <v>6.4455911068117913E-4</v>
      </c>
      <c r="AU160" s="226">
        <f t="shared" si="31"/>
        <v>6.0421380590410445E-4</v>
      </c>
      <c r="AV160" s="226">
        <f t="shared" si="31"/>
        <v>5.6639386085056986E-4</v>
      </c>
      <c r="AW160" s="226">
        <f t="shared" si="31"/>
        <v>5.3094120404810735E-4</v>
      </c>
      <c r="AX160" s="226">
        <f t="shared" si="31"/>
        <v>4.9770765829403388E-4</v>
      </c>
      <c r="AY160" s="226">
        <f t="shared" si="29"/>
        <v>4.6655432133703092E-4</v>
      </c>
      <c r="AZ160" s="226">
        <f t="shared" si="29"/>
        <v>4.3735098532412273E-4</v>
      </c>
      <c r="BA160" s="226">
        <f t="shared" si="29"/>
        <v>4.0997559258658449E-4</v>
      </c>
      <c r="BB160" s="226">
        <f t="shared" si="32"/>
        <v>3.8431372549019478E-4</v>
      </c>
      <c r="BC160" s="226">
        <f t="shared" si="32"/>
        <v>3.6025812821762073E-4</v>
      </c>
      <c r="BD160" s="226">
        <f t="shared" si="32"/>
        <v>3.3770825848418722E-4</v>
      </c>
      <c r="BE160" s="226">
        <f t="shared" si="32"/>
        <v>3.1656986731339048E-4</v>
      </c>
    </row>
    <row r="161" spans="5:57" s="10" customFormat="1" x14ac:dyDescent="0.35">
      <c r="E161" s="10" t="s">
        <v>621</v>
      </c>
      <c r="F161" s="10" t="s">
        <v>615</v>
      </c>
      <c r="G161" s="43" t="s">
        <v>616</v>
      </c>
      <c r="I161" s="20"/>
      <c r="J161" s="200"/>
      <c r="K161" s="200"/>
      <c r="L161" s="200"/>
      <c r="M161" s="200"/>
      <c r="N161" s="200">
        <v>4.7000000000000002E-3</v>
      </c>
      <c r="O161" s="226">
        <f t="shared" si="30"/>
        <v>4.4074777916053281E-3</v>
      </c>
      <c r="P161" s="226">
        <f t="shared" si="30"/>
        <v>4.1331618049987619E-3</v>
      </c>
      <c r="Q161" s="226">
        <f t="shared" si="30"/>
        <v>3.8759189073709435E-3</v>
      </c>
      <c r="R161" s="226">
        <f t="shared" si="30"/>
        <v>3.6346864907022599E-3</v>
      </c>
      <c r="S161" s="226">
        <f t="shared" si="30"/>
        <v>3.4084680823868335E-3</v>
      </c>
      <c r="T161" s="226">
        <f t="shared" si="30"/>
        <v>3.1963292290458655E-3</v>
      </c>
      <c r="U161" s="226">
        <f t="shared" si="30"/>
        <v>2.9973936365273687E-3</v>
      </c>
      <c r="V161" s="226">
        <f t="shared" si="30"/>
        <v>2.8108395501475554E-3</v>
      </c>
      <c r="W161" s="226">
        <f t="shared" si="30"/>
        <v>2.6358963602215449E-3</v>
      </c>
      <c r="X161" s="226">
        <f t="shared" si="30"/>
        <v>2.4718414188616548E-3</v>
      </c>
      <c r="Y161" s="226">
        <f t="shared" si="30"/>
        <v>2.3179970548942441E-3</v>
      </c>
      <c r="Z161" s="226">
        <f t="shared" si="30"/>
        <v>2.173727774564455E-3</v>
      </c>
      <c r="AA161" s="226">
        <f t="shared" si="30"/>
        <v>2.0384376364656403E-3</v>
      </c>
      <c r="AB161" s="226">
        <f t="shared" si="30"/>
        <v>1.9115677898499501E-3</v>
      </c>
      <c r="AC161" s="226">
        <f t="shared" si="30"/>
        <v>1.7925941661514331E-3</v>
      </c>
      <c r="AD161" s="226">
        <f t="shared" si="30"/>
        <v>1.6810253141858963E-3</v>
      </c>
      <c r="AE161" s="226">
        <f t="shared" si="28"/>
        <v>1.5764003700852569E-3</v>
      </c>
      <c r="AF161" s="226">
        <f t="shared" si="28"/>
        <v>1.4782871535806788E-3</v>
      </c>
      <c r="AG161" s="226">
        <f t="shared" si="28"/>
        <v>1.3862803827707014E-3</v>
      </c>
      <c r="AH161" s="227">
        <v>1.2999999999999999E-3</v>
      </c>
      <c r="AI161" s="226">
        <f t="shared" si="31"/>
        <v>1.2190896019333886E-3</v>
      </c>
      <c r="AJ161" s="226">
        <f t="shared" si="31"/>
        <v>1.1432149673400831E-3</v>
      </c>
      <c r="AK161" s="226">
        <f t="shared" si="31"/>
        <v>1.0720626765068568E-3</v>
      </c>
      <c r="AL161" s="226">
        <f t="shared" si="31"/>
        <v>1.0053388165772209E-3</v>
      </c>
      <c r="AM161" s="226">
        <f t="shared" si="31"/>
        <v>9.4276776746869868E-4</v>
      </c>
      <c r="AN161" s="226">
        <f t="shared" si="31"/>
        <v>8.8409106335311186E-4</v>
      </c>
      <c r="AO161" s="226">
        <f t="shared" si="31"/>
        <v>8.2906632499693187E-4</v>
      </c>
      <c r="AP161" s="226">
        <f t="shared" si="31"/>
        <v>7.7746625855145161E-4</v>
      </c>
      <c r="AQ161" s="226">
        <f t="shared" si="31"/>
        <v>7.2907771665702318E-4</v>
      </c>
      <c r="AR161" s="226">
        <f t="shared" si="31"/>
        <v>6.8370081798301105E-4</v>
      </c>
      <c r="AS161" s="226">
        <f t="shared" si="31"/>
        <v>6.4114812156649322E-4</v>
      </c>
      <c r="AT161" s="226">
        <f t="shared" si="31"/>
        <v>6.0124385253910464E-4</v>
      </c>
      <c r="AU161" s="226">
        <f t="shared" si="31"/>
        <v>5.6382317604368774E-4</v>
      </c>
      <c r="AV161" s="226">
        <f t="shared" si="31"/>
        <v>5.2873151634147549E-4</v>
      </c>
      <c r="AW161" s="226">
        <f t="shared" si="31"/>
        <v>4.9582391829720482E-4</v>
      </c>
      <c r="AX161" s="226">
        <f t="shared" si="31"/>
        <v>4.6496444860460957E-4</v>
      </c>
      <c r="AY161" s="226">
        <f t="shared" si="29"/>
        <v>4.3602563427890076E-4</v>
      </c>
      <c r="AZ161" s="226">
        <f t="shared" si="29"/>
        <v>4.088879360967834E-4</v>
      </c>
      <c r="BA161" s="226">
        <f t="shared" si="29"/>
        <v>3.8343925480891731E-4</v>
      </c>
      <c r="BB161" s="226">
        <f t="shared" si="32"/>
        <v>3.595744680851063E-4</v>
      </c>
      <c r="BC161" s="226">
        <f t="shared" si="32"/>
        <v>3.3719499627944785E-4</v>
      </c>
      <c r="BD161" s="226">
        <f t="shared" si="32"/>
        <v>3.1620839522172504E-4</v>
      </c>
      <c r="BE161" s="226">
        <f t="shared" si="32"/>
        <v>2.9652797435296034E-4</v>
      </c>
    </row>
    <row r="162" spans="5:57" s="10" customFormat="1" x14ac:dyDescent="0.35">
      <c r="E162" s="10" t="s">
        <v>622</v>
      </c>
      <c r="F162" s="10" t="s">
        <v>615</v>
      </c>
      <c r="G162" s="43" t="s">
        <v>616</v>
      </c>
      <c r="I162" s="20"/>
      <c r="J162" s="200"/>
      <c r="K162" s="200"/>
      <c r="L162" s="200"/>
      <c r="M162" s="200"/>
      <c r="N162" s="200">
        <v>4.3E-3</v>
      </c>
      <c r="O162" s="226">
        <f t="shared" si="30"/>
        <v>4.0341690679673138E-3</v>
      </c>
      <c r="P162" s="226">
        <f t="shared" si="30"/>
        <v>3.7847721090568057E-3</v>
      </c>
      <c r="Q162" s="226">
        <f t="shared" si="30"/>
        <v>3.5507931562005529E-3</v>
      </c>
      <c r="R162" s="226">
        <f t="shared" si="30"/>
        <v>3.3312790505800696E-3</v>
      </c>
      <c r="S162" s="226">
        <f t="shared" si="30"/>
        <v>3.1253355587482876E-3</v>
      </c>
      <c r="T162" s="226">
        <f t="shared" si="30"/>
        <v>2.9321237297955075E-3</v>
      </c>
      <c r="U162" s="226">
        <f t="shared" si="30"/>
        <v>2.7508564777195313E-3</v>
      </c>
      <c r="V162" s="226">
        <f t="shared" si="30"/>
        <v>2.5807953750775926E-3</v>
      </c>
      <c r="W162" s="226">
        <f t="shared" si="30"/>
        <v>2.4212476448584011E-3</v>
      </c>
      <c r="X162" s="226">
        <f t="shared" si="30"/>
        <v>2.2715633383201092E-3</v>
      </c>
      <c r="Y162" s="226">
        <f t="shared" si="30"/>
        <v>2.1311326872975708E-3</v>
      </c>
      <c r="Z162" s="226">
        <f t="shared" si="30"/>
        <v>1.9993836201930041E-3</v>
      </c>
      <c r="AA162" s="226">
        <f t="shared" si="30"/>
        <v>1.8757794315309591E-3</v>
      </c>
      <c r="AB162" s="226">
        <f t="shared" si="30"/>
        <v>1.7598165955840712E-3</v>
      </c>
      <c r="AC162" s="226">
        <f t="shared" si="30"/>
        <v>1.6510227151629775E-3</v>
      </c>
      <c r="AD162" s="226">
        <f t="shared" si="30"/>
        <v>1.5489545972143936E-3</v>
      </c>
      <c r="AE162" s="226">
        <f t="shared" si="28"/>
        <v>1.4531964473879246E-3</v>
      </c>
      <c r="AF162" s="226">
        <f t="shared" si="28"/>
        <v>1.3633581762168268E-3</v>
      </c>
      <c r="AG162" s="226">
        <f t="shared" si="28"/>
        <v>1.2790738100126168E-3</v>
      </c>
      <c r="AH162" s="227">
        <v>1.1999999999999999E-3</v>
      </c>
      <c r="AI162" s="226">
        <f t="shared" si="31"/>
        <v>1.125814623618785E-3</v>
      </c>
      <c r="AJ162" s="226">
        <f t="shared" si="31"/>
        <v>1.0562154722949222E-3</v>
      </c>
      <c r="AK162" s="226">
        <f t="shared" si="31"/>
        <v>9.9091902033503773E-4</v>
      </c>
      <c r="AL162" s="226">
        <f t="shared" si="31"/>
        <v>9.2965926992932151E-4</v>
      </c>
      <c r="AM162" s="226">
        <f t="shared" si="31"/>
        <v>8.7218666755766144E-4</v>
      </c>
      <c r="AN162" s="226">
        <f t="shared" si="31"/>
        <v>8.1826708738479256E-4</v>
      </c>
      <c r="AO162" s="226">
        <f t="shared" si="31"/>
        <v>7.6768087750312482E-4</v>
      </c>
      <c r="AP162" s="226">
        <f t="shared" si="31"/>
        <v>7.2022196513793263E-4</v>
      </c>
      <c r="AQ162" s="226">
        <f t="shared" si="31"/>
        <v>6.7569701716978616E-4</v>
      </c>
      <c r="AR162" s="226">
        <f t="shared" si="31"/>
        <v>6.3392465255444886E-4</v>
      </c>
      <c r="AS162" s="226">
        <f t="shared" si="31"/>
        <v>5.9473470343187999E-4</v>
      </c>
      <c r="AT162" s="226">
        <f t="shared" si="31"/>
        <v>5.5796752191432646E-4</v>
      </c>
      <c r="AU162" s="226">
        <f t="shared" si="31"/>
        <v>5.2347332972956971E-4</v>
      </c>
      <c r="AV162" s="226">
        <f t="shared" si="31"/>
        <v>4.9111160806997308E-4</v>
      </c>
      <c r="AW162" s="226">
        <f t="shared" si="31"/>
        <v>4.6075052516176087E-4</v>
      </c>
      <c r="AX162" s="226">
        <f t="shared" si="31"/>
        <v>4.3226639922262116E-4</v>
      </c>
      <c r="AY162" s="226">
        <f t="shared" si="29"/>
        <v>4.0554319461988565E-4</v>
      </c>
      <c r="AZ162" s="226">
        <f t="shared" si="29"/>
        <v>3.8047204917678859E-4</v>
      </c>
      <c r="BA162" s="226">
        <f t="shared" si="29"/>
        <v>3.5695083070119514E-4</v>
      </c>
      <c r="BB162" s="226">
        <f t="shared" si="32"/>
        <v>3.3488372093023225E-4</v>
      </c>
      <c r="BC162" s="226">
        <f t="shared" si="32"/>
        <v>3.1418082519593974E-4</v>
      </c>
      <c r="BD162" s="226">
        <f t="shared" si="32"/>
        <v>2.9475780622183851E-4</v>
      </c>
      <c r="BE162" s="226">
        <f t="shared" si="32"/>
        <v>2.7653554055861497E-4</v>
      </c>
    </row>
    <row r="163" spans="5:57" s="10" customFormat="1" x14ac:dyDescent="0.35">
      <c r="E163" s="109" t="s">
        <v>623</v>
      </c>
      <c r="F163" s="10" t="s">
        <v>615</v>
      </c>
      <c r="G163" s="43" t="s">
        <v>616</v>
      </c>
      <c r="I163" s="20"/>
      <c r="J163" s="200"/>
      <c r="K163" s="200"/>
      <c r="L163" s="200"/>
      <c r="M163" s="200"/>
      <c r="N163" s="200">
        <v>3.8999999999999998E-3</v>
      </c>
      <c r="O163" s="226">
        <f t="shared" si="30"/>
        <v>3.6608422155118172E-3</v>
      </c>
      <c r="P163" s="226">
        <f t="shared" si="30"/>
        <v>3.4363501863778133E-3</v>
      </c>
      <c r="Q163" s="226">
        <f t="shared" si="30"/>
        <v>3.2256245716855898E-3</v>
      </c>
      <c r="R163" s="226">
        <f t="shared" si="30"/>
        <v>3.0278211803638029E-3</v>
      </c>
      <c r="S163" s="226">
        <f t="shared" si="30"/>
        <v>2.8421475892555464E-3</v>
      </c>
      <c r="T163" s="226">
        <f t="shared" si="30"/>
        <v>2.6678599685799604E-3</v>
      </c>
      <c r="U163" s="226">
        <f t="shared" si="30"/>
        <v>2.5042601020645E-3</v>
      </c>
      <c r="V163" s="226">
        <f t="shared" si="30"/>
        <v>2.3506925898101679E-3</v>
      </c>
      <c r="W163" s="226">
        <f t="shared" si="30"/>
        <v>2.2065422226840684E-3</v>
      </c>
      <c r="X163" s="226">
        <f t="shared" si="30"/>
        <v>2.0712315177207987E-3</v>
      </c>
      <c r="Y163" s="226">
        <f t="shared" si="30"/>
        <v>1.9442184046592084E-3</v>
      </c>
      <c r="Z163" s="226">
        <f t="shared" si="30"/>
        <v>1.8249940543465302E-3</v>
      </c>
      <c r="AA163" s="226">
        <f t="shared" si="30"/>
        <v>1.7130808403102169E-3</v>
      </c>
      <c r="AB163" s="226">
        <f t="shared" si="30"/>
        <v>1.6080304253313078E-3</v>
      </c>
      <c r="AC163" s="226">
        <f t="shared" si="30"/>
        <v>1.5094219653539168E-3</v>
      </c>
      <c r="AD163" s="226">
        <f t="shared" si="30"/>
        <v>1.416860423535496E-3</v>
      </c>
      <c r="AE163" s="226">
        <f t="shared" si="28"/>
        <v>1.3299749876837686E-3</v>
      </c>
      <c r="AF163" s="226">
        <f t="shared" si="28"/>
        <v>1.2484175847403973E-3</v>
      </c>
      <c r="AG163" s="226">
        <f t="shared" si="28"/>
        <v>1.171861486360243E-3</v>
      </c>
      <c r="AH163" s="227">
        <v>1.1000000000000001E-3</v>
      </c>
      <c r="AI163" s="226">
        <f t="shared" si="31"/>
        <v>1.0325452402725639E-3</v>
      </c>
      <c r="AJ163" s="226">
        <f t="shared" si="31"/>
        <v>9.692269756450243E-4</v>
      </c>
      <c r="AK163" s="226">
        <f t="shared" si="31"/>
        <v>9.0979154586003823E-4</v>
      </c>
      <c r="AL163" s="226">
        <f t="shared" si="31"/>
        <v>8.5400084574363685E-4</v>
      </c>
      <c r="AM163" s="226">
        <f t="shared" si="31"/>
        <v>8.0163137132848751E-4</v>
      </c>
      <c r="AN163" s="226">
        <f t="shared" si="31"/>
        <v>7.5247332447127095E-4</v>
      </c>
      <c r="AO163" s="226">
        <f t="shared" si="31"/>
        <v>7.0632977237716668E-4</v>
      </c>
      <c r="AP163" s="226">
        <f t="shared" si="31"/>
        <v>6.6301585866440627E-4</v>
      </c>
      <c r="AQ163" s="226">
        <f t="shared" si="31"/>
        <v>6.2235806280832695E-4</v>
      </c>
      <c r="AR163" s="226">
        <f t="shared" si="31"/>
        <v>5.8419350499817392E-4</v>
      </c>
      <c r="AS163" s="226">
        <f t="shared" si="31"/>
        <v>5.4836929362182796E-4</v>
      </c>
      <c r="AT163" s="226">
        <f t="shared" si="31"/>
        <v>5.1474191276440593E-4</v>
      </c>
      <c r="AU163" s="226">
        <f t="shared" si="31"/>
        <v>4.8317664726698424E-4</v>
      </c>
      <c r="AV163" s="226">
        <f t="shared" si="31"/>
        <v>4.5354704304216375E-4</v>
      </c>
      <c r="AW163" s="226">
        <f t="shared" si="31"/>
        <v>4.2573440048443803E-4</v>
      </c>
      <c r="AX163" s="226">
        <f t="shared" si="31"/>
        <v>3.996272989459091E-4</v>
      </c>
      <c r="AY163" s="226">
        <f t="shared" si="29"/>
        <v>3.7512115037234491E-4</v>
      </c>
      <c r="AZ163" s="226">
        <f t="shared" si="29"/>
        <v>3.5211778031139405E-4</v>
      </c>
      <c r="BA163" s="226">
        <f t="shared" si="29"/>
        <v>3.3052503461442751E-4</v>
      </c>
      <c r="BB163" s="226">
        <f t="shared" si="32"/>
        <v>3.1025641025641051E-4</v>
      </c>
      <c r="BC163" s="226">
        <f t="shared" si="32"/>
        <v>2.9123070879482596E-4</v>
      </c>
      <c r="BD163" s="226">
        <f t="shared" si="32"/>
        <v>2.7337171107936608E-4</v>
      </c>
      <c r="BE163" s="226">
        <f t="shared" si="32"/>
        <v>2.5660787190924181E-4</v>
      </c>
    </row>
    <row r="164" spans="5:57" s="10" customFormat="1" x14ac:dyDescent="0.35">
      <c r="E164" s="109" t="s">
        <v>624</v>
      </c>
      <c r="F164" s="10" t="s">
        <v>615</v>
      </c>
      <c r="G164" s="43" t="s">
        <v>616</v>
      </c>
      <c r="I164" s="20"/>
      <c r="J164" s="200"/>
      <c r="K164" s="200"/>
      <c r="L164" s="200"/>
      <c r="M164" s="200"/>
      <c r="N164" s="200">
        <v>3.5999999999999999E-3</v>
      </c>
      <c r="O164" s="226">
        <f t="shared" si="30"/>
        <v>3.3766603306833874E-3</v>
      </c>
      <c r="P164" s="226">
        <f t="shared" si="30"/>
        <v>3.16717638578079E-3</v>
      </c>
      <c r="Q164" s="226">
        <f t="shared" si="30"/>
        <v>2.9706885728175494E-3</v>
      </c>
      <c r="R164" s="226">
        <f t="shared" si="30"/>
        <v>2.786390627402074E-3</v>
      </c>
      <c r="S164" s="226">
        <f t="shared" si="30"/>
        <v>2.6135263048157162E-3</v>
      </c>
      <c r="T164" s="226">
        <f t="shared" si="30"/>
        <v>2.4513862768524358E-3</v>
      </c>
      <c r="U164" s="226">
        <f t="shared" si="30"/>
        <v>2.2993052211747957E-3</v>
      </c>
      <c r="V164" s="226">
        <f t="shared" si="30"/>
        <v>2.1566590912428124E-3</v>
      </c>
      <c r="W164" s="226">
        <f t="shared" si="30"/>
        <v>2.0228625556131356E-3</v>
      </c>
      <c r="X164" s="226">
        <f t="shared" si="30"/>
        <v>1.8973665961010259E-3</v>
      </c>
      <c r="Y164" s="226">
        <f t="shared" si="30"/>
        <v>1.7796562549494731E-3</v>
      </c>
      <c r="Z164" s="226">
        <f t="shared" si="30"/>
        <v>1.6692485217612353E-3</v>
      </c>
      <c r="AA164" s="226">
        <f t="shared" si="30"/>
        <v>1.5656903515230691E-3</v>
      </c>
      <c r="AB164" s="226">
        <f t="shared" si="30"/>
        <v>1.4685568055893543E-3</v>
      </c>
      <c r="AC164" s="226">
        <f t="shared" si="30"/>
        <v>1.3774493079968578E-3</v>
      </c>
      <c r="AD164" s="226">
        <f t="shared" si="30"/>
        <v>1.2919940099556315E-3</v>
      </c>
      <c r="AE164" s="226">
        <f t="shared" si="28"/>
        <v>1.2118402558049274E-3</v>
      </c>
      <c r="AF164" s="226">
        <f t="shared" si="28"/>
        <v>1.1366591441393631E-3</v>
      </c>
      <c r="AG164" s="226">
        <f t="shared" si="28"/>
        <v>1.0661421782010884E-3</v>
      </c>
      <c r="AH164" s="227">
        <v>1E-3</v>
      </c>
      <c r="AI164" s="226">
        <f t="shared" si="31"/>
        <v>9.3796120296760763E-4</v>
      </c>
      <c r="AJ164" s="226">
        <f t="shared" si="31"/>
        <v>8.7977121827244168E-4</v>
      </c>
      <c r="AK164" s="226">
        <f t="shared" si="31"/>
        <v>8.2519127022709718E-4</v>
      </c>
      <c r="AL164" s="226">
        <f t="shared" si="31"/>
        <v>7.7399739650057631E-4</v>
      </c>
      <c r="AM164" s="226">
        <f t="shared" si="31"/>
        <v>7.2597952911547699E-4</v>
      </c>
      <c r="AN164" s="226">
        <f t="shared" si="31"/>
        <v>6.8094063245901018E-4</v>
      </c>
      <c r="AO164" s="226">
        <f t="shared" si="31"/>
        <v>6.3869589477077678E-4</v>
      </c>
      <c r="AP164" s="226">
        <f t="shared" si="31"/>
        <v>5.9907196978967029E-4</v>
      </c>
      <c r="AQ164" s="226">
        <f t="shared" si="31"/>
        <v>5.6190626544809345E-4</v>
      </c>
      <c r="AR164" s="226">
        <f t="shared" si="31"/>
        <v>5.2704627669472961E-4</v>
      </c>
      <c r="AS164" s="226">
        <f t="shared" si="31"/>
        <v>4.9434895970818719E-4</v>
      </c>
      <c r="AT164" s="226">
        <f t="shared" si="31"/>
        <v>4.6368014493367667E-4</v>
      </c>
      <c r="AU164" s="226">
        <f t="shared" si="31"/>
        <v>4.3491398653418604E-4</v>
      </c>
      <c r="AV164" s="226">
        <f t="shared" si="31"/>
        <v>4.0793244599704307E-4</v>
      </c>
      <c r="AW164" s="226">
        <f t="shared" si="31"/>
        <v>3.8262480777690518E-4</v>
      </c>
      <c r="AX164" s="226">
        <f t="shared" si="31"/>
        <v>3.5888722498767563E-4</v>
      </c>
      <c r="AY164" s="226">
        <f t="shared" si="29"/>
        <v>3.366222932791467E-4</v>
      </c>
      <c r="AZ164" s="226">
        <f t="shared" si="29"/>
        <v>3.1573865114982327E-4</v>
      </c>
      <c r="BA164" s="226">
        <f t="shared" si="29"/>
        <v>2.9615060505585808E-4</v>
      </c>
      <c r="BB164" s="226">
        <f t="shared" si="32"/>
        <v>2.7777777777777751E-4</v>
      </c>
      <c r="BC164" s="226">
        <f t="shared" si="32"/>
        <v>2.6054477860211299E-4</v>
      </c>
      <c r="BD164" s="226">
        <f t="shared" si="32"/>
        <v>2.4438089396456691E-4</v>
      </c>
      <c r="BE164" s="226">
        <f t="shared" si="32"/>
        <v>2.2921979728530455E-4</v>
      </c>
    </row>
    <row r="165" spans="5:57" s="10" customFormat="1" x14ac:dyDescent="0.35">
      <c r="E165" s="109" t="s">
        <v>625</v>
      </c>
      <c r="F165" s="10" t="s">
        <v>615</v>
      </c>
      <c r="G165" s="43" t="s">
        <v>616</v>
      </c>
      <c r="I165" s="20"/>
      <c r="J165" s="200"/>
      <c r="K165" s="200"/>
      <c r="L165" s="200"/>
      <c r="M165" s="200"/>
      <c r="N165" s="200">
        <v>3.3E-3</v>
      </c>
      <c r="O165" s="226">
        <f t="shared" si="30"/>
        <v>3.0924334933526772E-3</v>
      </c>
      <c r="P165" s="226">
        <f t="shared" si="30"/>
        <v>2.8979227002452856E-3</v>
      </c>
      <c r="Q165" s="226">
        <f t="shared" si="30"/>
        <v>2.7156464301168336E-3</v>
      </c>
      <c r="R165" s="226">
        <f t="shared" si="30"/>
        <v>2.544835144423311E-3</v>
      </c>
      <c r="S165" s="226">
        <f t="shared" si="30"/>
        <v>2.3847677077804981E-3</v>
      </c>
      <c r="T165" s="226">
        <f t="shared" si="30"/>
        <v>2.2347683434564554E-3</v>
      </c>
      <c r="U165" s="226">
        <f t="shared" si="30"/>
        <v>2.0942037803603096E-3</v>
      </c>
      <c r="V165" s="226">
        <f t="shared" si="30"/>
        <v>1.9624805794824286E-3</v>
      </c>
      <c r="W165" s="226">
        <f t="shared" si="30"/>
        <v>1.8390426284986766E-3</v>
      </c>
      <c r="X165" s="226">
        <f t="shared" si="30"/>
        <v>1.7233687939614097E-3</v>
      </c>
      <c r="Y165" s="226">
        <f t="shared" si="30"/>
        <v>1.6149707211651734E-3</v>
      </c>
      <c r="Z165" s="226">
        <f t="shared" si="30"/>
        <v>1.5133907723985181E-3</v>
      </c>
      <c r="AA165" s="226">
        <f t="shared" si="30"/>
        <v>1.4182000948775926E-3</v>
      </c>
      <c r="AB165" s="226">
        <f t="shared" si="30"/>
        <v>1.3289968102046703E-3</v>
      </c>
      <c r="AC165" s="226">
        <f t="shared" si="30"/>
        <v>1.2454043177078161E-3</v>
      </c>
      <c r="AD165" s="226">
        <f t="shared" si="30"/>
        <v>1.1670697044986937E-3</v>
      </c>
      <c r="AE165" s="226">
        <f t="shared" si="28"/>
        <v>1.0936622555360522E-3</v>
      </c>
      <c r="AF165" s="226">
        <f t="shared" si="28"/>
        <v>1.0248720574046431E-3</v>
      </c>
      <c r="AG165" s="226">
        <f t="shared" si="28"/>
        <v>9.6040868991496549E-4</v>
      </c>
      <c r="AH165" s="227">
        <v>8.9999999999999998E-4</v>
      </c>
      <c r="AI165" s="226">
        <f t="shared" si="31"/>
        <v>8.433909527325483E-4</v>
      </c>
      <c r="AJ165" s="226">
        <f t="shared" si="31"/>
        <v>7.903425546123506E-4</v>
      </c>
      <c r="AK165" s="226">
        <f t="shared" si="31"/>
        <v>7.4063084457731828E-4</v>
      </c>
      <c r="AL165" s="226">
        <f t="shared" si="31"/>
        <v>6.9404594847908489E-4</v>
      </c>
      <c r="AM165" s="226">
        <f t="shared" si="31"/>
        <v>6.5039119303104509E-4</v>
      </c>
      <c r="AN165" s="226">
        <f t="shared" si="31"/>
        <v>6.0948227548812423E-4</v>
      </c>
      <c r="AO165" s="226">
        <f t="shared" si="31"/>
        <v>5.7114648555281174E-4</v>
      </c>
      <c r="AP165" s="226">
        <f t="shared" si="31"/>
        <v>5.3522197622248057E-4</v>
      </c>
      <c r="AQ165" s="226">
        <f t="shared" si="31"/>
        <v>5.015570804996391E-4</v>
      </c>
      <c r="AR165" s="226">
        <f t="shared" si="31"/>
        <v>4.7000967108038448E-4</v>
      </c>
      <c r="AS165" s="226">
        <f t="shared" si="31"/>
        <v>4.4044656031777459E-4</v>
      </c>
      <c r="AT165" s="226">
        <f t="shared" si="31"/>
        <v>4.1274293792686856E-4</v>
      </c>
      <c r="AU165" s="226">
        <f t="shared" si="31"/>
        <v>3.8678184405752526E-4</v>
      </c>
      <c r="AV165" s="226">
        <f t="shared" si="31"/>
        <v>3.624536755103646E-4</v>
      </c>
      <c r="AW165" s="226">
        <f t="shared" si="31"/>
        <v>3.3965572301122257E-4</v>
      </c>
      <c r="AX165" s="226">
        <f t="shared" si="31"/>
        <v>3.1829173759055282E-4</v>
      </c>
      <c r="AY165" s="226">
        <f t="shared" si="29"/>
        <v>2.9827152423710513E-4</v>
      </c>
      <c r="AZ165" s="226">
        <f t="shared" si="29"/>
        <v>2.7951056111035719E-4</v>
      </c>
      <c r="BA165" s="226">
        <f t="shared" si="29"/>
        <v>2.6192964270408146E-4</v>
      </c>
      <c r="BB165" s="226">
        <f t="shared" si="32"/>
        <v>2.4545454545454583E-4</v>
      </c>
      <c r="BC165" s="226">
        <f t="shared" si="32"/>
        <v>2.3001571438160444E-4</v>
      </c>
      <c r="BD165" s="226">
        <f t="shared" si="32"/>
        <v>2.1554796943973231E-4</v>
      </c>
      <c r="BE165" s="226">
        <f t="shared" si="32"/>
        <v>2.0199023033926893E-4</v>
      </c>
    </row>
    <row r="166" spans="5:57" s="10" customFormat="1" x14ac:dyDescent="0.35">
      <c r="E166" s="10" t="s">
        <v>626</v>
      </c>
      <c r="F166" s="10" t="s">
        <v>615</v>
      </c>
      <c r="G166" s="43" t="s">
        <v>616</v>
      </c>
      <c r="I166" s="20"/>
      <c r="J166" s="200"/>
      <c r="K166" s="200"/>
      <c r="L166" s="200"/>
      <c r="M166" s="200"/>
      <c r="N166" s="200">
        <v>3.0000000000000001E-3</v>
      </c>
      <c r="O166" s="226">
        <f t="shared" si="30"/>
        <v>2.8247324395572265E-3</v>
      </c>
      <c r="P166" s="226">
        <f t="shared" si="30"/>
        <v>2.6597044516956398E-3</v>
      </c>
      <c r="Q166" s="226">
        <f t="shared" si="30"/>
        <v>2.5043178147798133E-3</v>
      </c>
      <c r="R166" s="226">
        <f t="shared" si="30"/>
        <v>2.3580092567898683E-3</v>
      </c>
      <c r="S166" s="226">
        <f t="shared" si="30"/>
        <v>2.2202484134768558E-3</v>
      </c>
      <c r="T166" s="226">
        <f t="shared" si="30"/>
        <v>2.0905359058078468E-3</v>
      </c>
      <c r="U166" s="226">
        <f t="shared" si="30"/>
        <v>1.968401529731525E-3</v>
      </c>
      <c r="V166" s="226">
        <f t="shared" si="30"/>
        <v>1.8534025517022356E-3</v>
      </c>
      <c r="W166" s="226">
        <f t="shared" si="30"/>
        <v>1.7451221037838149E-3</v>
      </c>
      <c r="X166" s="226">
        <f t="shared" si="30"/>
        <v>1.6431676725154982E-3</v>
      </c>
      <c r="Y166" s="226">
        <f t="shared" si="30"/>
        <v>1.547169676062091E-3</v>
      </c>
      <c r="Z166" s="226">
        <f t="shared" si="30"/>
        <v>1.4567801244906114E-3</v>
      </c>
      <c r="AA166" s="226">
        <f t="shared" si="30"/>
        <v>1.3716713583169482E-3</v>
      </c>
      <c r="AB166" s="226">
        <f t="shared" si="30"/>
        <v>1.2915348607498026E-3</v>
      </c>
      <c r="AC166" s="226">
        <f t="shared" si="30"/>
        <v>1.2160801393263309E-3</v>
      </c>
      <c r="AD166" s="226">
        <f t="shared" si="30"/>
        <v>1.1450336728854528E-3</v>
      </c>
      <c r="AE166" s="226">
        <f t="shared" si="28"/>
        <v>1.0781379200616322E-3</v>
      </c>
      <c r="AF166" s="226">
        <f t="shared" si="28"/>
        <v>1.0151503857049494E-3</v>
      </c>
      <c r="AG166" s="226">
        <f t="shared" si="28"/>
        <v>9.5584274184326698E-4</v>
      </c>
      <c r="AH166" s="227">
        <v>8.9999999999999998E-4</v>
      </c>
      <c r="AI166" s="226">
        <f t="shared" si="31"/>
        <v>8.4741973186716786E-4</v>
      </c>
      <c r="AJ166" s="226">
        <f t="shared" si="31"/>
        <v>7.979113355086919E-4</v>
      </c>
      <c r="AK166" s="226">
        <f t="shared" si="31"/>
        <v>7.5129534443394395E-4</v>
      </c>
      <c r="AL166" s="226">
        <f t="shared" si="31"/>
        <v>7.0740277703696037E-4</v>
      </c>
      <c r="AM166" s="226">
        <f t="shared" si="31"/>
        <v>6.6607452404305657E-4</v>
      </c>
      <c r="AN166" s="226">
        <f t="shared" si="31"/>
        <v>6.2716077174235392E-4</v>
      </c>
      <c r="AO166" s="226">
        <f t="shared" si="31"/>
        <v>5.9052045891945743E-4</v>
      </c>
      <c r="AP166" s="226">
        <f t="shared" si="31"/>
        <v>5.5602076551067065E-4</v>
      </c>
      <c r="AQ166" s="226">
        <f t="shared" si="31"/>
        <v>5.2353663113514437E-4</v>
      </c>
      <c r="AR166" s="226">
        <f t="shared" si="31"/>
        <v>4.929503017546494E-4</v>
      </c>
      <c r="AS166" s="226">
        <f t="shared" si="31"/>
        <v>4.6415090281862724E-4</v>
      </c>
      <c r="AT166" s="226">
        <f t="shared" si="31"/>
        <v>4.3703403734718333E-4</v>
      </c>
      <c r="AU166" s="226">
        <f t="shared" si="31"/>
        <v>4.1150140749508438E-4</v>
      </c>
      <c r="AV166" s="226">
        <f t="shared" si="31"/>
        <v>3.8746045822494069E-4</v>
      </c>
      <c r="AW166" s="226">
        <f t="shared" si="31"/>
        <v>3.6482404179789916E-4</v>
      </c>
      <c r="AX166" s="226">
        <f t="shared" si="31"/>
        <v>3.4351010186563571E-4</v>
      </c>
      <c r="AY166" s="226">
        <f t="shared" si="29"/>
        <v>3.2344137601848951E-4</v>
      </c>
      <c r="AZ166" s="226">
        <f t="shared" si="29"/>
        <v>3.045451157114847E-4</v>
      </c>
      <c r="BA166" s="226">
        <f t="shared" si="29"/>
        <v>2.8675282255297997E-4</v>
      </c>
      <c r="BB166" s="226">
        <f t="shared" si="32"/>
        <v>2.6999999999999984E-4</v>
      </c>
      <c r="BC166" s="226">
        <f t="shared" si="32"/>
        <v>2.5422591956015021E-4</v>
      </c>
      <c r="BD166" s="226">
        <f t="shared" si="32"/>
        <v>2.3937340065260744E-4</v>
      </c>
      <c r="BE166" s="226">
        <f t="shared" si="32"/>
        <v>2.2538860333018307E-4</v>
      </c>
    </row>
    <row r="167" spans="5:57" s="10" customFormat="1" x14ac:dyDescent="0.35">
      <c r="E167" s="10" t="s">
        <v>627</v>
      </c>
      <c r="F167" s="10" t="s">
        <v>615</v>
      </c>
      <c r="G167" s="43" t="s">
        <v>616</v>
      </c>
      <c r="I167" s="20"/>
      <c r="J167" s="200"/>
      <c r="K167" s="200"/>
      <c r="L167" s="200"/>
      <c r="M167" s="200"/>
      <c r="N167" s="200">
        <v>2.7000000000000001E-3</v>
      </c>
      <c r="O167" s="226">
        <f t="shared" si="30"/>
        <v>2.5406806226136733E-3</v>
      </c>
      <c r="P167" s="226">
        <f t="shared" si="30"/>
        <v>2.3907622318980011E-3</v>
      </c>
      <c r="Q167" s="226">
        <f t="shared" si="30"/>
        <v>2.2496901021703216E-3</v>
      </c>
      <c r="R167" s="226">
        <f t="shared" si="30"/>
        <v>2.1169422405444113E-3</v>
      </c>
      <c r="S167" s="226">
        <f t="shared" si="30"/>
        <v>1.9920274554605776E-3</v>
      </c>
      <c r="T167" s="226">
        <f t="shared" si="30"/>
        <v>1.8744835391863376E-3</v>
      </c>
      <c r="U167" s="226">
        <f t="shared" si="30"/>
        <v>1.7638755575626022E-3</v>
      </c>
      <c r="V167" s="226">
        <f t="shared" si="30"/>
        <v>1.6597942406671082E-3</v>
      </c>
      <c r="W167" s="226">
        <f t="shared" si="30"/>
        <v>1.5618544684402583E-3</v>
      </c>
      <c r="X167" s="226">
        <f t="shared" si="30"/>
        <v>1.4696938456699048E-3</v>
      </c>
      <c r="Y167" s="226">
        <f t="shared" si="30"/>
        <v>1.3829713610622582E-3</v>
      </c>
      <c r="Z167" s="226">
        <f t="shared" si="30"/>
        <v>1.3013661254372361E-3</v>
      </c>
      <c r="AA167" s="226">
        <f t="shared" si="30"/>
        <v>1.224576184379341E-3</v>
      </c>
      <c r="AB167" s="226">
        <f t="shared" si="30"/>
        <v>1.1523174009506593E-3</v>
      </c>
      <c r="AC167" s="226">
        <f t="shared" si="30"/>
        <v>1.0843224043318115E-3</v>
      </c>
      <c r="AD167" s="226">
        <f t="shared" si="30"/>
        <v>1.0203396005006304E-3</v>
      </c>
      <c r="AE167" s="226">
        <f t="shared" si="28"/>
        <v>9.6013224128789943E-4</v>
      </c>
      <c r="AF167" s="226">
        <f t="shared" si="28"/>
        <v>9.0347754836548222E-4</v>
      </c>
      <c r="AG167" s="226">
        <f t="shared" si="28"/>
        <v>8.5016588892544015E-4</v>
      </c>
      <c r="AH167" s="227">
        <v>8.0000000000000004E-4</v>
      </c>
      <c r="AI167" s="226">
        <f t="shared" si="31"/>
        <v>7.527942585521995E-4</v>
      </c>
      <c r="AJ167" s="226">
        <f t="shared" si="31"/>
        <v>7.083739946364447E-4</v>
      </c>
      <c r="AK167" s="226">
        <f t="shared" si="31"/>
        <v>6.6657484508750265E-4</v>
      </c>
      <c r="AL167" s="226">
        <f t="shared" si="31"/>
        <v>6.2724214534649219E-4</v>
      </c>
      <c r="AM167" s="226">
        <f t="shared" si="31"/>
        <v>5.9023035717350439E-4</v>
      </c>
      <c r="AN167" s="226">
        <f t="shared" si="31"/>
        <v>5.5540253012928518E-4</v>
      </c>
      <c r="AO167" s="226">
        <f t="shared" si="31"/>
        <v>5.2262979483336356E-4</v>
      </c>
      <c r="AP167" s="226">
        <f t="shared" si="31"/>
        <v>4.9179088612358757E-4</v>
      </c>
      <c r="AQ167" s="226">
        <f t="shared" si="31"/>
        <v>4.6277169435266912E-4</v>
      </c>
      <c r="AR167" s="226">
        <f t="shared" si="31"/>
        <v>4.354648431614533E-4</v>
      </c>
      <c r="AS167" s="226">
        <f t="shared" si="31"/>
        <v>4.097692921665951E-4</v>
      </c>
      <c r="AT167" s="226">
        <f t="shared" si="31"/>
        <v>3.8558996309251447E-4</v>
      </c>
      <c r="AU167" s="226">
        <f t="shared" si="31"/>
        <v>3.6283738796424924E-4</v>
      </c>
      <c r="AV167" s="226">
        <f t="shared" si="31"/>
        <v>3.4142737805945467E-4</v>
      </c>
      <c r="AW167" s="226">
        <f t="shared" si="31"/>
        <v>3.2128071239461087E-4</v>
      </c>
      <c r="AX167" s="226">
        <f t="shared" si="31"/>
        <v>3.0232284459277945E-4</v>
      </c>
      <c r="AY167" s="226">
        <f t="shared" si="29"/>
        <v>2.8448362704826653E-4</v>
      </c>
      <c r="AZ167" s="226">
        <f t="shared" si="29"/>
        <v>2.676970513675503E-4</v>
      </c>
      <c r="BA167" s="226">
        <f t="shared" si="29"/>
        <v>2.5190100412605633E-4</v>
      </c>
      <c r="BB167" s="226">
        <f t="shared" si="32"/>
        <v>2.3703703703703639E-4</v>
      </c>
      <c r="BC167" s="226">
        <f t="shared" si="32"/>
        <v>2.2305015068213257E-4</v>
      </c>
      <c r="BD167" s="226">
        <f t="shared" si="32"/>
        <v>2.0988859100339044E-4</v>
      </c>
      <c r="BE167" s="226">
        <f t="shared" si="32"/>
        <v>1.9750365780370395E-4</v>
      </c>
    </row>
    <row r="168" spans="5:57" s="10" customFormat="1" x14ac:dyDescent="0.35">
      <c r="E168" s="10" t="s">
        <v>628</v>
      </c>
      <c r="F168" s="10" t="s">
        <v>615</v>
      </c>
      <c r="G168" s="43" t="s">
        <v>616</v>
      </c>
      <c r="I168" s="20"/>
      <c r="J168" s="200"/>
      <c r="K168" s="200"/>
      <c r="L168" s="200"/>
      <c r="M168" s="200"/>
      <c r="N168" s="200">
        <v>2.5999999999999999E-3</v>
      </c>
      <c r="O168" s="226">
        <f t="shared" si="30"/>
        <v>2.4512024380780239E-3</v>
      </c>
      <c r="P168" s="226">
        <f t="shared" si="30"/>
        <v>2.3109205355537113E-3</v>
      </c>
      <c r="Q168" s="226">
        <f t="shared" si="30"/>
        <v>2.1786669426745501E-3</v>
      </c>
      <c r="R168" s="226">
        <f t="shared" si="30"/>
        <v>2.0539822006322506E-3</v>
      </c>
      <c r="S168" s="226">
        <f t="shared" si="30"/>
        <v>1.9364331453687069E-3</v>
      </c>
      <c r="T168" s="226">
        <f t="shared" si="30"/>
        <v>1.8256114027318734E-3</v>
      </c>
      <c r="U168" s="226">
        <f t="shared" si="30"/>
        <v>1.7211319697536191E-3</v>
      </c>
      <c r="V168" s="226">
        <f t="shared" si="30"/>
        <v>1.622631877120809E-3</v>
      </c>
      <c r="W168" s="226">
        <f t="shared" si="30"/>
        <v>1.5297689281929415E-3</v>
      </c>
      <c r="X168" s="226">
        <f t="shared" si="30"/>
        <v>1.4422205101855938E-3</v>
      </c>
      <c r="Y168" s="226">
        <f t="shared" si="30"/>
        <v>1.3596824733896381E-3</v>
      </c>
      <c r="Z168" s="226">
        <f t="shared" si="30"/>
        <v>1.2818680745325535E-3</v>
      </c>
      <c r="AA168" s="226">
        <f t="shared" si="30"/>
        <v>1.2085069806109913E-3</v>
      </c>
      <c r="AB168" s="226">
        <f t="shared" si="30"/>
        <v>1.1393443297338358E-3</v>
      </c>
      <c r="AC168" s="226">
        <f t="shared" si="30"/>
        <v>1.0741398457130577E-3</v>
      </c>
      <c r="AD168" s="226">
        <f t="shared" si="30"/>
        <v>1.0126670033263846E-3</v>
      </c>
      <c r="AE168" s="226">
        <f t="shared" si="28"/>
        <v>9.5471224135184631E-4</v>
      </c>
      <c r="AF168" s="226">
        <f t="shared" si="28"/>
        <v>9.0007422064022327E-4</v>
      </c>
      <c r="AG168" s="226">
        <f t="shared" si="28"/>
        <v>8.4856312464788174E-4</v>
      </c>
      <c r="AH168" s="227">
        <v>8.0000000000000004E-4</v>
      </c>
      <c r="AI168" s="226">
        <f t="shared" si="31"/>
        <v>7.5421613479323825E-4</v>
      </c>
      <c r="AJ168" s="226">
        <f t="shared" si="31"/>
        <v>7.1105247247806513E-4</v>
      </c>
      <c r="AK168" s="226">
        <f t="shared" si="31"/>
        <v>6.703590592844771E-4</v>
      </c>
      <c r="AL168" s="226">
        <f t="shared" si="31"/>
        <v>6.3199452327146195E-4</v>
      </c>
      <c r="AM168" s="226">
        <f t="shared" si="31"/>
        <v>5.9582558319037156E-4</v>
      </c>
      <c r="AN168" s="226">
        <f t="shared" si="31"/>
        <v>5.6172658545596129E-4</v>
      </c>
      <c r="AO168" s="226">
        <f t="shared" si="31"/>
        <v>5.2957906761649841E-4</v>
      </c>
      <c r="AP168" s="226">
        <f t="shared" si="31"/>
        <v>4.9927134680640296E-4</v>
      </c>
      <c r="AQ168" s="226">
        <f t="shared" si="31"/>
        <v>4.7069813175167448E-4</v>
      </c>
      <c r="AR168" s="226">
        <f t="shared" si="31"/>
        <v>4.4376015698018289E-4</v>
      </c>
      <c r="AS168" s="226">
        <f t="shared" si="31"/>
        <v>4.1836383796604268E-4</v>
      </c>
      <c r="AT168" s="226">
        <f t="shared" si="31"/>
        <v>3.9442094601001661E-4</v>
      </c>
      <c r="AU168" s="226">
        <f t="shared" si="31"/>
        <v>3.7184830172645901E-4</v>
      </c>
      <c r="AV168" s="226">
        <f t="shared" si="31"/>
        <v>3.5056748607194965E-4</v>
      </c>
      <c r="AW168" s="226">
        <f t="shared" si="31"/>
        <v>3.305045679117103E-4</v>
      </c>
      <c r="AX168" s="226">
        <f t="shared" si="31"/>
        <v>3.115898471773493E-4</v>
      </c>
      <c r="AY168" s="226">
        <f t="shared" si="29"/>
        <v>2.9375761272364522E-4</v>
      </c>
      <c r="AZ168" s="226">
        <f t="shared" si="29"/>
        <v>2.7694591404314582E-4</v>
      </c>
      <c r="BA168" s="226">
        <f t="shared" si="29"/>
        <v>2.6109634604550225E-4</v>
      </c>
      <c r="BB168" s="226">
        <f t="shared" si="32"/>
        <v>2.461538461538456E-4</v>
      </c>
      <c r="BC168" s="226">
        <f t="shared" si="32"/>
        <v>2.3206650301330352E-4</v>
      </c>
      <c r="BD168" s="226">
        <f t="shared" si="32"/>
        <v>2.1878537614709642E-4</v>
      </c>
      <c r="BE168" s="226">
        <f t="shared" si="32"/>
        <v>2.0626432593368475E-4</v>
      </c>
    </row>
    <row r="169" spans="5:57" s="10" customFormat="1" x14ac:dyDescent="0.35">
      <c r="E169" s="10" t="s">
        <v>629</v>
      </c>
      <c r="F169" s="10" t="s">
        <v>615</v>
      </c>
      <c r="G169" s="43" t="s">
        <v>616</v>
      </c>
      <c r="I169" s="20"/>
      <c r="J169" s="200"/>
      <c r="K169" s="200"/>
      <c r="L169" s="200"/>
      <c r="M169" s="200"/>
      <c r="N169" s="200">
        <v>2.5000000000000001E-3</v>
      </c>
      <c r="O169" s="226">
        <f t="shared" si="30"/>
        <v>2.3615519709541677E-3</v>
      </c>
      <c r="P169" s="226">
        <f t="shared" si="30"/>
        <v>2.2307710846070057E-3</v>
      </c>
      <c r="Q169" s="226">
        <f t="shared" si="30"/>
        <v>2.1072327406404965E-3</v>
      </c>
      <c r="R169" s="226">
        <f t="shared" si="30"/>
        <v>1.9905358527674867E-3</v>
      </c>
      <c r="S169" s="226">
        <f t="shared" si="30"/>
        <v>1.8803015465431972E-3</v>
      </c>
      <c r="T169" s="226">
        <f t="shared" si="30"/>
        <v>1.7761719292909029E-3</v>
      </c>
      <c r="U169" s="226">
        <f t="shared" si="30"/>
        <v>1.6778089281481593E-3</v>
      </c>
      <c r="V169" s="226">
        <f t="shared" si="30"/>
        <v>1.5848931924611141E-3</v>
      </c>
      <c r="W169" s="226">
        <f t="shared" si="30"/>
        <v>1.4971230569633548E-3</v>
      </c>
      <c r="X169" s="226">
        <f t="shared" si="30"/>
        <v>1.4142135623730957E-3</v>
      </c>
      <c r="Y169" s="226">
        <f t="shared" si="30"/>
        <v>1.3358955302289195E-3</v>
      </c>
      <c r="Z169" s="226">
        <f t="shared" si="30"/>
        <v>1.2619146889603871E-3</v>
      </c>
      <c r="AA169" s="226">
        <f t="shared" si="30"/>
        <v>1.192030848356167E-3</v>
      </c>
      <c r="AB169" s="226">
        <f t="shared" si="30"/>
        <v>1.1260171197494699E-3</v>
      </c>
      <c r="AC169" s="226">
        <f t="shared" si="30"/>
        <v>1.0636591793889982E-3</v>
      </c>
      <c r="AD169" s="226">
        <f t="shared" si="30"/>
        <v>1.0047545726038325E-3</v>
      </c>
      <c r="AE169" s="226">
        <f t="shared" si="28"/>
        <v>9.4911205650311718E-4</v>
      </c>
      <c r="AF169" s="226">
        <f t="shared" si="28"/>
        <v>8.9655097907651992E-4</v>
      </c>
      <c r="AG169" s="226">
        <f t="shared" si="28"/>
        <v>8.469006926796177E-4</v>
      </c>
      <c r="AH169" s="227">
        <v>8.0000000000000004E-4</v>
      </c>
      <c r="AI169" s="226">
        <f t="shared" si="31"/>
        <v>7.556966307053337E-4</v>
      </c>
      <c r="AJ169" s="226">
        <f t="shared" si="31"/>
        <v>7.1384674707424185E-4</v>
      </c>
      <c r="AK169" s="226">
        <f t="shared" si="31"/>
        <v>6.7431447700495883E-4</v>
      </c>
      <c r="AL169" s="226">
        <f t="shared" si="31"/>
        <v>6.3697147288559576E-4</v>
      </c>
      <c r="AM169" s="226">
        <f t="shared" si="31"/>
        <v>6.0169649489382317E-4</v>
      </c>
      <c r="AN169" s="226">
        <f t="shared" si="31"/>
        <v>5.6837501737308895E-4</v>
      </c>
      <c r="AO169" s="226">
        <f t="shared" si="31"/>
        <v>5.3689885700741095E-4</v>
      </c>
      <c r="AP169" s="226">
        <f t="shared" si="31"/>
        <v>5.0716582158755652E-4</v>
      </c>
      <c r="AQ169" s="226">
        <f t="shared" si="31"/>
        <v>4.7907937822827356E-4</v>
      </c>
      <c r="AR169" s="226">
        <f t="shared" si="31"/>
        <v>4.5254833995939065E-4</v>
      </c>
      <c r="AS169" s="226">
        <f t="shared" si="31"/>
        <v>4.274865696732543E-4</v>
      </c>
      <c r="AT169" s="226">
        <f t="shared" si="31"/>
        <v>4.0381270046732393E-4</v>
      </c>
      <c r="AU169" s="226">
        <f t="shared" si="31"/>
        <v>3.8144987147397351E-4</v>
      </c>
      <c r="AV169" s="226">
        <f t="shared" si="31"/>
        <v>3.6032547831983046E-4</v>
      </c>
      <c r="AW169" s="226">
        <f t="shared" si="31"/>
        <v>3.4037093740447956E-4</v>
      </c>
      <c r="AX169" s="226">
        <f t="shared" si="31"/>
        <v>3.2152146323322653E-4</v>
      </c>
      <c r="AY169" s="226">
        <f t="shared" si="29"/>
        <v>3.0371585808099762E-4</v>
      </c>
      <c r="AZ169" s="226">
        <f t="shared" si="29"/>
        <v>2.8689631330448649E-4</v>
      </c>
      <c r="BA169" s="226">
        <f t="shared" si="29"/>
        <v>2.7100822165747779E-4</v>
      </c>
      <c r="BB169" s="226">
        <f t="shared" si="32"/>
        <v>2.5600000000000026E-4</v>
      </c>
      <c r="BC169" s="226">
        <f t="shared" si="32"/>
        <v>2.4182292182570701E-4</v>
      </c>
      <c r="BD169" s="226">
        <f t="shared" si="32"/>
        <v>2.2843095906375762E-4</v>
      </c>
      <c r="BE169" s="226">
        <f t="shared" si="32"/>
        <v>2.1578063264158704E-4</v>
      </c>
    </row>
    <row r="170" spans="5:57" s="10" customFormat="1" x14ac:dyDescent="0.35">
      <c r="E170" s="10" t="s">
        <v>630</v>
      </c>
      <c r="F170" s="10" t="s">
        <v>615</v>
      </c>
      <c r="G170" s="43" t="s">
        <v>616</v>
      </c>
      <c r="I170" s="20"/>
      <c r="J170" s="200"/>
      <c r="K170" s="200"/>
      <c r="L170" s="200"/>
      <c r="M170" s="200"/>
      <c r="N170" s="200">
        <v>2.3999999999999998E-3</v>
      </c>
      <c r="O170" s="226">
        <f t="shared" si="30"/>
        <v>2.2566051846957826E-3</v>
      </c>
      <c r="P170" s="226">
        <f t="shared" si="30"/>
        <v>2.1217778998316198E-3</v>
      </c>
      <c r="Q170" s="226">
        <f t="shared" si="30"/>
        <v>1.9950062539720675E-3</v>
      </c>
      <c r="R170" s="226">
        <f t="shared" si="30"/>
        <v>1.8758089400891162E-3</v>
      </c>
      <c r="S170" s="226">
        <f t="shared" si="30"/>
        <v>1.7637334082099168E-3</v>
      </c>
      <c r="T170" s="226">
        <f t="shared" si="30"/>
        <v>1.658354147244859E-3</v>
      </c>
      <c r="U170" s="226">
        <f t="shared" si="30"/>
        <v>1.5592710694727091E-3</v>
      </c>
      <c r="V170" s="226">
        <f t="shared" si="30"/>
        <v>1.4661079915492723E-3</v>
      </c>
      <c r="W170" s="226">
        <f t="shared" si="30"/>
        <v>1.3785112062725037E-3</v>
      </c>
      <c r="X170" s="226">
        <f t="shared" si="30"/>
        <v>1.2961481396815706E-3</v>
      </c>
      <c r="Y170" s="226">
        <f t="shared" si="30"/>
        <v>1.2187060883913441E-3</v>
      </c>
      <c r="Z170" s="226">
        <f t="shared" si="30"/>
        <v>1.1458910323684265E-3</v>
      </c>
      <c r="AA170" s="226">
        <f t="shared" si="30"/>
        <v>1.0774265186412476E-3</v>
      </c>
      <c r="AB170" s="226">
        <f t="shared" si="30"/>
        <v>1.0130526117060694E-3</v>
      </c>
      <c r="AC170" s="226">
        <f t="shared" si="30"/>
        <v>9.5252490664396656E-4</v>
      </c>
      <c r="AD170" s="226">
        <f t="shared" si="30"/>
        <v>8.956136012019339E-4</v>
      </c>
      <c r="AE170" s="226">
        <f t="shared" si="28"/>
        <v>8.4210262331514381E-4</v>
      </c>
      <c r="AF170" s="226">
        <f t="shared" si="28"/>
        <v>7.9178881075786382E-4</v>
      </c>
      <c r="AG170" s="226">
        <f t="shared" si="28"/>
        <v>7.4448113980845969E-4</v>
      </c>
      <c r="AH170" s="227">
        <v>6.9999999999999999E-4</v>
      </c>
      <c r="AI170" s="226">
        <f t="shared" si="31"/>
        <v>6.5817651220293665E-4</v>
      </c>
      <c r="AJ170" s="226">
        <f t="shared" si="31"/>
        <v>6.1885188745088916E-4</v>
      </c>
      <c r="AK170" s="226">
        <f t="shared" si="31"/>
        <v>5.818768240751864E-4</v>
      </c>
      <c r="AL170" s="226">
        <f t="shared" si="31"/>
        <v>5.4711094085932563E-4</v>
      </c>
      <c r="AM170" s="226">
        <f t="shared" si="31"/>
        <v>5.1442224406122582E-4</v>
      </c>
      <c r="AN170" s="226">
        <f t="shared" si="31"/>
        <v>4.836866262797506E-4</v>
      </c>
      <c r="AO170" s="226">
        <f t="shared" si="31"/>
        <v>4.547873952628736E-4</v>
      </c>
      <c r="AP170" s="226">
        <f t="shared" si="31"/>
        <v>4.2761483086853781E-4</v>
      </c>
      <c r="AQ170" s="226">
        <f t="shared" si="31"/>
        <v>4.0206576849614693E-4</v>
      </c>
      <c r="AR170" s="226">
        <f t="shared" si="31"/>
        <v>3.7804320740712479E-4</v>
      </c>
      <c r="AS170" s="226">
        <f t="shared" si="31"/>
        <v>3.5545594244747538E-4</v>
      </c>
      <c r="AT170" s="226">
        <f t="shared" si="31"/>
        <v>3.3421821777412442E-4</v>
      </c>
      <c r="AU170" s="226">
        <f t="shared" si="31"/>
        <v>3.1424940127036389E-4</v>
      </c>
      <c r="AV170" s="226">
        <f t="shared" si="31"/>
        <v>2.9547367841427027E-4</v>
      </c>
      <c r="AW170" s="226">
        <f t="shared" si="31"/>
        <v>2.7781976443782359E-4</v>
      </c>
      <c r="AX170" s="226">
        <f t="shared" si="31"/>
        <v>2.612206336838974E-4</v>
      </c>
      <c r="AY170" s="226">
        <f t="shared" si="29"/>
        <v>2.4561326513358359E-4</v>
      </c>
      <c r="AZ170" s="226">
        <f t="shared" si="29"/>
        <v>2.3093840313771026E-4</v>
      </c>
      <c r="BA170" s="226">
        <f t="shared" si="29"/>
        <v>2.1714033244413407E-4</v>
      </c>
      <c r="BB170" s="226">
        <f t="shared" si="32"/>
        <v>2.0416666666666616E-4</v>
      </c>
      <c r="BC170" s="226">
        <f t="shared" si="32"/>
        <v>1.919681493925227E-4</v>
      </c>
      <c r="BD170" s="226">
        <f t="shared" si="32"/>
        <v>1.8049846717317554E-4</v>
      </c>
      <c r="BE170" s="226">
        <f t="shared" si="32"/>
        <v>1.697140736885956E-4</v>
      </c>
    </row>
    <row r="171" spans="5:57" s="10" customFormat="1" x14ac:dyDescent="0.35">
      <c r="E171" s="10" t="s">
        <v>631</v>
      </c>
      <c r="F171" s="10" t="s">
        <v>615</v>
      </c>
      <c r="G171" s="43" t="s">
        <v>616</v>
      </c>
      <c r="I171" s="20"/>
      <c r="J171" s="200"/>
      <c r="K171" s="200"/>
      <c r="L171" s="200"/>
      <c r="M171" s="200"/>
      <c r="N171" s="200">
        <v>2.3999999999999998E-3</v>
      </c>
      <c r="O171" s="226">
        <f t="shared" si="30"/>
        <v>2.2566051846957826E-3</v>
      </c>
      <c r="P171" s="226">
        <f t="shared" si="30"/>
        <v>2.1217778998316198E-3</v>
      </c>
      <c r="Q171" s="226">
        <f t="shared" si="30"/>
        <v>1.9950062539720675E-3</v>
      </c>
      <c r="R171" s="226">
        <f t="shared" si="30"/>
        <v>1.8758089400891162E-3</v>
      </c>
      <c r="S171" s="226">
        <f t="shared" si="30"/>
        <v>1.7637334082099168E-3</v>
      </c>
      <c r="T171" s="226">
        <f t="shared" si="30"/>
        <v>1.658354147244859E-3</v>
      </c>
      <c r="U171" s="226">
        <f t="shared" si="30"/>
        <v>1.5592710694727091E-3</v>
      </c>
      <c r="V171" s="226">
        <f t="shared" si="30"/>
        <v>1.4661079915492723E-3</v>
      </c>
      <c r="W171" s="226">
        <f t="shared" si="30"/>
        <v>1.3785112062725037E-3</v>
      </c>
      <c r="X171" s="226">
        <f t="shared" si="30"/>
        <v>1.2961481396815706E-3</v>
      </c>
      <c r="Y171" s="226">
        <f t="shared" si="30"/>
        <v>1.2187060883913441E-3</v>
      </c>
      <c r="Z171" s="226">
        <f t="shared" si="30"/>
        <v>1.1458910323684265E-3</v>
      </c>
      <c r="AA171" s="226">
        <f t="shared" si="30"/>
        <v>1.0774265186412476E-3</v>
      </c>
      <c r="AB171" s="226">
        <f t="shared" si="30"/>
        <v>1.0130526117060694E-3</v>
      </c>
      <c r="AC171" s="226">
        <f t="shared" si="30"/>
        <v>9.5252490664396656E-4</v>
      </c>
      <c r="AD171" s="226">
        <f t="shared" si="30"/>
        <v>8.956136012019339E-4</v>
      </c>
      <c r="AE171" s="226">
        <f t="shared" si="28"/>
        <v>8.4210262331514381E-4</v>
      </c>
      <c r="AF171" s="226">
        <f t="shared" si="28"/>
        <v>7.9178881075786382E-4</v>
      </c>
      <c r="AG171" s="226">
        <f t="shared" si="28"/>
        <v>7.4448113980845969E-4</v>
      </c>
      <c r="AH171" s="227">
        <v>6.9999999999999999E-4</v>
      </c>
      <c r="AI171" s="226">
        <f t="shared" si="31"/>
        <v>6.5817651220293665E-4</v>
      </c>
      <c r="AJ171" s="226">
        <f t="shared" si="31"/>
        <v>6.1885188745088916E-4</v>
      </c>
      <c r="AK171" s="226">
        <f t="shared" si="31"/>
        <v>5.818768240751864E-4</v>
      </c>
      <c r="AL171" s="226">
        <f t="shared" si="31"/>
        <v>5.4711094085932563E-4</v>
      </c>
      <c r="AM171" s="226">
        <f t="shared" si="31"/>
        <v>5.1442224406122582E-4</v>
      </c>
      <c r="AN171" s="226">
        <f t="shared" si="31"/>
        <v>4.836866262797506E-4</v>
      </c>
      <c r="AO171" s="226">
        <f t="shared" si="31"/>
        <v>4.547873952628736E-4</v>
      </c>
      <c r="AP171" s="226">
        <f t="shared" si="31"/>
        <v>4.2761483086853781E-4</v>
      </c>
      <c r="AQ171" s="226">
        <f t="shared" si="31"/>
        <v>4.0206576849614693E-4</v>
      </c>
      <c r="AR171" s="226">
        <f t="shared" si="31"/>
        <v>3.7804320740712479E-4</v>
      </c>
      <c r="AS171" s="226">
        <f t="shared" si="31"/>
        <v>3.5545594244747538E-4</v>
      </c>
      <c r="AT171" s="226">
        <f t="shared" si="31"/>
        <v>3.3421821777412442E-4</v>
      </c>
      <c r="AU171" s="226">
        <f t="shared" si="31"/>
        <v>3.1424940127036389E-4</v>
      </c>
      <c r="AV171" s="226">
        <f t="shared" si="31"/>
        <v>2.9547367841427027E-4</v>
      </c>
      <c r="AW171" s="226">
        <f t="shared" si="31"/>
        <v>2.7781976443782359E-4</v>
      </c>
      <c r="AX171" s="226">
        <f t="shared" si="31"/>
        <v>2.612206336838974E-4</v>
      </c>
      <c r="AY171" s="226">
        <f t="shared" si="29"/>
        <v>2.4561326513358359E-4</v>
      </c>
      <c r="AZ171" s="226">
        <f t="shared" si="29"/>
        <v>2.3093840313771026E-4</v>
      </c>
      <c r="BA171" s="226">
        <f t="shared" si="29"/>
        <v>2.1714033244413407E-4</v>
      </c>
      <c r="BB171" s="226">
        <f t="shared" si="32"/>
        <v>2.0416666666666616E-4</v>
      </c>
      <c r="BC171" s="226">
        <f t="shared" si="32"/>
        <v>1.919681493925227E-4</v>
      </c>
      <c r="BD171" s="226">
        <f t="shared" si="32"/>
        <v>1.8049846717317554E-4</v>
      </c>
      <c r="BE171" s="226">
        <f t="shared" si="32"/>
        <v>1.697140736885956E-4</v>
      </c>
    </row>
    <row r="172" spans="5:57" s="10" customFormat="1" x14ac:dyDescent="0.35">
      <c r="E172" s="10" t="s">
        <v>632</v>
      </c>
      <c r="F172" s="10" t="s">
        <v>615</v>
      </c>
      <c r="G172" s="43" t="s">
        <v>616</v>
      </c>
      <c r="I172" s="20"/>
      <c r="J172" s="200"/>
      <c r="K172" s="200"/>
      <c r="L172" s="200"/>
      <c r="M172" s="200"/>
      <c r="N172" s="200">
        <v>2.3E-3</v>
      </c>
      <c r="O172" s="226">
        <f t="shared" si="30"/>
        <v>2.1671867970301504E-3</v>
      </c>
      <c r="P172" s="226">
        <f t="shared" si="30"/>
        <v>2.0420428753138271E-3</v>
      </c>
      <c r="Q172" s="226">
        <f t="shared" si="30"/>
        <v>1.9241253731954835E-3</v>
      </c>
      <c r="R172" s="226">
        <f t="shared" si="30"/>
        <v>1.8130170020086796E-3</v>
      </c>
      <c r="S172" s="226">
        <f t="shared" si="30"/>
        <v>1.7083245693671287E-3</v>
      </c>
      <c r="T172" s="226">
        <f t="shared" si="30"/>
        <v>1.6096775877281126E-3</v>
      </c>
      <c r="U172" s="226">
        <f t="shared" si="30"/>
        <v>1.5167269633042206E-3</v>
      </c>
      <c r="V172" s="226">
        <f t="shared" si="30"/>
        <v>1.4291437606837132E-3</v>
      </c>
      <c r="W172" s="226">
        <f t="shared" si="30"/>
        <v>1.3466180387877219E-3</v>
      </c>
      <c r="X172" s="226">
        <f t="shared" si="30"/>
        <v>1.2688577540449504E-3</v>
      </c>
      <c r="Y172" s="226">
        <f t="shared" si="30"/>
        <v>1.1955877269024114E-3</v>
      </c>
      <c r="Z172" s="226">
        <f t="shared" si="30"/>
        <v>1.1265486680148676E-3</v>
      </c>
      <c r="AA172" s="226">
        <f t="shared" si="30"/>
        <v>1.0614962606668363E-3</v>
      </c>
      <c r="AB172" s="226">
        <f t="shared" si="30"/>
        <v>1.0002002961800186E-3</v>
      </c>
      <c r="AC172" s="226">
        <f t="shared" si="30"/>
        <v>9.4244385924651406E-4</v>
      </c>
      <c r="AD172" s="226">
        <f t="shared" ref="AD172:AG187" si="33">AC172*(1+($AH172/$N172)^(1/($AH$6-$N$6))-1)</f>
        <v>8.8802256030486384E-4</v>
      </c>
      <c r="AE172" s="226">
        <f t="shared" si="33"/>
        <v>8.3674381224243979E-4</v>
      </c>
      <c r="AF172" s="226">
        <f t="shared" si="33"/>
        <v>7.8842614886456114E-4</v>
      </c>
      <c r="AG172" s="226">
        <f t="shared" si="33"/>
        <v>7.4289858271852391E-4</v>
      </c>
      <c r="AH172" s="227">
        <v>6.9999999999999999E-4</v>
      </c>
      <c r="AI172" s="226">
        <f t="shared" si="31"/>
        <v>6.5957859040048053E-4</v>
      </c>
      <c r="AJ172" s="226">
        <f t="shared" si="31"/>
        <v>6.2149130987812127E-4</v>
      </c>
      <c r="AK172" s="226">
        <f t="shared" si="31"/>
        <v>5.8560337445079933E-4</v>
      </c>
      <c r="AL172" s="226">
        <f t="shared" si="31"/>
        <v>5.5178778322003286E-4</v>
      </c>
      <c r="AM172" s="226">
        <f t="shared" si="31"/>
        <v>5.1992486893782171E-4</v>
      </c>
      <c r="AN172" s="226">
        <f t="shared" si="31"/>
        <v>4.8990187452594726E-4</v>
      </c>
      <c r="AO172" s="226">
        <f t="shared" si="31"/>
        <v>4.616125540491106E-4</v>
      </c>
      <c r="AP172" s="226">
        <f t="shared" si="31"/>
        <v>4.3495679672982574E-4</v>
      </c>
      <c r="AQ172" s="226">
        <f t="shared" si="31"/>
        <v>4.0984027267452404E-4</v>
      </c>
      <c r="AR172" s="226">
        <f t="shared" si="31"/>
        <v>3.8617409905715883E-4</v>
      </c>
      <c r="AS172" s="226">
        <f t="shared" si="31"/>
        <v>3.6387452557899486E-4</v>
      </c>
      <c r="AT172" s="226">
        <f t="shared" si="31"/>
        <v>3.4286263809148149E-4</v>
      </c>
      <c r="AU172" s="226">
        <f t="shared" si="31"/>
        <v>3.2306407933338499E-4</v>
      </c>
      <c r="AV172" s="226">
        <f t="shared" si="31"/>
        <v>3.0440878579391875E-4</v>
      </c>
      <c r="AW172" s="226">
        <f t="shared" si="31"/>
        <v>2.8683073977067822E-4</v>
      </c>
      <c r="AX172" s="226">
        <f t="shared" ref="AX172:BE187" si="34">AW172*(1+($AH172/$N172)^(1/($AH$6-$N$6))-1)</f>
        <v>2.7026773574495859E-4</v>
      </c>
      <c r="AY172" s="226">
        <f t="shared" si="34"/>
        <v>2.5466116024769911E-4</v>
      </c>
      <c r="AZ172" s="226">
        <f t="shared" si="34"/>
        <v>2.3995578443704039E-4</v>
      </c>
      <c r="BA172" s="226">
        <f t="shared" si="34"/>
        <v>2.2609956865346384E-4</v>
      </c>
      <c r="BB172" s="226">
        <f t="shared" si="32"/>
        <v>2.1304347826086909E-4</v>
      </c>
      <c r="BC172" s="226">
        <f t="shared" si="32"/>
        <v>2.0074131012188495E-4</v>
      </c>
      <c r="BD172" s="226">
        <f t="shared" si="32"/>
        <v>1.8914952909334086E-4</v>
      </c>
      <c r="BE172" s="226">
        <f t="shared" si="32"/>
        <v>1.7822711396328639E-4</v>
      </c>
    </row>
    <row r="173" spans="5:57" s="10" customFormat="1" x14ac:dyDescent="0.35">
      <c r="E173" s="109" t="s">
        <v>633</v>
      </c>
      <c r="F173" s="10" t="s">
        <v>615</v>
      </c>
      <c r="G173" s="43" t="s">
        <v>616</v>
      </c>
      <c r="I173" s="20"/>
      <c r="J173" s="200"/>
      <c r="K173" s="200"/>
      <c r="L173" s="200"/>
      <c r="M173" s="200"/>
      <c r="N173" s="200">
        <v>2.2000000000000001E-3</v>
      </c>
      <c r="O173" s="226">
        <f t="shared" ref="O173:AD188" si="35">N173*(1+($AH173/$N173)^(1/($AH$6-$N$6))-1)</f>
        <v>2.0775737471608441E-3</v>
      </c>
      <c r="P173" s="226">
        <f t="shared" si="35"/>
        <v>1.9619603067690685E-3</v>
      </c>
      <c r="Q173" s="226">
        <f t="shared" si="35"/>
        <v>1.8527805574159331E-3</v>
      </c>
      <c r="R173" s="226">
        <f t="shared" si="35"/>
        <v>1.7496764751533534E-3</v>
      </c>
      <c r="S173" s="226">
        <f t="shared" si="35"/>
        <v>1.65230995945615E-3</v>
      </c>
      <c r="T173" s="226">
        <f t="shared" si="35"/>
        <v>1.5603617245174982E-3</v>
      </c>
      <c r="U173" s="226">
        <f t="shared" si="35"/>
        <v>1.473530252241898E-3</v>
      </c>
      <c r="V173" s="226">
        <f t="shared" si="35"/>
        <v>1.3915308035023018E-3</v>
      </c>
      <c r="W173" s="226">
        <f t="shared" si="35"/>
        <v>1.3140944844190988E-3</v>
      </c>
      <c r="X173" s="226">
        <f t="shared" si="35"/>
        <v>1.2409673645990839E-3</v>
      </c>
      <c r="Y173" s="226">
        <f t="shared" si="35"/>
        <v>1.1719096444429255E-3</v>
      </c>
      <c r="Z173" s="226">
        <f t="shared" si="35"/>
        <v>1.106694868790555E-3</v>
      </c>
      <c r="AA173" s="226">
        <f t="shared" si="35"/>
        <v>1.0451091843258508E-3</v>
      </c>
      <c r="AB173" s="226">
        <f t="shared" si="35"/>
        <v>9.8695063830548692E-4</v>
      </c>
      <c r="AC173" s="226">
        <f t="shared" si="35"/>
        <v>9.3202851631232601E-4</v>
      </c>
      <c r="AD173" s="226">
        <f t="shared" si="35"/>
        <v>8.8016271686170951E-4</v>
      </c>
      <c r="AE173" s="226">
        <f t="shared" si="33"/>
        <v>8.3118316080984134E-4</v>
      </c>
      <c r="AF173" s="226">
        <f t="shared" si="33"/>
        <v>7.8492923362758935E-4</v>
      </c>
      <c r="AG173" s="226">
        <f t="shared" si="33"/>
        <v>7.4124925871080021E-4</v>
      </c>
      <c r="AH173" s="227">
        <v>6.9999999999999999E-4</v>
      </c>
      <c r="AI173" s="226">
        <f t="shared" ref="AI173:AX188" si="36">AH173*(1+($AH173/$N173)^(1/($AH$6-$N$6))-1)</f>
        <v>6.6104619227845042E-4</v>
      </c>
      <c r="AJ173" s="226">
        <f t="shared" si="36"/>
        <v>6.2426009760833999E-4</v>
      </c>
      <c r="AK173" s="226">
        <f t="shared" si="36"/>
        <v>5.8952108645052423E-4</v>
      </c>
      <c r="AL173" s="226">
        <f t="shared" si="36"/>
        <v>5.5671524209424889E-4</v>
      </c>
      <c r="AM173" s="226">
        <f t="shared" si="36"/>
        <v>5.2573498709968414E-4</v>
      </c>
      <c r="AN173" s="226">
        <f t="shared" si="36"/>
        <v>4.9647873052829493E-4</v>
      </c>
      <c r="AO173" s="226">
        <f t="shared" si="36"/>
        <v>4.6885053480424032E-4</v>
      </c>
      <c r="AP173" s="226">
        <f t="shared" si="36"/>
        <v>4.4275980111436878E-4</v>
      </c>
      <c r="AQ173" s="226">
        <f t="shared" si="36"/>
        <v>4.1812097231516779E-4</v>
      </c>
      <c r="AR173" s="226">
        <f t="shared" si="36"/>
        <v>3.9485325237243574E-4</v>
      </c>
      <c r="AS173" s="226">
        <f t="shared" si="36"/>
        <v>3.7288034141365805E-4</v>
      </c>
      <c r="AT173" s="226">
        <f t="shared" si="36"/>
        <v>3.5213018552426748E-4</v>
      </c>
      <c r="AU173" s="226">
        <f t="shared" si="36"/>
        <v>3.325347404673162E-4</v>
      </c>
      <c r="AV173" s="226">
        <f t="shared" si="36"/>
        <v>3.1402974855174588E-4</v>
      </c>
      <c r="AW173" s="226">
        <f t="shared" si="36"/>
        <v>2.9655452791755834E-4</v>
      </c>
      <c r="AX173" s="226">
        <f t="shared" si="36"/>
        <v>2.8005177354690765E-4</v>
      </c>
      <c r="AY173" s="226">
        <f t="shared" si="34"/>
        <v>2.6446736934858595E-4</v>
      </c>
      <c r="AZ173" s="226">
        <f t="shared" si="34"/>
        <v>2.497502106996876E-4</v>
      </c>
      <c r="BA173" s="226">
        <f t="shared" si="34"/>
        <v>2.358520368625274E-4</v>
      </c>
      <c r="BB173" s="226">
        <f t="shared" si="34"/>
        <v>2.2272727272727206E-4</v>
      </c>
      <c r="BC173" s="226">
        <f t="shared" si="34"/>
        <v>2.1033287936132448E-4</v>
      </c>
      <c r="BD173" s="226">
        <f t="shared" si="34"/>
        <v>1.9862821287538031E-4</v>
      </c>
      <c r="BE173" s="226">
        <f t="shared" si="34"/>
        <v>1.8757489114334803E-4</v>
      </c>
    </row>
    <row r="174" spans="5:57" s="10" customFormat="1" x14ac:dyDescent="0.35">
      <c r="E174" s="109" t="s">
        <v>634</v>
      </c>
      <c r="F174" s="10" t="s">
        <v>615</v>
      </c>
      <c r="G174" s="43" t="s">
        <v>616</v>
      </c>
      <c r="I174" s="20"/>
      <c r="J174" s="200"/>
      <c r="K174" s="200"/>
      <c r="L174" s="200"/>
      <c r="M174" s="200"/>
      <c r="N174" s="200">
        <v>2.0999999999999999E-3</v>
      </c>
      <c r="O174" s="226">
        <f t="shared" si="35"/>
        <v>1.9877567275443345E-3</v>
      </c>
      <c r="P174" s="226">
        <f t="shared" si="35"/>
        <v>1.8815127656656009E-3</v>
      </c>
      <c r="Q174" s="226">
        <f t="shared" si="35"/>
        <v>1.7809474561487359E-3</v>
      </c>
      <c r="R174" s="226">
        <f t="shared" si="35"/>
        <v>1.6857572796964851E-3</v>
      </c>
      <c r="S174" s="226">
        <f t="shared" si="35"/>
        <v>1.5956549398683452E-3</v>
      </c>
      <c r="T174" s="226">
        <f t="shared" si="35"/>
        <v>1.5103684959822162E-3</v>
      </c>
      <c r="U174" s="226">
        <f t="shared" si="35"/>
        <v>1.4296405423617469E-3</v>
      </c>
      <c r="V174" s="226">
        <f t="shared" si="35"/>
        <v>1.3532274314522351E-3</v>
      </c>
      <c r="W174" s="226">
        <f t="shared" si="35"/>
        <v>1.2808985384603429E-3</v>
      </c>
      <c r="X174" s="226">
        <f t="shared" si="35"/>
        <v>1.2124355652982153E-3</v>
      </c>
      <c r="Y174" s="226">
        <f t="shared" si="35"/>
        <v>1.1476318817312124E-3</v>
      </c>
      <c r="Z174" s="226">
        <f t="shared" si="35"/>
        <v>1.0862919017407531E-3</v>
      </c>
      <c r="AA174" s="226">
        <f t="shared" si="35"/>
        <v>1.0282304932200529E-3</v>
      </c>
      <c r="AB174" s="226">
        <f t="shared" si="35"/>
        <v>9.732724192211378E-4</v>
      </c>
      <c r="AC174" s="226">
        <f t="shared" si="35"/>
        <v>9.2125180906674599E-4</v>
      </c>
      <c r="AD174" s="226">
        <f t="shared" si="35"/>
        <v>8.7201165773086338E-4</v>
      </c>
      <c r="AE174" s="226">
        <f t="shared" si="33"/>
        <v>8.2540335197695783E-4</v>
      </c>
      <c r="AF174" s="226">
        <f t="shared" si="33"/>
        <v>7.8128622182373436E-4</v>
      </c>
      <c r="AG174" s="226">
        <f t="shared" si="33"/>
        <v>7.3952711598467772E-4</v>
      </c>
      <c r="AH174" s="227">
        <v>6.9999999999999999E-4</v>
      </c>
      <c r="AI174" s="226">
        <f t="shared" si="36"/>
        <v>6.6258557584811153E-4</v>
      </c>
      <c r="AJ174" s="226">
        <f t="shared" si="36"/>
        <v>6.2717092188853364E-4</v>
      </c>
      <c r="AK174" s="226">
        <f t="shared" si="36"/>
        <v>5.9364915204957857E-4</v>
      </c>
      <c r="AL174" s="226">
        <f t="shared" si="36"/>
        <v>5.619190932321616E-4</v>
      </c>
      <c r="AM174" s="226">
        <f t="shared" si="36"/>
        <v>5.31884979956115E-4</v>
      </c>
      <c r="AN174" s="226">
        <f t="shared" si="36"/>
        <v>5.034561653274053E-4</v>
      </c>
      <c r="AO174" s="226">
        <f t="shared" si="36"/>
        <v>4.7654684745391553E-4</v>
      </c>
      <c r="AP174" s="226">
        <f t="shared" si="36"/>
        <v>4.5107581048407823E-4</v>
      </c>
      <c r="AQ174" s="226">
        <f t="shared" si="36"/>
        <v>4.2696617948678088E-4</v>
      </c>
      <c r="AR174" s="226">
        <f t="shared" si="36"/>
        <v>4.0414518843273834E-4</v>
      </c>
      <c r="AS174" s="226">
        <f t="shared" si="36"/>
        <v>3.8254396057707068E-4</v>
      </c>
      <c r="AT174" s="226">
        <f t="shared" si="36"/>
        <v>3.6209730058025093E-4</v>
      </c>
      <c r="AU174" s="226">
        <f t="shared" si="36"/>
        <v>3.4274349774001756E-4</v>
      </c>
      <c r="AV174" s="226">
        <f t="shared" si="36"/>
        <v>3.2442413974037923E-4</v>
      </c>
      <c r="AW174" s="226">
        <f t="shared" si="36"/>
        <v>3.0708393635558198E-4</v>
      </c>
      <c r="AX174" s="226">
        <f t="shared" si="36"/>
        <v>2.9067055257695444E-4</v>
      </c>
      <c r="AY174" s="226">
        <f t="shared" si="34"/>
        <v>2.7513445065898589E-4</v>
      </c>
      <c r="AZ174" s="226">
        <f t="shared" si="34"/>
        <v>2.6042874060791142E-4</v>
      </c>
      <c r="BA174" s="226">
        <f t="shared" si="34"/>
        <v>2.465090386615592E-4</v>
      </c>
      <c r="BB174" s="226">
        <f t="shared" si="34"/>
        <v>2.3333333333333371E-4</v>
      </c>
      <c r="BC174" s="226">
        <f t="shared" si="34"/>
        <v>2.2086185861603752E-4</v>
      </c>
      <c r="BD174" s="226">
        <f t="shared" si="34"/>
        <v>2.0905697396284489E-4</v>
      </c>
      <c r="BE174" s="226">
        <f t="shared" si="34"/>
        <v>1.978830506831932E-4</v>
      </c>
    </row>
    <row r="175" spans="5:57" s="10" customFormat="1" x14ac:dyDescent="0.35">
      <c r="E175" s="109" t="s">
        <v>635</v>
      </c>
      <c r="F175" s="10" t="s">
        <v>615</v>
      </c>
      <c r="G175" s="43" t="s">
        <v>616</v>
      </c>
      <c r="I175" s="20"/>
      <c r="J175" s="200"/>
      <c r="K175" s="200"/>
      <c r="L175" s="200"/>
      <c r="M175" s="200"/>
      <c r="N175" s="200">
        <v>2E-3</v>
      </c>
      <c r="O175" s="226">
        <f t="shared" si="35"/>
        <v>1.8831549597048177E-3</v>
      </c>
      <c r="P175" s="226">
        <f t="shared" si="35"/>
        <v>1.7731363011304268E-3</v>
      </c>
      <c r="Q175" s="226">
        <f t="shared" si="35"/>
        <v>1.6695452098532092E-3</v>
      </c>
      <c r="R175" s="226">
        <f t="shared" si="35"/>
        <v>1.5720061711932457E-3</v>
      </c>
      <c r="S175" s="226">
        <f t="shared" si="35"/>
        <v>1.4801656089845705E-3</v>
      </c>
      <c r="T175" s="226">
        <f t="shared" si="35"/>
        <v>1.393690603871898E-3</v>
      </c>
      <c r="U175" s="226">
        <f t="shared" si="35"/>
        <v>1.3122676864876835E-3</v>
      </c>
      <c r="V175" s="226">
        <f t="shared" si="35"/>
        <v>1.235601701134824E-3</v>
      </c>
      <c r="W175" s="226">
        <f t="shared" si="35"/>
        <v>1.1634147358558769E-3</v>
      </c>
      <c r="X175" s="226">
        <f t="shared" si="35"/>
        <v>1.0954451150103324E-3</v>
      </c>
      <c r="Y175" s="226">
        <f t="shared" si="35"/>
        <v>1.031446450708061E-3</v>
      </c>
      <c r="Z175" s="226">
        <f t="shared" si="35"/>
        <v>9.7118674966040794E-4</v>
      </c>
      <c r="AA175" s="226">
        <f t="shared" si="35"/>
        <v>9.1444757221129916E-4</v>
      </c>
      <c r="AB175" s="226">
        <f t="shared" si="35"/>
        <v>8.6102324049986865E-4</v>
      </c>
      <c r="AC175" s="226">
        <f t="shared" si="35"/>
        <v>8.1072009288422084E-4</v>
      </c>
      <c r="AD175" s="226">
        <f t="shared" si="35"/>
        <v>7.6335578192363539E-4</v>
      </c>
      <c r="AE175" s="226">
        <f t="shared" si="33"/>
        <v>7.1875861337442157E-4</v>
      </c>
      <c r="AF175" s="226">
        <f t="shared" si="33"/>
        <v>6.7676692380329968E-4</v>
      </c>
      <c r="AG175" s="226">
        <f t="shared" si="33"/>
        <v>6.3722849456217809E-4</v>
      </c>
      <c r="AH175" s="227">
        <v>5.9999999999999995E-4</v>
      </c>
      <c r="AI175" s="226">
        <f t="shared" si="36"/>
        <v>5.6494648791144528E-4</v>
      </c>
      <c r="AJ175" s="226">
        <f t="shared" si="36"/>
        <v>5.31940890339128E-4</v>
      </c>
      <c r="AK175" s="226">
        <f t="shared" si="36"/>
        <v>5.0086356295596271E-4</v>
      </c>
      <c r="AL175" s="226">
        <f t="shared" si="36"/>
        <v>4.7160185135797369E-4</v>
      </c>
      <c r="AM175" s="226">
        <f t="shared" si="36"/>
        <v>4.4404968269537117E-4</v>
      </c>
      <c r="AN175" s="226">
        <f t="shared" si="36"/>
        <v>4.1810718116156939E-4</v>
      </c>
      <c r="AO175" s="226">
        <f t="shared" si="36"/>
        <v>3.9368030594630506E-4</v>
      </c>
      <c r="AP175" s="226">
        <f t="shared" si="36"/>
        <v>3.7068051034044717E-4</v>
      </c>
      <c r="AQ175" s="226">
        <f t="shared" si="36"/>
        <v>3.4902442075676301E-4</v>
      </c>
      <c r="AR175" s="226">
        <f t="shared" si="36"/>
        <v>3.2863353450309965E-4</v>
      </c>
      <c r="AS175" s="226">
        <f t="shared" si="36"/>
        <v>3.0943393521241821E-4</v>
      </c>
      <c r="AT175" s="226">
        <f t="shared" si="36"/>
        <v>2.9135602489812229E-4</v>
      </c>
      <c r="AU175" s="226">
        <f t="shared" si="36"/>
        <v>2.7433427166338964E-4</v>
      </c>
      <c r="AV175" s="226">
        <f t="shared" si="36"/>
        <v>2.583069721499605E-4</v>
      </c>
      <c r="AW175" s="226">
        <f t="shared" si="36"/>
        <v>2.4321602786526615E-4</v>
      </c>
      <c r="AX175" s="226">
        <f t="shared" si="36"/>
        <v>2.2900673457709053E-4</v>
      </c>
      <c r="AY175" s="226">
        <f t="shared" si="34"/>
        <v>2.156275840123264E-4</v>
      </c>
      <c r="AZ175" s="226">
        <f t="shared" si="34"/>
        <v>2.0303007714098984E-4</v>
      </c>
      <c r="BA175" s="226">
        <f t="shared" si="34"/>
        <v>1.9116854836865338E-4</v>
      </c>
      <c r="BB175" s="226">
        <f t="shared" si="34"/>
        <v>1.7999999999999996E-4</v>
      </c>
      <c r="BC175" s="226">
        <f t="shared" si="34"/>
        <v>1.6948394637343353E-4</v>
      </c>
      <c r="BD175" s="226">
        <f t="shared" si="34"/>
        <v>1.5958226710173834E-4</v>
      </c>
      <c r="BE175" s="226">
        <f t="shared" si="34"/>
        <v>1.5025906888678874E-4</v>
      </c>
    </row>
    <row r="176" spans="5:57" s="10" customFormat="1" x14ac:dyDescent="0.35">
      <c r="E176" s="10" t="s">
        <v>636</v>
      </c>
      <c r="F176" s="10" t="s">
        <v>615</v>
      </c>
      <c r="G176" s="43" t="s">
        <v>616</v>
      </c>
      <c r="I176" s="20"/>
      <c r="J176" s="200"/>
      <c r="K176" s="200"/>
      <c r="L176" s="200"/>
      <c r="M176" s="200"/>
      <c r="N176" s="200">
        <v>1.9E-3</v>
      </c>
      <c r="O176" s="226">
        <f t="shared" si="35"/>
        <v>1.7935912783537218E-3</v>
      </c>
      <c r="P176" s="226">
        <f t="shared" si="35"/>
        <v>1.693141933571862E-3</v>
      </c>
      <c r="Q176" s="226">
        <f t="shared" si="35"/>
        <v>1.5983182131944463E-3</v>
      </c>
      <c r="R176" s="226">
        <f t="shared" si="35"/>
        <v>1.5088050564312965E-3</v>
      </c>
      <c r="S176" s="226">
        <f t="shared" si="35"/>
        <v>1.4243050473427201E-3</v>
      </c>
      <c r="T176" s="226">
        <f t="shared" si="35"/>
        <v>1.344537426646888E-3</v>
      </c>
      <c r="U176" s="226">
        <f t="shared" si="35"/>
        <v>1.2692371588705342E-3</v>
      </c>
      <c r="V176" s="226">
        <f t="shared" si="35"/>
        <v>1.1981540517434985E-3</v>
      </c>
      <c r="W176" s="226">
        <f t="shared" si="35"/>
        <v>1.1310519249112172E-3</v>
      </c>
      <c r="X176" s="226">
        <f t="shared" si="35"/>
        <v>1.0677078252031304E-3</v>
      </c>
      <c r="Y176" s="226">
        <f t="shared" si="35"/>
        <v>1.0079112858496604E-3</v>
      </c>
      <c r="Z176" s="226">
        <f t="shared" si="35"/>
        <v>9.5146362718643988E-4</v>
      </c>
      <c r="AA176" s="226">
        <f t="shared" si="35"/>
        <v>8.9817729652231343E-4</v>
      </c>
      <c r="AB176" s="226">
        <f t="shared" si="35"/>
        <v>8.4787524497776095E-4</v>
      </c>
      <c r="AC176" s="226">
        <f t="shared" si="35"/>
        <v>8.0039033922323013E-4</v>
      </c>
      <c r="AD176" s="226">
        <f t="shared" si="35"/>
        <v>7.5556480616282228E-4</v>
      </c>
      <c r="AE176" s="226">
        <f t="shared" si="33"/>
        <v>7.1324970871824121E-4</v>
      </c>
      <c r="AF176" s="226">
        <f t="shared" si="33"/>
        <v>6.7330445097124733E-4</v>
      </c>
      <c r="AG176" s="226">
        <f t="shared" si="33"/>
        <v>6.3559631102040538E-4</v>
      </c>
      <c r="AH176" s="227">
        <v>5.9999999999999995E-4</v>
      </c>
      <c r="AI176" s="226">
        <f t="shared" si="36"/>
        <v>5.6639724579591211E-4</v>
      </c>
      <c r="AJ176" s="226">
        <f t="shared" si="36"/>
        <v>5.3467640007532475E-4</v>
      </c>
      <c r="AK176" s="226">
        <f t="shared" si="36"/>
        <v>5.0473206732456186E-4</v>
      </c>
      <c r="AL176" s="226">
        <f t="shared" si="36"/>
        <v>4.7646475466251456E-4</v>
      </c>
      <c r="AM176" s="226">
        <f t="shared" si="36"/>
        <v>4.4978054126612203E-4</v>
      </c>
      <c r="AN176" s="226">
        <f t="shared" si="36"/>
        <v>4.2459076630954352E-4</v>
      </c>
      <c r="AO176" s="226">
        <f t="shared" si="36"/>
        <v>4.0081173438016865E-4</v>
      </c>
      <c r="AP176" s="226">
        <f t="shared" si="36"/>
        <v>3.7836443739268372E-4</v>
      </c>
      <c r="AQ176" s="226">
        <f t="shared" si="36"/>
        <v>3.5717429207722648E-4</v>
      </c>
      <c r="AR176" s="226">
        <f t="shared" si="36"/>
        <v>3.3717089216940956E-4</v>
      </c>
      <c r="AS176" s="226">
        <f t="shared" si="36"/>
        <v>3.1828777447884005E-4</v>
      </c>
      <c r="AT176" s="226">
        <f t="shared" si="36"/>
        <v>3.0046219805887571E-4</v>
      </c>
      <c r="AU176" s="226">
        <f t="shared" si="36"/>
        <v>2.8363493574388841E-4</v>
      </c>
      <c r="AV176" s="226">
        <f t="shared" si="36"/>
        <v>2.6775007736139819E-4</v>
      </c>
      <c r="AW176" s="226">
        <f t="shared" si="36"/>
        <v>2.5275484396523055E-4</v>
      </c>
      <c r="AX176" s="226">
        <f t="shared" si="36"/>
        <v>2.3859941247247017E-4</v>
      </c>
      <c r="AY176" s="226">
        <f t="shared" si="34"/>
        <v>2.2523675012154983E-4</v>
      </c>
      <c r="AZ176" s="226">
        <f t="shared" si="34"/>
        <v>2.126224582014465E-4</v>
      </c>
      <c r="BA176" s="226">
        <f t="shared" si="34"/>
        <v>2.0071462453275958E-4</v>
      </c>
      <c r="BB176" s="226">
        <f t="shared" si="34"/>
        <v>1.8947368421052605E-4</v>
      </c>
      <c r="BC176" s="226">
        <f t="shared" si="34"/>
        <v>1.7886228814607727E-4</v>
      </c>
      <c r="BD176" s="226">
        <f t="shared" si="34"/>
        <v>1.6884517897115497E-4</v>
      </c>
      <c r="BE176" s="226">
        <f t="shared" si="34"/>
        <v>1.5938907389196672E-4</v>
      </c>
    </row>
    <row r="177" spans="5:57" s="10" customFormat="1" x14ac:dyDescent="0.35">
      <c r="E177" s="10" t="s">
        <v>637</v>
      </c>
      <c r="F177" s="10" t="s">
        <v>615</v>
      </c>
      <c r="G177" s="43" t="s">
        <v>616</v>
      </c>
      <c r="I177" s="20"/>
      <c r="J177" s="200"/>
      <c r="K177" s="200"/>
      <c r="L177" s="200"/>
      <c r="M177" s="200"/>
      <c r="N177" s="200">
        <v>1.8E-3</v>
      </c>
      <c r="O177" s="226">
        <f t="shared" si="35"/>
        <v>1.7037914807522868E-3</v>
      </c>
      <c r="P177" s="226">
        <f t="shared" si="35"/>
        <v>1.6127252277133722E-3</v>
      </c>
      <c r="Q177" s="226">
        <f t="shared" si="35"/>
        <v>1.5265263909846308E-3</v>
      </c>
      <c r="R177" s="226">
        <f t="shared" si="35"/>
        <v>1.4449348111684158E-3</v>
      </c>
      <c r="S177" s="226">
        <f t="shared" si="35"/>
        <v>1.3677042341728673E-3</v>
      </c>
      <c r="T177" s="226">
        <f t="shared" si="35"/>
        <v>1.2946015679847567E-3</v>
      </c>
      <c r="U177" s="226">
        <f t="shared" si="35"/>
        <v>1.2254061791672115E-3</v>
      </c>
      <c r="V177" s="226">
        <f t="shared" si="35"/>
        <v>1.1599092269590585E-3</v>
      </c>
      <c r="W177" s="226">
        <f t="shared" si="35"/>
        <v>1.097913032966008E-3</v>
      </c>
      <c r="X177" s="226">
        <f t="shared" si="35"/>
        <v>1.0392304845413273E-3</v>
      </c>
      <c r="Y177" s="226">
        <f t="shared" si="35"/>
        <v>9.8368447005532482E-4</v>
      </c>
      <c r="Z177" s="226">
        <f t="shared" si="35"/>
        <v>9.3110734434921692E-4</v>
      </c>
      <c r="AA177" s="226">
        <f t="shared" si="35"/>
        <v>8.8134042276004538E-4</v>
      </c>
      <c r="AB177" s="226">
        <f t="shared" si="35"/>
        <v>8.3423350218954676E-4</v>
      </c>
      <c r="AC177" s="226">
        <f t="shared" si="35"/>
        <v>7.8964440777149663E-4</v>
      </c>
      <c r="AD177" s="226">
        <f t="shared" si="35"/>
        <v>7.4743856376931152E-4</v>
      </c>
      <c r="AE177" s="226">
        <f t="shared" si="33"/>
        <v>7.0748858740882095E-4</v>
      </c>
      <c r="AF177" s="226">
        <f t="shared" si="33"/>
        <v>6.6967390442034371E-4</v>
      </c>
      <c r="AG177" s="226">
        <f t="shared" si="33"/>
        <v>6.3388038512972376E-4</v>
      </c>
      <c r="AH177" s="227">
        <v>5.9999999999999995E-4</v>
      </c>
      <c r="AI177" s="226">
        <f t="shared" si="36"/>
        <v>5.679304935840956E-4</v>
      </c>
      <c r="AJ177" s="226">
        <f t="shared" si="36"/>
        <v>5.375750759044574E-4</v>
      </c>
      <c r="AK177" s="226">
        <f t="shared" si="36"/>
        <v>5.0884213032821026E-4</v>
      </c>
      <c r="AL177" s="226">
        <f t="shared" si="36"/>
        <v>4.8164493705613861E-4</v>
      </c>
      <c r="AM177" s="226">
        <f t="shared" si="36"/>
        <v>4.5590141139095579E-4</v>
      </c>
      <c r="AN177" s="226">
        <f t="shared" si="36"/>
        <v>4.3153385599491888E-4</v>
      </c>
      <c r="AO177" s="226">
        <f t="shared" si="36"/>
        <v>4.0846872638907052E-4</v>
      </c>
      <c r="AP177" s="226">
        <f t="shared" si="36"/>
        <v>3.8663640898635286E-4</v>
      </c>
      <c r="AQ177" s="226">
        <f t="shared" si="36"/>
        <v>3.6597101098866938E-4</v>
      </c>
      <c r="AR177" s="226">
        <f t="shared" si="36"/>
        <v>3.4641016151377578E-4</v>
      </c>
      <c r="AS177" s="226">
        <f t="shared" si="36"/>
        <v>3.278948233517749E-4</v>
      </c>
      <c r="AT177" s="226">
        <f t="shared" si="36"/>
        <v>3.1036911478307227E-4</v>
      </c>
      <c r="AU177" s="226">
        <f t="shared" si="36"/>
        <v>2.9378014092001507E-4</v>
      </c>
      <c r="AV177" s="226">
        <f t="shared" si="36"/>
        <v>2.7807783406318218E-4</v>
      </c>
      <c r="AW177" s="226">
        <f t="shared" si="36"/>
        <v>2.6321480259049884E-4</v>
      </c>
      <c r="AX177" s="226">
        <f t="shared" si="36"/>
        <v>2.4914618792310384E-4</v>
      </c>
      <c r="AY177" s="226">
        <f t="shared" si="34"/>
        <v>2.3582952913627368E-4</v>
      </c>
      <c r="AZ177" s="226">
        <f t="shared" si="34"/>
        <v>2.2322463480678128E-4</v>
      </c>
      <c r="BA177" s="226">
        <f t="shared" si="34"/>
        <v>2.1129346170990797E-4</v>
      </c>
      <c r="BB177" s="226">
        <f t="shared" si="34"/>
        <v>2.0000000000000039E-4</v>
      </c>
      <c r="BC177" s="226">
        <f t="shared" si="34"/>
        <v>1.8931016452803225E-4</v>
      </c>
      <c r="BD177" s="226">
        <f t="shared" si="34"/>
        <v>1.7919169196815282E-4</v>
      </c>
      <c r="BE177" s="226">
        <f t="shared" si="34"/>
        <v>1.6961404344273707E-4</v>
      </c>
    </row>
    <row r="178" spans="5:57" s="10" customFormat="1" x14ac:dyDescent="0.35">
      <c r="E178" s="10" t="s">
        <v>638</v>
      </c>
      <c r="F178" s="10" t="s">
        <v>615</v>
      </c>
      <c r="G178" s="43" t="s">
        <v>616</v>
      </c>
      <c r="I178" s="20"/>
      <c r="J178" s="200"/>
      <c r="K178" s="200"/>
      <c r="L178" s="200"/>
      <c r="M178" s="200"/>
      <c r="N178" s="200">
        <v>1.6999999999999999E-3</v>
      </c>
      <c r="O178" s="226">
        <f t="shared" si="35"/>
        <v>1.6137417604427638E-3</v>
      </c>
      <c r="P178" s="226">
        <f t="shared" si="35"/>
        <v>1.5318602761158298E-3</v>
      </c>
      <c r="Q178" s="226">
        <f t="shared" si="35"/>
        <v>1.4541334698420572E-3</v>
      </c>
      <c r="R178" s="226">
        <f t="shared" si="35"/>
        <v>1.3803505326715681E-3</v>
      </c>
      <c r="S178" s="226">
        <f t="shared" si="35"/>
        <v>1.3103113521303078E-3</v>
      </c>
      <c r="T178" s="226">
        <f t="shared" si="35"/>
        <v>1.2438259694793536E-3</v>
      </c>
      <c r="U178" s="226">
        <f t="shared" si="35"/>
        <v>1.1807140645129644E-3</v>
      </c>
      <c r="V178" s="226">
        <f t="shared" si="35"/>
        <v>1.1208044664980483E-3</v>
      </c>
      <c r="W178" s="226">
        <f t="shared" si="35"/>
        <v>1.0639346899286313E-3</v>
      </c>
      <c r="X178" s="226">
        <f t="shared" si="35"/>
        <v>1.009950493836209E-3</v>
      </c>
      <c r="Y178" s="226">
        <f t="shared" si="35"/>
        <v>9.5870546346075449E-4</v>
      </c>
      <c r="Z178" s="226">
        <f t="shared" si="35"/>
        <v>9.1006061314779629E-4</v>
      </c>
      <c r="AA178" s="226">
        <f t="shared" si="35"/>
        <v>8.6388400939455641E-4</v>
      </c>
      <c r="AB178" s="226">
        <f t="shared" si="35"/>
        <v>8.2005041302277918E-4</v>
      </c>
      <c r="AC178" s="226">
        <f t="shared" si="35"/>
        <v>7.7844093950776188E-4</v>
      </c>
      <c r="AD178" s="226">
        <f t="shared" si="35"/>
        <v>7.38942736542338E-4</v>
      </c>
      <c r="AE178" s="226">
        <f t="shared" si="33"/>
        <v>7.014486779613094E-4</v>
      </c>
      <c r="AF178" s="226">
        <f t="shared" si="33"/>
        <v>6.6585707319619569E-4</v>
      </c>
      <c r="AG178" s="226">
        <f t="shared" si="33"/>
        <v>6.3207139147229122E-4</v>
      </c>
      <c r="AH178" s="227">
        <v>5.9999999999999995E-4</v>
      </c>
      <c r="AI178" s="226">
        <f t="shared" si="36"/>
        <v>5.6955591545038717E-4</v>
      </c>
      <c r="AJ178" s="226">
        <f t="shared" si="36"/>
        <v>5.4065656804088097E-4</v>
      </c>
      <c r="AK178" s="226">
        <f t="shared" si="36"/>
        <v>5.1322357759131423E-4</v>
      </c>
      <c r="AL178" s="226">
        <f t="shared" si="36"/>
        <v>4.8718254094290637E-4</v>
      </c>
      <c r="AM178" s="226">
        <f t="shared" si="36"/>
        <v>4.6246283016363799E-4</v>
      </c>
      <c r="AN178" s="226">
        <f t="shared" si="36"/>
        <v>4.3899740099271299E-4</v>
      </c>
      <c r="AO178" s="226">
        <f t="shared" si="36"/>
        <v>4.1672261100457561E-4</v>
      </c>
      <c r="AP178" s="226">
        <f t="shared" si="36"/>
        <v>3.9557804699931113E-4</v>
      </c>
      <c r="AQ178" s="226">
        <f t="shared" si="36"/>
        <v>3.7550636115128158E-4</v>
      </c>
      <c r="AR178" s="226">
        <f t="shared" si="36"/>
        <v>3.5645311547160316E-4</v>
      </c>
      <c r="AS178" s="226">
        <f t="shared" si="36"/>
        <v>3.3836663416261922E-4</v>
      </c>
      <c r="AT178" s="226">
        <f t="shared" si="36"/>
        <v>3.2119786346392808E-4</v>
      </c>
      <c r="AU178" s="226">
        <f t="shared" si="36"/>
        <v>3.049002386098434E-4</v>
      </c>
      <c r="AV178" s="226">
        <f t="shared" si="36"/>
        <v>2.8942955753745144E-4</v>
      </c>
      <c r="AW178" s="226">
        <f t="shared" si="36"/>
        <v>2.7474386100273946E-4</v>
      </c>
      <c r="AX178" s="226">
        <f t="shared" si="36"/>
        <v>2.6080331877964872E-4</v>
      </c>
      <c r="AY178" s="226">
        <f t="shared" si="34"/>
        <v>2.4757012163340329E-4</v>
      </c>
      <c r="AZ178" s="226">
        <f t="shared" si="34"/>
        <v>2.3500837877512786E-4</v>
      </c>
      <c r="BA178" s="226">
        <f t="shared" si="34"/>
        <v>2.2308402051963216E-4</v>
      </c>
      <c r="BB178" s="226">
        <f t="shared" si="34"/>
        <v>2.1176470588235344E-4</v>
      </c>
      <c r="BC178" s="226">
        <f t="shared" si="34"/>
        <v>2.0101973486484303E-4</v>
      </c>
      <c r="BD178" s="226">
        <f t="shared" si="34"/>
        <v>1.9081996519089965E-4</v>
      </c>
      <c r="BE178" s="226">
        <f t="shared" si="34"/>
        <v>1.8113773326752311E-4</v>
      </c>
    </row>
    <row r="179" spans="5:57" s="10" customFormat="1" x14ac:dyDescent="0.35">
      <c r="E179" s="10" t="s">
        <v>639</v>
      </c>
      <c r="F179" s="10" t="s">
        <v>615</v>
      </c>
      <c r="G179" s="43" t="s">
        <v>616</v>
      </c>
      <c r="I179" s="20"/>
      <c r="J179" s="200"/>
      <c r="K179" s="200"/>
      <c r="L179" s="200"/>
      <c r="M179" s="200"/>
      <c r="N179" s="200">
        <v>1.6999999999999999E-3</v>
      </c>
      <c r="O179" s="226">
        <f t="shared" si="35"/>
        <v>1.6137417604427638E-3</v>
      </c>
      <c r="P179" s="226">
        <f t="shared" si="35"/>
        <v>1.5318602761158298E-3</v>
      </c>
      <c r="Q179" s="226">
        <f t="shared" si="35"/>
        <v>1.4541334698420572E-3</v>
      </c>
      <c r="R179" s="226">
        <f t="shared" si="35"/>
        <v>1.3803505326715681E-3</v>
      </c>
      <c r="S179" s="226">
        <f t="shared" si="35"/>
        <v>1.3103113521303078E-3</v>
      </c>
      <c r="T179" s="226">
        <f t="shared" si="35"/>
        <v>1.2438259694793536E-3</v>
      </c>
      <c r="U179" s="226">
        <f t="shared" si="35"/>
        <v>1.1807140645129644E-3</v>
      </c>
      <c r="V179" s="226">
        <f t="shared" si="35"/>
        <v>1.1208044664980483E-3</v>
      </c>
      <c r="W179" s="226">
        <f t="shared" si="35"/>
        <v>1.0639346899286313E-3</v>
      </c>
      <c r="X179" s="226">
        <f t="shared" si="35"/>
        <v>1.009950493836209E-3</v>
      </c>
      <c r="Y179" s="226">
        <f t="shared" si="35"/>
        <v>9.5870546346075449E-4</v>
      </c>
      <c r="Z179" s="226">
        <f t="shared" si="35"/>
        <v>9.1006061314779629E-4</v>
      </c>
      <c r="AA179" s="226">
        <f t="shared" si="35"/>
        <v>8.6388400939455641E-4</v>
      </c>
      <c r="AB179" s="226">
        <f t="shared" si="35"/>
        <v>8.2005041302277918E-4</v>
      </c>
      <c r="AC179" s="226">
        <f t="shared" si="35"/>
        <v>7.7844093950776188E-4</v>
      </c>
      <c r="AD179" s="226">
        <f t="shared" si="35"/>
        <v>7.38942736542338E-4</v>
      </c>
      <c r="AE179" s="226">
        <f t="shared" si="33"/>
        <v>7.014486779613094E-4</v>
      </c>
      <c r="AF179" s="226">
        <f t="shared" si="33"/>
        <v>6.6585707319619569E-4</v>
      </c>
      <c r="AG179" s="226">
        <f t="shared" si="33"/>
        <v>6.3207139147229122E-4</v>
      </c>
      <c r="AH179" s="227">
        <v>5.9999999999999995E-4</v>
      </c>
      <c r="AI179" s="226">
        <f t="shared" si="36"/>
        <v>5.6955591545038717E-4</v>
      </c>
      <c r="AJ179" s="226">
        <f t="shared" si="36"/>
        <v>5.4065656804088097E-4</v>
      </c>
      <c r="AK179" s="226">
        <f t="shared" si="36"/>
        <v>5.1322357759131423E-4</v>
      </c>
      <c r="AL179" s="226">
        <f t="shared" si="36"/>
        <v>4.8718254094290637E-4</v>
      </c>
      <c r="AM179" s="226">
        <f t="shared" si="36"/>
        <v>4.6246283016363799E-4</v>
      </c>
      <c r="AN179" s="226">
        <f t="shared" si="36"/>
        <v>4.3899740099271299E-4</v>
      </c>
      <c r="AO179" s="226">
        <f t="shared" si="36"/>
        <v>4.1672261100457561E-4</v>
      </c>
      <c r="AP179" s="226">
        <f t="shared" si="36"/>
        <v>3.9557804699931113E-4</v>
      </c>
      <c r="AQ179" s="226">
        <f t="shared" si="36"/>
        <v>3.7550636115128158E-4</v>
      </c>
      <c r="AR179" s="226">
        <f t="shared" si="36"/>
        <v>3.5645311547160316E-4</v>
      </c>
      <c r="AS179" s="226">
        <f t="shared" si="36"/>
        <v>3.3836663416261922E-4</v>
      </c>
      <c r="AT179" s="226">
        <f t="shared" si="36"/>
        <v>3.2119786346392808E-4</v>
      </c>
      <c r="AU179" s="226">
        <f t="shared" si="36"/>
        <v>3.049002386098434E-4</v>
      </c>
      <c r="AV179" s="226">
        <f t="shared" si="36"/>
        <v>2.8942955753745144E-4</v>
      </c>
      <c r="AW179" s="226">
        <f t="shared" si="36"/>
        <v>2.7474386100273946E-4</v>
      </c>
      <c r="AX179" s="226">
        <f t="shared" si="36"/>
        <v>2.6080331877964872E-4</v>
      </c>
      <c r="AY179" s="226">
        <f t="shared" si="34"/>
        <v>2.4757012163340329E-4</v>
      </c>
      <c r="AZ179" s="226">
        <f t="shared" si="34"/>
        <v>2.3500837877512786E-4</v>
      </c>
      <c r="BA179" s="226">
        <f t="shared" si="34"/>
        <v>2.2308402051963216E-4</v>
      </c>
      <c r="BB179" s="226">
        <f t="shared" si="34"/>
        <v>2.1176470588235344E-4</v>
      </c>
      <c r="BC179" s="226">
        <f t="shared" si="34"/>
        <v>2.0101973486484303E-4</v>
      </c>
      <c r="BD179" s="226">
        <f t="shared" si="34"/>
        <v>1.9081996519089965E-4</v>
      </c>
      <c r="BE179" s="226">
        <f t="shared" si="34"/>
        <v>1.8113773326752311E-4</v>
      </c>
    </row>
    <row r="180" spans="5:57" s="10" customFormat="1" x14ac:dyDescent="0.35">
      <c r="E180" s="10" t="s">
        <v>640</v>
      </c>
      <c r="F180" s="10" t="s">
        <v>615</v>
      </c>
      <c r="G180" s="43" t="s">
        <v>616</v>
      </c>
      <c r="I180" s="20"/>
      <c r="J180" s="200"/>
      <c r="K180" s="200"/>
      <c r="L180" s="200"/>
      <c r="M180" s="200"/>
      <c r="N180" s="200">
        <v>1.6000000000000001E-3</v>
      </c>
      <c r="O180" s="226">
        <f t="shared" si="35"/>
        <v>1.5234266409015838E-3</v>
      </c>
      <c r="P180" s="226">
        <f t="shared" si="35"/>
        <v>1.450517956380427E-3</v>
      </c>
      <c r="Q180" s="226">
        <f t="shared" si="35"/>
        <v>1.38109856116004E-3</v>
      </c>
      <c r="R180" s="226">
        <f t="shared" si="35"/>
        <v>1.3150014636137814E-3</v>
      </c>
      <c r="S180" s="226">
        <f t="shared" si="35"/>
        <v>1.2520676640586307E-3</v>
      </c>
      <c r="T180" s="226">
        <f t="shared" si="35"/>
        <v>1.1921457722739578E-3</v>
      </c>
      <c r="U180" s="226">
        <f t="shared" si="35"/>
        <v>1.1350916433252125E-3</v>
      </c>
      <c r="V180" s="226">
        <f t="shared" si="35"/>
        <v>1.0807680308164919E-3</v>
      </c>
      <c r="W180" s="226">
        <f t="shared" si="35"/>
        <v>1.0290442567378673E-3</v>
      </c>
      <c r="X180" s="226">
        <f t="shared" si="35"/>
        <v>9.7979589711327266E-4</v>
      </c>
      <c r="Y180" s="226">
        <f t="shared" si="35"/>
        <v>9.3290448269276675E-4</v>
      </c>
      <c r="Z180" s="226">
        <f t="shared" si="35"/>
        <v>8.8825721396916957E-4</v>
      </c>
      <c r="AA180" s="226">
        <f t="shared" si="35"/>
        <v>8.4574668983353207E-4</v>
      </c>
      <c r="AB180" s="226">
        <f t="shared" si="35"/>
        <v>8.0527064921670716E-4</v>
      </c>
      <c r="AC180" s="226">
        <f t="shared" si="35"/>
        <v>7.6673172509552864E-4</v>
      </c>
      <c r="AD180" s="226">
        <f t="shared" si="35"/>
        <v>7.3003721027184866E-4</v>
      </c>
      <c r="AE180" s="226">
        <f t="shared" si="33"/>
        <v>6.9509883436100347E-4</v>
      </c>
      <c r="AF180" s="226">
        <f t="shared" si="33"/>
        <v>6.6183255145324364E-4</v>
      </c>
      <c r="AG180" s="226">
        <f t="shared" si="33"/>
        <v>6.3015833793733721E-4</v>
      </c>
      <c r="AH180" s="227">
        <v>5.9999999999999995E-4</v>
      </c>
      <c r="AI180" s="226">
        <f t="shared" si="36"/>
        <v>5.7128499033809389E-4</v>
      </c>
      <c r="AJ180" s="226">
        <f t="shared" si="36"/>
        <v>5.439442336426601E-4</v>
      </c>
      <c r="AK180" s="226">
        <f t="shared" si="36"/>
        <v>5.1791196043501496E-4</v>
      </c>
      <c r="AL180" s="226">
        <f t="shared" si="36"/>
        <v>4.9312554885516799E-4</v>
      </c>
      <c r="AM180" s="226">
        <f t="shared" si="36"/>
        <v>4.6952537402198649E-4</v>
      </c>
      <c r="AN180" s="226">
        <f t="shared" si="36"/>
        <v>4.4705466460273413E-4</v>
      </c>
      <c r="AO180" s="226">
        <f t="shared" si="36"/>
        <v>4.2565936624695464E-4</v>
      </c>
      <c r="AP180" s="226">
        <f t="shared" si="36"/>
        <v>4.0528801155618446E-4</v>
      </c>
      <c r="AQ180" s="226">
        <f t="shared" si="36"/>
        <v>3.8589159627670024E-4</v>
      </c>
      <c r="AR180" s="226">
        <f t="shared" si="36"/>
        <v>3.6742346141747722E-4</v>
      </c>
      <c r="AS180" s="226">
        <f t="shared" si="36"/>
        <v>3.4983918100978752E-4</v>
      </c>
      <c r="AT180" s="226">
        <f t="shared" si="36"/>
        <v>3.3309645523843859E-4</v>
      </c>
      <c r="AU180" s="226">
        <f t="shared" si="36"/>
        <v>3.1715500868757454E-4</v>
      </c>
      <c r="AV180" s="226">
        <f t="shared" si="36"/>
        <v>3.0197649345626519E-4</v>
      </c>
      <c r="AW180" s="226">
        <f t="shared" si="36"/>
        <v>2.8752439691082321E-4</v>
      </c>
      <c r="AX180" s="226">
        <f t="shared" si="36"/>
        <v>2.7376395385194318E-4</v>
      </c>
      <c r="AY180" s="226">
        <f t="shared" si="34"/>
        <v>2.6066206288537626E-4</v>
      </c>
      <c r="AZ180" s="226">
        <f t="shared" si="34"/>
        <v>2.4818720679496632E-4</v>
      </c>
      <c r="BA180" s="226">
        <f t="shared" si="34"/>
        <v>2.3630937672650142E-4</v>
      </c>
      <c r="BB180" s="226">
        <f t="shared" si="34"/>
        <v>2.2500000000000062E-4</v>
      </c>
      <c r="BC180" s="226">
        <f t="shared" si="34"/>
        <v>2.1423187137678581E-4</v>
      </c>
      <c r="BD180" s="226">
        <f t="shared" si="34"/>
        <v>2.0397908761599811E-4</v>
      </c>
      <c r="BE180" s="226">
        <f t="shared" si="34"/>
        <v>1.9421698516313115E-4</v>
      </c>
    </row>
    <row r="181" spans="5:57" s="10" customFormat="1" x14ac:dyDescent="0.35">
      <c r="E181" s="10" t="s">
        <v>641</v>
      </c>
      <c r="F181" s="10" t="s">
        <v>615</v>
      </c>
      <c r="G181" s="43" t="s">
        <v>616</v>
      </c>
      <c r="I181" s="20"/>
      <c r="J181" s="200"/>
      <c r="K181" s="200"/>
      <c r="L181" s="200"/>
      <c r="M181" s="200"/>
      <c r="N181" s="200">
        <v>1.5E-3</v>
      </c>
      <c r="O181" s="226">
        <f t="shared" si="35"/>
        <v>1.4198262339602391E-3</v>
      </c>
      <c r="P181" s="226">
        <f t="shared" si="35"/>
        <v>1.3439376897611437E-3</v>
      </c>
      <c r="Q181" s="226">
        <f t="shared" si="35"/>
        <v>1.2721053258205259E-3</v>
      </c>
      <c r="R181" s="226">
        <f t="shared" si="35"/>
        <v>1.2041123426403467E-3</v>
      </c>
      <c r="S181" s="226">
        <f t="shared" si="35"/>
        <v>1.1397535284773895E-3</v>
      </c>
      <c r="T181" s="226">
        <f t="shared" si="35"/>
        <v>1.0788346399872974E-3</v>
      </c>
      <c r="U181" s="226">
        <f t="shared" si="35"/>
        <v>1.0211718159726766E-3</v>
      </c>
      <c r="V181" s="226">
        <f t="shared" si="35"/>
        <v>9.6659102246588239E-4</v>
      </c>
      <c r="W181" s="226">
        <f t="shared" si="35"/>
        <v>9.1492752747167371E-4</v>
      </c>
      <c r="X181" s="226">
        <f t="shared" si="35"/>
        <v>8.6602540378443967E-4</v>
      </c>
      <c r="Y181" s="226">
        <f t="shared" si="35"/>
        <v>8.1973705837943753E-4</v>
      </c>
      <c r="Z181" s="226">
        <f t="shared" si="35"/>
        <v>7.7592278695768095E-4</v>
      </c>
      <c r="AA181" s="226">
        <f t="shared" si="35"/>
        <v>7.3445035230003798E-4</v>
      </c>
      <c r="AB181" s="226">
        <f t="shared" si="35"/>
        <v>6.9519458515795583E-4</v>
      </c>
      <c r="AC181" s="226">
        <f t="shared" si="35"/>
        <v>6.5803700647624737E-4</v>
      </c>
      <c r="AD181" s="226">
        <f t="shared" si="35"/>
        <v>6.2286546980775976E-4</v>
      </c>
      <c r="AE181" s="226">
        <f t="shared" si="33"/>
        <v>5.8957382284068429E-4</v>
      </c>
      <c r="AF181" s="226">
        <f t="shared" si="33"/>
        <v>5.5806158701695327E-4</v>
      </c>
      <c r="AG181" s="226">
        <f t="shared" si="33"/>
        <v>5.2823365427477002E-4</v>
      </c>
      <c r="AH181" s="227">
        <v>5.0000000000000001E-4</v>
      </c>
      <c r="AI181" s="226">
        <f t="shared" si="36"/>
        <v>4.7327541132007967E-4</v>
      </c>
      <c r="AJ181" s="226">
        <f t="shared" si="36"/>
        <v>4.4797922992038117E-4</v>
      </c>
      <c r="AK181" s="226">
        <f t="shared" si="36"/>
        <v>4.2403510860684185E-4</v>
      </c>
      <c r="AL181" s="226">
        <f t="shared" si="36"/>
        <v>4.0137078088011547E-4</v>
      </c>
      <c r="AM181" s="226">
        <f t="shared" si="36"/>
        <v>3.7991784282579642E-4</v>
      </c>
      <c r="AN181" s="226">
        <f t="shared" si="36"/>
        <v>3.5961154666243236E-4</v>
      </c>
      <c r="AO181" s="226">
        <f t="shared" si="36"/>
        <v>3.4039060532422541E-4</v>
      </c>
      <c r="AP181" s="226">
        <f t="shared" si="36"/>
        <v>3.2219700748862737E-4</v>
      </c>
      <c r="AQ181" s="226">
        <f t="shared" si="36"/>
        <v>3.0497584249055781E-4</v>
      </c>
      <c r="AR181" s="226">
        <f t="shared" si="36"/>
        <v>2.8867513459481317E-4</v>
      </c>
      <c r="AS181" s="226">
        <f t="shared" si="36"/>
        <v>2.7324568612647912E-4</v>
      </c>
      <c r="AT181" s="226">
        <f t="shared" si="36"/>
        <v>2.5864092898589356E-4</v>
      </c>
      <c r="AU181" s="226">
        <f t="shared" si="36"/>
        <v>2.4481678410001259E-4</v>
      </c>
      <c r="AV181" s="226">
        <f t="shared" si="36"/>
        <v>2.3173152838598519E-4</v>
      </c>
      <c r="AW181" s="226">
        <f t="shared" si="36"/>
        <v>2.193456688254157E-4</v>
      </c>
      <c r="AX181" s="226">
        <f t="shared" si="36"/>
        <v>2.0762182326925318E-4</v>
      </c>
      <c r="AY181" s="226">
        <f t="shared" si="34"/>
        <v>1.9652460761356138E-4</v>
      </c>
      <c r="AZ181" s="226">
        <f t="shared" si="34"/>
        <v>1.8602052900565104E-4</v>
      </c>
      <c r="BA181" s="226">
        <f t="shared" si="34"/>
        <v>1.7607788475825661E-4</v>
      </c>
      <c r="BB181" s="226">
        <f t="shared" si="34"/>
        <v>1.6666666666666696E-4</v>
      </c>
      <c r="BC181" s="226">
        <f t="shared" si="34"/>
        <v>1.5775847044002684E-4</v>
      </c>
      <c r="BD181" s="226">
        <f t="shared" si="34"/>
        <v>1.4932640997346067E-4</v>
      </c>
      <c r="BE181" s="226">
        <f t="shared" si="34"/>
        <v>1.4134503620228089E-4</v>
      </c>
    </row>
    <row r="182" spans="5:57" s="10" customFormat="1" x14ac:dyDescent="0.35">
      <c r="E182" s="10" t="s">
        <v>642</v>
      </c>
      <c r="F182" s="10" t="s">
        <v>615</v>
      </c>
      <c r="G182" s="43" t="s">
        <v>616</v>
      </c>
      <c r="I182" s="20"/>
      <c r="J182" s="200"/>
      <c r="K182" s="200"/>
      <c r="L182" s="200"/>
      <c r="M182" s="200"/>
      <c r="N182" s="200">
        <v>1.5E-3</v>
      </c>
      <c r="O182" s="226">
        <f t="shared" si="35"/>
        <v>1.4198262339602391E-3</v>
      </c>
      <c r="P182" s="226">
        <f t="shared" si="35"/>
        <v>1.3439376897611437E-3</v>
      </c>
      <c r="Q182" s="226">
        <f t="shared" si="35"/>
        <v>1.2721053258205259E-3</v>
      </c>
      <c r="R182" s="226">
        <f t="shared" si="35"/>
        <v>1.2041123426403467E-3</v>
      </c>
      <c r="S182" s="226">
        <f t="shared" si="35"/>
        <v>1.1397535284773895E-3</v>
      </c>
      <c r="T182" s="226">
        <f t="shared" si="35"/>
        <v>1.0788346399872974E-3</v>
      </c>
      <c r="U182" s="226">
        <f t="shared" si="35"/>
        <v>1.0211718159726766E-3</v>
      </c>
      <c r="V182" s="226">
        <f t="shared" si="35"/>
        <v>9.6659102246588239E-4</v>
      </c>
      <c r="W182" s="226">
        <f t="shared" si="35"/>
        <v>9.1492752747167371E-4</v>
      </c>
      <c r="X182" s="226">
        <f t="shared" si="35"/>
        <v>8.6602540378443967E-4</v>
      </c>
      <c r="Y182" s="226">
        <f t="shared" si="35"/>
        <v>8.1973705837943753E-4</v>
      </c>
      <c r="Z182" s="226">
        <f t="shared" si="35"/>
        <v>7.7592278695768095E-4</v>
      </c>
      <c r="AA182" s="226">
        <f t="shared" si="35"/>
        <v>7.3445035230003798E-4</v>
      </c>
      <c r="AB182" s="226">
        <f t="shared" si="35"/>
        <v>6.9519458515795583E-4</v>
      </c>
      <c r="AC182" s="226">
        <f t="shared" si="35"/>
        <v>6.5803700647624737E-4</v>
      </c>
      <c r="AD182" s="226">
        <f t="shared" si="35"/>
        <v>6.2286546980775976E-4</v>
      </c>
      <c r="AE182" s="226">
        <f t="shared" si="33"/>
        <v>5.8957382284068429E-4</v>
      </c>
      <c r="AF182" s="226">
        <f t="shared" si="33"/>
        <v>5.5806158701695327E-4</v>
      </c>
      <c r="AG182" s="226">
        <f t="shared" si="33"/>
        <v>5.2823365427477002E-4</v>
      </c>
      <c r="AH182" s="227">
        <v>5.0000000000000001E-4</v>
      </c>
      <c r="AI182" s="226">
        <f t="shared" si="36"/>
        <v>4.7327541132007967E-4</v>
      </c>
      <c r="AJ182" s="226">
        <f t="shared" si="36"/>
        <v>4.4797922992038117E-4</v>
      </c>
      <c r="AK182" s="226">
        <f t="shared" si="36"/>
        <v>4.2403510860684185E-4</v>
      </c>
      <c r="AL182" s="226">
        <f t="shared" si="36"/>
        <v>4.0137078088011547E-4</v>
      </c>
      <c r="AM182" s="226">
        <f t="shared" si="36"/>
        <v>3.7991784282579642E-4</v>
      </c>
      <c r="AN182" s="226">
        <f t="shared" si="36"/>
        <v>3.5961154666243236E-4</v>
      </c>
      <c r="AO182" s="226">
        <f t="shared" si="36"/>
        <v>3.4039060532422541E-4</v>
      </c>
      <c r="AP182" s="226">
        <f t="shared" si="36"/>
        <v>3.2219700748862737E-4</v>
      </c>
      <c r="AQ182" s="226">
        <f t="shared" si="36"/>
        <v>3.0497584249055781E-4</v>
      </c>
      <c r="AR182" s="226">
        <f t="shared" si="36"/>
        <v>2.8867513459481317E-4</v>
      </c>
      <c r="AS182" s="226">
        <f t="shared" si="36"/>
        <v>2.7324568612647912E-4</v>
      </c>
      <c r="AT182" s="226">
        <f t="shared" si="36"/>
        <v>2.5864092898589356E-4</v>
      </c>
      <c r="AU182" s="226">
        <f t="shared" si="36"/>
        <v>2.4481678410001259E-4</v>
      </c>
      <c r="AV182" s="226">
        <f t="shared" si="36"/>
        <v>2.3173152838598519E-4</v>
      </c>
      <c r="AW182" s="226">
        <f t="shared" si="36"/>
        <v>2.193456688254157E-4</v>
      </c>
      <c r="AX182" s="226">
        <f t="shared" si="36"/>
        <v>2.0762182326925318E-4</v>
      </c>
      <c r="AY182" s="226">
        <f t="shared" si="34"/>
        <v>1.9652460761356138E-4</v>
      </c>
      <c r="AZ182" s="226">
        <f t="shared" si="34"/>
        <v>1.8602052900565104E-4</v>
      </c>
      <c r="BA182" s="226">
        <f t="shared" si="34"/>
        <v>1.7607788475825661E-4</v>
      </c>
      <c r="BB182" s="226">
        <f t="shared" si="34"/>
        <v>1.6666666666666696E-4</v>
      </c>
      <c r="BC182" s="226">
        <f t="shared" si="34"/>
        <v>1.5775847044002684E-4</v>
      </c>
      <c r="BD182" s="226">
        <f t="shared" si="34"/>
        <v>1.4932640997346067E-4</v>
      </c>
      <c r="BE182" s="226">
        <f t="shared" si="34"/>
        <v>1.4134503620228089E-4</v>
      </c>
    </row>
    <row r="183" spans="5:57" s="10" customFormat="1" x14ac:dyDescent="0.35">
      <c r="E183" s="109" t="s">
        <v>643</v>
      </c>
      <c r="F183" s="10" t="s">
        <v>615</v>
      </c>
      <c r="G183" s="43" t="s">
        <v>616</v>
      </c>
      <c r="I183" s="20"/>
      <c r="J183" s="200"/>
      <c r="K183" s="200"/>
      <c r="L183" s="200"/>
      <c r="M183" s="200"/>
      <c r="N183" s="200">
        <v>1.4E-3</v>
      </c>
      <c r="O183" s="226">
        <f t="shared" si="35"/>
        <v>1.3297504137143644E-3</v>
      </c>
      <c r="P183" s="226">
        <f t="shared" si="35"/>
        <v>1.2630258305525166E-3</v>
      </c>
      <c r="Q183" s="226">
        <f t="shared" si="35"/>
        <v>1.1996493719350983E-3</v>
      </c>
      <c r="R183" s="226">
        <f t="shared" si="35"/>
        <v>1.1394530347449102E-3</v>
      </c>
      <c r="S183" s="226">
        <f t="shared" si="35"/>
        <v>1.0822772459715231E-3</v>
      </c>
      <c r="T183" s="226">
        <f t="shared" si="35"/>
        <v>1.0279704397030541E-3</v>
      </c>
      <c r="U183" s="226">
        <f t="shared" si="35"/>
        <v>9.7638865534376668E-4</v>
      </c>
      <c r="V183" s="226">
        <f t="shared" si="35"/>
        <v>9.2739515599241833E-4</v>
      </c>
      <c r="W183" s="226">
        <f t="shared" si="35"/>
        <v>8.8086006596972558E-4</v>
      </c>
      <c r="X183" s="226">
        <f t="shared" si="35"/>
        <v>8.3666002653407488E-4</v>
      </c>
      <c r="Y183" s="226">
        <f t="shared" si="35"/>
        <v>7.9467786887282659E-4</v>
      </c>
      <c r="Z183" s="226">
        <f t="shared" si="35"/>
        <v>7.5480230350235037E-4</v>
      </c>
      <c r="AA183" s="226">
        <f t="shared" si="35"/>
        <v>7.169276252534326E-4</v>
      </c>
      <c r="AB183" s="226">
        <f t="shared" si="35"/>
        <v>6.8095343306000624E-4</v>
      </c>
      <c r="AC183" s="226">
        <f t="shared" si="35"/>
        <v>6.4678436380840004E-4</v>
      </c>
      <c r="AD183" s="226">
        <f t="shared" si="35"/>
        <v>6.1432983954157281E-4</v>
      </c>
      <c r="AE183" s="226">
        <f t="shared" si="33"/>
        <v>5.8350382734820392E-4</v>
      </c>
      <c r="AF183" s="226">
        <f t="shared" si="33"/>
        <v>5.5422461130013516E-4</v>
      </c>
      <c r="AG183" s="226">
        <f t="shared" si="33"/>
        <v>5.2641457583359826E-4</v>
      </c>
      <c r="AH183" s="227">
        <v>5.0000000000000001E-4</v>
      </c>
      <c r="AI183" s="226">
        <f t="shared" si="36"/>
        <v>4.7491086204084446E-4</v>
      </c>
      <c r="AJ183" s="226">
        <f t="shared" si="36"/>
        <v>4.5108065376875595E-4</v>
      </c>
      <c r="AK183" s="226">
        <f t="shared" si="36"/>
        <v>4.2844620426253513E-4</v>
      </c>
      <c r="AL183" s="226">
        <f t="shared" si="36"/>
        <v>4.0694751240889657E-4</v>
      </c>
      <c r="AM183" s="226">
        <f t="shared" si="36"/>
        <v>3.865275878469726E-4</v>
      </c>
      <c r="AN183" s="226">
        <f t="shared" si="36"/>
        <v>3.6713229989394794E-4</v>
      </c>
      <c r="AO183" s="226">
        <f t="shared" si="36"/>
        <v>3.4871023405134527E-4</v>
      </c>
      <c r="AP183" s="226">
        <f t="shared" si="36"/>
        <v>3.3121255571157799E-4</v>
      </c>
      <c r="AQ183" s="226">
        <f t="shared" si="36"/>
        <v>3.1459288070347341E-4</v>
      </c>
      <c r="AR183" s="226">
        <f t="shared" si="36"/>
        <v>2.9880715233359816E-4</v>
      </c>
      <c r="AS183" s="226">
        <f t="shared" si="36"/>
        <v>2.8381352459743803E-4</v>
      </c>
      <c r="AT183" s="226">
        <f t="shared" si="36"/>
        <v>2.695722512508394E-4</v>
      </c>
      <c r="AU183" s="226">
        <f t="shared" si="36"/>
        <v>2.5604558044765451E-4</v>
      </c>
      <c r="AV183" s="226">
        <f t="shared" si="36"/>
        <v>2.4319765466428796E-4</v>
      </c>
      <c r="AW183" s="226">
        <f t="shared" si="36"/>
        <v>2.3099441564585716E-4</v>
      </c>
      <c r="AX183" s="226">
        <f t="shared" si="36"/>
        <v>2.194035141219903E-4</v>
      </c>
      <c r="AY183" s="226">
        <f t="shared" si="34"/>
        <v>2.0839422405293E-4</v>
      </c>
      <c r="AZ183" s="226">
        <f t="shared" si="34"/>
        <v>1.9793736117861973E-4</v>
      </c>
      <c r="BA183" s="226">
        <f t="shared" si="34"/>
        <v>1.8800520565485655E-4</v>
      </c>
      <c r="BB183" s="226">
        <f t="shared" si="34"/>
        <v>1.7857142857142833E-4</v>
      </c>
      <c r="BC183" s="226">
        <f t="shared" si="34"/>
        <v>1.6961102215744421E-4</v>
      </c>
      <c r="BD183" s="226">
        <f t="shared" si="34"/>
        <v>1.611002334888412E-4</v>
      </c>
      <c r="BE183" s="226">
        <f t="shared" si="34"/>
        <v>1.5301650152233377E-4</v>
      </c>
    </row>
    <row r="184" spans="5:57" s="10" customFormat="1" x14ac:dyDescent="0.35">
      <c r="E184" s="109" t="s">
        <v>644</v>
      </c>
      <c r="F184" s="10" t="s">
        <v>615</v>
      </c>
      <c r="G184" s="43" t="s">
        <v>616</v>
      </c>
      <c r="I184" s="20"/>
      <c r="J184" s="200"/>
      <c r="K184" s="200"/>
      <c r="L184" s="200"/>
      <c r="M184" s="200"/>
      <c r="N184" s="200">
        <v>1.4E-3</v>
      </c>
      <c r="O184" s="226">
        <f t="shared" si="35"/>
        <v>1.3297504137143644E-3</v>
      </c>
      <c r="P184" s="226">
        <f t="shared" si="35"/>
        <v>1.2630258305525166E-3</v>
      </c>
      <c r="Q184" s="226">
        <f t="shared" si="35"/>
        <v>1.1996493719350983E-3</v>
      </c>
      <c r="R184" s="226">
        <f t="shared" si="35"/>
        <v>1.1394530347449102E-3</v>
      </c>
      <c r="S184" s="226">
        <f t="shared" si="35"/>
        <v>1.0822772459715231E-3</v>
      </c>
      <c r="T184" s="226">
        <f t="shared" si="35"/>
        <v>1.0279704397030541E-3</v>
      </c>
      <c r="U184" s="226">
        <f t="shared" si="35"/>
        <v>9.7638865534376668E-4</v>
      </c>
      <c r="V184" s="226">
        <f t="shared" si="35"/>
        <v>9.2739515599241833E-4</v>
      </c>
      <c r="W184" s="226">
        <f t="shared" si="35"/>
        <v>8.8086006596972558E-4</v>
      </c>
      <c r="X184" s="226">
        <f t="shared" si="35"/>
        <v>8.3666002653407488E-4</v>
      </c>
      <c r="Y184" s="226">
        <f t="shared" si="35"/>
        <v>7.9467786887282659E-4</v>
      </c>
      <c r="Z184" s="226">
        <f t="shared" si="35"/>
        <v>7.5480230350235037E-4</v>
      </c>
      <c r="AA184" s="226">
        <f t="shared" si="35"/>
        <v>7.169276252534326E-4</v>
      </c>
      <c r="AB184" s="226">
        <f t="shared" si="35"/>
        <v>6.8095343306000624E-4</v>
      </c>
      <c r="AC184" s="226">
        <f t="shared" si="35"/>
        <v>6.4678436380840004E-4</v>
      </c>
      <c r="AD184" s="226">
        <f t="shared" si="35"/>
        <v>6.1432983954157281E-4</v>
      </c>
      <c r="AE184" s="226">
        <f t="shared" si="33"/>
        <v>5.8350382734820392E-4</v>
      </c>
      <c r="AF184" s="226">
        <f t="shared" si="33"/>
        <v>5.5422461130013516E-4</v>
      </c>
      <c r="AG184" s="226">
        <f t="shared" si="33"/>
        <v>5.2641457583359826E-4</v>
      </c>
      <c r="AH184" s="227">
        <v>5.0000000000000001E-4</v>
      </c>
      <c r="AI184" s="226">
        <f t="shared" si="36"/>
        <v>4.7491086204084446E-4</v>
      </c>
      <c r="AJ184" s="226">
        <f t="shared" si="36"/>
        <v>4.5108065376875595E-4</v>
      </c>
      <c r="AK184" s="226">
        <f t="shared" si="36"/>
        <v>4.2844620426253513E-4</v>
      </c>
      <c r="AL184" s="226">
        <f t="shared" si="36"/>
        <v>4.0694751240889657E-4</v>
      </c>
      <c r="AM184" s="226">
        <f t="shared" si="36"/>
        <v>3.865275878469726E-4</v>
      </c>
      <c r="AN184" s="226">
        <f t="shared" si="36"/>
        <v>3.6713229989394794E-4</v>
      </c>
      <c r="AO184" s="226">
        <f t="shared" si="36"/>
        <v>3.4871023405134527E-4</v>
      </c>
      <c r="AP184" s="226">
        <f t="shared" si="36"/>
        <v>3.3121255571157799E-4</v>
      </c>
      <c r="AQ184" s="226">
        <f t="shared" si="36"/>
        <v>3.1459288070347341E-4</v>
      </c>
      <c r="AR184" s="226">
        <f t="shared" si="36"/>
        <v>2.9880715233359816E-4</v>
      </c>
      <c r="AS184" s="226">
        <f t="shared" si="36"/>
        <v>2.8381352459743803E-4</v>
      </c>
      <c r="AT184" s="226">
        <f t="shared" si="36"/>
        <v>2.695722512508394E-4</v>
      </c>
      <c r="AU184" s="226">
        <f t="shared" si="36"/>
        <v>2.5604558044765451E-4</v>
      </c>
      <c r="AV184" s="226">
        <f t="shared" si="36"/>
        <v>2.4319765466428796E-4</v>
      </c>
      <c r="AW184" s="226">
        <f t="shared" si="36"/>
        <v>2.3099441564585716E-4</v>
      </c>
      <c r="AX184" s="226">
        <f t="shared" si="36"/>
        <v>2.194035141219903E-4</v>
      </c>
      <c r="AY184" s="226">
        <f t="shared" si="34"/>
        <v>2.0839422405293E-4</v>
      </c>
      <c r="AZ184" s="226">
        <f t="shared" si="34"/>
        <v>1.9793736117861973E-4</v>
      </c>
      <c r="BA184" s="226">
        <f t="shared" si="34"/>
        <v>1.8800520565485655E-4</v>
      </c>
      <c r="BB184" s="226">
        <f t="shared" si="34"/>
        <v>1.7857142857142833E-4</v>
      </c>
      <c r="BC184" s="226">
        <f t="shared" si="34"/>
        <v>1.6961102215744421E-4</v>
      </c>
      <c r="BD184" s="226">
        <f t="shared" si="34"/>
        <v>1.611002334888412E-4</v>
      </c>
      <c r="BE184" s="226">
        <f t="shared" si="34"/>
        <v>1.5301650152233377E-4</v>
      </c>
    </row>
    <row r="185" spans="5:57" s="10" customFormat="1" x14ac:dyDescent="0.35">
      <c r="E185" s="109" t="s">
        <v>645</v>
      </c>
      <c r="F185" s="10" t="s">
        <v>615</v>
      </c>
      <c r="G185" s="43" t="s">
        <v>616</v>
      </c>
      <c r="I185" s="20"/>
      <c r="J185" s="200"/>
      <c r="K185" s="200"/>
      <c r="L185" s="200"/>
      <c r="M185" s="200"/>
      <c r="N185" s="200">
        <v>1.2999999999999999E-3</v>
      </c>
      <c r="O185" s="226">
        <f t="shared" si="35"/>
        <v>1.2393520369787811E-3</v>
      </c>
      <c r="P185" s="226">
        <f t="shared" si="35"/>
        <v>1.1815334396641955E-3</v>
      </c>
      <c r="Q185" s="226">
        <f t="shared" si="35"/>
        <v>1.1264122116972052E-3</v>
      </c>
      <c r="R185" s="226">
        <f t="shared" si="35"/>
        <v>1.0738625146497734E-3</v>
      </c>
      <c r="S185" s="226">
        <f t="shared" si="35"/>
        <v>1.0237643807433484E-3</v>
      </c>
      <c r="T185" s="226">
        <f t="shared" si="35"/>
        <v>9.760034389696842E-4</v>
      </c>
      <c r="U185" s="226">
        <f t="shared" si="35"/>
        <v>9.3047065398874898E-4</v>
      </c>
      <c r="V185" s="226">
        <f t="shared" si="35"/>
        <v>8.8706207720764217E-4</v>
      </c>
      <c r="W185" s="226">
        <f t="shared" si="35"/>
        <v>8.4567860947224632E-4</v>
      </c>
      <c r="X185" s="226">
        <f t="shared" si="35"/>
        <v>8.0622577482985516E-4</v>
      </c>
      <c r="Y185" s="226">
        <f t="shared" si="35"/>
        <v>7.6861350484629012E-4</v>
      </c>
      <c r="Z185" s="226">
        <f t="shared" si="35"/>
        <v>7.3275593298511535E-4</v>
      </c>
      <c r="AA185" s="226">
        <f t="shared" si="35"/>
        <v>6.9857119857953079E-4</v>
      </c>
      <c r="AB185" s="226">
        <f t="shared" si="35"/>
        <v>6.6598125994942316E-4</v>
      </c>
      <c r="AC185" s="226">
        <f t="shared" si="35"/>
        <v>6.3491171623693287E-4</v>
      </c>
      <c r="AD185" s="226">
        <f t="shared" si="35"/>
        <v>6.052916375537974E-4</v>
      </c>
      <c r="AE185" s="226">
        <f t="shared" si="33"/>
        <v>5.770534030527084E-4</v>
      </c>
      <c r="AF185" s="226">
        <f t="shared" si="33"/>
        <v>5.5013254655300907E-4</v>
      </c>
      <c r="AG185" s="226">
        <f t="shared" si="33"/>
        <v>5.2446760936830455E-4</v>
      </c>
      <c r="AH185" s="227">
        <v>5.0000000000000001E-4</v>
      </c>
      <c r="AI185" s="226">
        <f t="shared" si="36"/>
        <v>4.7667386037645432E-4</v>
      </c>
      <c r="AJ185" s="226">
        <f t="shared" si="36"/>
        <v>4.5443593833238293E-4</v>
      </c>
      <c r="AK185" s="226">
        <f t="shared" si="36"/>
        <v>4.332354660373866E-4</v>
      </c>
      <c r="AL185" s="226">
        <f t="shared" si="36"/>
        <v>4.1302404409606665E-4</v>
      </c>
      <c r="AM185" s="226">
        <f t="shared" si="36"/>
        <v>3.9375553105513398E-4</v>
      </c>
      <c r="AN185" s="226">
        <f t="shared" si="36"/>
        <v>3.7538593806526311E-4</v>
      </c>
      <c r="AO185" s="226">
        <f t="shared" si="36"/>
        <v>3.5787332845721112E-4</v>
      </c>
      <c r="AP185" s="226">
        <f t="shared" si="36"/>
        <v>3.4117772200293928E-4</v>
      </c>
      <c r="AQ185" s="226">
        <f t="shared" si="36"/>
        <v>3.2526100364317162E-4</v>
      </c>
      <c r="AR185" s="226">
        <f t="shared" si="36"/>
        <v>3.1008683647302116E-4</v>
      </c>
      <c r="AS185" s="226">
        <f t="shared" si="36"/>
        <v>2.9562057878703465E-4</v>
      </c>
      <c r="AT185" s="226">
        <f t="shared" si="36"/>
        <v>2.8182920499427512E-4</v>
      </c>
      <c r="AU185" s="226">
        <f t="shared" si="36"/>
        <v>2.6868123022289646E-4</v>
      </c>
      <c r="AV185" s="226">
        <f t="shared" si="36"/>
        <v>2.5614663844208583E-4</v>
      </c>
      <c r="AW185" s="226">
        <f t="shared" si="36"/>
        <v>2.441968139372819E-4</v>
      </c>
      <c r="AX185" s="226">
        <f t="shared" si="36"/>
        <v>2.3280447598222982E-4</v>
      </c>
      <c r="AY185" s="226">
        <f t="shared" si="34"/>
        <v>2.2194361655873405E-4</v>
      </c>
      <c r="AZ185" s="226">
        <f t="shared" si="34"/>
        <v>2.1158944098192663E-4</v>
      </c>
      <c r="BA185" s="226">
        <f t="shared" si="34"/>
        <v>2.0171831129550184E-4</v>
      </c>
      <c r="BB185" s="226">
        <f t="shared" si="34"/>
        <v>1.9230769230769239E-4</v>
      </c>
      <c r="BC185" s="226">
        <f t="shared" si="34"/>
        <v>1.833361001447902E-4</v>
      </c>
      <c r="BD185" s="226">
        <f t="shared" si="34"/>
        <v>1.7478305320476275E-4</v>
      </c>
      <c r="BE185" s="226">
        <f t="shared" si="34"/>
        <v>1.6662902539899493E-4</v>
      </c>
    </row>
    <row r="186" spans="5:57" s="10" customFormat="1" x14ac:dyDescent="0.35">
      <c r="E186" s="10" t="s">
        <v>646</v>
      </c>
      <c r="F186" s="10" t="s">
        <v>615</v>
      </c>
      <c r="G186" s="43" t="s">
        <v>616</v>
      </c>
      <c r="I186" s="20"/>
      <c r="J186" s="200"/>
      <c r="K186" s="200"/>
      <c r="L186" s="200"/>
      <c r="M186" s="200"/>
      <c r="N186" s="200">
        <v>1.2999999999999999E-3</v>
      </c>
      <c r="O186" s="226">
        <f t="shared" si="35"/>
        <v>1.2393520369787811E-3</v>
      </c>
      <c r="P186" s="226">
        <f t="shared" si="35"/>
        <v>1.1815334396641955E-3</v>
      </c>
      <c r="Q186" s="226">
        <f t="shared" si="35"/>
        <v>1.1264122116972052E-3</v>
      </c>
      <c r="R186" s="226">
        <f t="shared" si="35"/>
        <v>1.0738625146497734E-3</v>
      </c>
      <c r="S186" s="226">
        <f t="shared" si="35"/>
        <v>1.0237643807433484E-3</v>
      </c>
      <c r="T186" s="226">
        <f t="shared" si="35"/>
        <v>9.760034389696842E-4</v>
      </c>
      <c r="U186" s="226">
        <f t="shared" si="35"/>
        <v>9.3047065398874898E-4</v>
      </c>
      <c r="V186" s="226">
        <f t="shared" si="35"/>
        <v>8.8706207720764217E-4</v>
      </c>
      <c r="W186" s="226">
        <f t="shared" si="35"/>
        <v>8.4567860947224632E-4</v>
      </c>
      <c r="X186" s="226">
        <f t="shared" si="35"/>
        <v>8.0622577482985516E-4</v>
      </c>
      <c r="Y186" s="226">
        <f t="shared" si="35"/>
        <v>7.6861350484629012E-4</v>
      </c>
      <c r="Z186" s="226">
        <f t="shared" si="35"/>
        <v>7.3275593298511535E-4</v>
      </c>
      <c r="AA186" s="226">
        <f t="shared" si="35"/>
        <v>6.9857119857953079E-4</v>
      </c>
      <c r="AB186" s="226">
        <f t="shared" si="35"/>
        <v>6.6598125994942316E-4</v>
      </c>
      <c r="AC186" s="226">
        <f t="shared" si="35"/>
        <v>6.3491171623693287E-4</v>
      </c>
      <c r="AD186" s="226">
        <f t="shared" si="35"/>
        <v>6.052916375537974E-4</v>
      </c>
      <c r="AE186" s="226">
        <f t="shared" si="33"/>
        <v>5.770534030527084E-4</v>
      </c>
      <c r="AF186" s="226">
        <f t="shared" si="33"/>
        <v>5.5013254655300907E-4</v>
      </c>
      <c r="AG186" s="226">
        <f t="shared" si="33"/>
        <v>5.2446760936830455E-4</v>
      </c>
      <c r="AH186" s="227">
        <v>5.0000000000000001E-4</v>
      </c>
      <c r="AI186" s="226">
        <f t="shared" si="36"/>
        <v>4.7667386037645432E-4</v>
      </c>
      <c r="AJ186" s="226">
        <f t="shared" si="36"/>
        <v>4.5443593833238293E-4</v>
      </c>
      <c r="AK186" s="226">
        <f t="shared" si="36"/>
        <v>4.332354660373866E-4</v>
      </c>
      <c r="AL186" s="226">
        <f t="shared" si="36"/>
        <v>4.1302404409606665E-4</v>
      </c>
      <c r="AM186" s="226">
        <f t="shared" si="36"/>
        <v>3.9375553105513398E-4</v>
      </c>
      <c r="AN186" s="226">
        <f t="shared" si="36"/>
        <v>3.7538593806526311E-4</v>
      </c>
      <c r="AO186" s="226">
        <f t="shared" si="36"/>
        <v>3.5787332845721112E-4</v>
      </c>
      <c r="AP186" s="226">
        <f t="shared" si="36"/>
        <v>3.4117772200293928E-4</v>
      </c>
      <c r="AQ186" s="226">
        <f t="shared" si="36"/>
        <v>3.2526100364317162E-4</v>
      </c>
      <c r="AR186" s="226">
        <f t="shared" si="36"/>
        <v>3.1008683647302116E-4</v>
      </c>
      <c r="AS186" s="226">
        <f t="shared" si="36"/>
        <v>2.9562057878703465E-4</v>
      </c>
      <c r="AT186" s="226">
        <f t="shared" si="36"/>
        <v>2.8182920499427512E-4</v>
      </c>
      <c r="AU186" s="226">
        <f t="shared" si="36"/>
        <v>2.6868123022289646E-4</v>
      </c>
      <c r="AV186" s="226">
        <f t="shared" si="36"/>
        <v>2.5614663844208583E-4</v>
      </c>
      <c r="AW186" s="226">
        <f t="shared" si="36"/>
        <v>2.441968139372819E-4</v>
      </c>
      <c r="AX186" s="226">
        <f t="shared" si="36"/>
        <v>2.3280447598222982E-4</v>
      </c>
      <c r="AY186" s="226">
        <f t="shared" si="34"/>
        <v>2.2194361655873405E-4</v>
      </c>
      <c r="AZ186" s="226">
        <f t="shared" si="34"/>
        <v>2.1158944098192663E-4</v>
      </c>
      <c r="BA186" s="226">
        <f t="shared" si="34"/>
        <v>2.0171831129550184E-4</v>
      </c>
      <c r="BB186" s="226">
        <f t="shared" si="34"/>
        <v>1.9230769230769239E-4</v>
      </c>
      <c r="BC186" s="226">
        <f t="shared" si="34"/>
        <v>1.833361001447902E-4</v>
      </c>
      <c r="BD186" s="226">
        <f t="shared" si="34"/>
        <v>1.7478305320476275E-4</v>
      </c>
      <c r="BE186" s="226">
        <f t="shared" si="34"/>
        <v>1.6662902539899493E-4</v>
      </c>
    </row>
    <row r="187" spans="5:57" s="10" customFormat="1" x14ac:dyDescent="0.35">
      <c r="E187" s="10" t="s">
        <v>647</v>
      </c>
      <c r="F187" s="10" t="s">
        <v>615</v>
      </c>
      <c r="G187" s="43" t="s">
        <v>616</v>
      </c>
      <c r="I187" s="20"/>
      <c r="J187" s="200"/>
      <c r="K187" s="200"/>
      <c r="L187" s="200"/>
      <c r="M187" s="200"/>
      <c r="N187" s="200">
        <v>1.1999999999999999E-3</v>
      </c>
      <c r="O187" s="226">
        <f t="shared" si="35"/>
        <v>1.1358609871681912E-3</v>
      </c>
      <c r="P187" s="226">
        <f t="shared" si="35"/>
        <v>1.0751501518089148E-3</v>
      </c>
      <c r="Q187" s="226">
        <f t="shared" si="35"/>
        <v>1.0176842606564205E-3</v>
      </c>
      <c r="R187" s="226">
        <f t="shared" si="35"/>
        <v>9.6328987411227723E-4</v>
      </c>
      <c r="S187" s="226">
        <f t="shared" si="35"/>
        <v>9.1180282278191158E-4</v>
      </c>
      <c r="T187" s="226">
        <f t="shared" si="35"/>
        <v>8.6306771198983777E-4</v>
      </c>
      <c r="U187" s="226">
        <f t="shared" si="35"/>
        <v>8.1693745277814105E-4</v>
      </c>
      <c r="V187" s="226">
        <f t="shared" si="35"/>
        <v>7.7327281797270571E-4</v>
      </c>
      <c r="W187" s="226">
        <f t="shared" si="35"/>
        <v>7.3194202197733875E-4</v>
      </c>
      <c r="X187" s="226">
        <f t="shared" si="35"/>
        <v>6.9282032302755156E-4</v>
      </c>
      <c r="Y187" s="226">
        <f t="shared" si="35"/>
        <v>6.5578964670354981E-4</v>
      </c>
      <c r="Z187" s="226">
        <f t="shared" si="35"/>
        <v>6.2073822956614454E-4</v>
      </c>
      <c r="AA187" s="226">
        <f t="shared" si="35"/>
        <v>5.8756028184003015E-4</v>
      </c>
      <c r="AB187" s="226">
        <f t="shared" si="35"/>
        <v>5.5615566812636436E-4</v>
      </c>
      <c r="AC187" s="226">
        <f t="shared" si="35"/>
        <v>5.2642960518099768E-4</v>
      </c>
      <c r="AD187" s="226">
        <f t="shared" si="35"/>
        <v>4.9829237584620768E-4</v>
      </c>
      <c r="AE187" s="226">
        <f t="shared" si="33"/>
        <v>4.7165905827254736E-4</v>
      </c>
      <c r="AF187" s="226">
        <f t="shared" si="33"/>
        <v>4.4644926961356256E-4</v>
      </c>
      <c r="AG187" s="226">
        <f t="shared" si="33"/>
        <v>4.2258692341981595E-4</v>
      </c>
      <c r="AH187" s="227">
        <v>4.0000000000000002E-4</v>
      </c>
      <c r="AI187" s="226">
        <f t="shared" si="36"/>
        <v>3.7862032905606373E-4</v>
      </c>
      <c r="AJ187" s="226">
        <f t="shared" si="36"/>
        <v>3.5838338393630494E-4</v>
      </c>
      <c r="AK187" s="226">
        <f t="shared" si="36"/>
        <v>3.3922808688547349E-4</v>
      </c>
      <c r="AL187" s="226">
        <f t="shared" si="36"/>
        <v>3.2109662470409237E-4</v>
      </c>
      <c r="AM187" s="226">
        <f t="shared" si="36"/>
        <v>3.0393427426063716E-4</v>
      </c>
      <c r="AN187" s="226">
        <f t="shared" si="36"/>
        <v>2.8768923732994589E-4</v>
      </c>
      <c r="AO187" s="226">
        <f t="shared" si="36"/>
        <v>2.7231248425938029E-4</v>
      </c>
      <c r="AP187" s="226">
        <f t="shared" si="36"/>
        <v>2.5775760599090183E-4</v>
      </c>
      <c r="AQ187" s="226">
        <f t="shared" si="36"/>
        <v>2.439806739924462E-4</v>
      </c>
      <c r="AR187" s="226">
        <f t="shared" si="36"/>
        <v>2.3094010767585048E-4</v>
      </c>
      <c r="AS187" s="226">
        <f t="shared" si="36"/>
        <v>2.1859654890118323E-4</v>
      </c>
      <c r="AT187" s="226">
        <f t="shared" si="36"/>
        <v>2.0691274318871479E-4</v>
      </c>
      <c r="AU187" s="226">
        <f t="shared" si="36"/>
        <v>1.9585342728001002E-4</v>
      </c>
      <c r="AV187" s="226">
        <f t="shared" si="36"/>
        <v>1.8538522270878811E-4</v>
      </c>
      <c r="AW187" s="226">
        <f t="shared" si="36"/>
        <v>1.7547653506033253E-4</v>
      </c>
      <c r="AX187" s="226">
        <f t="shared" si="36"/>
        <v>1.6609745861540252E-4</v>
      </c>
      <c r="AY187" s="226">
        <f t="shared" si="34"/>
        <v>1.5721968609084906E-4</v>
      </c>
      <c r="AZ187" s="226">
        <f t="shared" si="34"/>
        <v>1.4881642320452079E-4</v>
      </c>
      <c r="BA187" s="226">
        <f t="shared" si="34"/>
        <v>1.4086230780660524E-4</v>
      </c>
      <c r="BB187" s="226">
        <f t="shared" si="34"/>
        <v>1.3333333333333353E-4</v>
      </c>
      <c r="BC187" s="226">
        <f t="shared" si="34"/>
        <v>1.2620677635202142E-4</v>
      </c>
      <c r="BD187" s="226">
        <f t="shared" si="34"/>
        <v>1.1946112797876849E-4</v>
      </c>
      <c r="BE187" s="226">
        <f t="shared" si="34"/>
        <v>1.1307602896182466E-4</v>
      </c>
    </row>
    <row r="188" spans="5:57" s="10" customFormat="1" x14ac:dyDescent="0.35">
      <c r="E188" s="10" t="s">
        <v>648</v>
      </c>
      <c r="F188" s="10" t="s">
        <v>615</v>
      </c>
      <c r="G188" s="43" t="s">
        <v>616</v>
      </c>
      <c r="I188" s="20"/>
      <c r="J188" s="200"/>
      <c r="K188" s="200"/>
      <c r="L188" s="200"/>
      <c r="M188" s="200"/>
      <c r="N188" s="200">
        <v>1.1999999999999999E-3</v>
      </c>
      <c r="O188" s="226">
        <f t="shared" si="35"/>
        <v>1.1358609871681912E-3</v>
      </c>
      <c r="P188" s="226">
        <f t="shared" si="35"/>
        <v>1.0751501518089148E-3</v>
      </c>
      <c r="Q188" s="226">
        <f t="shared" si="35"/>
        <v>1.0176842606564205E-3</v>
      </c>
      <c r="R188" s="226">
        <f t="shared" si="35"/>
        <v>9.6328987411227723E-4</v>
      </c>
      <c r="S188" s="226">
        <f t="shared" si="35"/>
        <v>9.1180282278191158E-4</v>
      </c>
      <c r="T188" s="226">
        <f t="shared" si="35"/>
        <v>8.6306771198983777E-4</v>
      </c>
      <c r="U188" s="226">
        <f t="shared" si="35"/>
        <v>8.1693745277814105E-4</v>
      </c>
      <c r="V188" s="226">
        <f t="shared" si="35"/>
        <v>7.7327281797270571E-4</v>
      </c>
      <c r="W188" s="226">
        <f t="shared" si="35"/>
        <v>7.3194202197733875E-4</v>
      </c>
      <c r="X188" s="226">
        <f t="shared" si="35"/>
        <v>6.9282032302755156E-4</v>
      </c>
      <c r="Y188" s="226">
        <f t="shared" si="35"/>
        <v>6.5578964670354981E-4</v>
      </c>
      <c r="Z188" s="226">
        <f t="shared" si="35"/>
        <v>6.2073822956614454E-4</v>
      </c>
      <c r="AA188" s="226">
        <f t="shared" si="35"/>
        <v>5.8756028184003015E-4</v>
      </c>
      <c r="AB188" s="226">
        <f t="shared" si="35"/>
        <v>5.5615566812636436E-4</v>
      </c>
      <c r="AC188" s="226">
        <f t="shared" si="35"/>
        <v>5.2642960518099768E-4</v>
      </c>
      <c r="AD188" s="226">
        <f t="shared" ref="AD188:AG203" si="37">AC188*(1+($AH188/$N188)^(1/($AH$6-$N$6))-1)</f>
        <v>4.9829237584620768E-4</v>
      </c>
      <c r="AE188" s="226">
        <f t="shared" si="37"/>
        <v>4.7165905827254736E-4</v>
      </c>
      <c r="AF188" s="226">
        <f t="shared" si="37"/>
        <v>4.4644926961356256E-4</v>
      </c>
      <c r="AG188" s="226">
        <f t="shared" si="37"/>
        <v>4.2258692341981595E-4</v>
      </c>
      <c r="AH188" s="227">
        <v>4.0000000000000002E-4</v>
      </c>
      <c r="AI188" s="226">
        <f t="shared" si="36"/>
        <v>3.7862032905606373E-4</v>
      </c>
      <c r="AJ188" s="226">
        <f t="shared" si="36"/>
        <v>3.5838338393630494E-4</v>
      </c>
      <c r="AK188" s="226">
        <f t="shared" si="36"/>
        <v>3.3922808688547349E-4</v>
      </c>
      <c r="AL188" s="226">
        <f t="shared" si="36"/>
        <v>3.2109662470409237E-4</v>
      </c>
      <c r="AM188" s="226">
        <f t="shared" si="36"/>
        <v>3.0393427426063716E-4</v>
      </c>
      <c r="AN188" s="226">
        <f t="shared" si="36"/>
        <v>2.8768923732994589E-4</v>
      </c>
      <c r="AO188" s="226">
        <f t="shared" si="36"/>
        <v>2.7231248425938029E-4</v>
      </c>
      <c r="AP188" s="226">
        <f t="shared" si="36"/>
        <v>2.5775760599090183E-4</v>
      </c>
      <c r="AQ188" s="226">
        <f t="shared" si="36"/>
        <v>2.439806739924462E-4</v>
      </c>
      <c r="AR188" s="226">
        <f t="shared" si="36"/>
        <v>2.3094010767585048E-4</v>
      </c>
      <c r="AS188" s="226">
        <f t="shared" si="36"/>
        <v>2.1859654890118323E-4</v>
      </c>
      <c r="AT188" s="226">
        <f t="shared" si="36"/>
        <v>2.0691274318871479E-4</v>
      </c>
      <c r="AU188" s="226">
        <f t="shared" si="36"/>
        <v>1.9585342728001002E-4</v>
      </c>
      <c r="AV188" s="226">
        <f t="shared" si="36"/>
        <v>1.8538522270878811E-4</v>
      </c>
      <c r="AW188" s="226">
        <f t="shared" si="36"/>
        <v>1.7547653506033253E-4</v>
      </c>
      <c r="AX188" s="226">
        <f t="shared" ref="AX188:BE203" si="38">AW188*(1+($AH188/$N188)^(1/($AH$6-$N$6))-1)</f>
        <v>1.6609745861540252E-4</v>
      </c>
      <c r="AY188" s="226">
        <f t="shared" si="38"/>
        <v>1.5721968609084906E-4</v>
      </c>
      <c r="AZ188" s="226">
        <f t="shared" si="38"/>
        <v>1.4881642320452079E-4</v>
      </c>
      <c r="BA188" s="226">
        <f t="shared" si="38"/>
        <v>1.4086230780660524E-4</v>
      </c>
      <c r="BB188" s="226">
        <f t="shared" si="38"/>
        <v>1.3333333333333353E-4</v>
      </c>
      <c r="BC188" s="226">
        <f t="shared" si="38"/>
        <v>1.2620677635202142E-4</v>
      </c>
      <c r="BD188" s="226">
        <f t="shared" si="38"/>
        <v>1.1946112797876849E-4</v>
      </c>
      <c r="BE188" s="226">
        <f t="shared" si="38"/>
        <v>1.1307602896182466E-4</v>
      </c>
    </row>
    <row r="189" spans="5:57" s="10" customFormat="1" x14ac:dyDescent="0.35">
      <c r="E189" s="10" t="s">
        <v>649</v>
      </c>
      <c r="F189" s="10" t="s">
        <v>615</v>
      </c>
      <c r="G189" s="43" t="s">
        <v>616</v>
      </c>
      <c r="I189" s="20"/>
      <c r="J189" s="200"/>
      <c r="K189" s="200"/>
      <c r="L189" s="200"/>
      <c r="M189" s="200"/>
      <c r="N189" s="200">
        <v>1.1999999999999999E-3</v>
      </c>
      <c r="O189" s="226">
        <f t="shared" ref="O189:AD204" si="39">N189*(1+($AH189/$N189)^(1/($AH$6-$N$6))-1)</f>
        <v>1.1358609871681912E-3</v>
      </c>
      <c r="P189" s="226">
        <f t="shared" si="39"/>
        <v>1.0751501518089148E-3</v>
      </c>
      <c r="Q189" s="226">
        <f t="shared" si="39"/>
        <v>1.0176842606564205E-3</v>
      </c>
      <c r="R189" s="226">
        <f t="shared" si="39"/>
        <v>9.6328987411227723E-4</v>
      </c>
      <c r="S189" s="226">
        <f t="shared" si="39"/>
        <v>9.1180282278191158E-4</v>
      </c>
      <c r="T189" s="226">
        <f t="shared" si="39"/>
        <v>8.6306771198983777E-4</v>
      </c>
      <c r="U189" s="226">
        <f t="shared" si="39"/>
        <v>8.1693745277814105E-4</v>
      </c>
      <c r="V189" s="226">
        <f t="shared" si="39"/>
        <v>7.7327281797270571E-4</v>
      </c>
      <c r="W189" s="226">
        <f t="shared" si="39"/>
        <v>7.3194202197733875E-4</v>
      </c>
      <c r="X189" s="226">
        <f t="shared" si="39"/>
        <v>6.9282032302755156E-4</v>
      </c>
      <c r="Y189" s="226">
        <f t="shared" si="39"/>
        <v>6.5578964670354981E-4</v>
      </c>
      <c r="Z189" s="226">
        <f t="shared" si="39"/>
        <v>6.2073822956614454E-4</v>
      </c>
      <c r="AA189" s="226">
        <f t="shared" si="39"/>
        <v>5.8756028184003015E-4</v>
      </c>
      <c r="AB189" s="226">
        <f t="shared" si="39"/>
        <v>5.5615566812636436E-4</v>
      </c>
      <c r="AC189" s="226">
        <f t="shared" si="39"/>
        <v>5.2642960518099768E-4</v>
      </c>
      <c r="AD189" s="226">
        <f t="shared" si="39"/>
        <v>4.9829237584620768E-4</v>
      </c>
      <c r="AE189" s="226">
        <f t="shared" si="37"/>
        <v>4.7165905827254736E-4</v>
      </c>
      <c r="AF189" s="226">
        <f t="shared" si="37"/>
        <v>4.4644926961356256E-4</v>
      </c>
      <c r="AG189" s="226">
        <f t="shared" si="37"/>
        <v>4.2258692341981595E-4</v>
      </c>
      <c r="AH189" s="227">
        <v>4.0000000000000002E-4</v>
      </c>
      <c r="AI189" s="226">
        <f t="shared" ref="AI189:AX204" si="40">AH189*(1+($AH189/$N189)^(1/($AH$6-$N$6))-1)</f>
        <v>3.7862032905606373E-4</v>
      </c>
      <c r="AJ189" s="226">
        <f t="shared" si="40"/>
        <v>3.5838338393630494E-4</v>
      </c>
      <c r="AK189" s="226">
        <f t="shared" si="40"/>
        <v>3.3922808688547349E-4</v>
      </c>
      <c r="AL189" s="226">
        <f t="shared" si="40"/>
        <v>3.2109662470409237E-4</v>
      </c>
      <c r="AM189" s="226">
        <f t="shared" si="40"/>
        <v>3.0393427426063716E-4</v>
      </c>
      <c r="AN189" s="226">
        <f t="shared" si="40"/>
        <v>2.8768923732994589E-4</v>
      </c>
      <c r="AO189" s="226">
        <f t="shared" si="40"/>
        <v>2.7231248425938029E-4</v>
      </c>
      <c r="AP189" s="226">
        <f t="shared" si="40"/>
        <v>2.5775760599090183E-4</v>
      </c>
      <c r="AQ189" s="226">
        <f t="shared" si="40"/>
        <v>2.439806739924462E-4</v>
      </c>
      <c r="AR189" s="226">
        <f t="shared" si="40"/>
        <v>2.3094010767585048E-4</v>
      </c>
      <c r="AS189" s="226">
        <f t="shared" si="40"/>
        <v>2.1859654890118323E-4</v>
      </c>
      <c r="AT189" s="226">
        <f t="shared" si="40"/>
        <v>2.0691274318871479E-4</v>
      </c>
      <c r="AU189" s="226">
        <f t="shared" si="40"/>
        <v>1.9585342728001002E-4</v>
      </c>
      <c r="AV189" s="226">
        <f t="shared" si="40"/>
        <v>1.8538522270878811E-4</v>
      </c>
      <c r="AW189" s="226">
        <f t="shared" si="40"/>
        <v>1.7547653506033253E-4</v>
      </c>
      <c r="AX189" s="226">
        <f t="shared" si="40"/>
        <v>1.6609745861540252E-4</v>
      </c>
      <c r="AY189" s="226">
        <f t="shared" si="38"/>
        <v>1.5721968609084906E-4</v>
      </c>
      <c r="AZ189" s="226">
        <f t="shared" si="38"/>
        <v>1.4881642320452079E-4</v>
      </c>
      <c r="BA189" s="226">
        <f t="shared" si="38"/>
        <v>1.4086230780660524E-4</v>
      </c>
      <c r="BB189" s="226">
        <f t="shared" si="38"/>
        <v>1.3333333333333353E-4</v>
      </c>
      <c r="BC189" s="226">
        <f t="shared" si="38"/>
        <v>1.2620677635202142E-4</v>
      </c>
      <c r="BD189" s="226">
        <f t="shared" si="38"/>
        <v>1.1946112797876849E-4</v>
      </c>
      <c r="BE189" s="226">
        <f t="shared" si="38"/>
        <v>1.1307602896182466E-4</v>
      </c>
    </row>
    <row r="190" spans="5:57" s="10" customFormat="1" x14ac:dyDescent="0.35">
      <c r="E190" s="10" t="s">
        <v>650</v>
      </c>
      <c r="F190" s="10" t="s">
        <v>615</v>
      </c>
      <c r="G190" s="43" t="s">
        <v>616</v>
      </c>
      <c r="I190" s="20"/>
      <c r="J190" s="200"/>
      <c r="K190" s="200"/>
      <c r="L190" s="200"/>
      <c r="M190" s="200"/>
      <c r="N190" s="200">
        <v>1.1000000000000001E-3</v>
      </c>
      <c r="O190" s="226">
        <f t="shared" si="39"/>
        <v>1.0457456108712117E-3</v>
      </c>
      <c r="P190" s="226">
        <f t="shared" si="39"/>
        <v>9.9416716605127604E-4</v>
      </c>
      <c r="Q190" s="226">
        <f t="shared" si="39"/>
        <v>9.4513268215490277E-4</v>
      </c>
      <c r="R190" s="226">
        <f t="shared" si="39"/>
        <v>8.9851668550402326E-4</v>
      </c>
      <c r="S190" s="226">
        <f t="shared" si="39"/>
        <v>8.5419989105489202E-4</v>
      </c>
      <c r="T190" s="226">
        <f t="shared" si="39"/>
        <v>8.1206889716120046E-4</v>
      </c>
      <c r="U190" s="226">
        <f t="shared" si="39"/>
        <v>7.7201589539213709E-4</v>
      </c>
      <c r="V190" s="226">
        <f t="shared" si="39"/>
        <v>7.3393839466285075E-4</v>
      </c>
      <c r="W190" s="226">
        <f t="shared" si="39"/>
        <v>6.9773895897139941E-4</v>
      </c>
      <c r="X190" s="226">
        <f t="shared" si="39"/>
        <v>6.633249580710812E-4</v>
      </c>
      <c r="Y190" s="226">
        <f t="shared" si="39"/>
        <v>6.3060833044014883E-4</v>
      </c>
      <c r="Z190" s="226">
        <f t="shared" si="39"/>
        <v>5.9950535794237123E-4</v>
      </c>
      <c r="AA190" s="226">
        <f t="shared" si="39"/>
        <v>5.6993645160182673E-4</v>
      </c>
      <c r="AB190" s="226">
        <f t="shared" si="39"/>
        <v>5.4182594794374825E-4</v>
      </c>
      <c r="AC190" s="226">
        <f t="shared" si="39"/>
        <v>5.1510191538028027E-4</v>
      </c>
      <c r="AD190" s="226">
        <f t="shared" si="39"/>
        <v>4.8969597014571122E-4</v>
      </c>
      <c r="AE190" s="226">
        <f t="shared" si="37"/>
        <v>4.655431013101795E-4</v>
      </c>
      <c r="AF190" s="226">
        <f t="shared" si="37"/>
        <v>4.4258150442408366E-4</v>
      </c>
      <c r="AG190" s="226">
        <f t="shared" si="37"/>
        <v>4.2075242336751204E-4</v>
      </c>
      <c r="AH190" s="227">
        <v>4.0000000000000002E-4</v>
      </c>
      <c r="AI190" s="226">
        <f t="shared" si="40"/>
        <v>3.8027113122589517E-4</v>
      </c>
      <c r="AJ190" s="226">
        <f t="shared" si="40"/>
        <v>3.6151533310955494E-4</v>
      </c>
      <c r="AK190" s="226">
        <f t="shared" si="40"/>
        <v>3.4368461169269191E-4</v>
      </c>
      <c r="AL190" s="226">
        <f t="shared" si="40"/>
        <v>3.2673334018328118E-4</v>
      </c>
      <c r="AM190" s="226">
        <f t="shared" si="40"/>
        <v>3.1061814220177892E-4</v>
      </c>
      <c r="AN190" s="226">
        <f t="shared" si="40"/>
        <v>2.952977807858911E-4</v>
      </c>
      <c r="AO190" s="226">
        <f t="shared" si="40"/>
        <v>2.8073305286986807E-4</v>
      </c>
      <c r="AP190" s="226">
        <f t="shared" si="40"/>
        <v>2.6688668896830941E-4</v>
      </c>
      <c r="AQ190" s="226">
        <f t="shared" si="40"/>
        <v>2.5372325780778166E-4</v>
      </c>
      <c r="AR190" s="226">
        <f t="shared" si="40"/>
        <v>2.412090756622114E-4</v>
      </c>
      <c r="AS190" s="226">
        <f t="shared" si="40"/>
        <v>2.2931212016005415E-4</v>
      </c>
      <c r="AT190" s="226">
        <f t="shared" si="40"/>
        <v>2.1800194834268048E-4</v>
      </c>
      <c r="AU190" s="226">
        <f t="shared" si="40"/>
        <v>2.0724961876430066E-4</v>
      </c>
      <c r="AV190" s="226">
        <f t="shared" si="40"/>
        <v>1.970276174340903E-4</v>
      </c>
      <c r="AW190" s="226">
        <f t="shared" si="40"/>
        <v>1.8730978741101105E-4</v>
      </c>
      <c r="AX190" s="226">
        <f t="shared" si="40"/>
        <v>1.7807126187116776E-4</v>
      </c>
      <c r="AY190" s="226">
        <f t="shared" si="38"/>
        <v>1.6928840047642892E-4</v>
      </c>
      <c r="AZ190" s="226">
        <f t="shared" si="38"/>
        <v>1.6093872888148499E-4</v>
      </c>
      <c r="BA190" s="226">
        <f t="shared" si="38"/>
        <v>1.5300088122454985E-4</v>
      </c>
      <c r="BB190" s="226">
        <f t="shared" si="38"/>
        <v>1.45454545454546E-4</v>
      </c>
      <c r="BC190" s="226">
        <f t="shared" si="38"/>
        <v>1.3828041135487148E-4</v>
      </c>
      <c r="BD190" s="226">
        <f t="shared" si="38"/>
        <v>1.3146012113074773E-4</v>
      </c>
      <c r="BE190" s="226">
        <f t="shared" si="38"/>
        <v>1.249762224337066E-4</v>
      </c>
    </row>
    <row r="191" spans="5:57" s="10" customFormat="1" x14ac:dyDescent="0.35">
      <c r="E191" s="10" t="s">
        <v>651</v>
      </c>
      <c r="F191" s="10" t="s">
        <v>615</v>
      </c>
      <c r="G191" s="43" t="s">
        <v>616</v>
      </c>
      <c r="I191" s="20"/>
      <c r="J191" s="200"/>
      <c r="K191" s="200"/>
      <c r="L191" s="200"/>
      <c r="M191" s="200"/>
      <c r="N191" s="200">
        <v>1.1000000000000001E-3</v>
      </c>
      <c r="O191" s="226">
        <f t="shared" si="39"/>
        <v>1.0457456108712117E-3</v>
      </c>
      <c r="P191" s="226">
        <f t="shared" si="39"/>
        <v>9.9416716605127604E-4</v>
      </c>
      <c r="Q191" s="226">
        <f t="shared" si="39"/>
        <v>9.4513268215490277E-4</v>
      </c>
      <c r="R191" s="226">
        <f t="shared" si="39"/>
        <v>8.9851668550402326E-4</v>
      </c>
      <c r="S191" s="226">
        <f t="shared" si="39"/>
        <v>8.5419989105489202E-4</v>
      </c>
      <c r="T191" s="226">
        <f t="shared" si="39"/>
        <v>8.1206889716120046E-4</v>
      </c>
      <c r="U191" s="226">
        <f t="shared" si="39"/>
        <v>7.7201589539213709E-4</v>
      </c>
      <c r="V191" s="226">
        <f t="shared" si="39"/>
        <v>7.3393839466285075E-4</v>
      </c>
      <c r="W191" s="226">
        <f t="shared" si="39"/>
        <v>6.9773895897139941E-4</v>
      </c>
      <c r="X191" s="226">
        <f t="shared" si="39"/>
        <v>6.633249580710812E-4</v>
      </c>
      <c r="Y191" s="226">
        <f t="shared" si="39"/>
        <v>6.3060833044014883E-4</v>
      </c>
      <c r="Z191" s="226">
        <f t="shared" si="39"/>
        <v>5.9950535794237123E-4</v>
      </c>
      <c r="AA191" s="226">
        <f t="shared" si="39"/>
        <v>5.6993645160182673E-4</v>
      </c>
      <c r="AB191" s="226">
        <f t="shared" si="39"/>
        <v>5.4182594794374825E-4</v>
      </c>
      <c r="AC191" s="226">
        <f t="shared" si="39"/>
        <v>5.1510191538028027E-4</v>
      </c>
      <c r="AD191" s="226">
        <f t="shared" si="39"/>
        <v>4.8969597014571122E-4</v>
      </c>
      <c r="AE191" s="226">
        <f t="shared" si="37"/>
        <v>4.655431013101795E-4</v>
      </c>
      <c r="AF191" s="226">
        <f t="shared" si="37"/>
        <v>4.4258150442408366E-4</v>
      </c>
      <c r="AG191" s="226">
        <f t="shared" si="37"/>
        <v>4.2075242336751204E-4</v>
      </c>
      <c r="AH191" s="227">
        <v>4.0000000000000002E-4</v>
      </c>
      <c r="AI191" s="226">
        <f t="shared" si="40"/>
        <v>3.8027113122589517E-4</v>
      </c>
      <c r="AJ191" s="226">
        <f t="shared" si="40"/>
        <v>3.6151533310955494E-4</v>
      </c>
      <c r="AK191" s="226">
        <f t="shared" si="40"/>
        <v>3.4368461169269191E-4</v>
      </c>
      <c r="AL191" s="226">
        <f t="shared" si="40"/>
        <v>3.2673334018328118E-4</v>
      </c>
      <c r="AM191" s="226">
        <f t="shared" si="40"/>
        <v>3.1061814220177892E-4</v>
      </c>
      <c r="AN191" s="226">
        <f t="shared" si="40"/>
        <v>2.952977807858911E-4</v>
      </c>
      <c r="AO191" s="226">
        <f t="shared" si="40"/>
        <v>2.8073305286986807E-4</v>
      </c>
      <c r="AP191" s="226">
        <f t="shared" si="40"/>
        <v>2.6688668896830941E-4</v>
      </c>
      <c r="AQ191" s="226">
        <f t="shared" si="40"/>
        <v>2.5372325780778166E-4</v>
      </c>
      <c r="AR191" s="226">
        <f t="shared" si="40"/>
        <v>2.412090756622114E-4</v>
      </c>
      <c r="AS191" s="226">
        <f t="shared" si="40"/>
        <v>2.2931212016005415E-4</v>
      </c>
      <c r="AT191" s="226">
        <f t="shared" si="40"/>
        <v>2.1800194834268048E-4</v>
      </c>
      <c r="AU191" s="226">
        <f t="shared" si="40"/>
        <v>2.0724961876430066E-4</v>
      </c>
      <c r="AV191" s="226">
        <f t="shared" si="40"/>
        <v>1.970276174340903E-4</v>
      </c>
      <c r="AW191" s="226">
        <f t="shared" si="40"/>
        <v>1.8730978741101105E-4</v>
      </c>
      <c r="AX191" s="226">
        <f t="shared" si="40"/>
        <v>1.7807126187116776E-4</v>
      </c>
      <c r="AY191" s="226">
        <f t="shared" si="38"/>
        <v>1.6928840047642892E-4</v>
      </c>
      <c r="AZ191" s="226">
        <f t="shared" si="38"/>
        <v>1.6093872888148499E-4</v>
      </c>
      <c r="BA191" s="226">
        <f t="shared" si="38"/>
        <v>1.5300088122454985E-4</v>
      </c>
      <c r="BB191" s="226">
        <f t="shared" si="38"/>
        <v>1.45454545454546E-4</v>
      </c>
      <c r="BC191" s="226">
        <f t="shared" si="38"/>
        <v>1.3828041135487148E-4</v>
      </c>
      <c r="BD191" s="226">
        <f t="shared" si="38"/>
        <v>1.3146012113074773E-4</v>
      </c>
      <c r="BE191" s="226">
        <f t="shared" si="38"/>
        <v>1.249762224337066E-4</v>
      </c>
    </row>
    <row r="192" spans="5:57" s="10" customFormat="1" x14ac:dyDescent="0.35">
      <c r="E192" s="10" t="s">
        <v>652</v>
      </c>
      <c r="F192" s="10" t="s">
        <v>615</v>
      </c>
      <c r="G192" s="43" t="s">
        <v>616</v>
      </c>
      <c r="I192" s="20"/>
      <c r="J192" s="200"/>
      <c r="K192" s="200"/>
      <c r="L192" s="200"/>
      <c r="M192" s="200"/>
      <c r="N192" s="200">
        <v>1.1000000000000001E-3</v>
      </c>
      <c r="O192" s="226">
        <f t="shared" si="39"/>
        <v>1.0457456108712117E-3</v>
      </c>
      <c r="P192" s="226">
        <f t="shared" si="39"/>
        <v>9.9416716605127604E-4</v>
      </c>
      <c r="Q192" s="226">
        <f t="shared" si="39"/>
        <v>9.4513268215490277E-4</v>
      </c>
      <c r="R192" s="226">
        <f t="shared" si="39"/>
        <v>8.9851668550402326E-4</v>
      </c>
      <c r="S192" s="226">
        <f t="shared" si="39"/>
        <v>8.5419989105489202E-4</v>
      </c>
      <c r="T192" s="226">
        <f t="shared" si="39"/>
        <v>8.1206889716120046E-4</v>
      </c>
      <c r="U192" s="226">
        <f t="shared" si="39"/>
        <v>7.7201589539213709E-4</v>
      </c>
      <c r="V192" s="226">
        <f t="shared" si="39"/>
        <v>7.3393839466285075E-4</v>
      </c>
      <c r="W192" s="226">
        <f t="shared" si="39"/>
        <v>6.9773895897139941E-4</v>
      </c>
      <c r="X192" s="226">
        <f t="shared" si="39"/>
        <v>6.633249580710812E-4</v>
      </c>
      <c r="Y192" s="226">
        <f t="shared" si="39"/>
        <v>6.3060833044014883E-4</v>
      </c>
      <c r="Z192" s="226">
        <f t="shared" si="39"/>
        <v>5.9950535794237123E-4</v>
      </c>
      <c r="AA192" s="226">
        <f t="shared" si="39"/>
        <v>5.6993645160182673E-4</v>
      </c>
      <c r="AB192" s="226">
        <f t="shared" si="39"/>
        <v>5.4182594794374825E-4</v>
      </c>
      <c r="AC192" s="226">
        <f t="shared" si="39"/>
        <v>5.1510191538028027E-4</v>
      </c>
      <c r="AD192" s="226">
        <f t="shared" si="39"/>
        <v>4.8969597014571122E-4</v>
      </c>
      <c r="AE192" s="226">
        <f t="shared" si="37"/>
        <v>4.655431013101795E-4</v>
      </c>
      <c r="AF192" s="226">
        <f t="shared" si="37"/>
        <v>4.4258150442408366E-4</v>
      </c>
      <c r="AG192" s="226">
        <f t="shared" si="37"/>
        <v>4.2075242336751204E-4</v>
      </c>
      <c r="AH192" s="227">
        <v>4.0000000000000002E-4</v>
      </c>
      <c r="AI192" s="226">
        <f t="shared" si="40"/>
        <v>3.8027113122589517E-4</v>
      </c>
      <c r="AJ192" s="226">
        <f t="shared" si="40"/>
        <v>3.6151533310955494E-4</v>
      </c>
      <c r="AK192" s="226">
        <f t="shared" si="40"/>
        <v>3.4368461169269191E-4</v>
      </c>
      <c r="AL192" s="226">
        <f t="shared" si="40"/>
        <v>3.2673334018328118E-4</v>
      </c>
      <c r="AM192" s="226">
        <f t="shared" si="40"/>
        <v>3.1061814220177892E-4</v>
      </c>
      <c r="AN192" s="226">
        <f t="shared" si="40"/>
        <v>2.952977807858911E-4</v>
      </c>
      <c r="AO192" s="226">
        <f t="shared" si="40"/>
        <v>2.8073305286986807E-4</v>
      </c>
      <c r="AP192" s="226">
        <f t="shared" si="40"/>
        <v>2.6688668896830941E-4</v>
      </c>
      <c r="AQ192" s="226">
        <f t="shared" si="40"/>
        <v>2.5372325780778166E-4</v>
      </c>
      <c r="AR192" s="226">
        <f t="shared" si="40"/>
        <v>2.412090756622114E-4</v>
      </c>
      <c r="AS192" s="226">
        <f t="shared" si="40"/>
        <v>2.2931212016005415E-4</v>
      </c>
      <c r="AT192" s="226">
        <f t="shared" si="40"/>
        <v>2.1800194834268048E-4</v>
      </c>
      <c r="AU192" s="226">
        <f t="shared" si="40"/>
        <v>2.0724961876430066E-4</v>
      </c>
      <c r="AV192" s="226">
        <f t="shared" si="40"/>
        <v>1.970276174340903E-4</v>
      </c>
      <c r="AW192" s="226">
        <f t="shared" si="40"/>
        <v>1.8730978741101105E-4</v>
      </c>
      <c r="AX192" s="226">
        <f t="shared" si="40"/>
        <v>1.7807126187116776E-4</v>
      </c>
      <c r="AY192" s="226">
        <f t="shared" si="38"/>
        <v>1.6928840047642892E-4</v>
      </c>
      <c r="AZ192" s="226">
        <f t="shared" si="38"/>
        <v>1.6093872888148499E-4</v>
      </c>
      <c r="BA192" s="226">
        <f t="shared" si="38"/>
        <v>1.5300088122454985E-4</v>
      </c>
      <c r="BB192" s="226">
        <f t="shared" si="38"/>
        <v>1.45454545454546E-4</v>
      </c>
      <c r="BC192" s="226">
        <f t="shared" si="38"/>
        <v>1.3828041135487148E-4</v>
      </c>
      <c r="BD192" s="226">
        <f t="shared" si="38"/>
        <v>1.3146012113074773E-4</v>
      </c>
      <c r="BE192" s="226">
        <f t="shared" si="38"/>
        <v>1.249762224337066E-4</v>
      </c>
    </row>
    <row r="193" spans="5:57" s="10" customFormat="1" x14ac:dyDescent="0.35">
      <c r="E193" s="10" t="s">
        <v>653</v>
      </c>
      <c r="F193" s="10" t="s">
        <v>615</v>
      </c>
      <c r="G193" s="43" t="s">
        <v>616</v>
      </c>
      <c r="I193" s="20"/>
      <c r="J193" s="200"/>
      <c r="K193" s="200"/>
      <c r="L193" s="200"/>
      <c r="M193" s="200"/>
      <c r="N193" s="200">
        <v>1.1000000000000001E-3</v>
      </c>
      <c r="O193" s="226">
        <f t="shared" si="39"/>
        <v>1.0457456108712117E-3</v>
      </c>
      <c r="P193" s="226">
        <f t="shared" si="39"/>
        <v>9.9416716605127604E-4</v>
      </c>
      <c r="Q193" s="226">
        <f t="shared" si="39"/>
        <v>9.4513268215490277E-4</v>
      </c>
      <c r="R193" s="226">
        <f t="shared" si="39"/>
        <v>8.9851668550402326E-4</v>
      </c>
      <c r="S193" s="226">
        <f t="shared" si="39"/>
        <v>8.5419989105489202E-4</v>
      </c>
      <c r="T193" s="226">
        <f t="shared" si="39"/>
        <v>8.1206889716120046E-4</v>
      </c>
      <c r="U193" s="226">
        <f t="shared" si="39"/>
        <v>7.7201589539213709E-4</v>
      </c>
      <c r="V193" s="226">
        <f t="shared" si="39"/>
        <v>7.3393839466285075E-4</v>
      </c>
      <c r="W193" s="226">
        <f t="shared" si="39"/>
        <v>6.9773895897139941E-4</v>
      </c>
      <c r="X193" s="226">
        <f t="shared" si="39"/>
        <v>6.633249580710812E-4</v>
      </c>
      <c r="Y193" s="226">
        <f t="shared" si="39"/>
        <v>6.3060833044014883E-4</v>
      </c>
      <c r="Z193" s="226">
        <f t="shared" si="39"/>
        <v>5.9950535794237123E-4</v>
      </c>
      <c r="AA193" s="226">
        <f t="shared" si="39"/>
        <v>5.6993645160182673E-4</v>
      </c>
      <c r="AB193" s="226">
        <f t="shared" si="39"/>
        <v>5.4182594794374825E-4</v>
      </c>
      <c r="AC193" s="226">
        <f t="shared" si="39"/>
        <v>5.1510191538028027E-4</v>
      </c>
      <c r="AD193" s="226">
        <f t="shared" si="39"/>
        <v>4.8969597014571122E-4</v>
      </c>
      <c r="AE193" s="226">
        <f t="shared" si="37"/>
        <v>4.655431013101795E-4</v>
      </c>
      <c r="AF193" s="226">
        <f t="shared" si="37"/>
        <v>4.4258150442408366E-4</v>
      </c>
      <c r="AG193" s="226">
        <f t="shared" si="37"/>
        <v>4.2075242336751204E-4</v>
      </c>
      <c r="AH193" s="227">
        <v>4.0000000000000002E-4</v>
      </c>
      <c r="AI193" s="226">
        <f t="shared" si="40"/>
        <v>3.8027113122589517E-4</v>
      </c>
      <c r="AJ193" s="226">
        <f t="shared" si="40"/>
        <v>3.6151533310955494E-4</v>
      </c>
      <c r="AK193" s="226">
        <f t="shared" si="40"/>
        <v>3.4368461169269191E-4</v>
      </c>
      <c r="AL193" s="226">
        <f t="shared" si="40"/>
        <v>3.2673334018328118E-4</v>
      </c>
      <c r="AM193" s="226">
        <f t="shared" si="40"/>
        <v>3.1061814220177892E-4</v>
      </c>
      <c r="AN193" s="226">
        <f t="shared" si="40"/>
        <v>2.952977807858911E-4</v>
      </c>
      <c r="AO193" s="226">
        <f t="shared" si="40"/>
        <v>2.8073305286986807E-4</v>
      </c>
      <c r="AP193" s="226">
        <f t="shared" si="40"/>
        <v>2.6688668896830941E-4</v>
      </c>
      <c r="AQ193" s="226">
        <f t="shared" si="40"/>
        <v>2.5372325780778166E-4</v>
      </c>
      <c r="AR193" s="226">
        <f t="shared" si="40"/>
        <v>2.412090756622114E-4</v>
      </c>
      <c r="AS193" s="226">
        <f t="shared" si="40"/>
        <v>2.2931212016005415E-4</v>
      </c>
      <c r="AT193" s="226">
        <f t="shared" si="40"/>
        <v>2.1800194834268048E-4</v>
      </c>
      <c r="AU193" s="226">
        <f t="shared" si="40"/>
        <v>2.0724961876430066E-4</v>
      </c>
      <c r="AV193" s="226">
        <f t="shared" si="40"/>
        <v>1.970276174340903E-4</v>
      </c>
      <c r="AW193" s="226">
        <f t="shared" si="40"/>
        <v>1.8730978741101105E-4</v>
      </c>
      <c r="AX193" s="226">
        <f t="shared" si="40"/>
        <v>1.7807126187116776E-4</v>
      </c>
      <c r="AY193" s="226">
        <f t="shared" si="38"/>
        <v>1.6928840047642892E-4</v>
      </c>
      <c r="AZ193" s="226">
        <f t="shared" si="38"/>
        <v>1.6093872888148499E-4</v>
      </c>
      <c r="BA193" s="226">
        <f t="shared" si="38"/>
        <v>1.5300088122454985E-4</v>
      </c>
      <c r="BB193" s="226">
        <f t="shared" si="38"/>
        <v>1.45454545454546E-4</v>
      </c>
      <c r="BC193" s="226">
        <f t="shared" si="38"/>
        <v>1.3828041135487148E-4</v>
      </c>
      <c r="BD193" s="226">
        <f t="shared" si="38"/>
        <v>1.3146012113074773E-4</v>
      </c>
      <c r="BE193" s="226">
        <f t="shared" si="38"/>
        <v>1.249762224337066E-4</v>
      </c>
    </row>
    <row r="194" spans="5:57" s="10" customFormat="1" x14ac:dyDescent="0.35">
      <c r="E194" s="10" t="s">
        <v>654</v>
      </c>
      <c r="F194" s="10" t="s">
        <v>615</v>
      </c>
      <c r="G194" s="43" t="s">
        <v>616</v>
      </c>
      <c r="I194" s="20"/>
      <c r="J194" s="200"/>
      <c r="K194" s="200"/>
      <c r="L194" s="200"/>
      <c r="M194" s="200"/>
      <c r="N194" s="200">
        <v>1E-3</v>
      </c>
      <c r="O194" s="226">
        <f t="shared" si="39"/>
        <v>9.5521910395232417E-4</v>
      </c>
      <c r="P194" s="226">
        <f t="shared" si="39"/>
        <v>9.1244353655548101E-4</v>
      </c>
      <c r="Q194" s="226">
        <f t="shared" si="39"/>
        <v>8.7158349739561622E-4</v>
      </c>
      <c r="R194" s="226">
        <f t="shared" si="39"/>
        <v>8.3255320740187333E-4</v>
      </c>
      <c r="S194" s="226">
        <f t="shared" si="39"/>
        <v>7.9527072876705088E-4</v>
      </c>
      <c r="T194" s="226">
        <f t="shared" si="39"/>
        <v>7.5965779293237412E-4</v>
      </c>
      <c r="U194" s="226">
        <f t="shared" si="39"/>
        <v>7.2563963627526255E-4</v>
      </c>
      <c r="V194" s="226">
        <f t="shared" si="39"/>
        <v>6.9314484315514664E-4</v>
      </c>
      <c r="W194" s="226">
        <f t="shared" si="39"/>
        <v>6.6210519598783346E-4</v>
      </c>
      <c r="X194" s="226">
        <f t="shared" si="39"/>
        <v>6.324555320336762E-4</v>
      </c>
      <c r="Y194" s="226">
        <f t="shared" si="39"/>
        <v>6.0413360659889858E-4</v>
      </c>
      <c r="Z194" s="226">
        <f t="shared" si="39"/>
        <v>5.7707996236288576E-4</v>
      </c>
      <c r="AA194" s="226">
        <f t="shared" si="39"/>
        <v>5.5123780455711667E-4</v>
      </c>
      <c r="AB194" s="226">
        <f t="shared" si="39"/>
        <v>5.265528817336954E-4</v>
      </c>
      <c r="AC194" s="226">
        <f t="shared" si="39"/>
        <v>5.029733718731746E-4</v>
      </c>
      <c r="AD194" s="226">
        <f t="shared" si="39"/>
        <v>4.8044977359257296E-4</v>
      </c>
      <c r="AE194" s="226">
        <f t="shared" si="37"/>
        <v>4.5893480222519451E-4</v>
      </c>
      <c r="AF194" s="226">
        <f t="shared" si="37"/>
        <v>4.3838329055408739E-4</v>
      </c>
      <c r="AG194" s="226">
        <f t="shared" si="37"/>
        <v>4.1875209399074671E-4</v>
      </c>
      <c r="AH194" s="227">
        <v>4.0000000000000002E-4</v>
      </c>
      <c r="AI194" s="226">
        <f t="shared" si="40"/>
        <v>3.8208764158092969E-4</v>
      </c>
      <c r="AJ194" s="226">
        <f t="shared" si="40"/>
        <v>3.6497741462219243E-4</v>
      </c>
      <c r="AK194" s="226">
        <f t="shared" si="40"/>
        <v>3.4863339895824653E-4</v>
      </c>
      <c r="AL194" s="226">
        <f t="shared" si="40"/>
        <v>3.3302128296074936E-4</v>
      </c>
      <c r="AM194" s="226">
        <f t="shared" si="40"/>
        <v>3.1810829150682042E-4</v>
      </c>
      <c r="AN194" s="226">
        <f t="shared" si="40"/>
        <v>3.038631171729497E-4</v>
      </c>
      <c r="AO194" s="226">
        <f t="shared" si="40"/>
        <v>2.902558545101051E-4</v>
      </c>
      <c r="AP194" s="226">
        <f t="shared" si="40"/>
        <v>2.7725793726205875E-4</v>
      </c>
      <c r="AQ194" s="226">
        <f t="shared" si="40"/>
        <v>2.6484207839513348E-4</v>
      </c>
      <c r="AR194" s="226">
        <f t="shared" si="40"/>
        <v>2.5298221281347058E-4</v>
      </c>
      <c r="AS194" s="226">
        <f t="shared" si="40"/>
        <v>2.4165344263955954E-4</v>
      </c>
      <c r="AT194" s="226">
        <f t="shared" si="40"/>
        <v>2.3083198494515441E-4</v>
      </c>
      <c r="AU194" s="226">
        <f t="shared" si="40"/>
        <v>2.2049512182284675E-4</v>
      </c>
      <c r="AV194" s="226">
        <f t="shared" si="40"/>
        <v>2.1062115269347822E-4</v>
      </c>
      <c r="AW194" s="226">
        <f t="shared" si="40"/>
        <v>2.0118934874926992E-4</v>
      </c>
      <c r="AX194" s="226">
        <f t="shared" si="40"/>
        <v>1.9217990943702924E-4</v>
      </c>
      <c r="AY194" s="226">
        <f t="shared" si="38"/>
        <v>1.8357392089007787E-4</v>
      </c>
      <c r="AZ194" s="226">
        <f t="shared" si="38"/>
        <v>1.75353316221635E-4</v>
      </c>
      <c r="BA194" s="226">
        <f t="shared" si="38"/>
        <v>1.6750083759629872E-4</v>
      </c>
      <c r="BB194" s="226">
        <f t="shared" si="38"/>
        <v>1.6000000000000023E-4</v>
      </c>
      <c r="BC194" s="226">
        <f t="shared" si="38"/>
        <v>1.5283505663237209E-4</v>
      </c>
      <c r="BD194" s="226">
        <f t="shared" si="38"/>
        <v>1.4599096584887717E-4</v>
      </c>
      <c r="BE194" s="226">
        <f t="shared" si="38"/>
        <v>1.3945335958329881E-4</v>
      </c>
    </row>
    <row r="195" spans="5:57" s="10" customFormat="1" x14ac:dyDescent="0.35">
      <c r="E195" s="10" t="s">
        <v>655</v>
      </c>
      <c r="F195" s="10" t="s">
        <v>615</v>
      </c>
      <c r="G195" s="43" t="s">
        <v>616</v>
      </c>
      <c r="I195" s="20"/>
      <c r="J195" s="200"/>
      <c r="K195" s="200"/>
      <c r="L195" s="200"/>
      <c r="M195" s="200"/>
      <c r="N195" s="200">
        <v>1E-3</v>
      </c>
      <c r="O195" s="226">
        <f t="shared" si="39"/>
        <v>9.5521910395232417E-4</v>
      </c>
      <c r="P195" s="226">
        <f t="shared" si="39"/>
        <v>9.1244353655548101E-4</v>
      </c>
      <c r="Q195" s="226">
        <f t="shared" si="39"/>
        <v>8.7158349739561622E-4</v>
      </c>
      <c r="R195" s="226">
        <f t="shared" si="39"/>
        <v>8.3255320740187333E-4</v>
      </c>
      <c r="S195" s="226">
        <f t="shared" si="39"/>
        <v>7.9527072876705088E-4</v>
      </c>
      <c r="T195" s="226">
        <f t="shared" si="39"/>
        <v>7.5965779293237412E-4</v>
      </c>
      <c r="U195" s="226">
        <f t="shared" si="39"/>
        <v>7.2563963627526255E-4</v>
      </c>
      <c r="V195" s="226">
        <f t="shared" si="39"/>
        <v>6.9314484315514664E-4</v>
      </c>
      <c r="W195" s="226">
        <f t="shared" si="39"/>
        <v>6.6210519598783346E-4</v>
      </c>
      <c r="X195" s="226">
        <f t="shared" si="39"/>
        <v>6.324555320336762E-4</v>
      </c>
      <c r="Y195" s="226">
        <f t="shared" si="39"/>
        <v>6.0413360659889858E-4</v>
      </c>
      <c r="Z195" s="226">
        <f t="shared" si="39"/>
        <v>5.7707996236288576E-4</v>
      </c>
      <c r="AA195" s="226">
        <f t="shared" si="39"/>
        <v>5.5123780455711667E-4</v>
      </c>
      <c r="AB195" s="226">
        <f t="shared" si="39"/>
        <v>5.265528817336954E-4</v>
      </c>
      <c r="AC195" s="226">
        <f t="shared" si="39"/>
        <v>5.029733718731746E-4</v>
      </c>
      <c r="AD195" s="226">
        <f t="shared" si="39"/>
        <v>4.8044977359257296E-4</v>
      </c>
      <c r="AE195" s="226">
        <f t="shared" si="37"/>
        <v>4.5893480222519451E-4</v>
      </c>
      <c r="AF195" s="226">
        <f t="shared" si="37"/>
        <v>4.3838329055408739E-4</v>
      </c>
      <c r="AG195" s="226">
        <f t="shared" si="37"/>
        <v>4.1875209399074671E-4</v>
      </c>
      <c r="AH195" s="227">
        <v>4.0000000000000002E-4</v>
      </c>
      <c r="AI195" s="226">
        <f t="shared" si="40"/>
        <v>3.8208764158092969E-4</v>
      </c>
      <c r="AJ195" s="226">
        <f t="shared" si="40"/>
        <v>3.6497741462219243E-4</v>
      </c>
      <c r="AK195" s="226">
        <f t="shared" si="40"/>
        <v>3.4863339895824653E-4</v>
      </c>
      <c r="AL195" s="226">
        <f t="shared" si="40"/>
        <v>3.3302128296074936E-4</v>
      </c>
      <c r="AM195" s="226">
        <f t="shared" si="40"/>
        <v>3.1810829150682042E-4</v>
      </c>
      <c r="AN195" s="226">
        <f t="shared" si="40"/>
        <v>3.038631171729497E-4</v>
      </c>
      <c r="AO195" s="226">
        <f t="shared" si="40"/>
        <v>2.902558545101051E-4</v>
      </c>
      <c r="AP195" s="226">
        <f t="shared" si="40"/>
        <v>2.7725793726205875E-4</v>
      </c>
      <c r="AQ195" s="226">
        <f t="shared" si="40"/>
        <v>2.6484207839513348E-4</v>
      </c>
      <c r="AR195" s="226">
        <f t="shared" si="40"/>
        <v>2.5298221281347058E-4</v>
      </c>
      <c r="AS195" s="226">
        <f t="shared" si="40"/>
        <v>2.4165344263955954E-4</v>
      </c>
      <c r="AT195" s="226">
        <f t="shared" si="40"/>
        <v>2.3083198494515441E-4</v>
      </c>
      <c r="AU195" s="226">
        <f t="shared" si="40"/>
        <v>2.2049512182284675E-4</v>
      </c>
      <c r="AV195" s="226">
        <f t="shared" si="40"/>
        <v>2.1062115269347822E-4</v>
      </c>
      <c r="AW195" s="226">
        <f t="shared" si="40"/>
        <v>2.0118934874926992E-4</v>
      </c>
      <c r="AX195" s="226">
        <f t="shared" si="40"/>
        <v>1.9217990943702924E-4</v>
      </c>
      <c r="AY195" s="226">
        <f t="shared" si="38"/>
        <v>1.8357392089007787E-4</v>
      </c>
      <c r="AZ195" s="226">
        <f t="shared" si="38"/>
        <v>1.75353316221635E-4</v>
      </c>
      <c r="BA195" s="226">
        <f t="shared" si="38"/>
        <v>1.6750083759629872E-4</v>
      </c>
      <c r="BB195" s="226">
        <f t="shared" si="38"/>
        <v>1.6000000000000023E-4</v>
      </c>
      <c r="BC195" s="226">
        <f t="shared" si="38"/>
        <v>1.5283505663237209E-4</v>
      </c>
      <c r="BD195" s="226">
        <f t="shared" si="38"/>
        <v>1.4599096584887717E-4</v>
      </c>
      <c r="BE195" s="226">
        <f t="shared" si="38"/>
        <v>1.3945335958329881E-4</v>
      </c>
    </row>
    <row r="196" spans="5:57" s="10" customFormat="1" x14ac:dyDescent="0.35">
      <c r="E196" s="10" t="s">
        <v>656</v>
      </c>
      <c r="F196" s="10" t="s">
        <v>615</v>
      </c>
      <c r="G196" s="43" t="s">
        <v>616</v>
      </c>
      <c r="I196" s="20"/>
      <c r="J196" s="200"/>
      <c r="K196" s="200"/>
      <c r="L196" s="200"/>
      <c r="M196" s="200"/>
      <c r="N196" s="200">
        <v>1E-3</v>
      </c>
      <c r="O196" s="226">
        <f t="shared" si="39"/>
        <v>9.5521910395232417E-4</v>
      </c>
      <c r="P196" s="226">
        <f t="shared" si="39"/>
        <v>9.1244353655548101E-4</v>
      </c>
      <c r="Q196" s="226">
        <f t="shared" si="39"/>
        <v>8.7158349739561622E-4</v>
      </c>
      <c r="R196" s="226">
        <f t="shared" si="39"/>
        <v>8.3255320740187333E-4</v>
      </c>
      <c r="S196" s="226">
        <f t="shared" si="39"/>
        <v>7.9527072876705088E-4</v>
      </c>
      <c r="T196" s="226">
        <f t="shared" si="39"/>
        <v>7.5965779293237412E-4</v>
      </c>
      <c r="U196" s="226">
        <f t="shared" si="39"/>
        <v>7.2563963627526255E-4</v>
      </c>
      <c r="V196" s="226">
        <f t="shared" si="39"/>
        <v>6.9314484315514664E-4</v>
      </c>
      <c r="W196" s="226">
        <f t="shared" si="39"/>
        <v>6.6210519598783346E-4</v>
      </c>
      <c r="X196" s="226">
        <f t="shared" si="39"/>
        <v>6.324555320336762E-4</v>
      </c>
      <c r="Y196" s="226">
        <f t="shared" si="39"/>
        <v>6.0413360659889858E-4</v>
      </c>
      <c r="Z196" s="226">
        <f t="shared" si="39"/>
        <v>5.7707996236288576E-4</v>
      </c>
      <c r="AA196" s="226">
        <f t="shared" si="39"/>
        <v>5.5123780455711667E-4</v>
      </c>
      <c r="AB196" s="226">
        <f t="shared" si="39"/>
        <v>5.265528817336954E-4</v>
      </c>
      <c r="AC196" s="226">
        <f t="shared" si="39"/>
        <v>5.029733718731746E-4</v>
      </c>
      <c r="AD196" s="226">
        <f t="shared" si="39"/>
        <v>4.8044977359257296E-4</v>
      </c>
      <c r="AE196" s="226">
        <f t="shared" si="37"/>
        <v>4.5893480222519451E-4</v>
      </c>
      <c r="AF196" s="226">
        <f t="shared" si="37"/>
        <v>4.3838329055408739E-4</v>
      </c>
      <c r="AG196" s="226">
        <f t="shared" si="37"/>
        <v>4.1875209399074671E-4</v>
      </c>
      <c r="AH196" s="227">
        <v>4.0000000000000002E-4</v>
      </c>
      <c r="AI196" s="226">
        <f t="shared" si="40"/>
        <v>3.8208764158092969E-4</v>
      </c>
      <c r="AJ196" s="226">
        <f t="shared" si="40"/>
        <v>3.6497741462219243E-4</v>
      </c>
      <c r="AK196" s="226">
        <f t="shared" si="40"/>
        <v>3.4863339895824653E-4</v>
      </c>
      <c r="AL196" s="226">
        <f t="shared" si="40"/>
        <v>3.3302128296074936E-4</v>
      </c>
      <c r="AM196" s="226">
        <f t="shared" si="40"/>
        <v>3.1810829150682042E-4</v>
      </c>
      <c r="AN196" s="226">
        <f t="shared" si="40"/>
        <v>3.038631171729497E-4</v>
      </c>
      <c r="AO196" s="226">
        <f t="shared" si="40"/>
        <v>2.902558545101051E-4</v>
      </c>
      <c r="AP196" s="226">
        <f t="shared" si="40"/>
        <v>2.7725793726205875E-4</v>
      </c>
      <c r="AQ196" s="226">
        <f t="shared" si="40"/>
        <v>2.6484207839513348E-4</v>
      </c>
      <c r="AR196" s="226">
        <f t="shared" si="40"/>
        <v>2.5298221281347058E-4</v>
      </c>
      <c r="AS196" s="226">
        <f t="shared" si="40"/>
        <v>2.4165344263955954E-4</v>
      </c>
      <c r="AT196" s="226">
        <f t="shared" si="40"/>
        <v>2.3083198494515441E-4</v>
      </c>
      <c r="AU196" s="226">
        <f t="shared" si="40"/>
        <v>2.2049512182284675E-4</v>
      </c>
      <c r="AV196" s="226">
        <f t="shared" si="40"/>
        <v>2.1062115269347822E-4</v>
      </c>
      <c r="AW196" s="226">
        <f t="shared" si="40"/>
        <v>2.0118934874926992E-4</v>
      </c>
      <c r="AX196" s="226">
        <f t="shared" si="40"/>
        <v>1.9217990943702924E-4</v>
      </c>
      <c r="AY196" s="226">
        <f t="shared" si="38"/>
        <v>1.8357392089007787E-4</v>
      </c>
      <c r="AZ196" s="226">
        <f t="shared" si="38"/>
        <v>1.75353316221635E-4</v>
      </c>
      <c r="BA196" s="226">
        <f t="shared" si="38"/>
        <v>1.6750083759629872E-4</v>
      </c>
      <c r="BB196" s="226">
        <f t="shared" si="38"/>
        <v>1.6000000000000023E-4</v>
      </c>
      <c r="BC196" s="226">
        <f t="shared" si="38"/>
        <v>1.5283505663237209E-4</v>
      </c>
      <c r="BD196" s="226">
        <f t="shared" si="38"/>
        <v>1.4599096584887717E-4</v>
      </c>
      <c r="BE196" s="226">
        <f t="shared" si="38"/>
        <v>1.3945335958329881E-4</v>
      </c>
    </row>
    <row r="197" spans="5:57" s="10" customFormat="1" x14ac:dyDescent="0.35">
      <c r="E197" s="10" t="s">
        <v>657</v>
      </c>
      <c r="F197" s="10" t="s">
        <v>615</v>
      </c>
      <c r="G197" s="43" t="s">
        <v>616</v>
      </c>
      <c r="I197" s="20"/>
      <c r="J197" s="200"/>
      <c r="K197" s="200"/>
      <c r="L197" s="200"/>
      <c r="M197" s="200"/>
      <c r="N197" s="200">
        <v>1E-3</v>
      </c>
      <c r="O197" s="226">
        <f t="shared" si="39"/>
        <v>9.5521910395232417E-4</v>
      </c>
      <c r="P197" s="226">
        <f t="shared" si="39"/>
        <v>9.1244353655548101E-4</v>
      </c>
      <c r="Q197" s="226">
        <f t="shared" si="39"/>
        <v>8.7158349739561622E-4</v>
      </c>
      <c r="R197" s="226">
        <f t="shared" si="39"/>
        <v>8.3255320740187333E-4</v>
      </c>
      <c r="S197" s="226">
        <f t="shared" si="39"/>
        <v>7.9527072876705088E-4</v>
      </c>
      <c r="T197" s="226">
        <f t="shared" si="39"/>
        <v>7.5965779293237412E-4</v>
      </c>
      <c r="U197" s="226">
        <f t="shared" si="39"/>
        <v>7.2563963627526255E-4</v>
      </c>
      <c r="V197" s="226">
        <f t="shared" si="39"/>
        <v>6.9314484315514664E-4</v>
      </c>
      <c r="W197" s="226">
        <f t="shared" si="39"/>
        <v>6.6210519598783346E-4</v>
      </c>
      <c r="X197" s="226">
        <f t="shared" si="39"/>
        <v>6.324555320336762E-4</v>
      </c>
      <c r="Y197" s="226">
        <f t="shared" si="39"/>
        <v>6.0413360659889858E-4</v>
      </c>
      <c r="Z197" s="226">
        <f t="shared" si="39"/>
        <v>5.7707996236288576E-4</v>
      </c>
      <c r="AA197" s="226">
        <f t="shared" si="39"/>
        <v>5.5123780455711667E-4</v>
      </c>
      <c r="AB197" s="226">
        <f t="shared" si="39"/>
        <v>5.265528817336954E-4</v>
      </c>
      <c r="AC197" s="226">
        <f t="shared" si="39"/>
        <v>5.029733718731746E-4</v>
      </c>
      <c r="AD197" s="226">
        <f t="shared" si="39"/>
        <v>4.8044977359257296E-4</v>
      </c>
      <c r="AE197" s="226">
        <f t="shared" si="37"/>
        <v>4.5893480222519451E-4</v>
      </c>
      <c r="AF197" s="226">
        <f t="shared" si="37"/>
        <v>4.3838329055408739E-4</v>
      </c>
      <c r="AG197" s="226">
        <f t="shared" si="37"/>
        <v>4.1875209399074671E-4</v>
      </c>
      <c r="AH197" s="227">
        <v>4.0000000000000002E-4</v>
      </c>
      <c r="AI197" s="226">
        <f t="shared" si="40"/>
        <v>3.8208764158092969E-4</v>
      </c>
      <c r="AJ197" s="226">
        <f t="shared" si="40"/>
        <v>3.6497741462219243E-4</v>
      </c>
      <c r="AK197" s="226">
        <f t="shared" si="40"/>
        <v>3.4863339895824653E-4</v>
      </c>
      <c r="AL197" s="226">
        <f t="shared" si="40"/>
        <v>3.3302128296074936E-4</v>
      </c>
      <c r="AM197" s="226">
        <f t="shared" si="40"/>
        <v>3.1810829150682042E-4</v>
      </c>
      <c r="AN197" s="226">
        <f t="shared" si="40"/>
        <v>3.038631171729497E-4</v>
      </c>
      <c r="AO197" s="226">
        <f t="shared" si="40"/>
        <v>2.902558545101051E-4</v>
      </c>
      <c r="AP197" s="226">
        <f t="shared" si="40"/>
        <v>2.7725793726205875E-4</v>
      </c>
      <c r="AQ197" s="226">
        <f t="shared" si="40"/>
        <v>2.6484207839513348E-4</v>
      </c>
      <c r="AR197" s="226">
        <f t="shared" si="40"/>
        <v>2.5298221281347058E-4</v>
      </c>
      <c r="AS197" s="226">
        <f t="shared" si="40"/>
        <v>2.4165344263955954E-4</v>
      </c>
      <c r="AT197" s="226">
        <f t="shared" si="40"/>
        <v>2.3083198494515441E-4</v>
      </c>
      <c r="AU197" s="226">
        <f t="shared" si="40"/>
        <v>2.2049512182284675E-4</v>
      </c>
      <c r="AV197" s="226">
        <f t="shared" si="40"/>
        <v>2.1062115269347822E-4</v>
      </c>
      <c r="AW197" s="226">
        <f t="shared" si="40"/>
        <v>2.0118934874926992E-4</v>
      </c>
      <c r="AX197" s="226">
        <f t="shared" si="40"/>
        <v>1.9217990943702924E-4</v>
      </c>
      <c r="AY197" s="226">
        <f t="shared" si="38"/>
        <v>1.8357392089007787E-4</v>
      </c>
      <c r="AZ197" s="226">
        <f t="shared" si="38"/>
        <v>1.75353316221635E-4</v>
      </c>
      <c r="BA197" s="226">
        <f t="shared" si="38"/>
        <v>1.6750083759629872E-4</v>
      </c>
      <c r="BB197" s="226">
        <f t="shared" si="38"/>
        <v>1.6000000000000023E-4</v>
      </c>
      <c r="BC197" s="226">
        <f t="shared" si="38"/>
        <v>1.5283505663237209E-4</v>
      </c>
      <c r="BD197" s="226">
        <f t="shared" si="38"/>
        <v>1.4599096584887717E-4</v>
      </c>
      <c r="BE197" s="226">
        <f t="shared" si="38"/>
        <v>1.3945335958329881E-4</v>
      </c>
    </row>
    <row r="198" spans="5:57" s="10" customFormat="1" x14ac:dyDescent="0.35">
      <c r="E198" s="10" t="s">
        <v>658</v>
      </c>
      <c r="F198" s="10" t="s">
        <v>615</v>
      </c>
      <c r="G198" s="43" t="s">
        <v>616</v>
      </c>
      <c r="I198" s="20"/>
      <c r="J198" s="200"/>
      <c r="K198" s="200"/>
      <c r="L198" s="200"/>
      <c r="M198" s="200"/>
      <c r="N198" s="200">
        <v>1E-3</v>
      </c>
      <c r="O198" s="226">
        <f t="shared" si="39"/>
        <v>9.5521910395232417E-4</v>
      </c>
      <c r="P198" s="226">
        <f t="shared" si="39"/>
        <v>9.1244353655548101E-4</v>
      </c>
      <c r="Q198" s="226">
        <f t="shared" si="39"/>
        <v>8.7158349739561622E-4</v>
      </c>
      <c r="R198" s="226">
        <f t="shared" si="39"/>
        <v>8.3255320740187333E-4</v>
      </c>
      <c r="S198" s="226">
        <f t="shared" si="39"/>
        <v>7.9527072876705088E-4</v>
      </c>
      <c r="T198" s="226">
        <f t="shared" si="39"/>
        <v>7.5965779293237412E-4</v>
      </c>
      <c r="U198" s="226">
        <f t="shared" si="39"/>
        <v>7.2563963627526255E-4</v>
      </c>
      <c r="V198" s="226">
        <f t="shared" si="39"/>
        <v>6.9314484315514664E-4</v>
      </c>
      <c r="W198" s="226">
        <f t="shared" si="39"/>
        <v>6.6210519598783346E-4</v>
      </c>
      <c r="X198" s="226">
        <f t="shared" si="39"/>
        <v>6.324555320336762E-4</v>
      </c>
      <c r="Y198" s="226">
        <f t="shared" si="39"/>
        <v>6.0413360659889858E-4</v>
      </c>
      <c r="Z198" s="226">
        <f t="shared" si="39"/>
        <v>5.7707996236288576E-4</v>
      </c>
      <c r="AA198" s="226">
        <f t="shared" si="39"/>
        <v>5.5123780455711667E-4</v>
      </c>
      <c r="AB198" s="226">
        <f t="shared" si="39"/>
        <v>5.265528817336954E-4</v>
      </c>
      <c r="AC198" s="226">
        <f t="shared" si="39"/>
        <v>5.029733718731746E-4</v>
      </c>
      <c r="AD198" s="226">
        <f t="shared" si="39"/>
        <v>4.8044977359257296E-4</v>
      </c>
      <c r="AE198" s="226">
        <f t="shared" si="37"/>
        <v>4.5893480222519451E-4</v>
      </c>
      <c r="AF198" s="226">
        <f t="shared" si="37"/>
        <v>4.3838329055408739E-4</v>
      </c>
      <c r="AG198" s="226">
        <f t="shared" si="37"/>
        <v>4.1875209399074671E-4</v>
      </c>
      <c r="AH198" s="227">
        <v>4.0000000000000002E-4</v>
      </c>
      <c r="AI198" s="226">
        <f t="shared" si="40"/>
        <v>3.8208764158092969E-4</v>
      </c>
      <c r="AJ198" s="226">
        <f t="shared" si="40"/>
        <v>3.6497741462219243E-4</v>
      </c>
      <c r="AK198" s="226">
        <f t="shared" si="40"/>
        <v>3.4863339895824653E-4</v>
      </c>
      <c r="AL198" s="226">
        <f t="shared" si="40"/>
        <v>3.3302128296074936E-4</v>
      </c>
      <c r="AM198" s="226">
        <f t="shared" si="40"/>
        <v>3.1810829150682042E-4</v>
      </c>
      <c r="AN198" s="226">
        <f t="shared" si="40"/>
        <v>3.038631171729497E-4</v>
      </c>
      <c r="AO198" s="226">
        <f t="shared" si="40"/>
        <v>2.902558545101051E-4</v>
      </c>
      <c r="AP198" s="226">
        <f t="shared" si="40"/>
        <v>2.7725793726205875E-4</v>
      </c>
      <c r="AQ198" s="226">
        <f t="shared" si="40"/>
        <v>2.6484207839513348E-4</v>
      </c>
      <c r="AR198" s="226">
        <f t="shared" si="40"/>
        <v>2.5298221281347058E-4</v>
      </c>
      <c r="AS198" s="226">
        <f t="shared" si="40"/>
        <v>2.4165344263955954E-4</v>
      </c>
      <c r="AT198" s="226">
        <f t="shared" si="40"/>
        <v>2.3083198494515441E-4</v>
      </c>
      <c r="AU198" s="226">
        <f t="shared" si="40"/>
        <v>2.2049512182284675E-4</v>
      </c>
      <c r="AV198" s="226">
        <f t="shared" si="40"/>
        <v>2.1062115269347822E-4</v>
      </c>
      <c r="AW198" s="226">
        <f t="shared" si="40"/>
        <v>2.0118934874926992E-4</v>
      </c>
      <c r="AX198" s="226">
        <f t="shared" si="40"/>
        <v>1.9217990943702924E-4</v>
      </c>
      <c r="AY198" s="226">
        <f t="shared" si="38"/>
        <v>1.8357392089007787E-4</v>
      </c>
      <c r="AZ198" s="226">
        <f t="shared" si="38"/>
        <v>1.75353316221635E-4</v>
      </c>
      <c r="BA198" s="226">
        <f t="shared" si="38"/>
        <v>1.6750083759629872E-4</v>
      </c>
      <c r="BB198" s="226">
        <f t="shared" si="38"/>
        <v>1.6000000000000023E-4</v>
      </c>
      <c r="BC198" s="226">
        <f t="shared" si="38"/>
        <v>1.5283505663237209E-4</v>
      </c>
      <c r="BD198" s="226">
        <f t="shared" si="38"/>
        <v>1.4599096584887717E-4</v>
      </c>
      <c r="BE198" s="226">
        <f t="shared" si="38"/>
        <v>1.3945335958329881E-4</v>
      </c>
    </row>
    <row r="199" spans="5:57" s="10" customFormat="1" x14ac:dyDescent="0.35">
      <c r="E199" s="10" t="s">
        <v>659</v>
      </c>
      <c r="F199" s="10" t="s">
        <v>615</v>
      </c>
      <c r="G199" s="43" t="s">
        <v>616</v>
      </c>
      <c r="I199" s="20"/>
      <c r="J199" s="200"/>
      <c r="K199" s="200"/>
      <c r="L199" s="200"/>
      <c r="M199" s="200"/>
      <c r="N199" s="200">
        <v>1E-3</v>
      </c>
      <c r="O199" s="226">
        <f t="shared" si="39"/>
        <v>9.5521910395232417E-4</v>
      </c>
      <c r="P199" s="226">
        <f t="shared" si="39"/>
        <v>9.1244353655548101E-4</v>
      </c>
      <c r="Q199" s="226">
        <f t="shared" si="39"/>
        <v>8.7158349739561622E-4</v>
      </c>
      <c r="R199" s="226">
        <f t="shared" si="39"/>
        <v>8.3255320740187333E-4</v>
      </c>
      <c r="S199" s="226">
        <f t="shared" si="39"/>
        <v>7.9527072876705088E-4</v>
      </c>
      <c r="T199" s="226">
        <f t="shared" si="39"/>
        <v>7.5965779293237412E-4</v>
      </c>
      <c r="U199" s="226">
        <f t="shared" si="39"/>
        <v>7.2563963627526255E-4</v>
      </c>
      <c r="V199" s="226">
        <f t="shared" si="39"/>
        <v>6.9314484315514664E-4</v>
      </c>
      <c r="W199" s="226">
        <f t="shared" si="39"/>
        <v>6.6210519598783346E-4</v>
      </c>
      <c r="X199" s="226">
        <f t="shared" si="39"/>
        <v>6.324555320336762E-4</v>
      </c>
      <c r="Y199" s="226">
        <f t="shared" si="39"/>
        <v>6.0413360659889858E-4</v>
      </c>
      <c r="Z199" s="226">
        <f t="shared" si="39"/>
        <v>5.7707996236288576E-4</v>
      </c>
      <c r="AA199" s="226">
        <f t="shared" si="39"/>
        <v>5.5123780455711667E-4</v>
      </c>
      <c r="AB199" s="226">
        <f t="shared" si="39"/>
        <v>5.265528817336954E-4</v>
      </c>
      <c r="AC199" s="226">
        <f t="shared" si="39"/>
        <v>5.029733718731746E-4</v>
      </c>
      <c r="AD199" s="226">
        <f t="shared" si="39"/>
        <v>4.8044977359257296E-4</v>
      </c>
      <c r="AE199" s="226">
        <f t="shared" si="37"/>
        <v>4.5893480222519451E-4</v>
      </c>
      <c r="AF199" s="226">
        <f t="shared" si="37"/>
        <v>4.3838329055408739E-4</v>
      </c>
      <c r="AG199" s="226">
        <f t="shared" si="37"/>
        <v>4.1875209399074671E-4</v>
      </c>
      <c r="AH199" s="227">
        <v>4.0000000000000002E-4</v>
      </c>
      <c r="AI199" s="226">
        <f t="shared" si="40"/>
        <v>3.8208764158092969E-4</v>
      </c>
      <c r="AJ199" s="226">
        <f t="shared" si="40"/>
        <v>3.6497741462219243E-4</v>
      </c>
      <c r="AK199" s="226">
        <f t="shared" si="40"/>
        <v>3.4863339895824653E-4</v>
      </c>
      <c r="AL199" s="226">
        <f t="shared" si="40"/>
        <v>3.3302128296074936E-4</v>
      </c>
      <c r="AM199" s="226">
        <f t="shared" si="40"/>
        <v>3.1810829150682042E-4</v>
      </c>
      <c r="AN199" s="226">
        <f t="shared" si="40"/>
        <v>3.038631171729497E-4</v>
      </c>
      <c r="AO199" s="226">
        <f t="shared" si="40"/>
        <v>2.902558545101051E-4</v>
      </c>
      <c r="AP199" s="226">
        <f t="shared" si="40"/>
        <v>2.7725793726205875E-4</v>
      </c>
      <c r="AQ199" s="226">
        <f t="shared" si="40"/>
        <v>2.6484207839513348E-4</v>
      </c>
      <c r="AR199" s="226">
        <f t="shared" si="40"/>
        <v>2.5298221281347058E-4</v>
      </c>
      <c r="AS199" s="226">
        <f t="shared" si="40"/>
        <v>2.4165344263955954E-4</v>
      </c>
      <c r="AT199" s="226">
        <f t="shared" si="40"/>
        <v>2.3083198494515441E-4</v>
      </c>
      <c r="AU199" s="226">
        <f t="shared" si="40"/>
        <v>2.2049512182284675E-4</v>
      </c>
      <c r="AV199" s="226">
        <f t="shared" si="40"/>
        <v>2.1062115269347822E-4</v>
      </c>
      <c r="AW199" s="226">
        <f t="shared" si="40"/>
        <v>2.0118934874926992E-4</v>
      </c>
      <c r="AX199" s="226">
        <f t="shared" si="40"/>
        <v>1.9217990943702924E-4</v>
      </c>
      <c r="AY199" s="226">
        <f t="shared" si="38"/>
        <v>1.8357392089007787E-4</v>
      </c>
      <c r="AZ199" s="226">
        <f t="shared" si="38"/>
        <v>1.75353316221635E-4</v>
      </c>
      <c r="BA199" s="226">
        <f t="shared" si="38"/>
        <v>1.6750083759629872E-4</v>
      </c>
      <c r="BB199" s="226">
        <f t="shared" si="38"/>
        <v>1.6000000000000023E-4</v>
      </c>
      <c r="BC199" s="226">
        <f t="shared" si="38"/>
        <v>1.5283505663237209E-4</v>
      </c>
      <c r="BD199" s="226">
        <f t="shared" si="38"/>
        <v>1.4599096584887717E-4</v>
      </c>
      <c r="BE199" s="226">
        <f t="shared" si="38"/>
        <v>1.3945335958329881E-4</v>
      </c>
    </row>
    <row r="200" spans="5:57" s="10" customFormat="1" x14ac:dyDescent="0.35">
      <c r="E200" s="10" t="s">
        <v>660</v>
      </c>
      <c r="F200" s="10" t="s">
        <v>615</v>
      </c>
      <c r="G200" s="43" t="s">
        <v>616</v>
      </c>
      <c r="I200" s="20"/>
      <c r="J200" s="200"/>
      <c r="K200" s="200"/>
      <c r="L200" s="200"/>
      <c r="M200" s="200"/>
      <c r="N200" s="200">
        <v>1E-3</v>
      </c>
      <c r="O200" s="226">
        <f t="shared" si="39"/>
        <v>9.5521910395232417E-4</v>
      </c>
      <c r="P200" s="226">
        <f t="shared" si="39"/>
        <v>9.1244353655548101E-4</v>
      </c>
      <c r="Q200" s="226">
        <f t="shared" si="39"/>
        <v>8.7158349739561622E-4</v>
      </c>
      <c r="R200" s="226">
        <f t="shared" si="39"/>
        <v>8.3255320740187333E-4</v>
      </c>
      <c r="S200" s="226">
        <f t="shared" si="39"/>
        <v>7.9527072876705088E-4</v>
      </c>
      <c r="T200" s="226">
        <f t="shared" si="39"/>
        <v>7.5965779293237412E-4</v>
      </c>
      <c r="U200" s="226">
        <f t="shared" si="39"/>
        <v>7.2563963627526255E-4</v>
      </c>
      <c r="V200" s="226">
        <f t="shared" si="39"/>
        <v>6.9314484315514664E-4</v>
      </c>
      <c r="W200" s="226">
        <f t="shared" si="39"/>
        <v>6.6210519598783346E-4</v>
      </c>
      <c r="X200" s="226">
        <f t="shared" si="39"/>
        <v>6.324555320336762E-4</v>
      </c>
      <c r="Y200" s="226">
        <f t="shared" si="39"/>
        <v>6.0413360659889858E-4</v>
      </c>
      <c r="Z200" s="226">
        <f t="shared" si="39"/>
        <v>5.7707996236288576E-4</v>
      </c>
      <c r="AA200" s="226">
        <f t="shared" si="39"/>
        <v>5.5123780455711667E-4</v>
      </c>
      <c r="AB200" s="226">
        <f t="shared" si="39"/>
        <v>5.265528817336954E-4</v>
      </c>
      <c r="AC200" s="226">
        <f t="shared" si="39"/>
        <v>5.029733718731746E-4</v>
      </c>
      <c r="AD200" s="226">
        <f t="shared" si="39"/>
        <v>4.8044977359257296E-4</v>
      </c>
      <c r="AE200" s="226">
        <f t="shared" si="37"/>
        <v>4.5893480222519451E-4</v>
      </c>
      <c r="AF200" s="226">
        <f t="shared" si="37"/>
        <v>4.3838329055408739E-4</v>
      </c>
      <c r="AG200" s="226">
        <f t="shared" si="37"/>
        <v>4.1875209399074671E-4</v>
      </c>
      <c r="AH200" s="227">
        <v>4.0000000000000002E-4</v>
      </c>
      <c r="AI200" s="226">
        <f t="shared" si="40"/>
        <v>3.8208764158092969E-4</v>
      </c>
      <c r="AJ200" s="226">
        <f t="shared" si="40"/>
        <v>3.6497741462219243E-4</v>
      </c>
      <c r="AK200" s="226">
        <f t="shared" si="40"/>
        <v>3.4863339895824653E-4</v>
      </c>
      <c r="AL200" s="226">
        <f t="shared" si="40"/>
        <v>3.3302128296074936E-4</v>
      </c>
      <c r="AM200" s="226">
        <f t="shared" si="40"/>
        <v>3.1810829150682042E-4</v>
      </c>
      <c r="AN200" s="226">
        <f t="shared" si="40"/>
        <v>3.038631171729497E-4</v>
      </c>
      <c r="AO200" s="226">
        <f t="shared" si="40"/>
        <v>2.902558545101051E-4</v>
      </c>
      <c r="AP200" s="226">
        <f t="shared" si="40"/>
        <v>2.7725793726205875E-4</v>
      </c>
      <c r="AQ200" s="226">
        <f t="shared" si="40"/>
        <v>2.6484207839513348E-4</v>
      </c>
      <c r="AR200" s="226">
        <f t="shared" si="40"/>
        <v>2.5298221281347058E-4</v>
      </c>
      <c r="AS200" s="226">
        <f t="shared" si="40"/>
        <v>2.4165344263955954E-4</v>
      </c>
      <c r="AT200" s="226">
        <f t="shared" si="40"/>
        <v>2.3083198494515441E-4</v>
      </c>
      <c r="AU200" s="226">
        <f t="shared" si="40"/>
        <v>2.2049512182284675E-4</v>
      </c>
      <c r="AV200" s="226">
        <f t="shared" si="40"/>
        <v>2.1062115269347822E-4</v>
      </c>
      <c r="AW200" s="226">
        <f t="shared" si="40"/>
        <v>2.0118934874926992E-4</v>
      </c>
      <c r="AX200" s="226">
        <f t="shared" si="40"/>
        <v>1.9217990943702924E-4</v>
      </c>
      <c r="AY200" s="226">
        <f t="shared" si="38"/>
        <v>1.8357392089007787E-4</v>
      </c>
      <c r="AZ200" s="226">
        <f t="shared" si="38"/>
        <v>1.75353316221635E-4</v>
      </c>
      <c r="BA200" s="226">
        <f t="shared" si="38"/>
        <v>1.6750083759629872E-4</v>
      </c>
      <c r="BB200" s="226">
        <f t="shared" si="38"/>
        <v>1.6000000000000023E-4</v>
      </c>
      <c r="BC200" s="226">
        <f t="shared" si="38"/>
        <v>1.5283505663237209E-4</v>
      </c>
      <c r="BD200" s="226">
        <f t="shared" si="38"/>
        <v>1.4599096584887717E-4</v>
      </c>
      <c r="BE200" s="226">
        <f t="shared" si="38"/>
        <v>1.3945335958329881E-4</v>
      </c>
    </row>
    <row r="201" spans="5:57" s="10" customFormat="1" x14ac:dyDescent="0.35">
      <c r="E201" s="10" t="s">
        <v>661</v>
      </c>
      <c r="F201" s="10" t="s">
        <v>615</v>
      </c>
      <c r="G201" s="43" t="s">
        <v>616</v>
      </c>
      <c r="I201" s="20"/>
      <c r="J201" s="200"/>
      <c r="K201" s="200"/>
      <c r="L201" s="200"/>
      <c r="M201" s="200"/>
      <c r="N201" s="200">
        <v>1E-3</v>
      </c>
      <c r="O201" s="226">
        <f t="shared" si="39"/>
        <v>9.5521910395232417E-4</v>
      </c>
      <c r="P201" s="226">
        <f t="shared" si="39"/>
        <v>9.1244353655548101E-4</v>
      </c>
      <c r="Q201" s="226">
        <f t="shared" si="39"/>
        <v>8.7158349739561622E-4</v>
      </c>
      <c r="R201" s="226">
        <f t="shared" si="39"/>
        <v>8.3255320740187333E-4</v>
      </c>
      <c r="S201" s="226">
        <f t="shared" si="39"/>
        <v>7.9527072876705088E-4</v>
      </c>
      <c r="T201" s="226">
        <f t="shared" si="39"/>
        <v>7.5965779293237412E-4</v>
      </c>
      <c r="U201" s="226">
        <f t="shared" si="39"/>
        <v>7.2563963627526255E-4</v>
      </c>
      <c r="V201" s="226">
        <f t="shared" si="39"/>
        <v>6.9314484315514664E-4</v>
      </c>
      <c r="W201" s="226">
        <f t="shared" si="39"/>
        <v>6.6210519598783346E-4</v>
      </c>
      <c r="X201" s="226">
        <f t="shared" si="39"/>
        <v>6.324555320336762E-4</v>
      </c>
      <c r="Y201" s="226">
        <f t="shared" si="39"/>
        <v>6.0413360659889858E-4</v>
      </c>
      <c r="Z201" s="226">
        <f t="shared" si="39"/>
        <v>5.7707996236288576E-4</v>
      </c>
      <c r="AA201" s="226">
        <f t="shared" si="39"/>
        <v>5.5123780455711667E-4</v>
      </c>
      <c r="AB201" s="226">
        <f t="shared" si="39"/>
        <v>5.265528817336954E-4</v>
      </c>
      <c r="AC201" s="226">
        <f t="shared" si="39"/>
        <v>5.029733718731746E-4</v>
      </c>
      <c r="AD201" s="226">
        <f t="shared" si="39"/>
        <v>4.8044977359257296E-4</v>
      </c>
      <c r="AE201" s="226">
        <f t="shared" si="37"/>
        <v>4.5893480222519451E-4</v>
      </c>
      <c r="AF201" s="226">
        <f t="shared" si="37"/>
        <v>4.3838329055408739E-4</v>
      </c>
      <c r="AG201" s="226">
        <f t="shared" si="37"/>
        <v>4.1875209399074671E-4</v>
      </c>
      <c r="AH201" s="227">
        <v>4.0000000000000002E-4</v>
      </c>
      <c r="AI201" s="226">
        <f t="shared" si="40"/>
        <v>3.8208764158092969E-4</v>
      </c>
      <c r="AJ201" s="226">
        <f t="shared" si="40"/>
        <v>3.6497741462219243E-4</v>
      </c>
      <c r="AK201" s="226">
        <f t="shared" si="40"/>
        <v>3.4863339895824653E-4</v>
      </c>
      <c r="AL201" s="226">
        <f t="shared" si="40"/>
        <v>3.3302128296074936E-4</v>
      </c>
      <c r="AM201" s="226">
        <f t="shared" si="40"/>
        <v>3.1810829150682042E-4</v>
      </c>
      <c r="AN201" s="226">
        <f t="shared" si="40"/>
        <v>3.038631171729497E-4</v>
      </c>
      <c r="AO201" s="226">
        <f t="shared" si="40"/>
        <v>2.902558545101051E-4</v>
      </c>
      <c r="AP201" s="226">
        <f t="shared" si="40"/>
        <v>2.7725793726205875E-4</v>
      </c>
      <c r="AQ201" s="226">
        <f t="shared" si="40"/>
        <v>2.6484207839513348E-4</v>
      </c>
      <c r="AR201" s="226">
        <f t="shared" si="40"/>
        <v>2.5298221281347058E-4</v>
      </c>
      <c r="AS201" s="226">
        <f t="shared" si="40"/>
        <v>2.4165344263955954E-4</v>
      </c>
      <c r="AT201" s="226">
        <f t="shared" si="40"/>
        <v>2.3083198494515441E-4</v>
      </c>
      <c r="AU201" s="226">
        <f t="shared" si="40"/>
        <v>2.2049512182284675E-4</v>
      </c>
      <c r="AV201" s="226">
        <f t="shared" si="40"/>
        <v>2.1062115269347822E-4</v>
      </c>
      <c r="AW201" s="226">
        <f t="shared" si="40"/>
        <v>2.0118934874926992E-4</v>
      </c>
      <c r="AX201" s="226">
        <f t="shared" si="40"/>
        <v>1.9217990943702924E-4</v>
      </c>
      <c r="AY201" s="226">
        <f t="shared" si="38"/>
        <v>1.8357392089007787E-4</v>
      </c>
      <c r="AZ201" s="226">
        <f t="shared" si="38"/>
        <v>1.75353316221635E-4</v>
      </c>
      <c r="BA201" s="226">
        <f t="shared" si="38"/>
        <v>1.6750083759629872E-4</v>
      </c>
      <c r="BB201" s="226">
        <f t="shared" si="38"/>
        <v>1.6000000000000023E-4</v>
      </c>
      <c r="BC201" s="226">
        <f t="shared" si="38"/>
        <v>1.5283505663237209E-4</v>
      </c>
      <c r="BD201" s="226">
        <f t="shared" si="38"/>
        <v>1.4599096584887717E-4</v>
      </c>
      <c r="BE201" s="226">
        <f t="shared" si="38"/>
        <v>1.3945335958329881E-4</v>
      </c>
    </row>
    <row r="202" spans="5:57" s="10" customFormat="1" x14ac:dyDescent="0.35">
      <c r="E202" s="10" t="s">
        <v>662</v>
      </c>
      <c r="F202" s="10" t="s">
        <v>615</v>
      </c>
      <c r="G202" s="43" t="s">
        <v>616</v>
      </c>
      <c r="I202" s="20"/>
      <c r="J202" s="200"/>
      <c r="K202" s="200"/>
      <c r="L202" s="200"/>
      <c r="M202" s="200"/>
      <c r="N202" s="200">
        <v>1E-3</v>
      </c>
      <c r="O202" s="226">
        <f t="shared" si="39"/>
        <v>9.5521910395232417E-4</v>
      </c>
      <c r="P202" s="226">
        <f t="shared" si="39"/>
        <v>9.1244353655548101E-4</v>
      </c>
      <c r="Q202" s="226">
        <f t="shared" si="39"/>
        <v>8.7158349739561622E-4</v>
      </c>
      <c r="R202" s="226">
        <f t="shared" si="39"/>
        <v>8.3255320740187333E-4</v>
      </c>
      <c r="S202" s="226">
        <f t="shared" si="39"/>
        <v>7.9527072876705088E-4</v>
      </c>
      <c r="T202" s="226">
        <f t="shared" si="39"/>
        <v>7.5965779293237412E-4</v>
      </c>
      <c r="U202" s="226">
        <f t="shared" si="39"/>
        <v>7.2563963627526255E-4</v>
      </c>
      <c r="V202" s="226">
        <f t="shared" si="39"/>
        <v>6.9314484315514664E-4</v>
      </c>
      <c r="W202" s="226">
        <f t="shared" si="39"/>
        <v>6.6210519598783346E-4</v>
      </c>
      <c r="X202" s="226">
        <f t="shared" si="39"/>
        <v>6.324555320336762E-4</v>
      </c>
      <c r="Y202" s="226">
        <f t="shared" si="39"/>
        <v>6.0413360659889858E-4</v>
      </c>
      <c r="Z202" s="226">
        <f t="shared" si="39"/>
        <v>5.7707996236288576E-4</v>
      </c>
      <c r="AA202" s="226">
        <f t="shared" si="39"/>
        <v>5.5123780455711667E-4</v>
      </c>
      <c r="AB202" s="226">
        <f t="shared" si="39"/>
        <v>5.265528817336954E-4</v>
      </c>
      <c r="AC202" s="226">
        <f t="shared" si="39"/>
        <v>5.029733718731746E-4</v>
      </c>
      <c r="AD202" s="226">
        <f t="shared" si="39"/>
        <v>4.8044977359257296E-4</v>
      </c>
      <c r="AE202" s="226">
        <f t="shared" si="37"/>
        <v>4.5893480222519451E-4</v>
      </c>
      <c r="AF202" s="226">
        <f t="shared" si="37"/>
        <v>4.3838329055408739E-4</v>
      </c>
      <c r="AG202" s="226">
        <f t="shared" si="37"/>
        <v>4.1875209399074671E-4</v>
      </c>
      <c r="AH202" s="227">
        <v>4.0000000000000002E-4</v>
      </c>
      <c r="AI202" s="226">
        <f t="shared" si="40"/>
        <v>3.8208764158092969E-4</v>
      </c>
      <c r="AJ202" s="226">
        <f t="shared" si="40"/>
        <v>3.6497741462219243E-4</v>
      </c>
      <c r="AK202" s="226">
        <f t="shared" si="40"/>
        <v>3.4863339895824653E-4</v>
      </c>
      <c r="AL202" s="226">
        <f t="shared" si="40"/>
        <v>3.3302128296074936E-4</v>
      </c>
      <c r="AM202" s="226">
        <f t="shared" si="40"/>
        <v>3.1810829150682042E-4</v>
      </c>
      <c r="AN202" s="226">
        <f t="shared" si="40"/>
        <v>3.038631171729497E-4</v>
      </c>
      <c r="AO202" s="226">
        <f t="shared" si="40"/>
        <v>2.902558545101051E-4</v>
      </c>
      <c r="AP202" s="226">
        <f t="shared" si="40"/>
        <v>2.7725793726205875E-4</v>
      </c>
      <c r="AQ202" s="226">
        <f t="shared" si="40"/>
        <v>2.6484207839513348E-4</v>
      </c>
      <c r="AR202" s="226">
        <f t="shared" si="40"/>
        <v>2.5298221281347058E-4</v>
      </c>
      <c r="AS202" s="226">
        <f t="shared" si="40"/>
        <v>2.4165344263955954E-4</v>
      </c>
      <c r="AT202" s="226">
        <f t="shared" si="40"/>
        <v>2.3083198494515441E-4</v>
      </c>
      <c r="AU202" s="226">
        <f t="shared" si="40"/>
        <v>2.2049512182284675E-4</v>
      </c>
      <c r="AV202" s="226">
        <f t="shared" si="40"/>
        <v>2.1062115269347822E-4</v>
      </c>
      <c r="AW202" s="226">
        <f t="shared" si="40"/>
        <v>2.0118934874926992E-4</v>
      </c>
      <c r="AX202" s="226">
        <f t="shared" si="40"/>
        <v>1.9217990943702924E-4</v>
      </c>
      <c r="AY202" s="226">
        <f t="shared" si="38"/>
        <v>1.8357392089007787E-4</v>
      </c>
      <c r="AZ202" s="226">
        <f t="shared" si="38"/>
        <v>1.75353316221635E-4</v>
      </c>
      <c r="BA202" s="226">
        <f t="shared" si="38"/>
        <v>1.6750083759629872E-4</v>
      </c>
      <c r="BB202" s="226">
        <f t="shared" si="38"/>
        <v>1.6000000000000023E-4</v>
      </c>
      <c r="BC202" s="226">
        <f t="shared" si="38"/>
        <v>1.5283505663237209E-4</v>
      </c>
      <c r="BD202" s="226">
        <f t="shared" si="38"/>
        <v>1.4599096584887717E-4</v>
      </c>
      <c r="BE202" s="226">
        <f t="shared" si="38"/>
        <v>1.3945335958329881E-4</v>
      </c>
    </row>
    <row r="203" spans="5:57" s="10" customFormat="1" x14ac:dyDescent="0.35">
      <c r="E203" s="10" t="s">
        <v>663</v>
      </c>
      <c r="F203" s="10" t="s">
        <v>615</v>
      </c>
      <c r="G203" s="43" t="s">
        <v>616</v>
      </c>
      <c r="I203" s="20"/>
      <c r="J203" s="200"/>
      <c r="K203" s="200"/>
      <c r="L203" s="200"/>
      <c r="M203" s="200"/>
      <c r="N203" s="200">
        <v>1E-3</v>
      </c>
      <c r="O203" s="226">
        <f t="shared" si="39"/>
        <v>9.5521910395232417E-4</v>
      </c>
      <c r="P203" s="226">
        <f t="shared" si="39"/>
        <v>9.1244353655548101E-4</v>
      </c>
      <c r="Q203" s="226">
        <f t="shared" si="39"/>
        <v>8.7158349739561622E-4</v>
      </c>
      <c r="R203" s="226">
        <f t="shared" si="39"/>
        <v>8.3255320740187333E-4</v>
      </c>
      <c r="S203" s="226">
        <f t="shared" si="39"/>
        <v>7.9527072876705088E-4</v>
      </c>
      <c r="T203" s="226">
        <f t="shared" si="39"/>
        <v>7.5965779293237412E-4</v>
      </c>
      <c r="U203" s="226">
        <f t="shared" si="39"/>
        <v>7.2563963627526255E-4</v>
      </c>
      <c r="V203" s="226">
        <f t="shared" si="39"/>
        <v>6.9314484315514664E-4</v>
      </c>
      <c r="W203" s="226">
        <f t="shared" si="39"/>
        <v>6.6210519598783346E-4</v>
      </c>
      <c r="X203" s="226">
        <f t="shared" si="39"/>
        <v>6.324555320336762E-4</v>
      </c>
      <c r="Y203" s="226">
        <f t="shared" si="39"/>
        <v>6.0413360659889858E-4</v>
      </c>
      <c r="Z203" s="226">
        <f t="shared" si="39"/>
        <v>5.7707996236288576E-4</v>
      </c>
      <c r="AA203" s="226">
        <f t="shared" si="39"/>
        <v>5.5123780455711667E-4</v>
      </c>
      <c r="AB203" s="226">
        <f t="shared" si="39"/>
        <v>5.265528817336954E-4</v>
      </c>
      <c r="AC203" s="226">
        <f t="shared" si="39"/>
        <v>5.029733718731746E-4</v>
      </c>
      <c r="AD203" s="226">
        <f t="shared" si="39"/>
        <v>4.8044977359257296E-4</v>
      </c>
      <c r="AE203" s="226">
        <f t="shared" si="37"/>
        <v>4.5893480222519451E-4</v>
      </c>
      <c r="AF203" s="226">
        <f t="shared" si="37"/>
        <v>4.3838329055408739E-4</v>
      </c>
      <c r="AG203" s="226">
        <f t="shared" si="37"/>
        <v>4.1875209399074671E-4</v>
      </c>
      <c r="AH203" s="227">
        <v>4.0000000000000002E-4</v>
      </c>
      <c r="AI203" s="226">
        <f t="shared" si="40"/>
        <v>3.8208764158092969E-4</v>
      </c>
      <c r="AJ203" s="226">
        <f t="shared" si="40"/>
        <v>3.6497741462219243E-4</v>
      </c>
      <c r="AK203" s="226">
        <f t="shared" si="40"/>
        <v>3.4863339895824653E-4</v>
      </c>
      <c r="AL203" s="226">
        <f t="shared" si="40"/>
        <v>3.3302128296074936E-4</v>
      </c>
      <c r="AM203" s="226">
        <f t="shared" si="40"/>
        <v>3.1810829150682042E-4</v>
      </c>
      <c r="AN203" s="226">
        <f t="shared" si="40"/>
        <v>3.038631171729497E-4</v>
      </c>
      <c r="AO203" s="226">
        <f t="shared" si="40"/>
        <v>2.902558545101051E-4</v>
      </c>
      <c r="AP203" s="226">
        <f t="shared" si="40"/>
        <v>2.7725793726205875E-4</v>
      </c>
      <c r="AQ203" s="226">
        <f t="shared" si="40"/>
        <v>2.6484207839513348E-4</v>
      </c>
      <c r="AR203" s="226">
        <f t="shared" si="40"/>
        <v>2.5298221281347058E-4</v>
      </c>
      <c r="AS203" s="226">
        <f t="shared" si="40"/>
        <v>2.4165344263955954E-4</v>
      </c>
      <c r="AT203" s="226">
        <f t="shared" si="40"/>
        <v>2.3083198494515441E-4</v>
      </c>
      <c r="AU203" s="226">
        <f t="shared" si="40"/>
        <v>2.2049512182284675E-4</v>
      </c>
      <c r="AV203" s="226">
        <f t="shared" si="40"/>
        <v>2.1062115269347822E-4</v>
      </c>
      <c r="AW203" s="226">
        <f t="shared" si="40"/>
        <v>2.0118934874926992E-4</v>
      </c>
      <c r="AX203" s="226">
        <f t="shared" si="40"/>
        <v>1.9217990943702924E-4</v>
      </c>
      <c r="AY203" s="226">
        <f t="shared" si="38"/>
        <v>1.8357392089007787E-4</v>
      </c>
      <c r="AZ203" s="226">
        <f t="shared" si="38"/>
        <v>1.75353316221635E-4</v>
      </c>
      <c r="BA203" s="226">
        <f t="shared" si="38"/>
        <v>1.6750083759629872E-4</v>
      </c>
      <c r="BB203" s="226">
        <f t="shared" si="38"/>
        <v>1.6000000000000023E-4</v>
      </c>
      <c r="BC203" s="226">
        <f t="shared" si="38"/>
        <v>1.5283505663237209E-4</v>
      </c>
      <c r="BD203" s="226">
        <f t="shared" si="38"/>
        <v>1.4599096584887717E-4</v>
      </c>
      <c r="BE203" s="226">
        <f t="shared" si="38"/>
        <v>1.3945335958329881E-4</v>
      </c>
    </row>
    <row r="204" spans="5:57" s="10" customFormat="1" x14ac:dyDescent="0.35">
      <c r="E204" s="10" t="s">
        <v>664</v>
      </c>
      <c r="F204" s="10" t="s">
        <v>615</v>
      </c>
      <c r="G204" s="43" t="s">
        <v>616</v>
      </c>
      <c r="I204" s="20"/>
      <c r="J204" s="200"/>
      <c r="K204" s="200"/>
      <c r="L204" s="200"/>
      <c r="M204" s="200"/>
      <c r="N204" s="200">
        <v>1E-3</v>
      </c>
      <c r="O204" s="226">
        <f t="shared" si="39"/>
        <v>9.5521910395232417E-4</v>
      </c>
      <c r="P204" s="226">
        <f t="shared" si="39"/>
        <v>9.1244353655548101E-4</v>
      </c>
      <c r="Q204" s="226">
        <f t="shared" si="39"/>
        <v>8.7158349739561622E-4</v>
      </c>
      <c r="R204" s="226">
        <f t="shared" si="39"/>
        <v>8.3255320740187333E-4</v>
      </c>
      <c r="S204" s="226">
        <f t="shared" si="39"/>
        <v>7.9527072876705088E-4</v>
      </c>
      <c r="T204" s="226">
        <f t="shared" si="39"/>
        <v>7.5965779293237412E-4</v>
      </c>
      <c r="U204" s="226">
        <f t="shared" si="39"/>
        <v>7.2563963627526255E-4</v>
      </c>
      <c r="V204" s="226">
        <f t="shared" si="39"/>
        <v>6.9314484315514664E-4</v>
      </c>
      <c r="W204" s="226">
        <f t="shared" si="39"/>
        <v>6.6210519598783346E-4</v>
      </c>
      <c r="X204" s="226">
        <f t="shared" si="39"/>
        <v>6.324555320336762E-4</v>
      </c>
      <c r="Y204" s="226">
        <f t="shared" si="39"/>
        <v>6.0413360659889858E-4</v>
      </c>
      <c r="Z204" s="226">
        <f t="shared" si="39"/>
        <v>5.7707996236288576E-4</v>
      </c>
      <c r="AA204" s="226">
        <f t="shared" si="39"/>
        <v>5.5123780455711667E-4</v>
      </c>
      <c r="AB204" s="226">
        <f t="shared" si="39"/>
        <v>5.265528817336954E-4</v>
      </c>
      <c r="AC204" s="226">
        <f t="shared" si="39"/>
        <v>5.029733718731746E-4</v>
      </c>
      <c r="AD204" s="226">
        <f t="shared" ref="AD204:AG219" si="41">AC204*(1+($AH204/$N204)^(1/($AH$6-$N$6))-1)</f>
        <v>4.8044977359257296E-4</v>
      </c>
      <c r="AE204" s="226">
        <f t="shared" si="41"/>
        <v>4.5893480222519451E-4</v>
      </c>
      <c r="AF204" s="226">
        <f t="shared" si="41"/>
        <v>4.3838329055408739E-4</v>
      </c>
      <c r="AG204" s="226">
        <f t="shared" si="41"/>
        <v>4.1875209399074671E-4</v>
      </c>
      <c r="AH204" s="227">
        <v>4.0000000000000002E-4</v>
      </c>
      <c r="AI204" s="226">
        <f t="shared" si="40"/>
        <v>3.8208764158092969E-4</v>
      </c>
      <c r="AJ204" s="226">
        <f t="shared" si="40"/>
        <v>3.6497741462219243E-4</v>
      </c>
      <c r="AK204" s="226">
        <f t="shared" si="40"/>
        <v>3.4863339895824653E-4</v>
      </c>
      <c r="AL204" s="226">
        <f t="shared" si="40"/>
        <v>3.3302128296074936E-4</v>
      </c>
      <c r="AM204" s="226">
        <f t="shared" si="40"/>
        <v>3.1810829150682042E-4</v>
      </c>
      <c r="AN204" s="226">
        <f t="shared" si="40"/>
        <v>3.038631171729497E-4</v>
      </c>
      <c r="AO204" s="226">
        <f t="shared" si="40"/>
        <v>2.902558545101051E-4</v>
      </c>
      <c r="AP204" s="226">
        <f t="shared" si="40"/>
        <v>2.7725793726205875E-4</v>
      </c>
      <c r="AQ204" s="226">
        <f t="shared" si="40"/>
        <v>2.6484207839513348E-4</v>
      </c>
      <c r="AR204" s="226">
        <f t="shared" si="40"/>
        <v>2.5298221281347058E-4</v>
      </c>
      <c r="AS204" s="226">
        <f t="shared" si="40"/>
        <v>2.4165344263955954E-4</v>
      </c>
      <c r="AT204" s="226">
        <f t="shared" si="40"/>
        <v>2.3083198494515441E-4</v>
      </c>
      <c r="AU204" s="226">
        <f t="shared" si="40"/>
        <v>2.2049512182284675E-4</v>
      </c>
      <c r="AV204" s="226">
        <f t="shared" si="40"/>
        <v>2.1062115269347822E-4</v>
      </c>
      <c r="AW204" s="226">
        <f t="shared" si="40"/>
        <v>2.0118934874926992E-4</v>
      </c>
      <c r="AX204" s="226">
        <f t="shared" ref="AX204:BE219" si="42">AW204*(1+($AH204/$N204)^(1/($AH$6-$N$6))-1)</f>
        <v>1.9217990943702924E-4</v>
      </c>
      <c r="AY204" s="226">
        <f t="shared" si="42"/>
        <v>1.8357392089007787E-4</v>
      </c>
      <c r="AZ204" s="226">
        <f t="shared" si="42"/>
        <v>1.75353316221635E-4</v>
      </c>
      <c r="BA204" s="226">
        <f t="shared" si="42"/>
        <v>1.6750083759629872E-4</v>
      </c>
      <c r="BB204" s="226">
        <f t="shared" si="42"/>
        <v>1.6000000000000023E-4</v>
      </c>
      <c r="BC204" s="226">
        <f t="shared" si="42"/>
        <v>1.5283505663237209E-4</v>
      </c>
      <c r="BD204" s="226">
        <f t="shared" si="42"/>
        <v>1.4599096584887717E-4</v>
      </c>
      <c r="BE204" s="226">
        <f t="shared" si="42"/>
        <v>1.3945335958329881E-4</v>
      </c>
    </row>
    <row r="205" spans="5:57" s="10" customFormat="1" x14ac:dyDescent="0.35">
      <c r="E205" s="10" t="s">
        <v>665</v>
      </c>
      <c r="F205" s="10" t="s">
        <v>615</v>
      </c>
      <c r="G205" s="43" t="s">
        <v>616</v>
      </c>
      <c r="I205" s="20"/>
      <c r="J205" s="200"/>
      <c r="K205" s="200"/>
      <c r="L205" s="200"/>
      <c r="M205" s="200"/>
      <c r="N205" s="200">
        <v>1E-3</v>
      </c>
      <c r="O205" s="226">
        <f t="shared" ref="O205:AD220" si="43">N205*(1+($AH205/$N205)^(1/($AH$6-$N$6))-1)</f>
        <v>9.5521910395232417E-4</v>
      </c>
      <c r="P205" s="226">
        <f t="shared" si="43"/>
        <v>9.1244353655548101E-4</v>
      </c>
      <c r="Q205" s="226">
        <f t="shared" si="43"/>
        <v>8.7158349739561622E-4</v>
      </c>
      <c r="R205" s="226">
        <f t="shared" si="43"/>
        <v>8.3255320740187333E-4</v>
      </c>
      <c r="S205" s="226">
        <f t="shared" si="43"/>
        <v>7.9527072876705088E-4</v>
      </c>
      <c r="T205" s="226">
        <f t="shared" si="43"/>
        <v>7.5965779293237412E-4</v>
      </c>
      <c r="U205" s="226">
        <f t="shared" si="43"/>
        <v>7.2563963627526255E-4</v>
      </c>
      <c r="V205" s="226">
        <f t="shared" si="43"/>
        <v>6.9314484315514664E-4</v>
      </c>
      <c r="W205" s="226">
        <f t="shared" si="43"/>
        <v>6.6210519598783346E-4</v>
      </c>
      <c r="X205" s="226">
        <f t="shared" si="43"/>
        <v>6.324555320336762E-4</v>
      </c>
      <c r="Y205" s="226">
        <f t="shared" si="43"/>
        <v>6.0413360659889858E-4</v>
      </c>
      <c r="Z205" s="226">
        <f t="shared" si="43"/>
        <v>5.7707996236288576E-4</v>
      </c>
      <c r="AA205" s="226">
        <f t="shared" si="43"/>
        <v>5.5123780455711667E-4</v>
      </c>
      <c r="AB205" s="226">
        <f t="shared" si="43"/>
        <v>5.265528817336954E-4</v>
      </c>
      <c r="AC205" s="226">
        <f t="shared" si="43"/>
        <v>5.029733718731746E-4</v>
      </c>
      <c r="AD205" s="226">
        <f t="shared" si="43"/>
        <v>4.8044977359257296E-4</v>
      </c>
      <c r="AE205" s="226">
        <f t="shared" si="41"/>
        <v>4.5893480222519451E-4</v>
      </c>
      <c r="AF205" s="226">
        <f t="shared" si="41"/>
        <v>4.3838329055408739E-4</v>
      </c>
      <c r="AG205" s="226">
        <f t="shared" si="41"/>
        <v>4.1875209399074671E-4</v>
      </c>
      <c r="AH205" s="227">
        <v>4.0000000000000002E-4</v>
      </c>
      <c r="AI205" s="226">
        <f t="shared" ref="AI205:AX220" si="44">AH205*(1+($AH205/$N205)^(1/($AH$6-$N$6))-1)</f>
        <v>3.8208764158092969E-4</v>
      </c>
      <c r="AJ205" s="226">
        <f t="shared" si="44"/>
        <v>3.6497741462219243E-4</v>
      </c>
      <c r="AK205" s="226">
        <f t="shared" si="44"/>
        <v>3.4863339895824653E-4</v>
      </c>
      <c r="AL205" s="226">
        <f t="shared" si="44"/>
        <v>3.3302128296074936E-4</v>
      </c>
      <c r="AM205" s="226">
        <f t="shared" si="44"/>
        <v>3.1810829150682042E-4</v>
      </c>
      <c r="AN205" s="226">
        <f t="shared" si="44"/>
        <v>3.038631171729497E-4</v>
      </c>
      <c r="AO205" s="226">
        <f t="shared" si="44"/>
        <v>2.902558545101051E-4</v>
      </c>
      <c r="AP205" s="226">
        <f t="shared" si="44"/>
        <v>2.7725793726205875E-4</v>
      </c>
      <c r="AQ205" s="226">
        <f t="shared" si="44"/>
        <v>2.6484207839513348E-4</v>
      </c>
      <c r="AR205" s="226">
        <f t="shared" si="44"/>
        <v>2.5298221281347058E-4</v>
      </c>
      <c r="AS205" s="226">
        <f t="shared" si="44"/>
        <v>2.4165344263955954E-4</v>
      </c>
      <c r="AT205" s="226">
        <f t="shared" si="44"/>
        <v>2.3083198494515441E-4</v>
      </c>
      <c r="AU205" s="226">
        <f t="shared" si="44"/>
        <v>2.2049512182284675E-4</v>
      </c>
      <c r="AV205" s="226">
        <f t="shared" si="44"/>
        <v>2.1062115269347822E-4</v>
      </c>
      <c r="AW205" s="226">
        <f t="shared" si="44"/>
        <v>2.0118934874926992E-4</v>
      </c>
      <c r="AX205" s="226">
        <f t="shared" si="44"/>
        <v>1.9217990943702924E-4</v>
      </c>
      <c r="AY205" s="226">
        <f t="shared" si="42"/>
        <v>1.8357392089007787E-4</v>
      </c>
      <c r="AZ205" s="226">
        <f t="shared" si="42"/>
        <v>1.75353316221635E-4</v>
      </c>
      <c r="BA205" s="226">
        <f t="shared" si="42"/>
        <v>1.6750083759629872E-4</v>
      </c>
      <c r="BB205" s="226">
        <f t="shared" si="42"/>
        <v>1.6000000000000023E-4</v>
      </c>
      <c r="BC205" s="226">
        <f t="shared" si="42"/>
        <v>1.5283505663237209E-4</v>
      </c>
      <c r="BD205" s="226">
        <f t="shared" si="42"/>
        <v>1.4599096584887717E-4</v>
      </c>
      <c r="BE205" s="226">
        <f t="shared" si="42"/>
        <v>1.3945335958329881E-4</v>
      </c>
    </row>
    <row r="206" spans="5:57" s="10" customFormat="1" x14ac:dyDescent="0.35">
      <c r="E206" s="10" t="s">
        <v>666</v>
      </c>
      <c r="F206" s="10" t="s">
        <v>615</v>
      </c>
      <c r="G206" s="43" t="s">
        <v>616</v>
      </c>
      <c r="I206" s="20"/>
      <c r="J206" s="200"/>
      <c r="K206" s="200"/>
      <c r="L206" s="200"/>
      <c r="M206" s="200"/>
      <c r="N206" s="200">
        <v>1E-3</v>
      </c>
      <c r="O206" s="226">
        <f t="shared" si="43"/>
        <v>9.5521910395232417E-4</v>
      </c>
      <c r="P206" s="226">
        <f t="shared" si="43"/>
        <v>9.1244353655548101E-4</v>
      </c>
      <c r="Q206" s="226">
        <f t="shared" si="43"/>
        <v>8.7158349739561622E-4</v>
      </c>
      <c r="R206" s="226">
        <f t="shared" si="43"/>
        <v>8.3255320740187333E-4</v>
      </c>
      <c r="S206" s="226">
        <f t="shared" si="43"/>
        <v>7.9527072876705088E-4</v>
      </c>
      <c r="T206" s="226">
        <f t="shared" si="43"/>
        <v>7.5965779293237412E-4</v>
      </c>
      <c r="U206" s="226">
        <f t="shared" si="43"/>
        <v>7.2563963627526255E-4</v>
      </c>
      <c r="V206" s="226">
        <f t="shared" si="43"/>
        <v>6.9314484315514664E-4</v>
      </c>
      <c r="W206" s="226">
        <f t="shared" si="43"/>
        <v>6.6210519598783346E-4</v>
      </c>
      <c r="X206" s="226">
        <f t="shared" si="43"/>
        <v>6.324555320336762E-4</v>
      </c>
      <c r="Y206" s="226">
        <f t="shared" si="43"/>
        <v>6.0413360659889858E-4</v>
      </c>
      <c r="Z206" s="226">
        <f t="shared" si="43"/>
        <v>5.7707996236288576E-4</v>
      </c>
      <c r="AA206" s="226">
        <f t="shared" si="43"/>
        <v>5.5123780455711667E-4</v>
      </c>
      <c r="AB206" s="226">
        <f t="shared" si="43"/>
        <v>5.265528817336954E-4</v>
      </c>
      <c r="AC206" s="226">
        <f t="shared" si="43"/>
        <v>5.029733718731746E-4</v>
      </c>
      <c r="AD206" s="226">
        <f t="shared" si="43"/>
        <v>4.8044977359257296E-4</v>
      </c>
      <c r="AE206" s="226">
        <f t="shared" si="41"/>
        <v>4.5893480222519451E-4</v>
      </c>
      <c r="AF206" s="226">
        <f t="shared" si="41"/>
        <v>4.3838329055408739E-4</v>
      </c>
      <c r="AG206" s="226">
        <f t="shared" si="41"/>
        <v>4.1875209399074671E-4</v>
      </c>
      <c r="AH206" s="227">
        <v>4.0000000000000002E-4</v>
      </c>
      <c r="AI206" s="226">
        <f t="shared" si="44"/>
        <v>3.8208764158092969E-4</v>
      </c>
      <c r="AJ206" s="226">
        <f t="shared" si="44"/>
        <v>3.6497741462219243E-4</v>
      </c>
      <c r="AK206" s="226">
        <f t="shared" si="44"/>
        <v>3.4863339895824653E-4</v>
      </c>
      <c r="AL206" s="226">
        <f t="shared" si="44"/>
        <v>3.3302128296074936E-4</v>
      </c>
      <c r="AM206" s="226">
        <f t="shared" si="44"/>
        <v>3.1810829150682042E-4</v>
      </c>
      <c r="AN206" s="226">
        <f t="shared" si="44"/>
        <v>3.038631171729497E-4</v>
      </c>
      <c r="AO206" s="226">
        <f t="shared" si="44"/>
        <v>2.902558545101051E-4</v>
      </c>
      <c r="AP206" s="226">
        <f t="shared" si="44"/>
        <v>2.7725793726205875E-4</v>
      </c>
      <c r="AQ206" s="226">
        <f t="shared" si="44"/>
        <v>2.6484207839513348E-4</v>
      </c>
      <c r="AR206" s="226">
        <f t="shared" si="44"/>
        <v>2.5298221281347058E-4</v>
      </c>
      <c r="AS206" s="226">
        <f t="shared" si="44"/>
        <v>2.4165344263955954E-4</v>
      </c>
      <c r="AT206" s="226">
        <f t="shared" si="44"/>
        <v>2.3083198494515441E-4</v>
      </c>
      <c r="AU206" s="226">
        <f t="shared" si="44"/>
        <v>2.2049512182284675E-4</v>
      </c>
      <c r="AV206" s="226">
        <f t="shared" si="44"/>
        <v>2.1062115269347822E-4</v>
      </c>
      <c r="AW206" s="226">
        <f t="shared" si="44"/>
        <v>2.0118934874926992E-4</v>
      </c>
      <c r="AX206" s="226">
        <f t="shared" si="44"/>
        <v>1.9217990943702924E-4</v>
      </c>
      <c r="AY206" s="226">
        <f t="shared" si="42"/>
        <v>1.8357392089007787E-4</v>
      </c>
      <c r="AZ206" s="226">
        <f t="shared" si="42"/>
        <v>1.75353316221635E-4</v>
      </c>
      <c r="BA206" s="226">
        <f t="shared" si="42"/>
        <v>1.6750083759629872E-4</v>
      </c>
      <c r="BB206" s="226">
        <f t="shared" si="42"/>
        <v>1.6000000000000023E-4</v>
      </c>
      <c r="BC206" s="226">
        <f t="shared" si="42"/>
        <v>1.5283505663237209E-4</v>
      </c>
      <c r="BD206" s="226">
        <f t="shared" si="42"/>
        <v>1.4599096584887717E-4</v>
      </c>
      <c r="BE206" s="226">
        <f t="shared" si="42"/>
        <v>1.3945335958329881E-4</v>
      </c>
    </row>
    <row r="207" spans="5:57" s="10" customFormat="1" x14ac:dyDescent="0.35">
      <c r="E207" s="10" t="s">
        <v>667</v>
      </c>
      <c r="F207" s="10" t="s">
        <v>615</v>
      </c>
      <c r="G207" s="43" t="s">
        <v>616</v>
      </c>
      <c r="I207" s="20"/>
      <c r="J207" s="200"/>
      <c r="K207" s="200"/>
      <c r="L207" s="200"/>
      <c r="M207" s="200"/>
      <c r="N207" s="200">
        <v>1E-3</v>
      </c>
      <c r="O207" s="226">
        <f t="shared" si="43"/>
        <v>9.5521910395232417E-4</v>
      </c>
      <c r="P207" s="226">
        <f t="shared" si="43"/>
        <v>9.1244353655548101E-4</v>
      </c>
      <c r="Q207" s="226">
        <f t="shared" si="43"/>
        <v>8.7158349739561622E-4</v>
      </c>
      <c r="R207" s="226">
        <f t="shared" si="43"/>
        <v>8.3255320740187333E-4</v>
      </c>
      <c r="S207" s="226">
        <f t="shared" si="43"/>
        <v>7.9527072876705088E-4</v>
      </c>
      <c r="T207" s="226">
        <f t="shared" si="43"/>
        <v>7.5965779293237412E-4</v>
      </c>
      <c r="U207" s="226">
        <f t="shared" si="43"/>
        <v>7.2563963627526255E-4</v>
      </c>
      <c r="V207" s="226">
        <f t="shared" si="43"/>
        <v>6.9314484315514664E-4</v>
      </c>
      <c r="W207" s="226">
        <f t="shared" si="43"/>
        <v>6.6210519598783346E-4</v>
      </c>
      <c r="X207" s="226">
        <f t="shared" si="43"/>
        <v>6.324555320336762E-4</v>
      </c>
      <c r="Y207" s="226">
        <f t="shared" si="43"/>
        <v>6.0413360659889858E-4</v>
      </c>
      <c r="Z207" s="226">
        <f t="shared" si="43"/>
        <v>5.7707996236288576E-4</v>
      </c>
      <c r="AA207" s="226">
        <f t="shared" si="43"/>
        <v>5.5123780455711667E-4</v>
      </c>
      <c r="AB207" s="226">
        <f t="shared" si="43"/>
        <v>5.265528817336954E-4</v>
      </c>
      <c r="AC207" s="226">
        <f t="shared" si="43"/>
        <v>5.029733718731746E-4</v>
      </c>
      <c r="AD207" s="226">
        <f t="shared" si="43"/>
        <v>4.8044977359257296E-4</v>
      </c>
      <c r="AE207" s="226">
        <f t="shared" si="41"/>
        <v>4.5893480222519451E-4</v>
      </c>
      <c r="AF207" s="226">
        <f t="shared" si="41"/>
        <v>4.3838329055408739E-4</v>
      </c>
      <c r="AG207" s="226">
        <f t="shared" si="41"/>
        <v>4.1875209399074671E-4</v>
      </c>
      <c r="AH207" s="227">
        <v>4.0000000000000002E-4</v>
      </c>
      <c r="AI207" s="226">
        <f t="shared" si="44"/>
        <v>3.8208764158092969E-4</v>
      </c>
      <c r="AJ207" s="226">
        <f t="shared" si="44"/>
        <v>3.6497741462219243E-4</v>
      </c>
      <c r="AK207" s="226">
        <f t="shared" si="44"/>
        <v>3.4863339895824653E-4</v>
      </c>
      <c r="AL207" s="226">
        <f t="shared" si="44"/>
        <v>3.3302128296074936E-4</v>
      </c>
      <c r="AM207" s="226">
        <f t="shared" si="44"/>
        <v>3.1810829150682042E-4</v>
      </c>
      <c r="AN207" s="226">
        <f t="shared" si="44"/>
        <v>3.038631171729497E-4</v>
      </c>
      <c r="AO207" s="226">
        <f t="shared" si="44"/>
        <v>2.902558545101051E-4</v>
      </c>
      <c r="AP207" s="226">
        <f t="shared" si="44"/>
        <v>2.7725793726205875E-4</v>
      </c>
      <c r="AQ207" s="226">
        <f t="shared" si="44"/>
        <v>2.6484207839513348E-4</v>
      </c>
      <c r="AR207" s="226">
        <f t="shared" si="44"/>
        <v>2.5298221281347058E-4</v>
      </c>
      <c r="AS207" s="226">
        <f t="shared" si="44"/>
        <v>2.4165344263955954E-4</v>
      </c>
      <c r="AT207" s="226">
        <f t="shared" si="44"/>
        <v>2.3083198494515441E-4</v>
      </c>
      <c r="AU207" s="226">
        <f t="shared" si="44"/>
        <v>2.2049512182284675E-4</v>
      </c>
      <c r="AV207" s="226">
        <f t="shared" si="44"/>
        <v>2.1062115269347822E-4</v>
      </c>
      <c r="AW207" s="226">
        <f t="shared" si="44"/>
        <v>2.0118934874926992E-4</v>
      </c>
      <c r="AX207" s="226">
        <f t="shared" si="44"/>
        <v>1.9217990943702924E-4</v>
      </c>
      <c r="AY207" s="226">
        <f t="shared" si="42"/>
        <v>1.8357392089007787E-4</v>
      </c>
      <c r="AZ207" s="226">
        <f t="shared" si="42"/>
        <v>1.75353316221635E-4</v>
      </c>
      <c r="BA207" s="226">
        <f t="shared" si="42"/>
        <v>1.6750083759629872E-4</v>
      </c>
      <c r="BB207" s="226">
        <f t="shared" si="42"/>
        <v>1.6000000000000023E-4</v>
      </c>
      <c r="BC207" s="226">
        <f t="shared" si="42"/>
        <v>1.5283505663237209E-4</v>
      </c>
      <c r="BD207" s="226">
        <f t="shared" si="42"/>
        <v>1.4599096584887717E-4</v>
      </c>
      <c r="BE207" s="226">
        <f t="shared" si="42"/>
        <v>1.3945335958329881E-4</v>
      </c>
    </row>
    <row r="208" spans="5:57" s="10" customFormat="1" x14ac:dyDescent="0.35">
      <c r="E208" s="10" t="s">
        <v>668</v>
      </c>
      <c r="F208" s="10" t="s">
        <v>615</v>
      </c>
      <c r="G208" s="43" t="s">
        <v>616</v>
      </c>
      <c r="I208" s="20"/>
      <c r="J208" s="200"/>
      <c r="K208" s="200"/>
      <c r="L208" s="200"/>
      <c r="M208" s="200"/>
      <c r="N208" s="200">
        <v>1E-3</v>
      </c>
      <c r="O208" s="226">
        <f t="shared" si="43"/>
        <v>9.5521910395232417E-4</v>
      </c>
      <c r="P208" s="226">
        <f t="shared" si="43"/>
        <v>9.1244353655548101E-4</v>
      </c>
      <c r="Q208" s="226">
        <f t="shared" si="43"/>
        <v>8.7158349739561622E-4</v>
      </c>
      <c r="R208" s="226">
        <f t="shared" si="43"/>
        <v>8.3255320740187333E-4</v>
      </c>
      <c r="S208" s="226">
        <f t="shared" si="43"/>
        <v>7.9527072876705088E-4</v>
      </c>
      <c r="T208" s="226">
        <f t="shared" si="43"/>
        <v>7.5965779293237412E-4</v>
      </c>
      <c r="U208" s="226">
        <f t="shared" si="43"/>
        <v>7.2563963627526255E-4</v>
      </c>
      <c r="V208" s="226">
        <f t="shared" si="43"/>
        <v>6.9314484315514664E-4</v>
      </c>
      <c r="W208" s="226">
        <f t="shared" si="43"/>
        <v>6.6210519598783346E-4</v>
      </c>
      <c r="X208" s="226">
        <f t="shared" si="43"/>
        <v>6.324555320336762E-4</v>
      </c>
      <c r="Y208" s="226">
        <f t="shared" si="43"/>
        <v>6.0413360659889858E-4</v>
      </c>
      <c r="Z208" s="226">
        <f t="shared" si="43"/>
        <v>5.7707996236288576E-4</v>
      </c>
      <c r="AA208" s="226">
        <f t="shared" si="43"/>
        <v>5.5123780455711667E-4</v>
      </c>
      <c r="AB208" s="226">
        <f t="shared" si="43"/>
        <v>5.265528817336954E-4</v>
      </c>
      <c r="AC208" s="226">
        <f t="shared" si="43"/>
        <v>5.029733718731746E-4</v>
      </c>
      <c r="AD208" s="226">
        <f t="shared" si="43"/>
        <v>4.8044977359257296E-4</v>
      </c>
      <c r="AE208" s="226">
        <f t="shared" si="41"/>
        <v>4.5893480222519451E-4</v>
      </c>
      <c r="AF208" s="226">
        <f t="shared" si="41"/>
        <v>4.3838329055408739E-4</v>
      </c>
      <c r="AG208" s="226">
        <f t="shared" si="41"/>
        <v>4.1875209399074671E-4</v>
      </c>
      <c r="AH208" s="227">
        <v>4.0000000000000002E-4</v>
      </c>
      <c r="AI208" s="226">
        <f t="shared" si="44"/>
        <v>3.8208764158092969E-4</v>
      </c>
      <c r="AJ208" s="226">
        <f t="shared" si="44"/>
        <v>3.6497741462219243E-4</v>
      </c>
      <c r="AK208" s="226">
        <f t="shared" si="44"/>
        <v>3.4863339895824653E-4</v>
      </c>
      <c r="AL208" s="226">
        <f t="shared" si="44"/>
        <v>3.3302128296074936E-4</v>
      </c>
      <c r="AM208" s="226">
        <f t="shared" si="44"/>
        <v>3.1810829150682042E-4</v>
      </c>
      <c r="AN208" s="226">
        <f t="shared" si="44"/>
        <v>3.038631171729497E-4</v>
      </c>
      <c r="AO208" s="226">
        <f t="shared" si="44"/>
        <v>2.902558545101051E-4</v>
      </c>
      <c r="AP208" s="226">
        <f t="shared" si="44"/>
        <v>2.7725793726205875E-4</v>
      </c>
      <c r="AQ208" s="226">
        <f t="shared" si="44"/>
        <v>2.6484207839513348E-4</v>
      </c>
      <c r="AR208" s="226">
        <f t="shared" si="44"/>
        <v>2.5298221281347058E-4</v>
      </c>
      <c r="AS208" s="226">
        <f t="shared" si="44"/>
        <v>2.4165344263955954E-4</v>
      </c>
      <c r="AT208" s="226">
        <f t="shared" si="44"/>
        <v>2.3083198494515441E-4</v>
      </c>
      <c r="AU208" s="226">
        <f t="shared" si="44"/>
        <v>2.2049512182284675E-4</v>
      </c>
      <c r="AV208" s="226">
        <f t="shared" si="44"/>
        <v>2.1062115269347822E-4</v>
      </c>
      <c r="AW208" s="226">
        <f t="shared" si="44"/>
        <v>2.0118934874926992E-4</v>
      </c>
      <c r="AX208" s="226">
        <f t="shared" si="44"/>
        <v>1.9217990943702924E-4</v>
      </c>
      <c r="AY208" s="226">
        <f t="shared" si="42"/>
        <v>1.8357392089007787E-4</v>
      </c>
      <c r="AZ208" s="226">
        <f t="shared" si="42"/>
        <v>1.75353316221635E-4</v>
      </c>
      <c r="BA208" s="226">
        <f t="shared" si="42"/>
        <v>1.6750083759629872E-4</v>
      </c>
      <c r="BB208" s="226">
        <f t="shared" si="42"/>
        <v>1.6000000000000023E-4</v>
      </c>
      <c r="BC208" s="226">
        <f t="shared" si="42"/>
        <v>1.5283505663237209E-4</v>
      </c>
      <c r="BD208" s="226">
        <f t="shared" si="42"/>
        <v>1.4599096584887717E-4</v>
      </c>
      <c r="BE208" s="226">
        <f t="shared" si="42"/>
        <v>1.3945335958329881E-4</v>
      </c>
    </row>
    <row r="209" spans="4:57" s="10" customFormat="1" x14ac:dyDescent="0.35">
      <c r="D209" s="169"/>
      <c r="E209" s="10" t="s">
        <v>669</v>
      </c>
      <c r="F209" s="10" t="s">
        <v>615</v>
      </c>
      <c r="G209" s="43" t="s">
        <v>616</v>
      </c>
      <c r="I209" s="20"/>
      <c r="J209" s="200"/>
      <c r="K209" s="200"/>
      <c r="L209" s="200"/>
      <c r="M209" s="200"/>
      <c r="N209" s="200">
        <v>1E-3</v>
      </c>
      <c r="O209" s="226">
        <f t="shared" si="43"/>
        <v>9.5521910395232417E-4</v>
      </c>
      <c r="P209" s="226">
        <f t="shared" si="43"/>
        <v>9.1244353655548101E-4</v>
      </c>
      <c r="Q209" s="226">
        <f t="shared" si="43"/>
        <v>8.7158349739561622E-4</v>
      </c>
      <c r="R209" s="226">
        <f t="shared" si="43"/>
        <v>8.3255320740187333E-4</v>
      </c>
      <c r="S209" s="226">
        <f t="shared" si="43"/>
        <v>7.9527072876705088E-4</v>
      </c>
      <c r="T209" s="226">
        <f t="shared" si="43"/>
        <v>7.5965779293237412E-4</v>
      </c>
      <c r="U209" s="226">
        <f t="shared" si="43"/>
        <v>7.2563963627526255E-4</v>
      </c>
      <c r="V209" s="226">
        <f t="shared" si="43"/>
        <v>6.9314484315514664E-4</v>
      </c>
      <c r="W209" s="226">
        <f t="shared" si="43"/>
        <v>6.6210519598783346E-4</v>
      </c>
      <c r="X209" s="226">
        <f t="shared" si="43"/>
        <v>6.324555320336762E-4</v>
      </c>
      <c r="Y209" s="226">
        <f t="shared" si="43"/>
        <v>6.0413360659889858E-4</v>
      </c>
      <c r="Z209" s="226">
        <f t="shared" si="43"/>
        <v>5.7707996236288576E-4</v>
      </c>
      <c r="AA209" s="226">
        <f t="shared" si="43"/>
        <v>5.5123780455711667E-4</v>
      </c>
      <c r="AB209" s="226">
        <f t="shared" si="43"/>
        <v>5.265528817336954E-4</v>
      </c>
      <c r="AC209" s="226">
        <f t="shared" si="43"/>
        <v>5.029733718731746E-4</v>
      </c>
      <c r="AD209" s="226">
        <f t="shared" si="43"/>
        <v>4.8044977359257296E-4</v>
      </c>
      <c r="AE209" s="226">
        <f t="shared" si="41"/>
        <v>4.5893480222519451E-4</v>
      </c>
      <c r="AF209" s="226">
        <f t="shared" si="41"/>
        <v>4.3838329055408739E-4</v>
      </c>
      <c r="AG209" s="226">
        <f t="shared" si="41"/>
        <v>4.1875209399074671E-4</v>
      </c>
      <c r="AH209" s="227">
        <v>4.0000000000000002E-4</v>
      </c>
      <c r="AI209" s="226">
        <f t="shared" si="44"/>
        <v>3.8208764158092969E-4</v>
      </c>
      <c r="AJ209" s="226">
        <f t="shared" si="44"/>
        <v>3.6497741462219243E-4</v>
      </c>
      <c r="AK209" s="226">
        <f t="shared" si="44"/>
        <v>3.4863339895824653E-4</v>
      </c>
      <c r="AL209" s="226">
        <f t="shared" si="44"/>
        <v>3.3302128296074936E-4</v>
      </c>
      <c r="AM209" s="226">
        <f t="shared" si="44"/>
        <v>3.1810829150682042E-4</v>
      </c>
      <c r="AN209" s="226">
        <f t="shared" si="44"/>
        <v>3.038631171729497E-4</v>
      </c>
      <c r="AO209" s="226">
        <f t="shared" si="44"/>
        <v>2.902558545101051E-4</v>
      </c>
      <c r="AP209" s="226">
        <f t="shared" si="44"/>
        <v>2.7725793726205875E-4</v>
      </c>
      <c r="AQ209" s="226">
        <f t="shared" si="44"/>
        <v>2.6484207839513348E-4</v>
      </c>
      <c r="AR209" s="226">
        <f t="shared" si="44"/>
        <v>2.5298221281347058E-4</v>
      </c>
      <c r="AS209" s="226">
        <f t="shared" si="44"/>
        <v>2.4165344263955954E-4</v>
      </c>
      <c r="AT209" s="226">
        <f t="shared" si="44"/>
        <v>2.3083198494515441E-4</v>
      </c>
      <c r="AU209" s="226">
        <f t="shared" si="44"/>
        <v>2.2049512182284675E-4</v>
      </c>
      <c r="AV209" s="226">
        <f t="shared" si="44"/>
        <v>2.1062115269347822E-4</v>
      </c>
      <c r="AW209" s="226">
        <f t="shared" si="44"/>
        <v>2.0118934874926992E-4</v>
      </c>
      <c r="AX209" s="226">
        <f t="shared" si="44"/>
        <v>1.9217990943702924E-4</v>
      </c>
      <c r="AY209" s="226">
        <f t="shared" si="42"/>
        <v>1.8357392089007787E-4</v>
      </c>
      <c r="AZ209" s="226">
        <f t="shared" si="42"/>
        <v>1.75353316221635E-4</v>
      </c>
      <c r="BA209" s="226">
        <f t="shared" si="42"/>
        <v>1.6750083759629872E-4</v>
      </c>
      <c r="BB209" s="226">
        <f t="shared" si="42"/>
        <v>1.6000000000000023E-4</v>
      </c>
      <c r="BC209" s="226">
        <f t="shared" si="42"/>
        <v>1.5283505663237209E-4</v>
      </c>
      <c r="BD209" s="226">
        <f t="shared" si="42"/>
        <v>1.4599096584887717E-4</v>
      </c>
      <c r="BE209" s="226">
        <f t="shared" si="42"/>
        <v>1.3945335958329881E-4</v>
      </c>
    </row>
    <row r="210" spans="4:57" s="10" customFormat="1" x14ac:dyDescent="0.35">
      <c r="D210" s="169"/>
      <c r="E210" s="10" t="s">
        <v>670</v>
      </c>
      <c r="F210" s="10" t="s">
        <v>615</v>
      </c>
      <c r="G210" s="43" t="s">
        <v>616</v>
      </c>
      <c r="I210" s="20"/>
      <c r="J210" s="200"/>
      <c r="K210" s="200"/>
      <c r="L210" s="200"/>
      <c r="M210" s="200"/>
      <c r="N210" s="200">
        <v>1.1000000000000001E-3</v>
      </c>
      <c r="O210" s="226">
        <f t="shared" si="43"/>
        <v>1.0457456108712117E-3</v>
      </c>
      <c r="P210" s="226">
        <f t="shared" si="43"/>
        <v>9.9416716605127604E-4</v>
      </c>
      <c r="Q210" s="226">
        <f t="shared" si="43"/>
        <v>9.4513268215490277E-4</v>
      </c>
      <c r="R210" s="226">
        <f t="shared" si="43"/>
        <v>8.9851668550402326E-4</v>
      </c>
      <c r="S210" s="226">
        <f t="shared" si="43"/>
        <v>8.5419989105489202E-4</v>
      </c>
      <c r="T210" s="226">
        <f t="shared" si="43"/>
        <v>8.1206889716120046E-4</v>
      </c>
      <c r="U210" s="226">
        <f t="shared" si="43"/>
        <v>7.7201589539213709E-4</v>
      </c>
      <c r="V210" s="226">
        <f t="shared" si="43"/>
        <v>7.3393839466285075E-4</v>
      </c>
      <c r="W210" s="226">
        <f t="shared" si="43"/>
        <v>6.9773895897139941E-4</v>
      </c>
      <c r="X210" s="226">
        <f t="shared" si="43"/>
        <v>6.633249580710812E-4</v>
      </c>
      <c r="Y210" s="226">
        <f t="shared" si="43"/>
        <v>6.3060833044014883E-4</v>
      </c>
      <c r="Z210" s="226">
        <f t="shared" si="43"/>
        <v>5.9950535794237123E-4</v>
      </c>
      <c r="AA210" s="226">
        <f t="shared" si="43"/>
        <v>5.6993645160182673E-4</v>
      </c>
      <c r="AB210" s="226">
        <f t="shared" si="43"/>
        <v>5.4182594794374825E-4</v>
      </c>
      <c r="AC210" s="226">
        <f t="shared" si="43"/>
        <v>5.1510191538028027E-4</v>
      </c>
      <c r="AD210" s="226">
        <f t="shared" si="43"/>
        <v>4.8969597014571122E-4</v>
      </c>
      <c r="AE210" s="226">
        <f t="shared" si="41"/>
        <v>4.655431013101795E-4</v>
      </c>
      <c r="AF210" s="226">
        <f t="shared" si="41"/>
        <v>4.4258150442408366E-4</v>
      </c>
      <c r="AG210" s="226">
        <f t="shared" si="41"/>
        <v>4.2075242336751204E-4</v>
      </c>
      <c r="AH210" s="227">
        <v>4.0000000000000002E-4</v>
      </c>
      <c r="AI210" s="226">
        <f t="shared" si="44"/>
        <v>3.8027113122589517E-4</v>
      </c>
      <c r="AJ210" s="226">
        <f t="shared" si="44"/>
        <v>3.6151533310955494E-4</v>
      </c>
      <c r="AK210" s="226">
        <f t="shared" si="44"/>
        <v>3.4368461169269191E-4</v>
      </c>
      <c r="AL210" s="226">
        <f t="shared" si="44"/>
        <v>3.2673334018328118E-4</v>
      </c>
      <c r="AM210" s="226">
        <f t="shared" si="44"/>
        <v>3.1061814220177892E-4</v>
      </c>
      <c r="AN210" s="226">
        <f t="shared" si="44"/>
        <v>2.952977807858911E-4</v>
      </c>
      <c r="AO210" s="226">
        <f t="shared" si="44"/>
        <v>2.8073305286986807E-4</v>
      </c>
      <c r="AP210" s="226">
        <f t="shared" si="44"/>
        <v>2.6688668896830941E-4</v>
      </c>
      <c r="AQ210" s="226">
        <f t="shared" si="44"/>
        <v>2.5372325780778166E-4</v>
      </c>
      <c r="AR210" s="226">
        <f t="shared" si="44"/>
        <v>2.412090756622114E-4</v>
      </c>
      <c r="AS210" s="226">
        <f t="shared" si="44"/>
        <v>2.2931212016005415E-4</v>
      </c>
      <c r="AT210" s="226">
        <f t="shared" si="44"/>
        <v>2.1800194834268048E-4</v>
      </c>
      <c r="AU210" s="226">
        <f t="shared" si="44"/>
        <v>2.0724961876430066E-4</v>
      </c>
      <c r="AV210" s="226">
        <f t="shared" si="44"/>
        <v>1.970276174340903E-4</v>
      </c>
      <c r="AW210" s="226">
        <f t="shared" si="44"/>
        <v>1.8730978741101105E-4</v>
      </c>
      <c r="AX210" s="226">
        <f t="shared" si="44"/>
        <v>1.7807126187116776E-4</v>
      </c>
      <c r="AY210" s="226">
        <f t="shared" si="42"/>
        <v>1.6928840047642892E-4</v>
      </c>
      <c r="AZ210" s="226">
        <f t="shared" si="42"/>
        <v>1.6093872888148499E-4</v>
      </c>
      <c r="BA210" s="226">
        <f t="shared" si="42"/>
        <v>1.5300088122454985E-4</v>
      </c>
      <c r="BB210" s="226">
        <f t="shared" si="42"/>
        <v>1.45454545454546E-4</v>
      </c>
      <c r="BC210" s="226">
        <f t="shared" si="42"/>
        <v>1.3828041135487148E-4</v>
      </c>
      <c r="BD210" s="226">
        <f t="shared" si="42"/>
        <v>1.3146012113074773E-4</v>
      </c>
      <c r="BE210" s="226">
        <f t="shared" si="42"/>
        <v>1.249762224337066E-4</v>
      </c>
    </row>
    <row r="211" spans="4:57" s="10" customFormat="1" x14ac:dyDescent="0.35">
      <c r="D211" s="169"/>
      <c r="E211" s="10" t="s">
        <v>671</v>
      </c>
      <c r="F211" s="10" t="s">
        <v>615</v>
      </c>
      <c r="G211" s="43" t="s">
        <v>616</v>
      </c>
      <c r="I211" s="20"/>
      <c r="J211" s="200"/>
      <c r="K211" s="200"/>
      <c r="L211" s="200"/>
      <c r="M211" s="200"/>
      <c r="N211" s="200">
        <v>1.1000000000000001E-3</v>
      </c>
      <c r="O211" s="226">
        <f t="shared" si="43"/>
        <v>1.0457456108712117E-3</v>
      </c>
      <c r="P211" s="226">
        <f t="shared" si="43"/>
        <v>9.9416716605127604E-4</v>
      </c>
      <c r="Q211" s="226">
        <f t="shared" si="43"/>
        <v>9.4513268215490277E-4</v>
      </c>
      <c r="R211" s="226">
        <f t="shared" si="43"/>
        <v>8.9851668550402326E-4</v>
      </c>
      <c r="S211" s="226">
        <f t="shared" si="43"/>
        <v>8.5419989105489202E-4</v>
      </c>
      <c r="T211" s="226">
        <f t="shared" si="43"/>
        <v>8.1206889716120046E-4</v>
      </c>
      <c r="U211" s="226">
        <f t="shared" si="43"/>
        <v>7.7201589539213709E-4</v>
      </c>
      <c r="V211" s="226">
        <f t="shared" si="43"/>
        <v>7.3393839466285075E-4</v>
      </c>
      <c r="W211" s="226">
        <f t="shared" si="43"/>
        <v>6.9773895897139941E-4</v>
      </c>
      <c r="X211" s="226">
        <f t="shared" si="43"/>
        <v>6.633249580710812E-4</v>
      </c>
      <c r="Y211" s="226">
        <f t="shared" si="43"/>
        <v>6.3060833044014883E-4</v>
      </c>
      <c r="Z211" s="226">
        <f t="shared" si="43"/>
        <v>5.9950535794237123E-4</v>
      </c>
      <c r="AA211" s="226">
        <f t="shared" si="43"/>
        <v>5.6993645160182673E-4</v>
      </c>
      <c r="AB211" s="226">
        <f t="shared" si="43"/>
        <v>5.4182594794374825E-4</v>
      </c>
      <c r="AC211" s="226">
        <f t="shared" si="43"/>
        <v>5.1510191538028027E-4</v>
      </c>
      <c r="AD211" s="226">
        <f t="shared" si="43"/>
        <v>4.8969597014571122E-4</v>
      </c>
      <c r="AE211" s="226">
        <f t="shared" si="41"/>
        <v>4.655431013101795E-4</v>
      </c>
      <c r="AF211" s="226">
        <f t="shared" si="41"/>
        <v>4.4258150442408366E-4</v>
      </c>
      <c r="AG211" s="226">
        <f t="shared" si="41"/>
        <v>4.2075242336751204E-4</v>
      </c>
      <c r="AH211" s="227">
        <v>4.0000000000000002E-4</v>
      </c>
      <c r="AI211" s="226">
        <f t="shared" si="44"/>
        <v>3.8027113122589517E-4</v>
      </c>
      <c r="AJ211" s="226">
        <f t="shared" si="44"/>
        <v>3.6151533310955494E-4</v>
      </c>
      <c r="AK211" s="226">
        <f t="shared" si="44"/>
        <v>3.4368461169269191E-4</v>
      </c>
      <c r="AL211" s="226">
        <f t="shared" si="44"/>
        <v>3.2673334018328118E-4</v>
      </c>
      <c r="AM211" s="226">
        <f t="shared" si="44"/>
        <v>3.1061814220177892E-4</v>
      </c>
      <c r="AN211" s="226">
        <f t="shared" si="44"/>
        <v>2.952977807858911E-4</v>
      </c>
      <c r="AO211" s="226">
        <f t="shared" si="44"/>
        <v>2.8073305286986807E-4</v>
      </c>
      <c r="AP211" s="226">
        <f t="shared" si="44"/>
        <v>2.6688668896830941E-4</v>
      </c>
      <c r="AQ211" s="226">
        <f t="shared" si="44"/>
        <v>2.5372325780778166E-4</v>
      </c>
      <c r="AR211" s="226">
        <f t="shared" si="44"/>
        <v>2.412090756622114E-4</v>
      </c>
      <c r="AS211" s="226">
        <f t="shared" si="44"/>
        <v>2.2931212016005415E-4</v>
      </c>
      <c r="AT211" s="226">
        <f t="shared" si="44"/>
        <v>2.1800194834268048E-4</v>
      </c>
      <c r="AU211" s="226">
        <f t="shared" si="44"/>
        <v>2.0724961876430066E-4</v>
      </c>
      <c r="AV211" s="226">
        <f t="shared" si="44"/>
        <v>1.970276174340903E-4</v>
      </c>
      <c r="AW211" s="226">
        <f t="shared" si="44"/>
        <v>1.8730978741101105E-4</v>
      </c>
      <c r="AX211" s="226">
        <f t="shared" si="44"/>
        <v>1.7807126187116776E-4</v>
      </c>
      <c r="AY211" s="226">
        <f t="shared" si="42"/>
        <v>1.6928840047642892E-4</v>
      </c>
      <c r="AZ211" s="226">
        <f t="shared" si="42"/>
        <v>1.6093872888148499E-4</v>
      </c>
      <c r="BA211" s="226">
        <f t="shared" si="42"/>
        <v>1.5300088122454985E-4</v>
      </c>
      <c r="BB211" s="226">
        <f t="shared" si="42"/>
        <v>1.45454545454546E-4</v>
      </c>
      <c r="BC211" s="226">
        <f t="shared" si="42"/>
        <v>1.3828041135487148E-4</v>
      </c>
      <c r="BD211" s="226">
        <f t="shared" si="42"/>
        <v>1.3146012113074773E-4</v>
      </c>
      <c r="BE211" s="226">
        <f t="shared" si="42"/>
        <v>1.249762224337066E-4</v>
      </c>
    </row>
    <row r="212" spans="4:57" s="10" customFormat="1" x14ac:dyDescent="0.35">
      <c r="D212" s="169"/>
      <c r="E212" s="10" t="s">
        <v>672</v>
      </c>
      <c r="F212" s="10" t="s">
        <v>615</v>
      </c>
      <c r="G212" s="43" t="s">
        <v>616</v>
      </c>
      <c r="I212" s="20"/>
      <c r="J212" s="200"/>
      <c r="K212" s="200"/>
      <c r="L212" s="200"/>
      <c r="M212" s="200"/>
      <c r="N212" s="200">
        <v>1.1000000000000001E-3</v>
      </c>
      <c r="O212" s="226">
        <f t="shared" si="43"/>
        <v>1.0457456108712117E-3</v>
      </c>
      <c r="P212" s="226">
        <f t="shared" si="43"/>
        <v>9.9416716605127604E-4</v>
      </c>
      <c r="Q212" s="226">
        <f t="shared" si="43"/>
        <v>9.4513268215490277E-4</v>
      </c>
      <c r="R212" s="226">
        <f t="shared" si="43"/>
        <v>8.9851668550402326E-4</v>
      </c>
      <c r="S212" s="226">
        <f t="shared" si="43"/>
        <v>8.5419989105489202E-4</v>
      </c>
      <c r="T212" s="226">
        <f t="shared" si="43"/>
        <v>8.1206889716120046E-4</v>
      </c>
      <c r="U212" s="226">
        <f t="shared" si="43"/>
        <v>7.7201589539213709E-4</v>
      </c>
      <c r="V212" s="226">
        <f t="shared" si="43"/>
        <v>7.3393839466285075E-4</v>
      </c>
      <c r="W212" s="226">
        <f t="shared" si="43"/>
        <v>6.9773895897139941E-4</v>
      </c>
      <c r="X212" s="226">
        <f t="shared" si="43"/>
        <v>6.633249580710812E-4</v>
      </c>
      <c r="Y212" s="226">
        <f t="shared" si="43"/>
        <v>6.3060833044014883E-4</v>
      </c>
      <c r="Z212" s="226">
        <f t="shared" si="43"/>
        <v>5.9950535794237123E-4</v>
      </c>
      <c r="AA212" s="226">
        <f t="shared" si="43"/>
        <v>5.6993645160182673E-4</v>
      </c>
      <c r="AB212" s="226">
        <f t="shared" si="43"/>
        <v>5.4182594794374825E-4</v>
      </c>
      <c r="AC212" s="226">
        <f t="shared" si="43"/>
        <v>5.1510191538028027E-4</v>
      </c>
      <c r="AD212" s="226">
        <f t="shared" si="43"/>
        <v>4.8969597014571122E-4</v>
      </c>
      <c r="AE212" s="226">
        <f t="shared" si="41"/>
        <v>4.655431013101795E-4</v>
      </c>
      <c r="AF212" s="226">
        <f t="shared" si="41"/>
        <v>4.4258150442408366E-4</v>
      </c>
      <c r="AG212" s="226">
        <f t="shared" si="41"/>
        <v>4.2075242336751204E-4</v>
      </c>
      <c r="AH212" s="227">
        <v>4.0000000000000002E-4</v>
      </c>
      <c r="AI212" s="226">
        <f t="shared" si="44"/>
        <v>3.8027113122589517E-4</v>
      </c>
      <c r="AJ212" s="226">
        <f t="shared" si="44"/>
        <v>3.6151533310955494E-4</v>
      </c>
      <c r="AK212" s="226">
        <f t="shared" si="44"/>
        <v>3.4368461169269191E-4</v>
      </c>
      <c r="AL212" s="226">
        <f t="shared" si="44"/>
        <v>3.2673334018328118E-4</v>
      </c>
      <c r="AM212" s="226">
        <f t="shared" si="44"/>
        <v>3.1061814220177892E-4</v>
      </c>
      <c r="AN212" s="226">
        <f t="shared" si="44"/>
        <v>2.952977807858911E-4</v>
      </c>
      <c r="AO212" s="226">
        <f t="shared" si="44"/>
        <v>2.8073305286986807E-4</v>
      </c>
      <c r="AP212" s="226">
        <f t="shared" si="44"/>
        <v>2.6688668896830941E-4</v>
      </c>
      <c r="AQ212" s="226">
        <f t="shared" si="44"/>
        <v>2.5372325780778166E-4</v>
      </c>
      <c r="AR212" s="226">
        <f t="shared" si="44"/>
        <v>2.412090756622114E-4</v>
      </c>
      <c r="AS212" s="226">
        <f t="shared" si="44"/>
        <v>2.2931212016005415E-4</v>
      </c>
      <c r="AT212" s="226">
        <f t="shared" si="44"/>
        <v>2.1800194834268048E-4</v>
      </c>
      <c r="AU212" s="226">
        <f t="shared" si="44"/>
        <v>2.0724961876430066E-4</v>
      </c>
      <c r="AV212" s="226">
        <f t="shared" si="44"/>
        <v>1.970276174340903E-4</v>
      </c>
      <c r="AW212" s="226">
        <f t="shared" si="44"/>
        <v>1.8730978741101105E-4</v>
      </c>
      <c r="AX212" s="226">
        <f t="shared" si="44"/>
        <v>1.7807126187116776E-4</v>
      </c>
      <c r="AY212" s="226">
        <f t="shared" si="42"/>
        <v>1.6928840047642892E-4</v>
      </c>
      <c r="AZ212" s="226">
        <f t="shared" si="42"/>
        <v>1.6093872888148499E-4</v>
      </c>
      <c r="BA212" s="226">
        <f t="shared" si="42"/>
        <v>1.5300088122454985E-4</v>
      </c>
      <c r="BB212" s="226">
        <f t="shared" si="42"/>
        <v>1.45454545454546E-4</v>
      </c>
      <c r="BC212" s="226">
        <f t="shared" si="42"/>
        <v>1.3828041135487148E-4</v>
      </c>
      <c r="BD212" s="226">
        <f t="shared" si="42"/>
        <v>1.3146012113074773E-4</v>
      </c>
      <c r="BE212" s="226">
        <f t="shared" si="42"/>
        <v>1.249762224337066E-4</v>
      </c>
    </row>
    <row r="213" spans="4:57" s="10" customFormat="1" x14ac:dyDescent="0.35">
      <c r="D213" s="169"/>
      <c r="E213" s="10" t="s">
        <v>673</v>
      </c>
      <c r="F213" s="10" t="s">
        <v>615</v>
      </c>
      <c r="G213" s="43" t="s">
        <v>616</v>
      </c>
      <c r="I213" s="20"/>
      <c r="J213" s="200"/>
      <c r="K213" s="200"/>
      <c r="L213" s="200"/>
      <c r="M213" s="200"/>
      <c r="N213" s="200">
        <v>1.1000000000000001E-3</v>
      </c>
      <c r="O213" s="226">
        <f t="shared" si="43"/>
        <v>1.0457456108712117E-3</v>
      </c>
      <c r="P213" s="226">
        <f t="shared" si="43"/>
        <v>9.9416716605127604E-4</v>
      </c>
      <c r="Q213" s="226">
        <f t="shared" si="43"/>
        <v>9.4513268215490277E-4</v>
      </c>
      <c r="R213" s="226">
        <f t="shared" si="43"/>
        <v>8.9851668550402326E-4</v>
      </c>
      <c r="S213" s="226">
        <f t="shared" si="43"/>
        <v>8.5419989105489202E-4</v>
      </c>
      <c r="T213" s="226">
        <f t="shared" si="43"/>
        <v>8.1206889716120046E-4</v>
      </c>
      <c r="U213" s="226">
        <f t="shared" si="43"/>
        <v>7.7201589539213709E-4</v>
      </c>
      <c r="V213" s="226">
        <f t="shared" si="43"/>
        <v>7.3393839466285075E-4</v>
      </c>
      <c r="W213" s="226">
        <f t="shared" si="43"/>
        <v>6.9773895897139941E-4</v>
      </c>
      <c r="X213" s="226">
        <f t="shared" si="43"/>
        <v>6.633249580710812E-4</v>
      </c>
      <c r="Y213" s="226">
        <f t="shared" si="43"/>
        <v>6.3060833044014883E-4</v>
      </c>
      <c r="Z213" s="226">
        <f t="shared" si="43"/>
        <v>5.9950535794237123E-4</v>
      </c>
      <c r="AA213" s="226">
        <f t="shared" si="43"/>
        <v>5.6993645160182673E-4</v>
      </c>
      <c r="AB213" s="226">
        <f t="shared" si="43"/>
        <v>5.4182594794374825E-4</v>
      </c>
      <c r="AC213" s="226">
        <f t="shared" si="43"/>
        <v>5.1510191538028027E-4</v>
      </c>
      <c r="AD213" s="226">
        <f t="shared" si="43"/>
        <v>4.8969597014571122E-4</v>
      </c>
      <c r="AE213" s="226">
        <f t="shared" si="41"/>
        <v>4.655431013101795E-4</v>
      </c>
      <c r="AF213" s="226">
        <f t="shared" si="41"/>
        <v>4.4258150442408366E-4</v>
      </c>
      <c r="AG213" s="226">
        <f t="shared" si="41"/>
        <v>4.2075242336751204E-4</v>
      </c>
      <c r="AH213" s="227">
        <v>4.0000000000000002E-4</v>
      </c>
      <c r="AI213" s="226">
        <f t="shared" si="44"/>
        <v>3.8027113122589517E-4</v>
      </c>
      <c r="AJ213" s="226">
        <f t="shared" si="44"/>
        <v>3.6151533310955494E-4</v>
      </c>
      <c r="AK213" s="226">
        <f t="shared" si="44"/>
        <v>3.4368461169269191E-4</v>
      </c>
      <c r="AL213" s="226">
        <f t="shared" si="44"/>
        <v>3.2673334018328118E-4</v>
      </c>
      <c r="AM213" s="226">
        <f t="shared" si="44"/>
        <v>3.1061814220177892E-4</v>
      </c>
      <c r="AN213" s="226">
        <f t="shared" si="44"/>
        <v>2.952977807858911E-4</v>
      </c>
      <c r="AO213" s="226">
        <f t="shared" si="44"/>
        <v>2.8073305286986807E-4</v>
      </c>
      <c r="AP213" s="226">
        <f t="shared" si="44"/>
        <v>2.6688668896830941E-4</v>
      </c>
      <c r="AQ213" s="226">
        <f t="shared" si="44"/>
        <v>2.5372325780778166E-4</v>
      </c>
      <c r="AR213" s="226">
        <f t="shared" si="44"/>
        <v>2.412090756622114E-4</v>
      </c>
      <c r="AS213" s="226">
        <f t="shared" si="44"/>
        <v>2.2931212016005415E-4</v>
      </c>
      <c r="AT213" s="226">
        <f t="shared" si="44"/>
        <v>2.1800194834268048E-4</v>
      </c>
      <c r="AU213" s="226">
        <f t="shared" si="44"/>
        <v>2.0724961876430066E-4</v>
      </c>
      <c r="AV213" s="226">
        <f t="shared" si="44"/>
        <v>1.970276174340903E-4</v>
      </c>
      <c r="AW213" s="226">
        <f t="shared" si="44"/>
        <v>1.8730978741101105E-4</v>
      </c>
      <c r="AX213" s="226">
        <f t="shared" si="44"/>
        <v>1.7807126187116776E-4</v>
      </c>
      <c r="AY213" s="226">
        <f t="shared" si="42"/>
        <v>1.6928840047642892E-4</v>
      </c>
      <c r="AZ213" s="226">
        <f t="shared" si="42"/>
        <v>1.6093872888148499E-4</v>
      </c>
      <c r="BA213" s="226">
        <f t="shared" si="42"/>
        <v>1.5300088122454985E-4</v>
      </c>
      <c r="BB213" s="226">
        <f t="shared" si="42"/>
        <v>1.45454545454546E-4</v>
      </c>
      <c r="BC213" s="226">
        <f t="shared" si="42"/>
        <v>1.3828041135487148E-4</v>
      </c>
      <c r="BD213" s="226">
        <f t="shared" si="42"/>
        <v>1.3146012113074773E-4</v>
      </c>
      <c r="BE213" s="226">
        <f t="shared" si="42"/>
        <v>1.249762224337066E-4</v>
      </c>
    </row>
    <row r="214" spans="4:57" s="10" customFormat="1" x14ac:dyDescent="0.35">
      <c r="D214" s="169"/>
      <c r="E214" s="10" t="s">
        <v>674</v>
      </c>
      <c r="F214" s="10" t="s">
        <v>615</v>
      </c>
      <c r="G214" s="43" t="s">
        <v>616</v>
      </c>
      <c r="I214" s="20"/>
      <c r="J214" s="200"/>
      <c r="K214" s="200"/>
      <c r="L214" s="200"/>
      <c r="M214" s="200"/>
      <c r="N214" s="200">
        <v>1.1000000000000001E-3</v>
      </c>
      <c r="O214" s="226">
        <f t="shared" si="43"/>
        <v>1.0457456108712117E-3</v>
      </c>
      <c r="P214" s="226">
        <f t="shared" si="43"/>
        <v>9.9416716605127604E-4</v>
      </c>
      <c r="Q214" s="226">
        <f t="shared" si="43"/>
        <v>9.4513268215490277E-4</v>
      </c>
      <c r="R214" s="226">
        <f t="shared" si="43"/>
        <v>8.9851668550402326E-4</v>
      </c>
      <c r="S214" s="226">
        <f t="shared" si="43"/>
        <v>8.5419989105489202E-4</v>
      </c>
      <c r="T214" s="226">
        <f t="shared" si="43"/>
        <v>8.1206889716120046E-4</v>
      </c>
      <c r="U214" s="226">
        <f t="shared" si="43"/>
        <v>7.7201589539213709E-4</v>
      </c>
      <c r="V214" s="226">
        <f t="shared" si="43"/>
        <v>7.3393839466285075E-4</v>
      </c>
      <c r="W214" s="226">
        <f t="shared" si="43"/>
        <v>6.9773895897139941E-4</v>
      </c>
      <c r="X214" s="226">
        <f t="shared" si="43"/>
        <v>6.633249580710812E-4</v>
      </c>
      <c r="Y214" s="226">
        <f t="shared" si="43"/>
        <v>6.3060833044014883E-4</v>
      </c>
      <c r="Z214" s="226">
        <f t="shared" si="43"/>
        <v>5.9950535794237123E-4</v>
      </c>
      <c r="AA214" s="226">
        <f t="shared" si="43"/>
        <v>5.6993645160182673E-4</v>
      </c>
      <c r="AB214" s="226">
        <f t="shared" si="43"/>
        <v>5.4182594794374825E-4</v>
      </c>
      <c r="AC214" s="226">
        <f t="shared" si="43"/>
        <v>5.1510191538028027E-4</v>
      </c>
      <c r="AD214" s="226">
        <f t="shared" si="43"/>
        <v>4.8969597014571122E-4</v>
      </c>
      <c r="AE214" s="226">
        <f t="shared" si="41"/>
        <v>4.655431013101795E-4</v>
      </c>
      <c r="AF214" s="226">
        <f t="shared" si="41"/>
        <v>4.4258150442408366E-4</v>
      </c>
      <c r="AG214" s="226">
        <f t="shared" si="41"/>
        <v>4.2075242336751204E-4</v>
      </c>
      <c r="AH214" s="227">
        <v>4.0000000000000002E-4</v>
      </c>
      <c r="AI214" s="226">
        <f t="shared" si="44"/>
        <v>3.8027113122589517E-4</v>
      </c>
      <c r="AJ214" s="226">
        <f t="shared" si="44"/>
        <v>3.6151533310955494E-4</v>
      </c>
      <c r="AK214" s="226">
        <f t="shared" si="44"/>
        <v>3.4368461169269191E-4</v>
      </c>
      <c r="AL214" s="226">
        <f t="shared" si="44"/>
        <v>3.2673334018328118E-4</v>
      </c>
      <c r="AM214" s="226">
        <f t="shared" si="44"/>
        <v>3.1061814220177892E-4</v>
      </c>
      <c r="AN214" s="226">
        <f t="shared" si="44"/>
        <v>2.952977807858911E-4</v>
      </c>
      <c r="AO214" s="226">
        <f t="shared" si="44"/>
        <v>2.8073305286986807E-4</v>
      </c>
      <c r="AP214" s="226">
        <f t="shared" si="44"/>
        <v>2.6688668896830941E-4</v>
      </c>
      <c r="AQ214" s="226">
        <f t="shared" si="44"/>
        <v>2.5372325780778166E-4</v>
      </c>
      <c r="AR214" s="226">
        <f t="shared" si="44"/>
        <v>2.412090756622114E-4</v>
      </c>
      <c r="AS214" s="226">
        <f t="shared" si="44"/>
        <v>2.2931212016005415E-4</v>
      </c>
      <c r="AT214" s="226">
        <f t="shared" si="44"/>
        <v>2.1800194834268048E-4</v>
      </c>
      <c r="AU214" s="226">
        <f t="shared" si="44"/>
        <v>2.0724961876430066E-4</v>
      </c>
      <c r="AV214" s="226">
        <f t="shared" si="44"/>
        <v>1.970276174340903E-4</v>
      </c>
      <c r="AW214" s="226">
        <f t="shared" si="44"/>
        <v>1.8730978741101105E-4</v>
      </c>
      <c r="AX214" s="226">
        <f t="shared" si="44"/>
        <v>1.7807126187116776E-4</v>
      </c>
      <c r="AY214" s="226">
        <f t="shared" si="42"/>
        <v>1.6928840047642892E-4</v>
      </c>
      <c r="AZ214" s="226">
        <f t="shared" si="42"/>
        <v>1.6093872888148499E-4</v>
      </c>
      <c r="BA214" s="226">
        <f t="shared" si="42"/>
        <v>1.5300088122454985E-4</v>
      </c>
      <c r="BB214" s="226">
        <f t="shared" si="42"/>
        <v>1.45454545454546E-4</v>
      </c>
      <c r="BC214" s="226">
        <f t="shared" si="42"/>
        <v>1.3828041135487148E-4</v>
      </c>
      <c r="BD214" s="226">
        <f t="shared" si="42"/>
        <v>1.3146012113074773E-4</v>
      </c>
      <c r="BE214" s="226">
        <f t="shared" si="42"/>
        <v>1.249762224337066E-4</v>
      </c>
    </row>
    <row r="215" spans="4:57" s="10" customFormat="1" x14ac:dyDescent="0.35">
      <c r="D215" s="169"/>
      <c r="E215" s="10" t="s">
        <v>675</v>
      </c>
      <c r="F215" s="10" t="s">
        <v>615</v>
      </c>
      <c r="G215" s="43" t="s">
        <v>616</v>
      </c>
      <c r="I215" s="20"/>
      <c r="J215" s="200"/>
      <c r="K215" s="200"/>
      <c r="L215" s="200"/>
      <c r="M215" s="200"/>
      <c r="N215" s="200">
        <v>1.1999999999999999E-3</v>
      </c>
      <c r="O215" s="226">
        <f t="shared" si="43"/>
        <v>1.1358609871681912E-3</v>
      </c>
      <c r="P215" s="226">
        <f t="shared" si="43"/>
        <v>1.0751501518089148E-3</v>
      </c>
      <c r="Q215" s="226">
        <f t="shared" si="43"/>
        <v>1.0176842606564205E-3</v>
      </c>
      <c r="R215" s="226">
        <f t="shared" si="43"/>
        <v>9.6328987411227723E-4</v>
      </c>
      <c r="S215" s="226">
        <f t="shared" si="43"/>
        <v>9.1180282278191158E-4</v>
      </c>
      <c r="T215" s="226">
        <f t="shared" si="43"/>
        <v>8.6306771198983777E-4</v>
      </c>
      <c r="U215" s="226">
        <f t="shared" si="43"/>
        <v>8.1693745277814105E-4</v>
      </c>
      <c r="V215" s="226">
        <f t="shared" si="43"/>
        <v>7.7327281797270571E-4</v>
      </c>
      <c r="W215" s="226">
        <f t="shared" si="43"/>
        <v>7.3194202197733875E-4</v>
      </c>
      <c r="X215" s="226">
        <f t="shared" si="43"/>
        <v>6.9282032302755156E-4</v>
      </c>
      <c r="Y215" s="226">
        <f t="shared" si="43"/>
        <v>6.5578964670354981E-4</v>
      </c>
      <c r="Z215" s="226">
        <f t="shared" si="43"/>
        <v>6.2073822956614454E-4</v>
      </c>
      <c r="AA215" s="226">
        <f t="shared" si="43"/>
        <v>5.8756028184003015E-4</v>
      </c>
      <c r="AB215" s="226">
        <f t="shared" si="43"/>
        <v>5.5615566812636436E-4</v>
      </c>
      <c r="AC215" s="226">
        <f t="shared" si="43"/>
        <v>5.2642960518099768E-4</v>
      </c>
      <c r="AD215" s="226">
        <f t="shared" si="43"/>
        <v>4.9829237584620768E-4</v>
      </c>
      <c r="AE215" s="226">
        <f t="shared" si="41"/>
        <v>4.7165905827254736E-4</v>
      </c>
      <c r="AF215" s="226">
        <f t="shared" si="41"/>
        <v>4.4644926961356256E-4</v>
      </c>
      <c r="AG215" s="226">
        <f t="shared" si="41"/>
        <v>4.2258692341981595E-4</v>
      </c>
      <c r="AH215" s="227">
        <v>4.0000000000000002E-4</v>
      </c>
      <c r="AI215" s="226">
        <f t="shared" si="44"/>
        <v>3.7862032905606373E-4</v>
      </c>
      <c r="AJ215" s="226">
        <f t="shared" si="44"/>
        <v>3.5838338393630494E-4</v>
      </c>
      <c r="AK215" s="226">
        <f t="shared" si="44"/>
        <v>3.3922808688547349E-4</v>
      </c>
      <c r="AL215" s="226">
        <f t="shared" si="44"/>
        <v>3.2109662470409237E-4</v>
      </c>
      <c r="AM215" s="226">
        <f t="shared" si="44"/>
        <v>3.0393427426063716E-4</v>
      </c>
      <c r="AN215" s="226">
        <f t="shared" si="44"/>
        <v>2.8768923732994589E-4</v>
      </c>
      <c r="AO215" s="226">
        <f t="shared" si="44"/>
        <v>2.7231248425938029E-4</v>
      </c>
      <c r="AP215" s="226">
        <f t="shared" si="44"/>
        <v>2.5775760599090183E-4</v>
      </c>
      <c r="AQ215" s="226">
        <f t="shared" si="44"/>
        <v>2.439806739924462E-4</v>
      </c>
      <c r="AR215" s="226">
        <f t="shared" si="44"/>
        <v>2.3094010767585048E-4</v>
      </c>
      <c r="AS215" s="226">
        <f t="shared" si="44"/>
        <v>2.1859654890118323E-4</v>
      </c>
      <c r="AT215" s="226">
        <f t="shared" si="44"/>
        <v>2.0691274318871479E-4</v>
      </c>
      <c r="AU215" s="226">
        <f t="shared" si="44"/>
        <v>1.9585342728001002E-4</v>
      </c>
      <c r="AV215" s="226">
        <f t="shared" si="44"/>
        <v>1.8538522270878811E-4</v>
      </c>
      <c r="AW215" s="226">
        <f t="shared" si="44"/>
        <v>1.7547653506033253E-4</v>
      </c>
      <c r="AX215" s="226">
        <f t="shared" si="44"/>
        <v>1.6609745861540252E-4</v>
      </c>
      <c r="AY215" s="226">
        <f t="shared" si="42"/>
        <v>1.5721968609084906E-4</v>
      </c>
      <c r="AZ215" s="226">
        <f t="shared" si="42"/>
        <v>1.4881642320452079E-4</v>
      </c>
      <c r="BA215" s="226">
        <f t="shared" si="42"/>
        <v>1.4086230780660524E-4</v>
      </c>
      <c r="BB215" s="226">
        <f t="shared" si="42"/>
        <v>1.3333333333333353E-4</v>
      </c>
      <c r="BC215" s="226">
        <f t="shared" si="42"/>
        <v>1.2620677635202142E-4</v>
      </c>
      <c r="BD215" s="226">
        <f t="shared" si="42"/>
        <v>1.1946112797876849E-4</v>
      </c>
      <c r="BE215" s="226">
        <f t="shared" si="42"/>
        <v>1.1307602896182466E-4</v>
      </c>
    </row>
    <row r="216" spans="4:57" s="10" customFormat="1" x14ac:dyDescent="0.35">
      <c r="D216" s="169"/>
      <c r="E216" s="10" t="s">
        <v>676</v>
      </c>
      <c r="F216" s="10" t="s">
        <v>615</v>
      </c>
      <c r="G216" s="43" t="s">
        <v>616</v>
      </c>
      <c r="I216" s="20"/>
      <c r="J216" s="200"/>
      <c r="K216" s="200"/>
      <c r="L216" s="200"/>
      <c r="M216" s="200"/>
      <c r="N216" s="200">
        <v>1.1999999999999999E-3</v>
      </c>
      <c r="O216" s="226">
        <f t="shared" si="43"/>
        <v>1.1486049510259315E-3</v>
      </c>
      <c r="P216" s="226">
        <f t="shared" si="43"/>
        <v>1.0994111112677357E-3</v>
      </c>
      <c r="Q216" s="226">
        <f t="shared" si="43"/>
        <v>1.0523242046792023E-3</v>
      </c>
      <c r="R216" s="226">
        <f t="shared" si="43"/>
        <v>1.0072539929824648E-3</v>
      </c>
      <c r="S216" s="226">
        <f t="shared" si="43"/>
        <v>9.641141027335817E-4</v>
      </c>
      <c r="T216" s="226">
        <f t="shared" si="43"/>
        <v>9.2282185979476305E-4</v>
      </c>
      <c r="U216" s="226">
        <f t="shared" si="43"/>
        <v>8.832981308960192E-4</v>
      </c>
      <c r="V216" s="226">
        <f t="shared" si="43"/>
        <v>8.4546717198259931E-4</v>
      </c>
      <c r="W216" s="226">
        <f t="shared" si="43"/>
        <v>8.0925648305758867E-4</v>
      </c>
      <c r="X216" s="226">
        <f t="shared" si="43"/>
        <v>7.7459666924148277E-4</v>
      </c>
      <c r="Y216" s="226">
        <f t="shared" si="43"/>
        <v>7.4142130778246924E-4</v>
      </c>
      <c r="Z216" s="226">
        <f t="shared" si="43"/>
        <v>7.0966682076255446E-4</v>
      </c>
      <c r="AA216" s="226">
        <f t="shared" si="43"/>
        <v>6.7927235325558545E-4</v>
      </c>
      <c r="AB216" s="226">
        <f t="shared" si="43"/>
        <v>6.5017965670366754E-4</v>
      </c>
      <c r="AC216" s="226">
        <f t="shared" si="43"/>
        <v>6.2233297728847765E-4</v>
      </c>
      <c r="AD216" s="226">
        <f t="shared" si="43"/>
        <v>5.9567894908354514E-4</v>
      </c>
      <c r="AE216" s="226">
        <f t="shared" si="41"/>
        <v>5.7016649178273648E-4</v>
      </c>
      <c r="AF216" s="226">
        <f t="shared" si="41"/>
        <v>5.4574671280894777E-4</v>
      </c>
      <c r="AG216" s="226">
        <f t="shared" si="41"/>
        <v>5.223728136154039E-4</v>
      </c>
      <c r="AH216" s="227">
        <v>5.0000000000000001E-4</v>
      </c>
      <c r="AI216" s="226">
        <f t="shared" si="44"/>
        <v>4.7858539626080489E-4</v>
      </c>
      <c r="AJ216" s="226">
        <f t="shared" si="44"/>
        <v>4.5808796302822328E-4</v>
      </c>
      <c r="AK216" s="226">
        <f t="shared" si="44"/>
        <v>4.3846841861633432E-4</v>
      </c>
      <c r="AL216" s="226">
        <f t="shared" si="44"/>
        <v>4.1968916374269367E-4</v>
      </c>
      <c r="AM216" s="226">
        <f t="shared" si="44"/>
        <v>4.0171420947232573E-4</v>
      </c>
      <c r="AN216" s="226">
        <f t="shared" si="44"/>
        <v>3.8450910824781799E-4</v>
      </c>
      <c r="AO216" s="226">
        <f t="shared" si="44"/>
        <v>3.680408878733414E-4</v>
      </c>
      <c r="AP216" s="226">
        <f t="shared" si="44"/>
        <v>3.522779883260831E-4</v>
      </c>
      <c r="AQ216" s="226">
        <f t="shared" si="44"/>
        <v>3.3719020127399537E-4</v>
      </c>
      <c r="AR216" s="226">
        <f t="shared" si="44"/>
        <v>3.2274861218395124E-4</v>
      </c>
      <c r="AS216" s="226">
        <f t="shared" si="44"/>
        <v>3.089255449093623E-4</v>
      </c>
      <c r="AT216" s="226">
        <f t="shared" si="44"/>
        <v>2.9569450865106446E-4</v>
      </c>
      <c r="AU216" s="226">
        <f t="shared" si="44"/>
        <v>2.8303014718982736E-4</v>
      </c>
      <c r="AV216" s="226">
        <f t="shared" si="44"/>
        <v>2.7090819029319493E-4</v>
      </c>
      <c r="AW216" s="226">
        <f t="shared" si="44"/>
        <v>2.5930540720353243E-4</v>
      </c>
      <c r="AX216" s="226">
        <f t="shared" si="44"/>
        <v>2.4819956211814386E-4</v>
      </c>
      <c r="AY216" s="226">
        <f t="shared" si="42"/>
        <v>2.3756937157614027E-4</v>
      </c>
      <c r="AZ216" s="226">
        <f t="shared" si="42"/>
        <v>2.2739446367039498E-4</v>
      </c>
      <c r="BA216" s="226">
        <f t="shared" si="42"/>
        <v>2.1765533900641834E-4</v>
      </c>
      <c r="BB216" s="226">
        <f t="shared" si="42"/>
        <v>2.0833333333333308E-4</v>
      </c>
      <c r="BC216" s="226">
        <f t="shared" si="42"/>
        <v>1.9941058177533512E-4</v>
      </c>
      <c r="BD216" s="226">
        <f t="shared" si="42"/>
        <v>1.9086998459509277E-4</v>
      </c>
      <c r="BE216" s="226">
        <f t="shared" si="42"/>
        <v>1.8269517442347238E-4</v>
      </c>
    </row>
    <row r="217" spans="4:57" s="10" customFormat="1" x14ac:dyDescent="0.35">
      <c r="D217" s="169"/>
      <c r="E217" s="10" t="s">
        <v>677</v>
      </c>
      <c r="F217" s="10" t="s">
        <v>615</v>
      </c>
      <c r="G217" s="43" t="s">
        <v>616</v>
      </c>
      <c r="I217" s="20"/>
      <c r="J217" s="200"/>
      <c r="K217" s="200"/>
      <c r="L217" s="200"/>
      <c r="M217" s="200"/>
      <c r="N217" s="200">
        <v>1.1999999999999999E-3</v>
      </c>
      <c r="O217" s="226">
        <f t="shared" si="43"/>
        <v>1.1486049510259315E-3</v>
      </c>
      <c r="P217" s="226">
        <f t="shared" si="43"/>
        <v>1.0994111112677357E-3</v>
      </c>
      <c r="Q217" s="226">
        <f t="shared" si="43"/>
        <v>1.0523242046792023E-3</v>
      </c>
      <c r="R217" s="226">
        <f t="shared" si="43"/>
        <v>1.0072539929824648E-3</v>
      </c>
      <c r="S217" s="226">
        <f t="shared" si="43"/>
        <v>9.641141027335817E-4</v>
      </c>
      <c r="T217" s="226">
        <f t="shared" si="43"/>
        <v>9.2282185979476305E-4</v>
      </c>
      <c r="U217" s="226">
        <f t="shared" si="43"/>
        <v>8.832981308960192E-4</v>
      </c>
      <c r="V217" s="226">
        <f t="shared" si="43"/>
        <v>8.4546717198259931E-4</v>
      </c>
      <c r="W217" s="226">
        <f t="shared" si="43"/>
        <v>8.0925648305758867E-4</v>
      </c>
      <c r="X217" s="226">
        <f t="shared" si="43"/>
        <v>7.7459666924148277E-4</v>
      </c>
      <c r="Y217" s="226">
        <f t="shared" si="43"/>
        <v>7.4142130778246924E-4</v>
      </c>
      <c r="Z217" s="226">
        <f t="shared" si="43"/>
        <v>7.0966682076255446E-4</v>
      </c>
      <c r="AA217" s="226">
        <f t="shared" si="43"/>
        <v>6.7927235325558545E-4</v>
      </c>
      <c r="AB217" s="226">
        <f t="shared" si="43"/>
        <v>6.5017965670366754E-4</v>
      </c>
      <c r="AC217" s="226">
        <f t="shared" si="43"/>
        <v>6.2233297728847765E-4</v>
      </c>
      <c r="AD217" s="226">
        <f t="shared" si="43"/>
        <v>5.9567894908354514E-4</v>
      </c>
      <c r="AE217" s="226">
        <f t="shared" si="41"/>
        <v>5.7016649178273648E-4</v>
      </c>
      <c r="AF217" s="226">
        <f t="shared" si="41"/>
        <v>5.4574671280894777E-4</v>
      </c>
      <c r="AG217" s="226">
        <f t="shared" si="41"/>
        <v>5.223728136154039E-4</v>
      </c>
      <c r="AH217" s="227">
        <v>5.0000000000000001E-4</v>
      </c>
      <c r="AI217" s="226">
        <f t="shared" si="44"/>
        <v>4.7858539626080489E-4</v>
      </c>
      <c r="AJ217" s="226">
        <f t="shared" si="44"/>
        <v>4.5808796302822328E-4</v>
      </c>
      <c r="AK217" s="226">
        <f t="shared" si="44"/>
        <v>4.3846841861633432E-4</v>
      </c>
      <c r="AL217" s="226">
        <f t="shared" si="44"/>
        <v>4.1968916374269367E-4</v>
      </c>
      <c r="AM217" s="226">
        <f t="shared" si="44"/>
        <v>4.0171420947232573E-4</v>
      </c>
      <c r="AN217" s="226">
        <f t="shared" si="44"/>
        <v>3.8450910824781799E-4</v>
      </c>
      <c r="AO217" s="226">
        <f t="shared" si="44"/>
        <v>3.680408878733414E-4</v>
      </c>
      <c r="AP217" s="226">
        <f t="shared" si="44"/>
        <v>3.522779883260831E-4</v>
      </c>
      <c r="AQ217" s="226">
        <f t="shared" si="44"/>
        <v>3.3719020127399537E-4</v>
      </c>
      <c r="AR217" s="226">
        <f t="shared" si="44"/>
        <v>3.2274861218395124E-4</v>
      </c>
      <c r="AS217" s="226">
        <f t="shared" si="44"/>
        <v>3.089255449093623E-4</v>
      </c>
      <c r="AT217" s="226">
        <f t="shared" si="44"/>
        <v>2.9569450865106446E-4</v>
      </c>
      <c r="AU217" s="226">
        <f t="shared" si="44"/>
        <v>2.8303014718982736E-4</v>
      </c>
      <c r="AV217" s="226">
        <f t="shared" si="44"/>
        <v>2.7090819029319493E-4</v>
      </c>
      <c r="AW217" s="226">
        <f t="shared" si="44"/>
        <v>2.5930540720353243E-4</v>
      </c>
      <c r="AX217" s="226">
        <f t="shared" si="44"/>
        <v>2.4819956211814386E-4</v>
      </c>
      <c r="AY217" s="226">
        <f t="shared" si="42"/>
        <v>2.3756937157614027E-4</v>
      </c>
      <c r="AZ217" s="226">
        <f t="shared" si="42"/>
        <v>2.2739446367039498E-4</v>
      </c>
      <c r="BA217" s="226">
        <f t="shared" si="42"/>
        <v>2.1765533900641834E-4</v>
      </c>
      <c r="BB217" s="226">
        <f t="shared" si="42"/>
        <v>2.0833333333333308E-4</v>
      </c>
      <c r="BC217" s="226">
        <f t="shared" si="42"/>
        <v>1.9941058177533512E-4</v>
      </c>
      <c r="BD217" s="226">
        <f t="shared" si="42"/>
        <v>1.9086998459509277E-4</v>
      </c>
      <c r="BE217" s="226">
        <f t="shared" si="42"/>
        <v>1.8269517442347238E-4</v>
      </c>
    </row>
    <row r="218" spans="4:57" s="10" customFormat="1" x14ac:dyDescent="0.35">
      <c r="D218" s="169"/>
      <c r="E218" s="10" t="s">
        <v>678</v>
      </c>
      <c r="F218" s="10" t="s">
        <v>615</v>
      </c>
      <c r="G218" s="43" t="s">
        <v>616</v>
      </c>
      <c r="I218" s="20"/>
      <c r="J218" s="200"/>
      <c r="K218" s="200"/>
      <c r="L218" s="200"/>
      <c r="M218" s="200"/>
      <c r="N218" s="200">
        <v>1.1999999999999999E-3</v>
      </c>
      <c r="O218" s="226">
        <f t="shared" si="43"/>
        <v>1.1486049510259315E-3</v>
      </c>
      <c r="P218" s="226">
        <f t="shared" si="43"/>
        <v>1.0994111112677357E-3</v>
      </c>
      <c r="Q218" s="226">
        <f t="shared" si="43"/>
        <v>1.0523242046792023E-3</v>
      </c>
      <c r="R218" s="226">
        <f t="shared" si="43"/>
        <v>1.0072539929824648E-3</v>
      </c>
      <c r="S218" s="226">
        <f t="shared" si="43"/>
        <v>9.641141027335817E-4</v>
      </c>
      <c r="T218" s="226">
        <f t="shared" si="43"/>
        <v>9.2282185979476305E-4</v>
      </c>
      <c r="U218" s="226">
        <f t="shared" si="43"/>
        <v>8.832981308960192E-4</v>
      </c>
      <c r="V218" s="226">
        <f t="shared" si="43"/>
        <v>8.4546717198259931E-4</v>
      </c>
      <c r="W218" s="226">
        <f t="shared" si="43"/>
        <v>8.0925648305758867E-4</v>
      </c>
      <c r="X218" s="226">
        <f t="shared" si="43"/>
        <v>7.7459666924148277E-4</v>
      </c>
      <c r="Y218" s="226">
        <f t="shared" si="43"/>
        <v>7.4142130778246924E-4</v>
      </c>
      <c r="Z218" s="226">
        <f t="shared" si="43"/>
        <v>7.0966682076255446E-4</v>
      </c>
      <c r="AA218" s="226">
        <f t="shared" si="43"/>
        <v>6.7927235325558545E-4</v>
      </c>
      <c r="AB218" s="226">
        <f t="shared" si="43"/>
        <v>6.5017965670366754E-4</v>
      </c>
      <c r="AC218" s="226">
        <f t="shared" si="43"/>
        <v>6.2233297728847765E-4</v>
      </c>
      <c r="AD218" s="226">
        <f t="shared" si="43"/>
        <v>5.9567894908354514E-4</v>
      </c>
      <c r="AE218" s="226">
        <f t="shared" si="41"/>
        <v>5.7016649178273648E-4</v>
      </c>
      <c r="AF218" s="226">
        <f t="shared" si="41"/>
        <v>5.4574671280894777E-4</v>
      </c>
      <c r="AG218" s="226">
        <f t="shared" si="41"/>
        <v>5.223728136154039E-4</v>
      </c>
      <c r="AH218" s="227">
        <v>5.0000000000000001E-4</v>
      </c>
      <c r="AI218" s="226">
        <f t="shared" si="44"/>
        <v>4.7858539626080489E-4</v>
      </c>
      <c r="AJ218" s="226">
        <f t="shared" si="44"/>
        <v>4.5808796302822328E-4</v>
      </c>
      <c r="AK218" s="226">
        <f t="shared" si="44"/>
        <v>4.3846841861633432E-4</v>
      </c>
      <c r="AL218" s="226">
        <f t="shared" si="44"/>
        <v>4.1968916374269367E-4</v>
      </c>
      <c r="AM218" s="226">
        <f t="shared" si="44"/>
        <v>4.0171420947232573E-4</v>
      </c>
      <c r="AN218" s="226">
        <f t="shared" si="44"/>
        <v>3.8450910824781799E-4</v>
      </c>
      <c r="AO218" s="226">
        <f t="shared" si="44"/>
        <v>3.680408878733414E-4</v>
      </c>
      <c r="AP218" s="226">
        <f t="shared" si="44"/>
        <v>3.522779883260831E-4</v>
      </c>
      <c r="AQ218" s="226">
        <f t="shared" si="44"/>
        <v>3.3719020127399537E-4</v>
      </c>
      <c r="AR218" s="226">
        <f t="shared" si="44"/>
        <v>3.2274861218395124E-4</v>
      </c>
      <c r="AS218" s="226">
        <f t="shared" si="44"/>
        <v>3.089255449093623E-4</v>
      </c>
      <c r="AT218" s="226">
        <f t="shared" si="44"/>
        <v>2.9569450865106446E-4</v>
      </c>
      <c r="AU218" s="226">
        <f t="shared" si="44"/>
        <v>2.8303014718982736E-4</v>
      </c>
      <c r="AV218" s="226">
        <f t="shared" si="44"/>
        <v>2.7090819029319493E-4</v>
      </c>
      <c r="AW218" s="226">
        <f t="shared" si="44"/>
        <v>2.5930540720353243E-4</v>
      </c>
      <c r="AX218" s="226">
        <f t="shared" si="44"/>
        <v>2.4819956211814386E-4</v>
      </c>
      <c r="AY218" s="226">
        <f t="shared" si="42"/>
        <v>2.3756937157614027E-4</v>
      </c>
      <c r="AZ218" s="226">
        <f t="shared" si="42"/>
        <v>2.2739446367039498E-4</v>
      </c>
      <c r="BA218" s="226">
        <f t="shared" si="42"/>
        <v>2.1765533900641834E-4</v>
      </c>
      <c r="BB218" s="226">
        <f t="shared" si="42"/>
        <v>2.0833333333333308E-4</v>
      </c>
      <c r="BC218" s="226">
        <f t="shared" si="42"/>
        <v>1.9941058177533512E-4</v>
      </c>
      <c r="BD218" s="226">
        <f t="shared" si="42"/>
        <v>1.9086998459509277E-4</v>
      </c>
      <c r="BE218" s="226">
        <f t="shared" si="42"/>
        <v>1.8269517442347238E-4</v>
      </c>
    </row>
    <row r="219" spans="4:57" s="10" customFormat="1" x14ac:dyDescent="0.35">
      <c r="D219" s="169"/>
      <c r="E219" s="10" t="s">
        <v>679</v>
      </c>
      <c r="F219" s="10" t="s">
        <v>615</v>
      </c>
      <c r="G219" s="43" t="s">
        <v>616</v>
      </c>
      <c r="I219" s="20"/>
      <c r="J219" s="200"/>
      <c r="K219" s="200"/>
      <c r="L219" s="200"/>
      <c r="M219" s="200"/>
      <c r="N219" s="200">
        <v>1.2999999999999999E-3</v>
      </c>
      <c r="O219" s="226">
        <f t="shared" si="43"/>
        <v>1.2393520369787811E-3</v>
      </c>
      <c r="P219" s="226">
        <f t="shared" si="43"/>
        <v>1.1815334396641955E-3</v>
      </c>
      <c r="Q219" s="226">
        <f t="shared" si="43"/>
        <v>1.1264122116972052E-3</v>
      </c>
      <c r="R219" s="226">
        <f t="shared" si="43"/>
        <v>1.0738625146497734E-3</v>
      </c>
      <c r="S219" s="226">
        <f t="shared" si="43"/>
        <v>1.0237643807433484E-3</v>
      </c>
      <c r="T219" s="226">
        <f t="shared" si="43"/>
        <v>9.760034389696842E-4</v>
      </c>
      <c r="U219" s="226">
        <f t="shared" si="43"/>
        <v>9.3047065398874898E-4</v>
      </c>
      <c r="V219" s="226">
        <f t="shared" si="43"/>
        <v>8.8706207720764217E-4</v>
      </c>
      <c r="W219" s="226">
        <f t="shared" si="43"/>
        <v>8.4567860947224632E-4</v>
      </c>
      <c r="X219" s="226">
        <f t="shared" si="43"/>
        <v>8.0622577482985516E-4</v>
      </c>
      <c r="Y219" s="226">
        <f t="shared" si="43"/>
        <v>7.6861350484629012E-4</v>
      </c>
      <c r="Z219" s="226">
        <f t="shared" si="43"/>
        <v>7.3275593298511535E-4</v>
      </c>
      <c r="AA219" s="226">
        <f t="shared" si="43"/>
        <v>6.9857119857953079E-4</v>
      </c>
      <c r="AB219" s="226">
        <f t="shared" si="43"/>
        <v>6.6598125994942316E-4</v>
      </c>
      <c r="AC219" s="226">
        <f t="shared" si="43"/>
        <v>6.3491171623693287E-4</v>
      </c>
      <c r="AD219" s="226">
        <f t="shared" si="43"/>
        <v>6.052916375537974E-4</v>
      </c>
      <c r="AE219" s="226">
        <f t="shared" si="41"/>
        <v>5.770534030527084E-4</v>
      </c>
      <c r="AF219" s="226">
        <f t="shared" si="41"/>
        <v>5.5013254655300907E-4</v>
      </c>
      <c r="AG219" s="226">
        <f t="shared" si="41"/>
        <v>5.2446760936830455E-4</v>
      </c>
      <c r="AH219" s="227">
        <v>5.0000000000000001E-4</v>
      </c>
      <c r="AI219" s="226">
        <f t="shared" si="44"/>
        <v>4.7667386037645432E-4</v>
      </c>
      <c r="AJ219" s="226">
        <f t="shared" si="44"/>
        <v>4.5443593833238293E-4</v>
      </c>
      <c r="AK219" s="226">
        <f t="shared" si="44"/>
        <v>4.332354660373866E-4</v>
      </c>
      <c r="AL219" s="226">
        <f t="shared" si="44"/>
        <v>4.1302404409606665E-4</v>
      </c>
      <c r="AM219" s="226">
        <f t="shared" si="44"/>
        <v>3.9375553105513398E-4</v>
      </c>
      <c r="AN219" s="226">
        <f t="shared" si="44"/>
        <v>3.7538593806526311E-4</v>
      </c>
      <c r="AO219" s="226">
        <f t="shared" si="44"/>
        <v>3.5787332845721112E-4</v>
      </c>
      <c r="AP219" s="226">
        <f t="shared" si="44"/>
        <v>3.4117772200293928E-4</v>
      </c>
      <c r="AQ219" s="226">
        <f t="shared" si="44"/>
        <v>3.2526100364317162E-4</v>
      </c>
      <c r="AR219" s="226">
        <f t="shared" si="44"/>
        <v>3.1008683647302116E-4</v>
      </c>
      <c r="AS219" s="226">
        <f t="shared" si="44"/>
        <v>2.9562057878703465E-4</v>
      </c>
      <c r="AT219" s="226">
        <f t="shared" si="44"/>
        <v>2.8182920499427512E-4</v>
      </c>
      <c r="AU219" s="226">
        <f t="shared" si="44"/>
        <v>2.6868123022289646E-4</v>
      </c>
      <c r="AV219" s="226">
        <f t="shared" si="44"/>
        <v>2.5614663844208583E-4</v>
      </c>
      <c r="AW219" s="226">
        <f t="shared" si="44"/>
        <v>2.441968139372819E-4</v>
      </c>
      <c r="AX219" s="226">
        <f t="shared" si="44"/>
        <v>2.3280447598222982E-4</v>
      </c>
      <c r="AY219" s="226">
        <f t="shared" si="42"/>
        <v>2.2194361655873405E-4</v>
      </c>
      <c r="AZ219" s="226">
        <f t="shared" si="42"/>
        <v>2.1158944098192663E-4</v>
      </c>
      <c r="BA219" s="226">
        <f t="shared" si="42"/>
        <v>2.0171831129550184E-4</v>
      </c>
      <c r="BB219" s="226">
        <f t="shared" si="42"/>
        <v>1.9230769230769239E-4</v>
      </c>
      <c r="BC219" s="226">
        <f t="shared" si="42"/>
        <v>1.833361001447902E-4</v>
      </c>
      <c r="BD219" s="226">
        <f t="shared" si="42"/>
        <v>1.7478305320476275E-4</v>
      </c>
      <c r="BE219" s="226">
        <f t="shared" si="42"/>
        <v>1.6662902539899493E-4</v>
      </c>
    </row>
    <row r="220" spans="4:57" s="10" customFormat="1" x14ac:dyDescent="0.35">
      <c r="D220" s="169"/>
      <c r="E220" s="10" t="s">
        <v>680</v>
      </c>
      <c r="F220" s="10" t="s">
        <v>615</v>
      </c>
      <c r="G220" s="43" t="s">
        <v>616</v>
      </c>
      <c r="I220" s="20"/>
      <c r="J220" s="200"/>
      <c r="K220" s="200"/>
      <c r="L220" s="200"/>
      <c r="M220" s="200"/>
      <c r="N220" s="200">
        <v>1.2999999999999999E-3</v>
      </c>
      <c r="O220" s="226">
        <f t="shared" si="43"/>
        <v>1.2393520369787811E-3</v>
      </c>
      <c r="P220" s="226">
        <f t="shared" si="43"/>
        <v>1.1815334396641955E-3</v>
      </c>
      <c r="Q220" s="226">
        <f t="shared" si="43"/>
        <v>1.1264122116972052E-3</v>
      </c>
      <c r="R220" s="226">
        <f t="shared" si="43"/>
        <v>1.0738625146497734E-3</v>
      </c>
      <c r="S220" s="226">
        <f t="shared" si="43"/>
        <v>1.0237643807433484E-3</v>
      </c>
      <c r="T220" s="226">
        <f t="shared" si="43"/>
        <v>9.760034389696842E-4</v>
      </c>
      <c r="U220" s="226">
        <f t="shared" si="43"/>
        <v>9.3047065398874898E-4</v>
      </c>
      <c r="V220" s="226">
        <f t="shared" si="43"/>
        <v>8.8706207720764217E-4</v>
      </c>
      <c r="W220" s="226">
        <f t="shared" si="43"/>
        <v>8.4567860947224632E-4</v>
      </c>
      <c r="X220" s="226">
        <f t="shared" si="43"/>
        <v>8.0622577482985516E-4</v>
      </c>
      <c r="Y220" s="226">
        <f t="shared" si="43"/>
        <v>7.6861350484629012E-4</v>
      </c>
      <c r="Z220" s="226">
        <f t="shared" si="43"/>
        <v>7.3275593298511535E-4</v>
      </c>
      <c r="AA220" s="226">
        <f t="shared" si="43"/>
        <v>6.9857119857953079E-4</v>
      </c>
      <c r="AB220" s="226">
        <f t="shared" si="43"/>
        <v>6.6598125994942316E-4</v>
      </c>
      <c r="AC220" s="226">
        <f t="shared" si="43"/>
        <v>6.3491171623693287E-4</v>
      </c>
      <c r="AD220" s="226">
        <f t="shared" ref="AD220:AG222" si="45">AC220*(1+($AH220/$N220)^(1/($AH$6-$N$6))-1)</f>
        <v>6.052916375537974E-4</v>
      </c>
      <c r="AE220" s="226">
        <f t="shared" si="45"/>
        <v>5.770534030527084E-4</v>
      </c>
      <c r="AF220" s="226">
        <f t="shared" si="45"/>
        <v>5.5013254655300907E-4</v>
      </c>
      <c r="AG220" s="226">
        <f t="shared" si="45"/>
        <v>5.2446760936830455E-4</v>
      </c>
      <c r="AH220" s="227">
        <v>5.0000000000000001E-4</v>
      </c>
      <c r="AI220" s="226">
        <f t="shared" si="44"/>
        <v>4.7667386037645432E-4</v>
      </c>
      <c r="AJ220" s="226">
        <f t="shared" si="44"/>
        <v>4.5443593833238293E-4</v>
      </c>
      <c r="AK220" s="226">
        <f t="shared" si="44"/>
        <v>4.332354660373866E-4</v>
      </c>
      <c r="AL220" s="226">
        <f t="shared" si="44"/>
        <v>4.1302404409606665E-4</v>
      </c>
      <c r="AM220" s="226">
        <f t="shared" si="44"/>
        <v>3.9375553105513398E-4</v>
      </c>
      <c r="AN220" s="226">
        <f t="shared" si="44"/>
        <v>3.7538593806526311E-4</v>
      </c>
      <c r="AO220" s="226">
        <f t="shared" si="44"/>
        <v>3.5787332845721112E-4</v>
      </c>
      <c r="AP220" s="226">
        <f t="shared" si="44"/>
        <v>3.4117772200293928E-4</v>
      </c>
      <c r="AQ220" s="226">
        <f t="shared" si="44"/>
        <v>3.2526100364317162E-4</v>
      </c>
      <c r="AR220" s="226">
        <f t="shared" si="44"/>
        <v>3.1008683647302116E-4</v>
      </c>
      <c r="AS220" s="226">
        <f t="shared" si="44"/>
        <v>2.9562057878703465E-4</v>
      </c>
      <c r="AT220" s="226">
        <f t="shared" si="44"/>
        <v>2.8182920499427512E-4</v>
      </c>
      <c r="AU220" s="226">
        <f t="shared" si="44"/>
        <v>2.6868123022289646E-4</v>
      </c>
      <c r="AV220" s="226">
        <f t="shared" si="44"/>
        <v>2.5614663844208583E-4</v>
      </c>
      <c r="AW220" s="226">
        <f t="shared" si="44"/>
        <v>2.441968139372819E-4</v>
      </c>
      <c r="AX220" s="226">
        <f t="shared" ref="AX220:BE222" si="46">AW220*(1+($AH220/$N220)^(1/($AH$6-$N$6))-1)</f>
        <v>2.3280447598222982E-4</v>
      </c>
      <c r="AY220" s="226">
        <f t="shared" si="46"/>
        <v>2.2194361655873405E-4</v>
      </c>
      <c r="AZ220" s="226">
        <f t="shared" si="46"/>
        <v>2.1158944098192663E-4</v>
      </c>
      <c r="BA220" s="226">
        <f t="shared" si="46"/>
        <v>2.0171831129550184E-4</v>
      </c>
      <c r="BB220" s="226">
        <f t="shared" si="46"/>
        <v>1.9230769230769239E-4</v>
      </c>
      <c r="BC220" s="226">
        <f t="shared" si="46"/>
        <v>1.833361001447902E-4</v>
      </c>
      <c r="BD220" s="226">
        <f t="shared" si="46"/>
        <v>1.7478305320476275E-4</v>
      </c>
      <c r="BE220" s="226">
        <f t="shared" si="46"/>
        <v>1.6662902539899493E-4</v>
      </c>
    </row>
    <row r="221" spans="4:57" s="10" customFormat="1" x14ac:dyDescent="0.35">
      <c r="E221" s="10" t="s">
        <v>681</v>
      </c>
      <c r="F221" s="10" t="s">
        <v>615</v>
      </c>
      <c r="G221" s="43" t="s">
        <v>616</v>
      </c>
      <c r="I221" s="20"/>
      <c r="J221" s="200"/>
      <c r="K221" s="200"/>
      <c r="L221" s="200"/>
      <c r="M221" s="200"/>
      <c r="N221" s="200">
        <v>1.2999999999999999E-3</v>
      </c>
      <c r="O221" s="226">
        <f t="shared" ref="O221:AD222" si="47">N221*(1+($AH221/$N221)^(1/($AH$6-$N$6))-1)</f>
        <v>1.2393520369787811E-3</v>
      </c>
      <c r="P221" s="226">
        <f t="shared" si="47"/>
        <v>1.1815334396641955E-3</v>
      </c>
      <c r="Q221" s="226">
        <f t="shared" si="47"/>
        <v>1.1264122116972052E-3</v>
      </c>
      <c r="R221" s="226">
        <f t="shared" si="47"/>
        <v>1.0738625146497734E-3</v>
      </c>
      <c r="S221" s="226">
        <f t="shared" si="47"/>
        <v>1.0237643807433484E-3</v>
      </c>
      <c r="T221" s="226">
        <f t="shared" si="47"/>
        <v>9.760034389696842E-4</v>
      </c>
      <c r="U221" s="226">
        <f t="shared" si="47"/>
        <v>9.3047065398874898E-4</v>
      </c>
      <c r="V221" s="226">
        <f t="shared" si="47"/>
        <v>8.8706207720764217E-4</v>
      </c>
      <c r="W221" s="226">
        <f t="shared" si="47"/>
        <v>8.4567860947224632E-4</v>
      </c>
      <c r="X221" s="226">
        <f t="shared" si="47"/>
        <v>8.0622577482985516E-4</v>
      </c>
      <c r="Y221" s="226">
        <f t="shared" si="47"/>
        <v>7.6861350484629012E-4</v>
      </c>
      <c r="Z221" s="226">
        <f t="shared" si="47"/>
        <v>7.3275593298511535E-4</v>
      </c>
      <c r="AA221" s="226">
        <f t="shared" si="47"/>
        <v>6.9857119857953079E-4</v>
      </c>
      <c r="AB221" s="226">
        <f t="shared" si="47"/>
        <v>6.6598125994942316E-4</v>
      </c>
      <c r="AC221" s="226">
        <f t="shared" si="47"/>
        <v>6.3491171623693287E-4</v>
      </c>
      <c r="AD221" s="226">
        <f t="shared" si="47"/>
        <v>6.052916375537974E-4</v>
      </c>
      <c r="AE221" s="226">
        <f t="shared" si="45"/>
        <v>5.770534030527084E-4</v>
      </c>
      <c r="AF221" s="226">
        <f t="shared" si="45"/>
        <v>5.5013254655300907E-4</v>
      </c>
      <c r="AG221" s="226">
        <f t="shared" si="45"/>
        <v>5.2446760936830455E-4</v>
      </c>
      <c r="AH221" s="227">
        <v>5.0000000000000001E-4</v>
      </c>
      <c r="AI221" s="226">
        <f t="shared" ref="AI221:AX222" si="48">AH221*(1+($AH221/$N221)^(1/($AH$6-$N$6))-1)</f>
        <v>4.7667386037645432E-4</v>
      </c>
      <c r="AJ221" s="226">
        <f t="shared" si="48"/>
        <v>4.5443593833238293E-4</v>
      </c>
      <c r="AK221" s="226">
        <f t="shared" si="48"/>
        <v>4.332354660373866E-4</v>
      </c>
      <c r="AL221" s="226">
        <f t="shared" si="48"/>
        <v>4.1302404409606665E-4</v>
      </c>
      <c r="AM221" s="226">
        <f t="shared" si="48"/>
        <v>3.9375553105513398E-4</v>
      </c>
      <c r="AN221" s="226">
        <f t="shared" si="48"/>
        <v>3.7538593806526311E-4</v>
      </c>
      <c r="AO221" s="226">
        <f t="shared" si="48"/>
        <v>3.5787332845721112E-4</v>
      </c>
      <c r="AP221" s="226">
        <f t="shared" si="48"/>
        <v>3.4117772200293928E-4</v>
      </c>
      <c r="AQ221" s="226">
        <f t="shared" si="48"/>
        <v>3.2526100364317162E-4</v>
      </c>
      <c r="AR221" s="226">
        <f t="shared" si="48"/>
        <v>3.1008683647302116E-4</v>
      </c>
      <c r="AS221" s="226">
        <f t="shared" si="48"/>
        <v>2.9562057878703465E-4</v>
      </c>
      <c r="AT221" s="226">
        <f t="shared" si="48"/>
        <v>2.8182920499427512E-4</v>
      </c>
      <c r="AU221" s="226">
        <f t="shared" si="48"/>
        <v>2.6868123022289646E-4</v>
      </c>
      <c r="AV221" s="226">
        <f t="shared" si="48"/>
        <v>2.5614663844208583E-4</v>
      </c>
      <c r="AW221" s="226">
        <f t="shared" si="48"/>
        <v>2.441968139372819E-4</v>
      </c>
      <c r="AX221" s="226">
        <f t="shared" si="48"/>
        <v>2.3280447598222982E-4</v>
      </c>
      <c r="AY221" s="226">
        <f t="shared" si="46"/>
        <v>2.2194361655873405E-4</v>
      </c>
      <c r="AZ221" s="226">
        <f t="shared" si="46"/>
        <v>2.1158944098192663E-4</v>
      </c>
      <c r="BA221" s="226">
        <f t="shared" si="46"/>
        <v>2.0171831129550184E-4</v>
      </c>
      <c r="BB221" s="226">
        <f t="shared" si="46"/>
        <v>1.9230769230769239E-4</v>
      </c>
      <c r="BC221" s="226">
        <f t="shared" si="46"/>
        <v>1.833361001447902E-4</v>
      </c>
      <c r="BD221" s="226">
        <f t="shared" si="46"/>
        <v>1.7478305320476275E-4</v>
      </c>
      <c r="BE221" s="226">
        <f t="shared" si="46"/>
        <v>1.6662902539899493E-4</v>
      </c>
    </row>
    <row r="222" spans="4:57" s="10" customFormat="1" x14ac:dyDescent="0.35">
      <c r="E222" s="10" t="s">
        <v>682</v>
      </c>
      <c r="F222" s="10" t="s">
        <v>615</v>
      </c>
      <c r="G222" s="43" t="s">
        <v>616</v>
      </c>
      <c r="I222" s="20"/>
      <c r="J222" s="200"/>
      <c r="K222" s="200"/>
      <c r="L222" s="200"/>
      <c r="M222" s="200"/>
      <c r="N222" s="200">
        <v>1.2999999999999999E-3</v>
      </c>
      <c r="O222" s="226">
        <f t="shared" si="47"/>
        <v>1.2393520369787811E-3</v>
      </c>
      <c r="P222" s="226">
        <f t="shared" si="47"/>
        <v>1.1815334396641955E-3</v>
      </c>
      <c r="Q222" s="226">
        <f t="shared" si="47"/>
        <v>1.1264122116972052E-3</v>
      </c>
      <c r="R222" s="226">
        <f t="shared" si="47"/>
        <v>1.0738625146497734E-3</v>
      </c>
      <c r="S222" s="226">
        <f t="shared" si="47"/>
        <v>1.0237643807433484E-3</v>
      </c>
      <c r="T222" s="226">
        <f t="shared" si="47"/>
        <v>9.760034389696842E-4</v>
      </c>
      <c r="U222" s="226">
        <f t="shared" si="47"/>
        <v>9.3047065398874898E-4</v>
      </c>
      <c r="V222" s="226">
        <f t="shared" si="47"/>
        <v>8.8706207720764217E-4</v>
      </c>
      <c r="W222" s="226">
        <f t="shared" si="47"/>
        <v>8.4567860947224632E-4</v>
      </c>
      <c r="X222" s="226">
        <f t="shared" si="47"/>
        <v>8.0622577482985516E-4</v>
      </c>
      <c r="Y222" s="226">
        <f t="shared" si="47"/>
        <v>7.6861350484629012E-4</v>
      </c>
      <c r="Z222" s="226">
        <f t="shared" si="47"/>
        <v>7.3275593298511535E-4</v>
      </c>
      <c r="AA222" s="226">
        <f t="shared" si="47"/>
        <v>6.9857119857953079E-4</v>
      </c>
      <c r="AB222" s="226">
        <f t="shared" si="47"/>
        <v>6.6598125994942316E-4</v>
      </c>
      <c r="AC222" s="226">
        <f t="shared" si="47"/>
        <v>6.3491171623693287E-4</v>
      </c>
      <c r="AD222" s="226">
        <f t="shared" si="47"/>
        <v>6.052916375537974E-4</v>
      </c>
      <c r="AE222" s="226">
        <f t="shared" si="45"/>
        <v>5.770534030527084E-4</v>
      </c>
      <c r="AF222" s="226">
        <f t="shared" si="45"/>
        <v>5.5013254655300907E-4</v>
      </c>
      <c r="AG222" s="226">
        <f t="shared" si="45"/>
        <v>5.2446760936830455E-4</v>
      </c>
      <c r="AH222" s="227">
        <v>5.0000000000000001E-4</v>
      </c>
      <c r="AI222" s="226">
        <f t="shared" si="48"/>
        <v>4.7667386037645432E-4</v>
      </c>
      <c r="AJ222" s="226">
        <f t="shared" si="48"/>
        <v>4.5443593833238293E-4</v>
      </c>
      <c r="AK222" s="226">
        <f t="shared" si="48"/>
        <v>4.332354660373866E-4</v>
      </c>
      <c r="AL222" s="226">
        <f t="shared" si="48"/>
        <v>4.1302404409606665E-4</v>
      </c>
      <c r="AM222" s="226">
        <f t="shared" si="48"/>
        <v>3.9375553105513398E-4</v>
      </c>
      <c r="AN222" s="226">
        <f t="shared" si="48"/>
        <v>3.7538593806526311E-4</v>
      </c>
      <c r="AO222" s="226">
        <f t="shared" si="48"/>
        <v>3.5787332845721112E-4</v>
      </c>
      <c r="AP222" s="226">
        <f t="shared" si="48"/>
        <v>3.4117772200293928E-4</v>
      </c>
      <c r="AQ222" s="226">
        <f t="shared" si="48"/>
        <v>3.2526100364317162E-4</v>
      </c>
      <c r="AR222" s="226">
        <f t="shared" si="48"/>
        <v>3.1008683647302116E-4</v>
      </c>
      <c r="AS222" s="226">
        <f t="shared" si="48"/>
        <v>2.9562057878703465E-4</v>
      </c>
      <c r="AT222" s="226">
        <f t="shared" si="48"/>
        <v>2.8182920499427512E-4</v>
      </c>
      <c r="AU222" s="226">
        <f t="shared" si="48"/>
        <v>2.6868123022289646E-4</v>
      </c>
      <c r="AV222" s="226">
        <f t="shared" si="48"/>
        <v>2.5614663844208583E-4</v>
      </c>
      <c r="AW222" s="226">
        <f t="shared" si="48"/>
        <v>2.441968139372819E-4</v>
      </c>
      <c r="AX222" s="226">
        <f t="shared" si="48"/>
        <v>2.3280447598222982E-4</v>
      </c>
      <c r="AY222" s="226">
        <f t="shared" si="46"/>
        <v>2.2194361655873405E-4</v>
      </c>
      <c r="AZ222" s="226">
        <f t="shared" si="46"/>
        <v>2.1158944098192663E-4</v>
      </c>
      <c r="BA222" s="226">
        <f t="shared" si="46"/>
        <v>2.0171831129550184E-4</v>
      </c>
      <c r="BB222" s="226">
        <f t="shared" si="46"/>
        <v>1.9230769230769239E-4</v>
      </c>
      <c r="BC222" s="226">
        <f t="shared" si="46"/>
        <v>1.833361001447902E-4</v>
      </c>
      <c r="BD222" s="226">
        <f t="shared" si="46"/>
        <v>1.7478305320476275E-4</v>
      </c>
      <c r="BE222" s="226">
        <f t="shared" si="46"/>
        <v>1.6662902539899493E-4</v>
      </c>
    </row>
    <row r="223" spans="4:57" s="10" customFormat="1" ht="5.25" customHeight="1" x14ac:dyDescent="0.35">
      <c r="D223" s="169"/>
      <c r="E223" s="109"/>
      <c r="G223" s="302"/>
      <c r="I223" s="122"/>
      <c r="J223" s="226"/>
      <c r="K223" s="226"/>
      <c r="L223" s="226"/>
      <c r="M223" s="226"/>
      <c r="N223" s="226"/>
      <c r="O223" s="226"/>
      <c r="P223" s="226"/>
      <c r="Q223" s="226"/>
      <c r="R223" s="226"/>
      <c r="S223" s="226"/>
      <c r="T223" s="226"/>
      <c r="U223" s="226"/>
      <c r="V223" s="226"/>
      <c r="W223" s="226"/>
      <c r="X223" s="226"/>
      <c r="Y223" s="226"/>
      <c r="Z223" s="226"/>
      <c r="AA223" s="226"/>
      <c r="AB223" s="226"/>
      <c r="AC223" s="226"/>
      <c r="AD223" s="226"/>
      <c r="AE223" s="226"/>
      <c r="AF223" s="226"/>
      <c r="AG223" s="226"/>
      <c r="AH223" s="226"/>
      <c r="AI223" s="226"/>
      <c r="AJ223" s="226"/>
      <c r="AK223" s="226"/>
      <c r="AL223" s="226"/>
      <c r="AM223" s="226"/>
      <c r="AN223" s="226"/>
      <c r="AO223" s="226"/>
      <c r="AP223" s="226"/>
      <c r="AQ223" s="226"/>
      <c r="AR223" s="226"/>
      <c r="AS223" s="226"/>
      <c r="AT223" s="170"/>
      <c r="AU223" s="170"/>
      <c r="AV223" s="170"/>
      <c r="AW223" s="170"/>
      <c r="AX223" s="170"/>
      <c r="AY223" s="170"/>
      <c r="AZ223" s="170"/>
      <c r="BA223" s="170"/>
      <c r="BB223" s="170"/>
      <c r="BC223" s="170"/>
      <c r="BD223" s="170"/>
      <c r="BE223" s="170"/>
    </row>
    <row r="224" spans="4:57" s="10" customFormat="1" ht="15" customHeight="1" x14ac:dyDescent="0.35">
      <c r="D224" s="168" t="s">
        <v>684</v>
      </c>
      <c r="E224" s="109"/>
      <c r="G224" s="302"/>
      <c r="I224" s="122"/>
      <c r="J224" s="226"/>
      <c r="K224" s="226"/>
      <c r="L224" s="226"/>
      <c r="M224" s="226"/>
      <c r="N224" s="226"/>
      <c r="O224" s="226"/>
      <c r="P224" s="226"/>
      <c r="Q224" s="226"/>
      <c r="R224" s="226"/>
      <c r="S224" s="226"/>
      <c r="T224" s="226"/>
      <c r="U224" s="226"/>
      <c r="V224" s="226"/>
      <c r="W224" s="226"/>
      <c r="X224" s="226"/>
      <c r="Y224" s="226"/>
      <c r="Z224" s="226"/>
      <c r="AA224" s="226"/>
      <c r="AB224" s="226"/>
      <c r="AC224" s="226"/>
      <c r="AD224" s="226"/>
      <c r="AE224" s="226"/>
      <c r="AF224" s="226"/>
      <c r="AG224" s="226"/>
      <c r="AH224" s="226"/>
      <c r="AI224" s="226"/>
      <c r="AJ224" s="226"/>
      <c r="AK224" s="226"/>
      <c r="AL224" s="226"/>
      <c r="AM224" s="226"/>
      <c r="AN224" s="226"/>
      <c r="AO224" s="226"/>
      <c r="AP224" s="226"/>
      <c r="AQ224" s="226"/>
      <c r="AR224" s="226"/>
      <c r="AS224" s="226"/>
      <c r="AT224" s="170"/>
      <c r="AU224" s="170"/>
      <c r="AV224" s="170"/>
      <c r="AW224" s="170"/>
      <c r="AX224" s="170"/>
      <c r="AY224" s="170"/>
      <c r="AZ224" s="170"/>
      <c r="BA224" s="170"/>
      <c r="BB224" s="170"/>
      <c r="BC224" s="170"/>
      <c r="BD224" s="170"/>
      <c r="BE224" s="170"/>
    </row>
    <row r="225" spans="5:57" s="4" customFormat="1" ht="5.25" customHeight="1" x14ac:dyDescent="0.35">
      <c r="E225" s="26"/>
      <c r="G225" s="43"/>
      <c r="I225" s="119"/>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c r="AG225" s="119"/>
      <c r="AH225" s="119"/>
      <c r="AI225" s="119"/>
      <c r="AJ225" s="119"/>
      <c r="AK225" s="119"/>
      <c r="AL225" s="119"/>
      <c r="AM225" s="119"/>
      <c r="AN225" s="119"/>
      <c r="AO225" s="21"/>
      <c r="AP225" s="21"/>
      <c r="AQ225" s="21"/>
      <c r="AR225" s="21"/>
      <c r="AS225" s="21"/>
      <c r="AT225" s="21"/>
      <c r="AU225" s="21"/>
      <c r="AV225" s="21"/>
      <c r="AW225" s="21"/>
      <c r="AX225" s="21"/>
      <c r="AY225" s="21"/>
      <c r="AZ225" s="21"/>
      <c r="BA225" s="21"/>
      <c r="BB225" s="21"/>
      <c r="BC225" s="21"/>
      <c r="BD225" s="21"/>
      <c r="BE225" s="21"/>
    </row>
    <row r="226" spans="5:57" s="10" customFormat="1" x14ac:dyDescent="0.35">
      <c r="E226" s="169" t="s">
        <v>614</v>
      </c>
      <c r="F226" s="10" t="s">
        <v>615</v>
      </c>
      <c r="G226" s="43" t="s">
        <v>616</v>
      </c>
      <c r="I226" s="20"/>
      <c r="J226" s="200"/>
      <c r="K226" s="200"/>
      <c r="L226" s="200"/>
      <c r="M226" s="200"/>
      <c r="N226" s="200">
        <v>8.0000000000000004E-4</v>
      </c>
      <c r="O226" s="226">
        <f>N226*(1+($AH226/$N226)^(1/($AH$6-$N$6))-1)</f>
        <v>7.8857508268545171E-4</v>
      </c>
      <c r="P226" s="226">
        <f t="shared" ref="P226:AG241" si="49">O226*(1+($AH226/$N226)^(1/($AH$6-$N$6))-1)</f>
        <v>7.7731332629045881E-4</v>
      </c>
      <c r="Q226" s="226">
        <f t="shared" si="49"/>
        <v>7.6621240069000261E-4</v>
      </c>
      <c r="R226" s="226">
        <f t="shared" si="49"/>
        <v>7.5527000903592159E-4</v>
      </c>
      <c r="S226" s="226">
        <f t="shared" si="49"/>
        <v>7.4448388728167965E-4</v>
      </c>
      <c r="T226" s="226">
        <f t="shared" si="49"/>
        <v>7.3385180371392125E-4</v>
      </c>
      <c r="U226" s="226">
        <f t="shared" si="49"/>
        <v>7.2337155849071667E-4</v>
      </c>
      <c r="V226" s="226">
        <f t="shared" si="49"/>
        <v>7.1304098318640118E-4</v>
      </c>
      <c r="W226" s="226">
        <f t="shared" si="49"/>
        <v>7.0285794034291517E-4</v>
      </c>
      <c r="X226" s="226">
        <f t="shared" si="49"/>
        <v>6.928203230275508E-4</v>
      </c>
      <c r="Y226" s="226">
        <f t="shared" si="49"/>
        <v>6.8292605439701525E-4</v>
      </c>
      <c r="Z226" s="226">
        <f t="shared" si="49"/>
        <v>6.7317308726771953E-4</v>
      </c>
      <c r="AA226" s="226">
        <f t="shared" si="49"/>
        <v>6.6355940369220345E-4</v>
      </c>
      <c r="AB226" s="226">
        <f t="shared" si="49"/>
        <v>6.540830145416105E-4</v>
      </c>
      <c r="AC226" s="226">
        <f t="shared" si="49"/>
        <v>6.4474195909412497E-4</v>
      </c>
      <c r="AD226" s="226">
        <f t="shared" si="49"/>
        <v>6.3553430462928717E-4</v>
      </c>
      <c r="AE226" s="226">
        <f t="shared" si="49"/>
        <v>6.2645814602810149E-4</v>
      </c>
      <c r="AF226" s="226">
        <f t="shared" si="49"/>
        <v>6.1751160537885615E-4</v>
      </c>
      <c r="AG226" s="226">
        <f t="shared" si="49"/>
        <v>6.0869283158857185E-4</v>
      </c>
      <c r="AH226" s="227">
        <v>5.9999999999999995E-4</v>
      </c>
      <c r="AI226" s="226">
        <f>AH226*(1+($AH226/$N226)^(1/($AH$6-$N$6))-1)</f>
        <v>5.9143131201408873E-4</v>
      </c>
      <c r="AJ226" s="226">
        <f t="shared" ref="AJ226:BB241" si="50">AI226*(1+($AH226/$N226)^(1/($AH$6-$N$6))-1)</f>
        <v>5.8298499471784405E-4</v>
      </c>
      <c r="AK226" s="226">
        <f t="shared" si="50"/>
        <v>5.7465930051750188E-4</v>
      </c>
      <c r="AL226" s="226">
        <f t="shared" si="50"/>
        <v>5.6645250677694111E-4</v>
      </c>
      <c r="AM226" s="226">
        <f t="shared" si="50"/>
        <v>5.5836291546125971E-4</v>
      </c>
      <c r="AN226" s="226">
        <f t="shared" si="50"/>
        <v>5.5038885278544097E-4</v>
      </c>
      <c r="AO226" s="226">
        <f t="shared" si="50"/>
        <v>5.4252866886803747E-4</v>
      </c>
      <c r="AP226" s="226">
        <f t="shared" si="50"/>
        <v>5.3478073738980091E-4</v>
      </c>
      <c r="AQ226" s="226">
        <f t="shared" si="50"/>
        <v>5.2714345525718632E-4</v>
      </c>
      <c r="AR226" s="226">
        <f t="shared" si="50"/>
        <v>5.1961524227066302E-4</v>
      </c>
      <c r="AS226" s="226">
        <f t="shared" si="50"/>
        <v>5.1219454079776139E-4</v>
      </c>
      <c r="AT226" s="226">
        <f t="shared" si="50"/>
        <v>5.0487981545078954E-4</v>
      </c>
      <c r="AU226" s="226">
        <f t="shared" si="50"/>
        <v>4.9766955276915245E-4</v>
      </c>
      <c r="AV226" s="226">
        <f t="shared" si="50"/>
        <v>4.9056226090620771E-4</v>
      </c>
      <c r="AW226" s="226">
        <f t="shared" si="50"/>
        <v>4.8355646932059362E-4</v>
      </c>
      <c r="AX226" s="226">
        <f t="shared" si="50"/>
        <v>4.7665072847196527E-4</v>
      </c>
      <c r="AY226" s="226">
        <f t="shared" si="50"/>
        <v>4.6984360952107598E-4</v>
      </c>
      <c r="AZ226" s="226">
        <f t="shared" si="50"/>
        <v>4.6313370403414198E-4</v>
      </c>
      <c r="BA226" s="226">
        <f t="shared" si="50"/>
        <v>4.5651962369142881E-4</v>
      </c>
      <c r="BB226" s="226">
        <f t="shared" si="50"/>
        <v>4.4999999999999972E-4</v>
      </c>
      <c r="BC226" s="226">
        <f>BB226*(1+($AH226/$N226)^(1/($AH$6-$N$6))-1)</f>
        <v>4.4357348401056633E-4</v>
      </c>
      <c r="BD226" s="226">
        <f>BC226*(1+($AH226/$N226)^(1/($AH$6-$N$6))-1)</f>
        <v>4.3723874603838282E-4</v>
      </c>
      <c r="BE226" s="226">
        <f>BD226*(1+($AH226/$N226)^(1/($AH$6-$N$6))-1)</f>
        <v>4.3099447538812619E-4</v>
      </c>
    </row>
    <row r="227" spans="5:57" s="10" customFormat="1" x14ac:dyDescent="0.35">
      <c r="E227" s="10" t="s">
        <v>617</v>
      </c>
      <c r="F227" s="10" t="s">
        <v>615</v>
      </c>
      <c r="G227" s="43" t="s">
        <v>616</v>
      </c>
      <c r="I227" s="20"/>
      <c r="J227" s="200"/>
      <c r="K227" s="200"/>
      <c r="L227" s="200"/>
      <c r="M227" s="200"/>
      <c r="N227" s="200">
        <v>5.4999999999999997E-3</v>
      </c>
      <c r="O227" s="226">
        <f t="shared" ref="O227:AD242" si="51">N227*(1+($AH227/$N227)^(1/($AH$6-$N$6))-1)</f>
        <v>5.361301758835881E-3</v>
      </c>
      <c r="P227" s="226">
        <f t="shared" si="51"/>
        <v>5.2261011907812202E-3</v>
      </c>
      <c r="Q227" s="226">
        <f t="shared" si="51"/>
        <v>5.0943100919981178E-3</v>
      </c>
      <c r="R227" s="226">
        <f t="shared" si="51"/>
        <v>4.965842482960889E-3</v>
      </c>
      <c r="S227" s="226">
        <f t="shared" si="51"/>
        <v>4.8406145523636644E-3</v>
      </c>
      <c r="T227" s="226">
        <f t="shared" si="51"/>
        <v>4.7185446024425228E-3</v>
      </c>
      <c r="U227" s="226">
        <f t="shared" si="51"/>
        <v>4.599552995676482E-3</v>
      </c>
      <c r="V227" s="226">
        <f t="shared" si="51"/>
        <v>4.4835621028325766E-3</v>
      </c>
      <c r="W227" s="226">
        <f t="shared" si="51"/>
        <v>4.3704962523211264E-3</v>
      </c>
      <c r="X227" s="226">
        <f t="shared" si="51"/>
        <v>4.2602816808281607E-3</v>
      </c>
      <c r="Y227" s="226">
        <f t="shared" si="51"/>
        <v>4.1528464851927826E-3</v>
      </c>
      <c r="Z227" s="226">
        <f t="shared" si="51"/>
        <v>4.0481205754980864E-3</v>
      </c>
      <c r="AA227" s="226">
        <f t="shared" si="51"/>
        <v>3.9460356293450202E-3</v>
      </c>
      <c r="AB227" s="226">
        <f t="shared" si="51"/>
        <v>3.8465250472793657E-3</v>
      </c>
      <c r="AC227" s="226">
        <f t="shared" si="51"/>
        <v>3.7495239093427515E-3</v>
      </c>
      <c r="AD227" s="226">
        <f t="shared" si="51"/>
        <v>3.6549689327193607E-3</v>
      </c>
      <c r="AE227" s="226">
        <f t="shared" si="49"/>
        <v>3.5627984304506932E-3</v>
      </c>
      <c r="AF227" s="226">
        <f t="shared" si="49"/>
        <v>3.4729522711914578E-3</v>
      </c>
      <c r="AG227" s="226">
        <f t="shared" si="49"/>
        <v>3.385371839980333E-3</v>
      </c>
      <c r="AH227" s="227">
        <v>3.3E-3</v>
      </c>
      <c r="AI227" s="226">
        <f t="shared" ref="AI227:AX242" si="52">AH227*(1+($AH227/$N227)^(1/($AH$6-$N$6))-1)</f>
        <v>3.2167810553015287E-3</v>
      </c>
      <c r="AJ227" s="226">
        <f t="shared" si="52"/>
        <v>3.1356607144687322E-3</v>
      </c>
      <c r="AK227" s="226">
        <f t="shared" si="52"/>
        <v>3.0565860551988707E-3</v>
      </c>
      <c r="AL227" s="226">
        <f t="shared" si="52"/>
        <v>2.9795054897765335E-3</v>
      </c>
      <c r="AM227" s="226">
        <f t="shared" si="52"/>
        <v>2.9043687314181986E-3</v>
      </c>
      <c r="AN227" s="226">
        <f t="shared" si="52"/>
        <v>2.8311267614655137E-3</v>
      </c>
      <c r="AO227" s="226">
        <f t="shared" si="52"/>
        <v>2.7597317974058892E-3</v>
      </c>
      <c r="AP227" s="226">
        <f t="shared" si="52"/>
        <v>2.6901372616995457E-3</v>
      </c>
      <c r="AQ227" s="226">
        <f t="shared" si="52"/>
        <v>2.6222977513926755E-3</v>
      </c>
      <c r="AR227" s="226">
        <f t="shared" si="52"/>
        <v>2.556169008496896E-3</v>
      </c>
      <c r="AS227" s="226">
        <f t="shared" si="52"/>
        <v>2.4917078911156688E-3</v>
      </c>
      <c r="AT227" s="226">
        <f t="shared" si="52"/>
        <v>2.428872345298851E-3</v>
      </c>
      <c r="AU227" s="226">
        <f t="shared" si="52"/>
        <v>2.3676213776070111E-3</v>
      </c>
      <c r="AV227" s="226">
        <f t="shared" si="52"/>
        <v>2.3079150283676184E-3</v>
      </c>
      <c r="AW227" s="226">
        <f t="shared" si="52"/>
        <v>2.2497143456056499E-3</v>
      </c>
      <c r="AX227" s="226">
        <f t="shared" si="52"/>
        <v>2.1929813596316154E-3</v>
      </c>
      <c r="AY227" s="226">
        <f t="shared" si="50"/>
        <v>2.1376790582704149E-3</v>
      </c>
      <c r="AZ227" s="226">
        <f t="shared" si="50"/>
        <v>2.0837713627148736E-3</v>
      </c>
      <c r="BA227" s="226">
        <f t="shared" si="50"/>
        <v>2.0312231039881987E-3</v>
      </c>
      <c r="BB227" s="226">
        <f t="shared" si="50"/>
        <v>1.9800000000000013E-3</v>
      </c>
      <c r="BC227" s="226">
        <f t="shared" ref="BB227:BE242" si="53">BB227*(1+($AH227/$N227)^(1/($AH$6-$N$6))-1)</f>
        <v>1.9300686331809186E-3</v>
      </c>
      <c r="BD227" s="226">
        <f t="shared" si="53"/>
        <v>1.8813964286812407E-3</v>
      </c>
      <c r="BE227" s="226">
        <f t="shared" si="53"/>
        <v>1.8339516331193238E-3</v>
      </c>
    </row>
    <row r="228" spans="5:57" s="10" customFormat="1" x14ac:dyDescent="0.35">
      <c r="E228" s="10" t="s">
        <v>618</v>
      </c>
      <c r="F228" s="10" t="s">
        <v>615</v>
      </c>
      <c r="G228" s="43" t="s">
        <v>616</v>
      </c>
      <c r="I228" s="20"/>
      <c r="J228" s="200"/>
      <c r="K228" s="200"/>
      <c r="L228" s="200"/>
      <c r="M228" s="200"/>
      <c r="N228" s="200">
        <v>5.3E-3</v>
      </c>
      <c r="O228" s="226">
        <f t="shared" si="51"/>
        <v>5.1679651344131343E-3</v>
      </c>
      <c r="P228" s="226">
        <f t="shared" si="51"/>
        <v>5.0392195529263707E-3</v>
      </c>
      <c r="Q228" s="226">
        <f t="shared" si="51"/>
        <v>4.9136813121087594E-3</v>
      </c>
      <c r="R228" s="226">
        <f t="shared" si="51"/>
        <v>4.7912705099236695E-3</v>
      </c>
      <c r="S228" s="226">
        <f t="shared" si="51"/>
        <v>4.6719092348730873E-3</v>
      </c>
      <c r="T228" s="226">
        <f t="shared" si="51"/>
        <v>4.5555215164088409E-3</v>
      </c>
      <c r="U228" s="226">
        <f t="shared" si="51"/>
        <v>4.4420332765791959E-3</v>
      </c>
      <c r="V228" s="226">
        <f t="shared" si="51"/>
        <v>4.3313722828800414E-3</v>
      </c>
      <c r="W228" s="226">
        <f t="shared" si="51"/>
        <v>4.2234681022806555E-3</v>
      </c>
      <c r="X228" s="226">
        <f t="shared" si="51"/>
        <v>4.1182520563947988E-3</v>
      </c>
      <c r="Y228" s="226">
        <f t="shared" si="51"/>
        <v>4.0156571777685869E-3</v>
      </c>
      <c r="Z228" s="226">
        <f t="shared" si="51"/>
        <v>3.91561816725734E-3</v>
      </c>
      <c r="AA228" s="226">
        <f t="shared" si="51"/>
        <v>3.8180713524642619E-3</v>
      </c>
      <c r="AB228" s="226">
        <f t="shared" si="51"/>
        <v>3.7229546472145104E-3</v>
      </c>
      <c r="AC228" s="226">
        <f t="shared" si="51"/>
        <v>3.6302075120388565E-3</v>
      </c>
      <c r="AD228" s="226">
        <f t="shared" si="51"/>
        <v>3.5397709156417844E-3</v>
      </c>
      <c r="AE228" s="226">
        <f t="shared" si="49"/>
        <v>3.451587297329509E-3</v>
      </c>
      <c r="AF228" s="226">
        <f t="shared" si="49"/>
        <v>3.3656005303739928E-3</v>
      </c>
      <c r="AG228" s="226">
        <f t="shared" si="49"/>
        <v>3.2817558862896505E-3</v>
      </c>
      <c r="AH228" s="227">
        <v>3.2000000000000002E-3</v>
      </c>
      <c r="AI228" s="226">
        <f t="shared" si="52"/>
        <v>3.1202808358720812E-3</v>
      </c>
      <c r="AJ228" s="226">
        <f t="shared" si="52"/>
        <v>3.0425476545970541E-3</v>
      </c>
      <c r="AK228" s="226">
        <f t="shared" si="52"/>
        <v>2.9667509808958548E-3</v>
      </c>
      <c r="AL228" s="226">
        <f t="shared" si="52"/>
        <v>2.8928425720293853E-3</v>
      </c>
      <c r="AM228" s="226">
        <f t="shared" si="52"/>
        <v>2.8207753870931845E-3</v>
      </c>
      <c r="AN228" s="226">
        <f t="shared" si="52"/>
        <v>2.7505035570770356E-3</v>
      </c>
      <c r="AO228" s="226">
        <f t="shared" si="52"/>
        <v>2.6819823556704578E-3</v>
      </c>
      <c r="AP228" s="226">
        <f t="shared" si="52"/>
        <v>2.6151681707954964E-3</v>
      </c>
      <c r="AQ228" s="226">
        <f t="shared" si="52"/>
        <v>2.5500184768486975E-3</v>
      </c>
      <c r="AR228" s="226">
        <f t="shared" si="52"/>
        <v>2.486491807634595E-3</v>
      </c>
      <c r="AS228" s="226">
        <f t="shared" si="52"/>
        <v>2.4245477299734862E-3</v>
      </c>
      <c r="AT228" s="226">
        <f t="shared" si="52"/>
        <v>2.3641468179666954E-3</v>
      </c>
      <c r="AU228" s="226">
        <f t="shared" si="52"/>
        <v>2.3052506279029501E-3</v>
      </c>
      <c r="AV228" s="226">
        <f t="shared" si="52"/>
        <v>2.2478216737898925E-3</v>
      </c>
      <c r="AW228" s="226">
        <f t="shared" si="52"/>
        <v>2.1918234034951582E-3</v>
      </c>
      <c r="AX228" s="226">
        <f t="shared" si="52"/>
        <v>2.1372201754818318E-3</v>
      </c>
      <c r="AY228" s="226">
        <f t="shared" si="50"/>
        <v>2.0839772361234766E-3</v>
      </c>
      <c r="AZ228" s="226">
        <f t="shared" si="50"/>
        <v>2.0320606975842968E-3</v>
      </c>
      <c r="BA228" s="226">
        <f t="shared" si="50"/>
        <v>1.9814375162503541E-3</v>
      </c>
      <c r="BB228" s="226">
        <f t="shared" si="53"/>
        <v>1.9320754716981108E-3</v>
      </c>
      <c r="BC228" s="226">
        <f t="shared" si="53"/>
        <v>1.8839431461869145E-3</v>
      </c>
      <c r="BD228" s="226">
        <f t="shared" si="53"/>
        <v>1.8370099046623699E-3</v>
      </c>
      <c r="BE228" s="226">
        <f t="shared" si="53"/>
        <v>1.7912458752578722E-3</v>
      </c>
    </row>
    <row r="229" spans="5:57" s="10" customFormat="1" x14ac:dyDescent="0.35">
      <c r="E229" s="10" t="s">
        <v>619</v>
      </c>
      <c r="F229" s="10" t="s">
        <v>615</v>
      </c>
      <c r="G229" s="43" t="s">
        <v>616</v>
      </c>
      <c r="I229" s="20"/>
      <c r="J229" s="200"/>
      <c r="K229" s="200"/>
      <c r="L229" s="200"/>
      <c r="M229" s="200"/>
      <c r="N229" s="200">
        <v>5.1999999999999998E-3</v>
      </c>
      <c r="O229" s="226">
        <f t="shared" si="51"/>
        <v>5.0672375130275003E-3</v>
      </c>
      <c r="P229" s="226">
        <f t="shared" si="51"/>
        <v>4.9378646179679096E-3</v>
      </c>
      <c r="Q229" s="226">
        <f t="shared" si="51"/>
        <v>4.8117947743111927E-3</v>
      </c>
      <c r="R229" s="226">
        <f t="shared" si="51"/>
        <v>4.6889436510344946E-3</v>
      </c>
      <c r="S229" s="226">
        <f t="shared" si="51"/>
        <v>4.5692290701911777E-3</v>
      </c>
      <c r="T229" s="226">
        <f t="shared" si="51"/>
        <v>4.4525709519400965E-3</v>
      </c>
      <c r="U229" s="226">
        <f t="shared" si="51"/>
        <v>4.338891260978351E-3</v>
      </c>
      <c r="V229" s="226">
        <f t="shared" si="51"/>
        <v>4.2281139543416729E-3</v>
      </c>
      <c r="W229" s="226">
        <f t="shared" si="51"/>
        <v>4.1201649305375333E-3</v>
      </c>
      <c r="X229" s="226">
        <f t="shared" si="51"/>
        <v>4.0149719799769494E-3</v>
      </c>
      <c r="Y229" s="226">
        <f t="shared" si="51"/>
        <v>3.9124647366718269E-3</v>
      </c>
      <c r="Z229" s="226">
        <f t="shared" si="51"/>
        <v>3.8125746311655278E-3</v>
      </c>
      <c r="AA229" s="226">
        <f t="shared" si="51"/>
        <v>3.7152348446651828E-3</v>
      </c>
      <c r="AB229" s="226">
        <f t="shared" si="51"/>
        <v>3.6203802643450605E-3</v>
      </c>
      <c r="AC229" s="226">
        <f t="shared" si="51"/>
        <v>3.5279474397910981E-3</v>
      </c>
      <c r="AD229" s="226">
        <f t="shared" si="51"/>
        <v>3.4378745405574582E-3</v>
      </c>
      <c r="AE229" s="226">
        <f t="shared" si="49"/>
        <v>3.3501013148067187E-3</v>
      </c>
      <c r="AF229" s="226">
        <f t="shared" si="49"/>
        <v>3.2645690490060303E-3</v>
      </c>
      <c r="AG229" s="226">
        <f t="shared" si="49"/>
        <v>3.1812205286522828E-3</v>
      </c>
      <c r="AH229" s="227">
        <v>3.0999999999999999E-3</v>
      </c>
      <c r="AI229" s="226">
        <f t="shared" si="52"/>
        <v>3.0208531327663947E-3</v>
      </c>
      <c r="AJ229" s="226">
        <f t="shared" si="52"/>
        <v>2.9437269837885617E-3</v>
      </c>
      <c r="AK229" s="226">
        <f t="shared" si="52"/>
        <v>2.8685699616085958E-3</v>
      </c>
      <c r="AL229" s="226">
        <f t="shared" si="52"/>
        <v>2.7953317919628719E-3</v>
      </c>
      <c r="AM229" s="226">
        <f t="shared" si="52"/>
        <v>2.7239634841524328E-3</v>
      </c>
      <c r="AN229" s="226">
        <f t="shared" si="52"/>
        <v>2.654417298271981E-3</v>
      </c>
      <c r="AO229" s="226">
        <f t="shared" si="52"/>
        <v>2.586646713275556E-3</v>
      </c>
      <c r="AP229" s="226">
        <f t="shared" si="52"/>
        <v>2.5206063958575359E-3</v>
      </c>
      <c r="AQ229" s="226">
        <f t="shared" si="52"/>
        <v>2.4562521701281446E-3</v>
      </c>
      <c r="AR229" s="226">
        <f t="shared" si="52"/>
        <v>2.3935409880631812E-3</v>
      </c>
      <c r="AS229" s="226">
        <f t="shared" si="52"/>
        <v>2.3324309007082041E-3</v>
      </c>
      <c r="AT229" s="226">
        <f t="shared" si="52"/>
        <v>2.2728810301179104E-3</v>
      </c>
      <c r="AU229" s="226">
        <f t="shared" si="52"/>
        <v>2.2148515420119357E-3</v>
      </c>
      <c r="AV229" s="226">
        <f t="shared" si="52"/>
        <v>2.1583036191287859E-3</v>
      </c>
      <c r="AW229" s="226">
        <f t="shared" si="52"/>
        <v>2.1031994352600776E-3</v>
      </c>
      <c r="AX229" s="226">
        <f t="shared" si="52"/>
        <v>2.0495021299477153E-3</v>
      </c>
      <c r="AY229" s="226">
        <f t="shared" si="50"/>
        <v>1.9971757838270821E-3</v>
      </c>
      <c r="AZ229" s="226">
        <f t="shared" si="50"/>
        <v>1.9461853945997487E-3</v>
      </c>
      <c r="BA229" s="226">
        <f t="shared" si="50"/>
        <v>1.89649685361963E-3</v>
      </c>
      <c r="BB229" s="226">
        <f t="shared" si="53"/>
        <v>1.8480769230769258E-3</v>
      </c>
      <c r="BC229" s="226">
        <f t="shared" si="53"/>
        <v>1.8008932137645842E-3</v>
      </c>
      <c r="BD229" s="226">
        <f t="shared" si="53"/>
        <v>1.7549141634124145E-3</v>
      </c>
      <c r="BE229" s="226">
        <f t="shared" si="53"/>
        <v>1.7101090155743578E-3</v>
      </c>
    </row>
    <row r="230" spans="5:57" s="10" customFormat="1" x14ac:dyDescent="0.35">
      <c r="E230" s="10" t="s">
        <v>620</v>
      </c>
      <c r="F230" s="10" t="s">
        <v>615</v>
      </c>
      <c r="G230" s="43" t="s">
        <v>616</v>
      </c>
      <c r="I230" s="20"/>
      <c r="J230" s="200"/>
      <c r="K230" s="200"/>
      <c r="L230" s="200"/>
      <c r="M230" s="200"/>
      <c r="N230" s="200">
        <v>5.0000000000000001E-3</v>
      </c>
      <c r="O230" s="226">
        <f t="shared" si="51"/>
        <v>4.881907977199099E-3</v>
      </c>
      <c r="P230" s="226">
        <f t="shared" si="51"/>
        <v>4.7666050995680397E-3</v>
      </c>
      <c r="Q230" s="226">
        <f t="shared" si="51"/>
        <v>4.6540254919478236E-3</v>
      </c>
      <c r="R230" s="226">
        <f t="shared" si="51"/>
        <v>4.5441048350456084E-3</v>
      </c>
      <c r="S230" s="226">
        <f t="shared" si="51"/>
        <v>4.4367803286876305E-3</v>
      </c>
      <c r="T230" s="226">
        <f t="shared" si="51"/>
        <v>4.3319906559400366E-3</v>
      </c>
      <c r="U230" s="226">
        <f t="shared" si="51"/>
        <v>4.2296759480771242E-3</v>
      </c>
      <c r="V230" s="226">
        <f t="shared" si="51"/>
        <v>4.1297777503769752E-3</v>
      </c>
      <c r="W230" s="226">
        <f t="shared" si="51"/>
        <v>4.032238988724941E-3</v>
      </c>
      <c r="X230" s="226">
        <f t="shared" si="51"/>
        <v>3.937003937005904E-3</v>
      </c>
      <c r="Y230" s="226">
        <f t="shared" si="51"/>
        <v>3.8440181852666764E-3</v>
      </c>
      <c r="Z230" s="226">
        <f t="shared" si="51"/>
        <v>3.7532286086303583E-3</v>
      </c>
      <c r="AA230" s="226">
        <f t="shared" si="51"/>
        <v>3.6645833369448842E-3</v>
      </c>
      <c r="AB230" s="226">
        <f t="shared" si="51"/>
        <v>3.578031725148425E-3</v>
      </c>
      <c r="AC230" s="226">
        <f t="shared" si="51"/>
        <v>3.4935243243347102E-3</v>
      </c>
      <c r="AD230" s="226">
        <f t="shared" si="51"/>
        <v>3.411012853501743E-3</v>
      </c>
      <c r="AE230" s="226">
        <f t="shared" si="49"/>
        <v>3.3304501719677642E-3</v>
      </c>
      <c r="AF230" s="226">
        <f t="shared" si="49"/>
        <v>3.251790252438708E-3</v>
      </c>
      <c r="AG230" s="226">
        <f t="shared" si="49"/>
        <v>3.1749881547117604E-3</v>
      </c>
      <c r="AH230" s="227">
        <v>3.0999999999999999E-3</v>
      </c>
      <c r="AI230" s="226">
        <f t="shared" si="52"/>
        <v>3.0267829458634414E-3</v>
      </c>
      <c r="AJ230" s="226">
        <f t="shared" si="52"/>
        <v>2.9552951617321846E-3</v>
      </c>
      <c r="AK230" s="226">
        <f t="shared" si="52"/>
        <v>2.8854958050076509E-3</v>
      </c>
      <c r="AL230" s="226">
        <f t="shared" si="52"/>
        <v>2.8173449977282774E-3</v>
      </c>
      <c r="AM230" s="226">
        <f t="shared" si="52"/>
        <v>2.7508038037863309E-3</v>
      </c>
      <c r="AN230" s="226">
        <f t="shared" si="52"/>
        <v>2.685834206682823E-3</v>
      </c>
      <c r="AO230" s="226">
        <f t="shared" si="52"/>
        <v>2.6223990878078175E-3</v>
      </c>
      <c r="AP230" s="226">
        <f t="shared" si="52"/>
        <v>2.5604622052337249E-3</v>
      </c>
      <c r="AQ230" s="226">
        <f t="shared" si="52"/>
        <v>2.4999881730094638E-3</v>
      </c>
      <c r="AR230" s="226">
        <f t="shared" si="52"/>
        <v>2.4409424409436607E-3</v>
      </c>
      <c r="AS230" s="226">
        <f t="shared" si="52"/>
        <v>2.3832912748653397E-3</v>
      </c>
      <c r="AT230" s="226">
        <f t="shared" si="52"/>
        <v>2.3270017373508227E-3</v>
      </c>
      <c r="AU230" s="226">
        <f t="shared" si="52"/>
        <v>2.272041668905829E-3</v>
      </c>
      <c r="AV230" s="226">
        <f t="shared" si="52"/>
        <v>2.2183796695920241E-3</v>
      </c>
      <c r="AW230" s="226">
        <f t="shared" si="52"/>
        <v>2.1659850810875209E-3</v>
      </c>
      <c r="AX230" s="226">
        <f t="shared" si="52"/>
        <v>2.1148279691710812E-3</v>
      </c>
      <c r="AY230" s="226">
        <f t="shared" si="50"/>
        <v>2.0648791066200144E-3</v>
      </c>
      <c r="AZ230" s="226">
        <f t="shared" si="50"/>
        <v>2.0161099565119997E-3</v>
      </c>
      <c r="BA230" s="226">
        <f t="shared" si="50"/>
        <v>1.9684926559212922E-3</v>
      </c>
      <c r="BB230" s="226">
        <f t="shared" si="53"/>
        <v>1.9219999999999997E-3</v>
      </c>
      <c r="BC230" s="226">
        <f t="shared" si="53"/>
        <v>1.8766054264353334E-3</v>
      </c>
      <c r="BD230" s="226">
        <f t="shared" si="53"/>
        <v>1.8322830002739543E-3</v>
      </c>
      <c r="BE230" s="226">
        <f t="shared" si="53"/>
        <v>1.7890073991047434E-3</v>
      </c>
    </row>
    <row r="231" spans="5:57" s="10" customFormat="1" x14ac:dyDescent="0.35">
      <c r="E231" s="10" t="s">
        <v>621</v>
      </c>
      <c r="F231" s="10" t="s">
        <v>615</v>
      </c>
      <c r="G231" s="43" t="s">
        <v>616</v>
      </c>
      <c r="I231" s="20"/>
      <c r="J231" s="200"/>
      <c r="K231" s="200"/>
      <c r="L231" s="200"/>
      <c r="M231" s="200"/>
      <c r="N231" s="200">
        <v>4.8999999999999998E-3</v>
      </c>
      <c r="O231" s="226">
        <f t="shared" si="51"/>
        <v>4.7812597571137557E-3</v>
      </c>
      <c r="P231" s="226">
        <f t="shared" si="51"/>
        <v>4.6653969112235702E-3</v>
      </c>
      <c r="Q231" s="226">
        <f t="shared" si="51"/>
        <v>4.5523417352236889E-3</v>
      </c>
      <c r="R231" s="226">
        <f t="shared" si="51"/>
        <v>4.4420261916845779E-3</v>
      </c>
      <c r="S231" s="226">
        <f t="shared" si="51"/>
        <v>4.3343838919074999E-3</v>
      </c>
      <c r="T231" s="226">
        <f t="shared" si="51"/>
        <v>4.2293500559713124E-3</v>
      </c>
      <c r="U231" s="226">
        <f t="shared" si="51"/>
        <v>4.1268614737474387E-3</v>
      </c>
      <c r="V231" s="226">
        <f t="shared" si="51"/>
        <v>4.0268564668595507E-3</v>
      </c>
      <c r="W231" s="226">
        <f t="shared" si="51"/>
        <v>3.9292748515650719E-3</v>
      </c>
      <c r="X231" s="226">
        <f t="shared" si="51"/>
        <v>3.8340579025361644E-3</v>
      </c>
      <c r="Y231" s="226">
        <f t="shared" si="51"/>
        <v>3.7411483175183958E-3</v>
      </c>
      <c r="Z231" s="226">
        <f t="shared" si="51"/>
        <v>3.650490182845825E-3</v>
      </c>
      <c r="AA231" s="226">
        <f t="shared" si="51"/>
        <v>3.562028939791751E-3</v>
      </c>
      <c r="AB231" s="226">
        <f t="shared" si="51"/>
        <v>3.4757113517348733E-3</v>
      </c>
      <c r="AC231" s="226">
        <f t="shared" si="51"/>
        <v>3.3914854721211031E-3</v>
      </c>
      <c r="AD231" s="226">
        <f t="shared" si="51"/>
        <v>3.3093006132017505E-3</v>
      </c>
      <c r="AE231" s="226">
        <f t="shared" si="49"/>
        <v>3.2291073155292665E-3</v>
      </c>
      <c r="AF231" s="226">
        <f t="shared" si="49"/>
        <v>3.1508573181921865E-3</v>
      </c>
      <c r="AG231" s="226">
        <f t="shared" si="49"/>
        <v>3.0745035297713623E-3</v>
      </c>
      <c r="AH231" s="227">
        <v>3.0000000000000001E-3</v>
      </c>
      <c r="AI231" s="226">
        <f t="shared" si="52"/>
        <v>2.927301892110463E-3</v>
      </c>
      <c r="AJ231" s="226">
        <f t="shared" si="52"/>
        <v>2.8563654558511654E-3</v>
      </c>
      <c r="AK231" s="226">
        <f t="shared" si="52"/>
        <v>2.7871480011573604E-3</v>
      </c>
      <c r="AL231" s="226">
        <f t="shared" si="52"/>
        <v>2.7196078724599452E-3</v>
      </c>
      <c r="AM231" s="226">
        <f t="shared" si="52"/>
        <v>2.6537044236168363E-3</v>
      </c>
      <c r="AN231" s="226">
        <f t="shared" si="52"/>
        <v>2.5893979934518236E-3</v>
      </c>
      <c r="AO231" s="226">
        <f t="shared" si="52"/>
        <v>2.5266498818861866E-3</v>
      </c>
      <c r="AP231" s="226">
        <f t="shared" si="52"/>
        <v>2.4654223266487038E-3</v>
      </c>
      <c r="AQ231" s="226">
        <f t="shared" si="52"/>
        <v>2.4056784805500434E-3</v>
      </c>
      <c r="AR231" s="226">
        <f t="shared" si="52"/>
        <v>2.3473823893078553E-3</v>
      </c>
      <c r="AS231" s="226">
        <f t="shared" si="52"/>
        <v>2.2904989699092213E-3</v>
      </c>
      <c r="AT231" s="226">
        <f t="shared" si="52"/>
        <v>2.2349939894974434E-3</v>
      </c>
      <c r="AU231" s="226">
        <f t="shared" si="52"/>
        <v>2.1808340447704595E-3</v>
      </c>
      <c r="AV231" s="226">
        <f t="shared" si="52"/>
        <v>2.1279865418784936E-3</v>
      </c>
      <c r="AW231" s="226">
        <f t="shared" si="52"/>
        <v>2.0764196768088385E-3</v>
      </c>
      <c r="AX231" s="226">
        <f t="shared" si="52"/>
        <v>2.0261024162459697E-3</v>
      </c>
      <c r="AY231" s="226">
        <f t="shared" si="50"/>
        <v>1.9770044788954694E-3</v>
      </c>
      <c r="AZ231" s="226">
        <f t="shared" si="50"/>
        <v>1.9290963172605225E-3</v>
      </c>
      <c r="BA231" s="226">
        <f t="shared" si="50"/>
        <v>1.8823490998600178E-3</v>
      </c>
      <c r="BB231" s="226">
        <f t="shared" si="53"/>
        <v>1.8367346938775522E-3</v>
      </c>
      <c r="BC231" s="226">
        <f t="shared" si="53"/>
        <v>1.7922256482308968E-3</v>
      </c>
      <c r="BD231" s="226">
        <f t="shared" si="53"/>
        <v>1.7487951770517351E-3</v>
      </c>
      <c r="BE231" s="226">
        <f t="shared" si="53"/>
        <v>1.706417143565732E-3</v>
      </c>
    </row>
    <row r="232" spans="5:57" s="10" customFormat="1" x14ac:dyDescent="0.35">
      <c r="E232" s="10" t="s">
        <v>622</v>
      </c>
      <c r="F232" s="10" t="s">
        <v>615</v>
      </c>
      <c r="G232" s="43" t="s">
        <v>616</v>
      </c>
      <c r="I232" s="20"/>
      <c r="J232" s="200"/>
      <c r="K232" s="200"/>
      <c r="L232" s="200"/>
      <c r="M232" s="200"/>
      <c r="N232" s="200">
        <v>4.7000000000000002E-3</v>
      </c>
      <c r="O232" s="226">
        <f t="shared" si="51"/>
        <v>4.5956720306962471E-3</v>
      </c>
      <c r="P232" s="226">
        <f t="shared" si="51"/>
        <v>4.4936598752603751E-3</v>
      </c>
      <c r="Q232" s="226">
        <f t="shared" si="51"/>
        <v>4.3939121285523595E-3</v>
      </c>
      <c r="R232" s="226">
        <f t="shared" si="51"/>
        <v>4.2963785264947003E-3</v>
      </c>
      <c r="S232" s="226">
        <f t="shared" si="51"/>
        <v>4.201009920743755E-3</v>
      </c>
      <c r="T232" s="226">
        <f t="shared" si="51"/>
        <v>4.1077582539233047E-3</v>
      </c>
      <c r="U232" s="226">
        <f t="shared" si="51"/>
        <v>4.0165765354078682E-3</v>
      </c>
      <c r="V232" s="226">
        <f t="shared" si="51"/>
        <v>3.9274188176435685E-3</v>
      </c>
      <c r="W232" s="226">
        <f t="shared" si="51"/>
        <v>3.8402401729946108E-3</v>
      </c>
      <c r="X232" s="226">
        <f t="shared" si="51"/>
        <v>3.7549966711037126E-3</v>
      </c>
      <c r="Y232" s="226">
        <f t="shared" si="51"/>
        <v>3.6716453567550733E-3</v>
      </c>
      <c r="Z232" s="226">
        <f t="shared" si="51"/>
        <v>3.5901442282287302E-3</v>
      </c>
      <c r="AA232" s="226">
        <f t="shared" si="51"/>
        <v>3.5104522161353911E-3</v>
      </c>
      <c r="AB232" s="226">
        <f t="shared" si="51"/>
        <v>3.4325291627210794E-3</v>
      </c>
      <c r="AC232" s="226">
        <f t="shared" si="51"/>
        <v>3.356335801631164E-3</v>
      </c>
      <c r="AD232" s="226">
        <f t="shared" si="51"/>
        <v>3.2818337381235758E-3</v>
      </c>
      <c r="AE232" s="226">
        <f t="shared" si="49"/>
        <v>3.2089854297212401E-3</v>
      </c>
      <c r="AF232" s="226">
        <f t="shared" si="49"/>
        <v>3.1377541672939742E-3</v>
      </c>
      <c r="AG232" s="226">
        <f t="shared" si="49"/>
        <v>3.068104056560321E-3</v>
      </c>
      <c r="AH232" s="227">
        <v>3.0000000000000001E-3</v>
      </c>
      <c r="AI232" s="226">
        <f t="shared" si="52"/>
        <v>2.9334076791678169E-3</v>
      </c>
      <c r="AJ232" s="226">
        <f t="shared" si="52"/>
        <v>2.8682935374002394E-3</v>
      </c>
      <c r="AK232" s="226">
        <f t="shared" si="52"/>
        <v>2.8046247629057615E-3</v>
      </c>
      <c r="AL232" s="226">
        <f t="shared" si="52"/>
        <v>2.7423692722306596E-3</v>
      </c>
      <c r="AM232" s="226">
        <f t="shared" si="52"/>
        <v>2.6814956940917583E-3</v>
      </c>
      <c r="AN232" s="226">
        <f t="shared" si="52"/>
        <v>2.6219733535680664E-3</v>
      </c>
      <c r="AO232" s="226">
        <f t="shared" si="52"/>
        <v>2.5637722566433201E-3</v>
      </c>
      <c r="AP232" s="226">
        <f t="shared" si="52"/>
        <v>2.5068630750916393E-3</v>
      </c>
      <c r="AQ232" s="226">
        <f t="shared" si="52"/>
        <v>2.4512171316986874E-3</v>
      </c>
      <c r="AR232" s="226">
        <f t="shared" si="52"/>
        <v>2.3968063858108798E-3</v>
      </c>
      <c r="AS232" s="226">
        <f t="shared" si="52"/>
        <v>2.3436034192053654E-3</v>
      </c>
      <c r="AT232" s="226">
        <f t="shared" si="52"/>
        <v>2.291581422273657E-3</v>
      </c>
      <c r="AU232" s="226">
        <f t="shared" si="52"/>
        <v>2.2407141805119513E-3</v>
      </c>
      <c r="AV232" s="226">
        <f t="shared" si="52"/>
        <v>2.1909760613113265E-3</v>
      </c>
      <c r="AW232" s="226">
        <f t="shared" si="52"/>
        <v>2.1423420010411678E-3</v>
      </c>
      <c r="AX232" s="226">
        <f t="shared" si="52"/>
        <v>2.0947874924193031E-3</v>
      </c>
      <c r="AY232" s="226">
        <f t="shared" si="50"/>
        <v>2.0482885721624928E-3</v>
      </c>
      <c r="AZ232" s="226">
        <f t="shared" si="50"/>
        <v>2.0028218089110468E-3</v>
      </c>
      <c r="BA232" s="226">
        <f t="shared" si="50"/>
        <v>1.9583642914214809E-3</v>
      </c>
      <c r="BB232" s="226">
        <f t="shared" si="53"/>
        <v>1.9148936170212709E-3</v>
      </c>
      <c r="BC232" s="226">
        <f t="shared" si="53"/>
        <v>1.8723878803198776E-3</v>
      </c>
      <c r="BD232" s="226">
        <f t="shared" si="53"/>
        <v>1.8308256621703601E-3</v>
      </c>
      <c r="BE232" s="226">
        <f t="shared" si="53"/>
        <v>1.7901860188760125E-3</v>
      </c>
    </row>
    <row r="233" spans="5:57" s="10" customFormat="1" x14ac:dyDescent="0.35">
      <c r="E233" s="109" t="s">
        <v>623</v>
      </c>
      <c r="F233" s="10" t="s">
        <v>615</v>
      </c>
      <c r="G233" s="43" t="s">
        <v>616</v>
      </c>
      <c r="I233" s="20"/>
      <c r="J233" s="200"/>
      <c r="K233" s="200"/>
      <c r="L233" s="200"/>
      <c r="M233" s="200"/>
      <c r="N233" s="200">
        <v>4.4999999999999997E-3</v>
      </c>
      <c r="O233" s="226">
        <f t="shared" si="51"/>
        <v>4.3945032465433458E-3</v>
      </c>
      <c r="P233" s="226">
        <f t="shared" si="51"/>
        <v>4.2914797297511128E-3</v>
      </c>
      <c r="Q233" s="226">
        <f t="shared" si="51"/>
        <v>4.1908714677480509E-3</v>
      </c>
      <c r="R233" s="226">
        <f t="shared" si="51"/>
        <v>4.0926218379699307E-3</v>
      </c>
      <c r="S233" s="226">
        <f t="shared" si="51"/>
        <v>3.9966755452962351E-3</v>
      </c>
      <c r="T233" s="226">
        <f t="shared" si="51"/>
        <v>3.9029785909299344E-3</v>
      </c>
      <c r="U233" s="226">
        <f t="shared" si="51"/>
        <v>3.8114782420068383E-3</v>
      </c>
      <c r="V233" s="226">
        <f t="shared" si="51"/>
        <v>3.7221230019174171E-3</v>
      </c>
      <c r="W233" s="226">
        <f t="shared" si="51"/>
        <v>3.6348625813243901E-3</v>
      </c>
      <c r="X233" s="226">
        <f t="shared" si="51"/>
        <v>3.5496478698597692E-3</v>
      </c>
      <c r="Y233" s="226">
        <f t="shared" si="51"/>
        <v>3.4664309084854288E-3</v>
      </c>
      <c r="Z233" s="226">
        <f t="shared" si="51"/>
        <v>3.3851648625016486E-3</v>
      </c>
      <c r="AA233" s="226">
        <f t="shared" si="51"/>
        <v>3.3058039951884347E-3</v>
      </c>
      <c r="AB233" s="226">
        <f t="shared" si="51"/>
        <v>3.2283036420647868E-3</v>
      </c>
      <c r="AC233" s="226">
        <f t="shared" si="51"/>
        <v>3.1526201857514256E-3</v>
      </c>
      <c r="AD233" s="226">
        <f t="shared" si="51"/>
        <v>3.0787110314228283E-3</v>
      </c>
      <c r="AE233" s="226">
        <f t="shared" si="49"/>
        <v>3.006534582834763E-3</v>
      </c>
      <c r="AF233" s="226">
        <f t="shared" si="49"/>
        <v>2.9360502189138249E-3</v>
      </c>
      <c r="AG233" s="226">
        <f t="shared" si="49"/>
        <v>2.8672182708958014E-3</v>
      </c>
      <c r="AH233" s="227">
        <v>2.8E-3</v>
      </c>
      <c r="AI233" s="226">
        <f t="shared" si="52"/>
        <v>2.7343575756269712E-3</v>
      </c>
      <c r="AJ233" s="226">
        <f t="shared" si="52"/>
        <v>2.6702540540673599E-3</v>
      </c>
      <c r="AK233" s="226">
        <f t="shared" si="52"/>
        <v>2.6076533577098992E-3</v>
      </c>
      <c r="AL233" s="226">
        <f t="shared" si="52"/>
        <v>2.5465202547368467E-3</v>
      </c>
      <c r="AM233" s="226">
        <f t="shared" si="52"/>
        <v>2.4868203392954362E-3</v>
      </c>
      <c r="AN233" s="226">
        <f t="shared" si="52"/>
        <v>2.4285200121341825E-3</v>
      </c>
      <c r="AO233" s="226">
        <f t="shared" si="52"/>
        <v>2.3715864616931448E-3</v>
      </c>
      <c r="AP233" s="226">
        <f t="shared" si="52"/>
        <v>2.3159876456375051E-3</v>
      </c>
      <c r="AQ233" s="226">
        <f t="shared" si="52"/>
        <v>2.2616922728240659E-3</v>
      </c>
      <c r="AR233" s="226">
        <f t="shared" si="52"/>
        <v>2.2086697856905238E-3</v>
      </c>
      <c r="AS233" s="226">
        <f t="shared" si="52"/>
        <v>2.1568903430576008E-3</v>
      </c>
      <c r="AT233" s="226">
        <f t="shared" si="52"/>
        <v>2.1063248033343597E-3</v>
      </c>
      <c r="AU233" s="226">
        <f t="shared" si="52"/>
        <v>2.0569447081172487E-3</v>
      </c>
      <c r="AV233" s="226">
        <f t="shared" si="52"/>
        <v>2.0087222661736457E-3</v>
      </c>
      <c r="AW233" s="226">
        <f t="shared" si="52"/>
        <v>1.9616303378008878E-3</v>
      </c>
      <c r="AX233" s="226">
        <f t="shared" si="52"/>
        <v>1.9156424195519827E-3</v>
      </c>
      <c r="AY233" s="226">
        <f t="shared" si="50"/>
        <v>1.8707326293194088E-3</v>
      </c>
      <c r="AZ233" s="226">
        <f t="shared" si="50"/>
        <v>1.8268756917686028E-3</v>
      </c>
      <c r="BA233" s="226">
        <f t="shared" si="50"/>
        <v>1.7840469241129438E-3</v>
      </c>
      <c r="BB233" s="226">
        <f t="shared" si="53"/>
        <v>1.7422222222222229E-3</v>
      </c>
      <c r="BC233" s="226">
        <f t="shared" si="53"/>
        <v>1.7013780470567827E-3</v>
      </c>
      <c r="BD233" s="226">
        <f t="shared" si="53"/>
        <v>1.661491411419691E-3</v>
      </c>
      <c r="BE233" s="226">
        <f t="shared" si="53"/>
        <v>1.6225398670194932E-3</v>
      </c>
    </row>
    <row r="234" spans="5:57" s="10" customFormat="1" x14ac:dyDescent="0.35">
      <c r="E234" s="109" t="s">
        <v>624</v>
      </c>
      <c r="F234" s="10" t="s">
        <v>615</v>
      </c>
      <c r="G234" s="43" t="s">
        <v>616</v>
      </c>
      <c r="I234" s="20"/>
      <c r="J234" s="200"/>
      <c r="K234" s="200"/>
      <c r="L234" s="200"/>
      <c r="M234" s="200"/>
      <c r="N234" s="200">
        <v>4.1999999999999997E-3</v>
      </c>
      <c r="O234" s="226">
        <f t="shared" si="51"/>
        <v>4.1082325013412297E-3</v>
      </c>
      <c r="P234" s="226">
        <f t="shared" si="51"/>
        <v>4.0184700678753378E-3</v>
      </c>
      <c r="Q234" s="226">
        <f t="shared" si="51"/>
        <v>3.9306688901219909E-3</v>
      </c>
      <c r="R234" s="226">
        <f t="shared" si="51"/>
        <v>3.8447861158119102E-3</v>
      </c>
      <c r="S234" s="226">
        <f t="shared" si="51"/>
        <v>3.7607798289723796E-3</v>
      </c>
      <c r="T234" s="226">
        <f t="shared" si="51"/>
        <v>3.6786090294697242E-3</v>
      </c>
      <c r="U234" s="226">
        <f t="shared" si="51"/>
        <v>3.5982336129987713E-3</v>
      </c>
      <c r="V234" s="226">
        <f t="shared" si="51"/>
        <v>3.5196143515095315E-3</v>
      </c>
      <c r="W234" s="226">
        <f t="shared" si="51"/>
        <v>3.4427128740615459E-3</v>
      </c>
      <c r="X234" s="226">
        <f t="shared" si="51"/>
        <v>3.3674916480965524E-3</v>
      </c>
      <c r="Y234" s="226">
        <f t="shared" si="51"/>
        <v>3.2939139611203334E-3</v>
      </c>
      <c r="Z234" s="226">
        <f t="shared" si="51"/>
        <v>3.2219439027848062E-3</v>
      </c>
      <c r="AA234" s="226">
        <f t="shared" si="51"/>
        <v>3.1515463473616068E-3</v>
      </c>
      <c r="AB234" s="226">
        <f t="shared" si="51"/>
        <v>3.0826869365986167E-3</v>
      </c>
      <c r="AC234" s="226">
        <f t="shared" si="51"/>
        <v>3.015332062951064E-3</v>
      </c>
      <c r="AD234" s="226">
        <f t="shared" si="51"/>
        <v>2.9494488531790143E-3</v>
      </c>
      <c r="AE234" s="226">
        <f t="shared" si="49"/>
        <v>2.8850051523032485E-3</v>
      </c>
      <c r="AF234" s="226">
        <f t="shared" si="49"/>
        <v>2.8219695079116929E-3</v>
      </c>
      <c r="AG234" s="226">
        <f t="shared" si="49"/>
        <v>2.7603111548087462E-3</v>
      </c>
      <c r="AH234" s="227">
        <v>2.7000000000000001E-3</v>
      </c>
      <c r="AI234" s="226">
        <f t="shared" si="52"/>
        <v>2.6410066080050764E-3</v>
      </c>
      <c r="AJ234" s="226">
        <f t="shared" si="52"/>
        <v>2.5833021864912886E-3</v>
      </c>
      <c r="AK234" s="226">
        <f t="shared" si="52"/>
        <v>2.5268585722212798E-3</v>
      </c>
      <c r="AL234" s="226">
        <f t="shared" si="52"/>
        <v>2.4716482173076566E-3</v>
      </c>
      <c r="AM234" s="226">
        <f t="shared" si="52"/>
        <v>2.4176441757679584E-3</v>
      </c>
      <c r="AN234" s="226">
        <f t="shared" si="52"/>
        <v>2.3648200903733942E-3</v>
      </c>
      <c r="AO234" s="226">
        <f t="shared" si="52"/>
        <v>2.3131501797849243E-3</v>
      </c>
      <c r="AP234" s="226">
        <f t="shared" si="52"/>
        <v>2.262609225970413E-3</v>
      </c>
      <c r="AQ234" s="226">
        <f t="shared" si="52"/>
        <v>2.2131725618967082E-3</v>
      </c>
      <c r="AR234" s="226">
        <f t="shared" si="52"/>
        <v>2.1648160594906407E-3</v>
      </c>
      <c r="AS234" s="226">
        <f t="shared" si="52"/>
        <v>2.1175161178630711E-3</v>
      </c>
      <c r="AT234" s="226">
        <f t="shared" si="52"/>
        <v>2.0712496517902323E-3</v>
      </c>
      <c r="AU234" s="226">
        <f t="shared" si="52"/>
        <v>2.0259940804467471E-3</v>
      </c>
      <c r="AV234" s="226">
        <f t="shared" si="52"/>
        <v>1.981727316384825E-3</v>
      </c>
      <c r="AW234" s="226">
        <f t="shared" si="52"/>
        <v>1.9384277547542554E-3</v>
      </c>
      <c r="AX234" s="226">
        <f t="shared" si="52"/>
        <v>1.8960742627579378E-3</v>
      </c>
      <c r="AY234" s="226">
        <f t="shared" si="50"/>
        <v>1.8546461693378026E-3</v>
      </c>
      <c r="AZ234" s="226">
        <f t="shared" si="50"/>
        <v>1.8141232550860883E-3</v>
      </c>
      <c r="BA234" s="226">
        <f t="shared" si="50"/>
        <v>1.774485742377051E-3</v>
      </c>
      <c r="BB234" s="226">
        <f t="shared" si="53"/>
        <v>1.7357142857142907E-3</v>
      </c>
      <c r="BC234" s="226">
        <f t="shared" si="53"/>
        <v>1.6977899622889826E-3</v>
      </c>
      <c r="BD234" s="226">
        <f t="shared" si="53"/>
        <v>1.6606942627444045E-3</v>
      </c>
      <c r="BE234" s="226">
        <f t="shared" si="53"/>
        <v>1.6244090821422557E-3</v>
      </c>
    </row>
    <row r="235" spans="5:57" s="10" customFormat="1" x14ac:dyDescent="0.35">
      <c r="E235" s="109" t="s">
        <v>625</v>
      </c>
      <c r="F235" s="10" t="s">
        <v>615</v>
      </c>
      <c r="G235" s="43" t="s">
        <v>616</v>
      </c>
      <c r="I235" s="20"/>
      <c r="J235" s="200"/>
      <c r="K235" s="200"/>
      <c r="L235" s="200"/>
      <c r="M235" s="200"/>
      <c r="N235" s="200">
        <v>4.0000000000000001E-3</v>
      </c>
      <c r="O235" s="226">
        <f t="shared" si="51"/>
        <v>3.9147646602645352E-3</v>
      </c>
      <c r="P235" s="226">
        <f t="shared" si="51"/>
        <v>3.8313455863140254E-3</v>
      </c>
      <c r="Q235" s="226">
        <f t="shared" si="51"/>
        <v>3.7497040756406634E-3</v>
      </c>
      <c r="R235" s="226">
        <f t="shared" si="51"/>
        <v>3.6698022504419912E-3</v>
      </c>
      <c r="S235" s="226">
        <f t="shared" si="51"/>
        <v>3.5916030400473921E-3</v>
      </c>
      <c r="T235" s="226">
        <f t="shared" si="51"/>
        <v>3.5150701637190504E-3</v>
      </c>
      <c r="U235" s="226">
        <f t="shared" si="51"/>
        <v>3.4401681138194031E-3</v>
      </c>
      <c r="V235" s="226">
        <f t="shared" si="51"/>
        <v>3.3668621393372756E-3</v>
      </c>
      <c r="W235" s="226">
        <f t="shared" si="51"/>
        <v>3.2951182297650543E-3</v>
      </c>
      <c r="X235" s="226">
        <f t="shared" si="51"/>
        <v>3.2249030993194176E-3</v>
      </c>
      <c r="Y235" s="226">
        <f t="shared" si="51"/>
        <v>3.1561841714983067E-3</v>
      </c>
      <c r="Z235" s="226">
        <f t="shared" si="51"/>
        <v>3.088929563966968E-3</v>
      </c>
      <c r="AA235" s="226">
        <f t="shared" si="51"/>
        <v>3.0231080737660567E-3</v>
      </c>
      <c r="AB235" s="226">
        <f t="shared" si="51"/>
        <v>2.9586891628349378E-3</v>
      </c>
      <c r="AC235" s="226">
        <f t="shared" si="51"/>
        <v>2.8956429438434694E-3</v>
      </c>
      <c r="AD235" s="226">
        <f t="shared" si="51"/>
        <v>2.8339401663256946E-3</v>
      </c>
      <c r="AE235" s="226">
        <f t="shared" si="49"/>
        <v>2.7735522031090074E-3</v>
      </c>
      <c r="AF235" s="226">
        <f t="shared" si="49"/>
        <v>2.7144510370324965E-3</v>
      </c>
      <c r="AG235" s="226">
        <f t="shared" si="49"/>
        <v>2.6566092479483093E-3</v>
      </c>
      <c r="AH235" s="227">
        <v>2.5999999999999999E-3</v>
      </c>
      <c r="AI235" s="226">
        <f t="shared" si="52"/>
        <v>2.5445970291719478E-3</v>
      </c>
      <c r="AJ235" s="226">
        <f t="shared" si="52"/>
        <v>2.4903746311041165E-3</v>
      </c>
      <c r="AK235" s="226">
        <f t="shared" si="52"/>
        <v>2.4373076491664312E-3</v>
      </c>
      <c r="AL235" s="226">
        <f t="shared" si="52"/>
        <v>2.3853714627872944E-3</v>
      </c>
      <c r="AM235" s="226">
        <f t="shared" si="52"/>
        <v>2.3345419760308051E-3</v>
      </c>
      <c r="AN235" s="226">
        <f t="shared" si="52"/>
        <v>2.2847956064173829E-3</v>
      </c>
      <c r="AO235" s="226">
        <f t="shared" si="52"/>
        <v>2.2361092739826122E-3</v>
      </c>
      <c r="AP235" s="226">
        <f t="shared" si="52"/>
        <v>2.1884603905692294E-3</v>
      </c>
      <c r="AQ235" s="226">
        <f t="shared" si="52"/>
        <v>2.1418268493472855E-3</v>
      </c>
      <c r="AR235" s="226">
        <f t="shared" si="52"/>
        <v>2.0961870145576218E-3</v>
      </c>
      <c r="AS235" s="226">
        <f t="shared" si="52"/>
        <v>2.0515197114738997E-3</v>
      </c>
      <c r="AT235" s="226">
        <f t="shared" si="52"/>
        <v>2.0078042165785296E-3</v>
      </c>
      <c r="AU235" s="226">
        <f t="shared" si="52"/>
        <v>1.9650202479479374E-3</v>
      </c>
      <c r="AV235" s="226">
        <f t="shared" si="52"/>
        <v>1.9231479558427102E-3</v>
      </c>
      <c r="AW235" s="226">
        <f t="shared" si="52"/>
        <v>1.8821679134982557E-3</v>
      </c>
      <c r="AX235" s="226">
        <f t="shared" si="52"/>
        <v>1.8420611081117022E-3</v>
      </c>
      <c r="AY235" s="226">
        <f t="shared" si="50"/>
        <v>1.8028089320208554E-3</v>
      </c>
      <c r="AZ235" s="226">
        <f t="shared" si="50"/>
        <v>1.7643931740711234E-3</v>
      </c>
      <c r="BA235" s="226">
        <f t="shared" si="50"/>
        <v>1.7267960111664016E-3</v>
      </c>
      <c r="BB235" s="226">
        <f t="shared" si="53"/>
        <v>1.6899999999999984E-3</v>
      </c>
      <c r="BC235" s="226">
        <f t="shared" si="53"/>
        <v>1.6539880689617646E-3</v>
      </c>
      <c r="BD235" s="226">
        <f t="shared" si="53"/>
        <v>1.6187435102176743E-3</v>
      </c>
      <c r="BE235" s="226">
        <f t="shared" si="53"/>
        <v>1.5842499719581787E-3</v>
      </c>
    </row>
    <row r="236" spans="5:57" s="10" customFormat="1" x14ac:dyDescent="0.35">
      <c r="E236" s="10" t="s">
        <v>626</v>
      </c>
      <c r="F236" s="10" t="s">
        <v>615</v>
      </c>
      <c r="G236" s="43" t="s">
        <v>616</v>
      </c>
      <c r="I236" s="20"/>
      <c r="J236" s="200"/>
      <c r="K236" s="200"/>
      <c r="L236" s="200"/>
      <c r="M236" s="200"/>
      <c r="N236" s="200">
        <v>3.8E-3</v>
      </c>
      <c r="O236" s="226">
        <f t="shared" si="51"/>
        <v>3.7136842763748497E-3</v>
      </c>
      <c r="P236" s="226">
        <f t="shared" si="51"/>
        <v>3.6293291854194191E-3</v>
      </c>
      <c r="Q236" s="226">
        <f t="shared" si="51"/>
        <v>3.5468901920211681E-3</v>
      </c>
      <c r="R236" s="226">
        <f t="shared" si="51"/>
        <v>3.4663237726676802E-3</v>
      </c>
      <c r="S236" s="226">
        <f t="shared" si="51"/>
        <v>3.3875873924685035E-3</v>
      </c>
      <c r="T236" s="226">
        <f t="shared" si="51"/>
        <v>3.3106394826989366E-3</v>
      </c>
      <c r="U236" s="226">
        <f t="shared" si="51"/>
        <v>3.2354394188538966E-3</v>
      </c>
      <c r="V236" s="226">
        <f t="shared" si="51"/>
        <v>3.1619474992002888E-3</v>
      </c>
      <c r="W236" s="226">
        <f t="shared" si="51"/>
        <v>3.0901249238165503E-3</v>
      </c>
      <c r="X236" s="226">
        <f t="shared" si="51"/>
        <v>3.0199337741083038E-3</v>
      </c>
      <c r="Y236" s="226">
        <f t="shared" si="51"/>
        <v>2.9513369927893066E-3</v>
      </c>
      <c r="Z236" s="226">
        <f t="shared" si="51"/>
        <v>2.8842983643171268E-3</v>
      </c>
      <c r="AA236" s="226">
        <f t="shared" si="51"/>
        <v>2.8187824957732139E-3</v>
      </c>
      <c r="AB236" s="226">
        <f t="shared" si="51"/>
        <v>2.7547547981772742E-3</v>
      </c>
      <c r="AC236" s="226">
        <f t="shared" si="51"/>
        <v>2.692181468226083E-3</v>
      </c>
      <c r="AD236" s="226">
        <f t="shared" si="51"/>
        <v>2.6310294704470953E-3</v>
      </c>
      <c r="AE236" s="226">
        <f t="shared" si="49"/>
        <v>2.5712665197574276E-3</v>
      </c>
      <c r="AF236" s="226">
        <f t="shared" si="49"/>
        <v>2.5128610644190108E-3</v>
      </c>
      <c r="AG236" s="226">
        <f t="shared" si="49"/>
        <v>2.4557822693809079E-3</v>
      </c>
      <c r="AH236" s="227">
        <v>2.3999999999999998E-3</v>
      </c>
      <c r="AI236" s="226">
        <f t="shared" si="52"/>
        <v>2.3454848061314837E-3</v>
      </c>
      <c r="AJ236" s="226">
        <f t="shared" si="52"/>
        <v>2.2922079065806852E-3</v>
      </c>
      <c r="AK236" s="226">
        <f t="shared" si="52"/>
        <v>2.2401411739081055E-3</v>
      </c>
      <c r="AL236" s="226">
        <f t="shared" si="52"/>
        <v>2.1892571195795867E-3</v>
      </c>
      <c r="AM236" s="226">
        <f t="shared" si="52"/>
        <v>2.139528879453791E-3</v>
      </c>
      <c r="AN236" s="226">
        <f t="shared" si="52"/>
        <v>2.0909301995993275E-3</v>
      </c>
      <c r="AO236" s="226">
        <f t="shared" si="52"/>
        <v>2.0434354224340393E-3</v>
      </c>
      <c r="AP236" s="226">
        <f t="shared" si="52"/>
        <v>1.9970194731791292E-3</v>
      </c>
      <c r="AQ236" s="226">
        <f t="shared" si="52"/>
        <v>1.9516578466209785E-3</v>
      </c>
      <c r="AR236" s="226">
        <f t="shared" si="52"/>
        <v>1.9073265941736649E-3</v>
      </c>
      <c r="AS236" s="226">
        <f t="shared" si="52"/>
        <v>1.8640023112353509E-3</v>
      </c>
      <c r="AT236" s="226">
        <f t="shared" si="52"/>
        <v>1.821662124831869E-3</v>
      </c>
      <c r="AU236" s="226">
        <f t="shared" si="52"/>
        <v>1.7802836815409766E-3</v>
      </c>
      <c r="AV236" s="226">
        <f t="shared" si="52"/>
        <v>1.7398451356909093E-3</v>
      </c>
      <c r="AW236" s="226">
        <f t="shared" si="52"/>
        <v>1.7003251378269993E-3</v>
      </c>
      <c r="AX236" s="226">
        <f t="shared" si="52"/>
        <v>1.6617028234402701E-3</v>
      </c>
      <c r="AY236" s="226">
        <f t="shared" si="50"/>
        <v>1.6239578019520591E-3</v>
      </c>
      <c r="AZ236" s="226">
        <f t="shared" si="50"/>
        <v>1.5870701459488486E-3</v>
      </c>
      <c r="BA236" s="226">
        <f t="shared" si="50"/>
        <v>1.5510203806616257E-3</v>
      </c>
      <c r="BB236" s="226">
        <f t="shared" si="53"/>
        <v>1.5157894736842141E-3</v>
      </c>
      <c r="BC236" s="226">
        <f t="shared" si="53"/>
        <v>1.4813588249251513E-3</v>
      </c>
      <c r="BD236" s="226">
        <f t="shared" si="53"/>
        <v>1.4477102567878048E-3</v>
      </c>
      <c r="BE236" s="226">
        <f t="shared" si="53"/>
        <v>1.4148260045735439E-3</v>
      </c>
    </row>
    <row r="237" spans="5:57" s="10" customFormat="1" x14ac:dyDescent="0.35">
      <c r="E237" s="10" t="s">
        <v>627</v>
      </c>
      <c r="F237" s="10" t="s">
        <v>615</v>
      </c>
      <c r="G237" s="43" t="s">
        <v>616</v>
      </c>
      <c r="I237" s="20"/>
      <c r="J237" s="200"/>
      <c r="K237" s="200"/>
      <c r="L237" s="200"/>
      <c r="M237" s="200"/>
      <c r="N237" s="200">
        <v>3.5999999999999999E-3</v>
      </c>
      <c r="O237" s="226">
        <f t="shared" si="51"/>
        <v>3.5202521104624345E-3</v>
      </c>
      <c r="P237" s="226">
        <f t="shared" si="51"/>
        <v>3.4422708114486738E-3</v>
      </c>
      <c r="Q237" s="226">
        <f t="shared" si="51"/>
        <v>3.3660169691070644E-3</v>
      </c>
      <c r="R237" s="226">
        <f t="shared" si="51"/>
        <v>3.2914523164865308E-3</v>
      </c>
      <c r="S237" s="226">
        <f t="shared" si="51"/>
        <v>3.2185394343328278E-3</v>
      </c>
      <c r="T237" s="226">
        <f t="shared" si="51"/>
        <v>3.1472417323101967E-3</v>
      </c>
      <c r="U237" s="226">
        <f t="shared" si="51"/>
        <v>3.0775234306390053E-3</v>
      </c>
      <c r="V237" s="226">
        <f t="shared" si="51"/>
        <v>3.0093495421401532E-3</v>
      </c>
      <c r="W237" s="226">
        <f t="shared" si="51"/>
        <v>2.9426858546772322E-3</v>
      </c>
      <c r="X237" s="226">
        <f t="shared" si="51"/>
        <v>2.8774989139876334E-3</v>
      </c>
      <c r="Y237" s="226">
        <f t="shared" si="51"/>
        <v>2.8137560068939808E-3</v>
      </c>
      <c r="Z237" s="226">
        <f t="shared" si="51"/>
        <v>2.7514251448874693E-3</v>
      </c>
      <c r="AA237" s="226">
        <f t="shared" si="51"/>
        <v>2.6904750480748678E-3</v>
      </c>
      <c r="AB237" s="226">
        <f t="shared" si="51"/>
        <v>2.6308751294811315E-3</v>
      </c>
      <c r="AC237" s="226">
        <f t="shared" si="51"/>
        <v>2.5725954796997456E-3</v>
      </c>
      <c r="AD237" s="226">
        <f t="shared" si="51"/>
        <v>2.5156068518830971E-3</v>
      </c>
      <c r="AE237" s="226">
        <f t="shared" si="49"/>
        <v>2.4598806470653429E-3</v>
      </c>
      <c r="AF237" s="226">
        <f t="shared" si="49"/>
        <v>2.405388899810409E-3</v>
      </c>
      <c r="AG237" s="226">
        <f t="shared" si="49"/>
        <v>2.3521042641779185E-3</v>
      </c>
      <c r="AH237" s="227">
        <v>2.3E-3</v>
      </c>
      <c r="AI237" s="226">
        <f t="shared" si="52"/>
        <v>2.2490499594621112E-3</v>
      </c>
      <c r="AJ237" s="226">
        <f t="shared" si="52"/>
        <v>2.1992285739810971E-3</v>
      </c>
      <c r="AK237" s="226">
        <f t="shared" si="52"/>
        <v>2.1505108413739579E-3</v>
      </c>
      <c r="AL237" s="226">
        <f t="shared" si="52"/>
        <v>2.1028723133108395E-3</v>
      </c>
      <c r="AM237" s="226">
        <f t="shared" si="52"/>
        <v>2.0562890830459735E-3</v>
      </c>
      <c r="AN237" s="226">
        <f t="shared" si="52"/>
        <v>2.0107377734204035E-3</v>
      </c>
      <c r="AO237" s="226">
        <f t="shared" si="52"/>
        <v>1.9661955251304756E-3</v>
      </c>
      <c r="AP237" s="226">
        <f t="shared" si="52"/>
        <v>1.9226399852562087E-3</v>
      </c>
      <c r="AQ237" s="226">
        <f t="shared" si="52"/>
        <v>1.8800492960437871E-3</v>
      </c>
      <c r="AR237" s="226">
        <f t="shared" si="52"/>
        <v>1.8384020839365433E-3</v>
      </c>
      <c r="AS237" s="226">
        <f t="shared" si="52"/>
        <v>1.7976774488489319E-3</v>
      </c>
      <c r="AT237" s="226">
        <f t="shared" si="52"/>
        <v>1.7578549536781051E-3</v>
      </c>
      <c r="AU237" s="226">
        <f t="shared" si="52"/>
        <v>1.7189146140478319E-3</v>
      </c>
      <c r="AV237" s="226">
        <f t="shared" si="52"/>
        <v>1.6808368882796115E-3</v>
      </c>
      <c r="AW237" s="226">
        <f t="shared" si="52"/>
        <v>1.6436026675859484E-3</v>
      </c>
      <c r="AX237" s="226">
        <f t="shared" si="52"/>
        <v>1.6071932664808674E-3</v>
      </c>
      <c r="AY237" s="226">
        <f t="shared" si="50"/>
        <v>1.5715904134028576E-3</v>
      </c>
      <c r="AZ237" s="226">
        <f t="shared" si="50"/>
        <v>1.5367762415455389E-3</v>
      </c>
      <c r="BA237" s="226">
        <f t="shared" si="50"/>
        <v>1.5027332798914477E-3</v>
      </c>
      <c r="BB237" s="226">
        <f t="shared" si="53"/>
        <v>1.469444444444446E-3</v>
      </c>
      <c r="BC237" s="226">
        <f t="shared" si="53"/>
        <v>1.4368930296563501E-3</v>
      </c>
      <c r="BD237" s="226">
        <f t="shared" si="53"/>
        <v>1.4050627000434801E-3</v>
      </c>
      <c r="BE237" s="226">
        <f t="shared" si="53"/>
        <v>1.3739374819889188E-3</v>
      </c>
    </row>
    <row r="238" spans="5:57" s="10" customFormat="1" x14ac:dyDescent="0.35">
      <c r="E238" s="10" t="s">
        <v>628</v>
      </c>
      <c r="F238" s="10" t="s">
        <v>615</v>
      </c>
      <c r="G238" s="43" t="s">
        <v>616</v>
      </c>
      <c r="I238" s="20"/>
      <c r="J238" s="200"/>
      <c r="K238" s="200"/>
      <c r="L238" s="200"/>
      <c r="M238" s="200"/>
      <c r="N238" s="200">
        <v>3.5999999999999999E-3</v>
      </c>
      <c r="O238" s="226">
        <f t="shared" si="51"/>
        <v>3.5202521104624345E-3</v>
      </c>
      <c r="P238" s="226">
        <f t="shared" si="51"/>
        <v>3.4422708114486738E-3</v>
      </c>
      <c r="Q238" s="226">
        <f t="shared" si="51"/>
        <v>3.3660169691070644E-3</v>
      </c>
      <c r="R238" s="226">
        <f t="shared" si="51"/>
        <v>3.2914523164865308E-3</v>
      </c>
      <c r="S238" s="226">
        <f t="shared" si="51"/>
        <v>3.2185394343328278E-3</v>
      </c>
      <c r="T238" s="226">
        <f t="shared" si="51"/>
        <v>3.1472417323101967E-3</v>
      </c>
      <c r="U238" s="226">
        <f t="shared" si="51"/>
        <v>3.0775234306390053E-3</v>
      </c>
      <c r="V238" s="226">
        <f t="shared" si="51"/>
        <v>3.0093495421401532E-3</v>
      </c>
      <c r="W238" s="226">
        <f t="shared" si="51"/>
        <v>2.9426858546772322E-3</v>
      </c>
      <c r="X238" s="226">
        <f t="shared" si="51"/>
        <v>2.8774989139876334E-3</v>
      </c>
      <c r="Y238" s="226">
        <f t="shared" si="51"/>
        <v>2.8137560068939808E-3</v>
      </c>
      <c r="Z238" s="226">
        <f t="shared" si="51"/>
        <v>2.7514251448874693E-3</v>
      </c>
      <c r="AA238" s="226">
        <f t="shared" si="51"/>
        <v>2.6904750480748678E-3</v>
      </c>
      <c r="AB238" s="226">
        <f t="shared" si="51"/>
        <v>2.6308751294811315E-3</v>
      </c>
      <c r="AC238" s="226">
        <f t="shared" si="51"/>
        <v>2.5725954796997456E-3</v>
      </c>
      <c r="AD238" s="226">
        <f t="shared" si="51"/>
        <v>2.5156068518830971E-3</v>
      </c>
      <c r="AE238" s="226">
        <f t="shared" si="49"/>
        <v>2.4598806470653429E-3</v>
      </c>
      <c r="AF238" s="226">
        <f t="shared" si="49"/>
        <v>2.405388899810409E-3</v>
      </c>
      <c r="AG238" s="226">
        <f t="shared" si="49"/>
        <v>2.3521042641779185E-3</v>
      </c>
      <c r="AH238" s="227">
        <v>2.3E-3</v>
      </c>
      <c r="AI238" s="226">
        <f t="shared" si="52"/>
        <v>2.2490499594621112E-3</v>
      </c>
      <c r="AJ238" s="226">
        <f t="shared" si="52"/>
        <v>2.1992285739810971E-3</v>
      </c>
      <c r="AK238" s="226">
        <f t="shared" si="52"/>
        <v>2.1505108413739579E-3</v>
      </c>
      <c r="AL238" s="226">
        <f t="shared" si="52"/>
        <v>2.1028723133108395E-3</v>
      </c>
      <c r="AM238" s="226">
        <f t="shared" si="52"/>
        <v>2.0562890830459735E-3</v>
      </c>
      <c r="AN238" s="226">
        <f t="shared" si="52"/>
        <v>2.0107377734204035E-3</v>
      </c>
      <c r="AO238" s="226">
        <f t="shared" si="52"/>
        <v>1.9661955251304756E-3</v>
      </c>
      <c r="AP238" s="226">
        <f t="shared" si="52"/>
        <v>1.9226399852562087E-3</v>
      </c>
      <c r="AQ238" s="226">
        <f t="shared" si="52"/>
        <v>1.8800492960437871E-3</v>
      </c>
      <c r="AR238" s="226">
        <f t="shared" si="52"/>
        <v>1.8384020839365433E-3</v>
      </c>
      <c r="AS238" s="226">
        <f t="shared" si="52"/>
        <v>1.7976774488489319E-3</v>
      </c>
      <c r="AT238" s="226">
        <f t="shared" si="52"/>
        <v>1.7578549536781051E-3</v>
      </c>
      <c r="AU238" s="226">
        <f t="shared" si="52"/>
        <v>1.7189146140478319E-3</v>
      </c>
      <c r="AV238" s="226">
        <f t="shared" si="52"/>
        <v>1.6808368882796115E-3</v>
      </c>
      <c r="AW238" s="226">
        <f t="shared" si="52"/>
        <v>1.6436026675859484E-3</v>
      </c>
      <c r="AX238" s="226">
        <f t="shared" si="52"/>
        <v>1.6071932664808674E-3</v>
      </c>
      <c r="AY238" s="226">
        <f t="shared" si="50"/>
        <v>1.5715904134028576E-3</v>
      </c>
      <c r="AZ238" s="226">
        <f t="shared" si="50"/>
        <v>1.5367762415455389E-3</v>
      </c>
      <c r="BA238" s="226">
        <f t="shared" si="50"/>
        <v>1.5027332798914477E-3</v>
      </c>
      <c r="BB238" s="226">
        <f t="shared" si="53"/>
        <v>1.469444444444446E-3</v>
      </c>
      <c r="BC238" s="226">
        <f t="shared" si="53"/>
        <v>1.4368930296563501E-3</v>
      </c>
      <c r="BD238" s="226">
        <f t="shared" si="53"/>
        <v>1.4050627000434801E-3</v>
      </c>
      <c r="BE238" s="226">
        <f t="shared" si="53"/>
        <v>1.3739374819889188E-3</v>
      </c>
    </row>
    <row r="239" spans="5:57" s="10" customFormat="1" x14ac:dyDescent="0.35">
      <c r="E239" s="10" t="s">
        <v>629</v>
      </c>
      <c r="F239" s="10" t="s">
        <v>615</v>
      </c>
      <c r="G239" s="43" t="s">
        <v>616</v>
      </c>
      <c r="I239" s="20"/>
      <c r="J239" s="200"/>
      <c r="K239" s="200"/>
      <c r="L239" s="200"/>
      <c r="M239" s="200"/>
      <c r="N239" s="200">
        <v>3.5999999999999999E-3</v>
      </c>
      <c r="O239" s="226">
        <f t="shared" si="51"/>
        <v>3.5277511151252071E-3</v>
      </c>
      <c r="P239" s="226">
        <f t="shared" si="51"/>
        <v>3.456952202851984E-3</v>
      </c>
      <c r="Q239" s="226">
        <f t="shared" si="51"/>
        <v>3.3875741634848966E-3</v>
      </c>
      <c r="R239" s="226">
        <f t="shared" si="51"/>
        <v>3.3195884813342182E-3</v>
      </c>
      <c r="S239" s="226">
        <f t="shared" si="51"/>
        <v>3.2529672129954393E-3</v>
      </c>
      <c r="T239" s="226">
        <f t="shared" si="51"/>
        <v>3.1876829758639997E-3</v>
      </c>
      <c r="U239" s="226">
        <f t="shared" si="51"/>
        <v>3.1237089368805178E-3</v>
      </c>
      <c r="V239" s="226">
        <f t="shared" si="51"/>
        <v>3.0610188015018952E-3</v>
      </c>
      <c r="W239" s="226">
        <f t="shared" si="51"/>
        <v>2.99958680289376E-3</v>
      </c>
      <c r="X239" s="226">
        <f t="shared" si="51"/>
        <v>2.9393876913398104E-3</v>
      </c>
      <c r="Y239" s="226">
        <f t="shared" si="51"/>
        <v>2.8803967238637011E-3</v>
      </c>
      <c r="Z239" s="226">
        <f t="shared" si="51"/>
        <v>2.8225896540592125E-3</v>
      </c>
      <c r="AA239" s="226">
        <f t="shared" si="51"/>
        <v>2.7659427221245168E-3</v>
      </c>
      <c r="AB239" s="226">
        <f t="shared" si="51"/>
        <v>2.7104326450964489E-3</v>
      </c>
      <c r="AC239" s="226">
        <f t="shared" si="51"/>
        <v>2.6560366072807674E-3</v>
      </c>
      <c r="AD239" s="226">
        <f t="shared" si="51"/>
        <v>2.6027322508744722E-3</v>
      </c>
      <c r="AE239" s="226">
        <f t="shared" si="49"/>
        <v>2.5504976667763222E-3</v>
      </c>
      <c r="AF239" s="226">
        <f t="shared" si="49"/>
        <v>2.4993113855817806E-3</v>
      </c>
      <c r="AG239" s="226">
        <f t="shared" si="49"/>
        <v>2.4491523687586816E-3</v>
      </c>
      <c r="AH239" s="227">
        <v>2.3999999999999998E-3</v>
      </c>
      <c r="AI239" s="226">
        <f t="shared" si="52"/>
        <v>2.3518340767501381E-3</v>
      </c>
      <c r="AJ239" s="226">
        <f t="shared" si="52"/>
        <v>2.3046348019013225E-3</v>
      </c>
      <c r="AK239" s="226">
        <f t="shared" si="52"/>
        <v>2.2583827756565977E-3</v>
      </c>
      <c r="AL239" s="226">
        <f t="shared" si="52"/>
        <v>2.2130589875561453E-3</v>
      </c>
      <c r="AM239" s="226">
        <f t="shared" si="52"/>
        <v>2.168644808663626E-3</v>
      </c>
      <c r="AN239" s="226">
        <f t="shared" si="52"/>
        <v>2.1251219839093331E-3</v>
      </c>
      <c r="AO239" s="226">
        <f t="shared" si="52"/>
        <v>2.082472624587012E-3</v>
      </c>
      <c r="AP239" s="226">
        <f t="shared" si="52"/>
        <v>2.0406792010012635E-3</v>
      </c>
      <c r="AQ239" s="226">
        <f t="shared" si="52"/>
        <v>1.9997245352625067E-3</v>
      </c>
      <c r="AR239" s="226">
        <f t="shared" si="52"/>
        <v>1.9595917942265401E-3</v>
      </c>
      <c r="AS239" s="226">
        <f t="shared" si="52"/>
        <v>1.9202644825758008E-3</v>
      </c>
      <c r="AT239" s="226">
        <f t="shared" si="52"/>
        <v>1.8817264360394752E-3</v>
      </c>
      <c r="AU239" s="226">
        <f t="shared" si="52"/>
        <v>1.843961814749678E-3</v>
      </c>
      <c r="AV239" s="226">
        <f t="shared" si="52"/>
        <v>1.806955096730966E-3</v>
      </c>
      <c r="AW239" s="226">
        <f t="shared" si="52"/>
        <v>1.7706910715205118E-3</v>
      </c>
      <c r="AX239" s="226">
        <f t="shared" si="52"/>
        <v>1.7351548339163149E-3</v>
      </c>
      <c r="AY239" s="226">
        <f t="shared" si="50"/>
        <v>1.7003317778508816E-3</v>
      </c>
      <c r="AZ239" s="226">
        <f t="shared" si="50"/>
        <v>1.6662075903878539E-3</v>
      </c>
      <c r="BA239" s="226">
        <f t="shared" si="50"/>
        <v>1.6327682458391211E-3</v>
      </c>
      <c r="BB239" s="226">
        <f t="shared" si="53"/>
        <v>1.5999999999999966E-3</v>
      </c>
      <c r="BC239" s="226">
        <f t="shared" si="53"/>
        <v>1.5678893845000887E-3</v>
      </c>
      <c r="BD239" s="226">
        <f t="shared" si="53"/>
        <v>1.5364232012675453E-3</v>
      </c>
      <c r="BE239" s="226">
        <f t="shared" si="53"/>
        <v>1.5055885171043955E-3</v>
      </c>
    </row>
    <row r="240" spans="5:57" s="10" customFormat="1" x14ac:dyDescent="0.35">
      <c r="E240" s="10" t="s">
        <v>630</v>
      </c>
      <c r="F240" s="10" t="s">
        <v>615</v>
      </c>
      <c r="G240" s="43" t="s">
        <v>616</v>
      </c>
      <c r="I240" s="20"/>
      <c r="J240" s="200"/>
      <c r="K240" s="200"/>
      <c r="L240" s="200"/>
      <c r="M240" s="200"/>
      <c r="N240" s="200">
        <v>3.5999999999999999E-3</v>
      </c>
      <c r="O240" s="226">
        <f t="shared" si="51"/>
        <v>3.5277511151252071E-3</v>
      </c>
      <c r="P240" s="226">
        <f t="shared" si="51"/>
        <v>3.456952202851984E-3</v>
      </c>
      <c r="Q240" s="226">
        <f t="shared" si="51"/>
        <v>3.3875741634848966E-3</v>
      </c>
      <c r="R240" s="226">
        <f t="shared" si="51"/>
        <v>3.3195884813342182E-3</v>
      </c>
      <c r="S240" s="226">
        <f t="shared" si="51"/>
        <v>3.2529672129954393E-3</v>
      </c>
      <c r="T240" s="226">
        <f t="shared" si="51"/>
        <v>3.1876829758639997E-3</v>
      </c>
      <c r="U240" s="226">
        <f t="shared" si="51"/>
        <v>3.1237089368805178E-3</v>
      </c>
      <c r="V240" s="226">
        <f t="shared" si="51"/>
        <v>3.0610188015018952E-3</v>
      </c>
      <c r="W240" s="226">
        <f t="shared" si="51"/>
        <v>2.99958680289376E-3</v>
      </c>
      <c r="X240" s="226">
        <f t="shared" si="51"/>
        <v>2.9393876913398104E-3</v>
      </c>
      <c r="Y240" s="226">
        <f t="shared" si="51"/>
        <v>2.8803967238637011E-3</v>
      </c>
      <c r="Z240" s="226">
        <f t="shared" si="51"/>
        <v>2.8225896540592125E-3</v>
      </c>
      <c r="AA240" s="226">
        <f t="shared" si="51"/>
        <v>2.7659427221245168E-3</v>
      </c>
      <c r="AB240" s="226">
        <f t="shared" si="51"/>
        <v>2.7104326450964489E-3</v>
      </c>
      <c r="AC240" s="226">
        <f t="shared" si="51"/>
        <v>2.6560366072807674E-3</v>
      </c>
      <c r="AD240" s="226">
        <f t="shared" si="51"/>
        <v>2.6027322508744722E-3</v>
      </c>
      <c r="AE240" s="226">
        <f t="shared" si="49"/>
        <v>2.5504976667763222E-3</v>
      </c>
      <c r="AF240" s="226">
        <f t="shared" si="49"/>
        <v>2.4993113855817806E-3</v>
      </c>
      <c r="AG240" s="226">
        <f t="shared" si="49"/>
        <v>2.4491523687586816E-3</v>
      </c>
      <c r="AH240" s="227">
        <v>2.3999999999999998E-3</v>
      </c>
      <c r="AI240" s="226">
        <f t="shared" si="52"/>
        <v>2.3518340767501381E-3</v>
      </c>
      <c r="AJ240" s="226">
        <f t="shared" si="52"/>
        <v>2.3046348019013225E-3</v>
      </c>
      <c r="AK240" s="226">
        <f t="shared" si="52"/>
        <v>2.2583827756565977E-3</v>
      </c>
      <c r="AL240" s="226">
        <f t="shared" si="52"/>
        <v>2.2130589875561453E-3</v>
      </c>
      <c r="AM240" s="226">
        <f t="shared" si="52"/>
        <v>2.168644808663626E-3</v>
      </c>
      <c r="AN240" s="226">
        <f t="shared" si="52"/>
        <v>2.1251219839093331E-3</v>
      </c>
      <c r="AO240" s="226">
        <f t="shared" si="52"/>
        <v>2.082472624587012E-3</v>
      </c>
      <c r="AP240" s="226">
        <f t="shared" si="52"/>
        <v>2.0406792010012635E-3</v>
      </c>
      <c r="AQ240" s="226">
        <f t="shared" si="52"/>
        <v>1.9997245352625067E-3</v>
      </c>
      <c r="AR240" s="226">
        <f t="shared" si="52"/>
        <v>1.9595917942265401E-3</v>
      </c>
      <c r="AS240" s="226">
        <f t="shared" si="52"/>
        <v>1.9202644825758008E-3</v>
      </c>
      <c r="AT240" s="226">
        <f t="shared" si="52"/>
        <v>1.8817264360394752E-3</v>
      </c>
      <c r="AU240" s="226">
        <f t="shared" si="52"/>
        <v>1.843961814749678E-3</v>
      </c>
      <c r="AV240" s="226">
        <f t="shared" si="52"/>
        <v>1.806955096730966E-3</v>
      </c>
      <c r="AW240" s="226">
        <f t="shared" si="52"/>
        <v>1.7706910715205118E-3</v>
      </c>
      <c r="AX240" s="226">
        <f t="shared" si="52"/>
        <v>1.7351548339163149E-3</v>
      </c>
      <c r="AY240" s="226">
        <f t="shared" si="50"/>
        <v>1.7003317778508816E-3</v>
      </c>
      <c r="AZ240" s="226">
        <f t="shared" si="50"/>
        <v>1.6662075903878539E-3</v>
      </c>
      <c r="BA240" s="226">
        <f t="shared" si="50"/>
        <v>1.6327682458391211E-3</v>
      </c>
      <c r="BB240" s="226">
        <f t="shared" si="53"/>
        <v>1.5999999999999966E-3</v>
      </c>
      <c r="BC240" s="226">
        <f t="shared" si="53"/>
        <v>1.5678893845000887E-3</v>
      </c>
      <c r="BD240" s="226">
        <f t="shared" si="53"/>
        <v>1.5364232012675453E-3</v>
      </c>
      <c r="BE240" s="226">
        <f t="shared" si="53"/>
        <v>1.5055885171043955E-3</v>
      </c>
    </row>
    <row r="241" spans="5:57" s="10" customFormat="1" x14ac:dyDescent="0.35">
      <c r="E241" s="10" t="s">
        <v>631</v>
      </c>
      <c r="F241" s="10" t="s">
        <v>615</v>
      </c>
      <c r="G241" s="43" t="s">
        <v>616</v>
      </c>
      <c r="I241" s="20"/>
      <c r="J241" s="200"/>
      <c r="K241" s="200"/>
      <c r="L241" s="200"/>
      <c r="M241" s="200"/>
      <c r="N241" s="200">
        <v>3.5999999999999999E-3</v>
      </c>
      <c r="O241" s="226">
        <f t="shared" si="51"/>
        <v>3.5349589604228853E-3</v>
      </c>
      <c r="P241" s="226">
        <f t="shared" si="51"/>
        <v>3.4710930144094569E-3</v>
      </c>
      <c r="Q241" s="226">
        <f t="shared" si="51"/>
        <v>3.4083809315966647E-3</v>
      </c>
      <c r="R241" s="226">
        <f t="shared" si="51"/>
        <v>3.3468018651894808E-3</v>
      </c>
      <c r="S241" s="226">
        <f t="shared" si="51"/>
        <v>3.2863353450309943E-3</v>
      </c>
      <c r="T241" s="226">
        <f t="shared" si="51"/>
        <v>3.2269612707977076E-3</v>
      </c>
      <c r="U241" s="226">
        <f t="shared" si="51"/>
        <v>3.1686599053177712E-3</v>
      </c>
      <c r="V241" s="226">
        <f t="shared" si="51"/>
        <v>3.1114118680099405E-3</v>
      </c>
      <c r="W241" s="226">
        <f t="shared" si="51"/>
        <v>3.0551981284410684E-3</v>
      </c>
      <c r="X241" s="226">
        <f t="shared" si="51"/>
        <v>2.9999999999999953E-3</v>
      </c>
      <c r="Y241" s="226">
        <f t="shared" si="51"/>
        <v>2.9457991336857329E-3</v>
      </c>
      <c r="Z241" s="226">
        <f t="shared" si="51"/>
        <v>2.8925775120078761E-3</v>
      </c>
      <c r="AA241" s="226">
        <f t="shared" si="51"/>
        <v>2.8403174429972159E-3</v>
      </c>
      <c r="AB241" s="226">
        <f t="shared" si="51"/>
        <v>2.7890015543245625E-3</v>
      </c>
      <c r="AC241" s="226">
        <f t="shared" si="51"/>
        <v>2.7386127875258241E-3</v>
      </c>
      <c r="AD241" s="226">
        <f t="shared" si="51"/>
        <v>2.6891343923314188E-3</v>
      </c>
      <c r="AE241" s="226">
        <f t="shared" si="49"/>
        <v>2.6405499210981386E-3</v>
      </c>
      <c r="AF241" s="226">
        <f t="shared" si="49"/>
        <v>2.5928432233416131E-3</v>
      </c>
      <c r="AG241" s="226">
        <f t="shared" si="49"/>
        <v>2.545998440367553E-3</v>
      </c>
      <c r="AH241" s="227">
        <v>2.5000000000000001E-3</v>
      </c>
      <c r="AI241" s="226">
        <f t="shared" si="52"/>
        <v>2.4548326114047815E-3</v>
      </c>
      <c r="AJ241" s="226">
        <f t="shared" si="52"/>
        <v>2.4104812600065674E-3</v>
      </c>
      <c r="AK241" s="226">
        <f t="shared" si="52"/>
        <v>2.3669312024976841E-3</v>
      </c>
      <c r="AL241" s="226">
        <f t="shared" si="52"/>
        <v>2.3241679619371396E-3</v>
      </c>
      <c r="AM241" s="226">
        <f t="shared" si="52"/>
        <v>2.2821773229381908E-3</v>
      </c>
      <c r="AN241" s="226">
        <f t="shared" si="52"/>
        <v>2.2409453269428528E-3</v>
      </c>
      <c r="AO241" s="226">
        <f t="shared" si="52"/>
        <v>2.2004582675817859E-3</v>
      </c>
      <c r="AP241" s="226">
        <f t="shared" si="52"/>
        <v>2.1607026861180149E-3</v>
      </c>
      <c r="AQ241" s="226">
        <f t="shared" si="52"/>
        <v>2.1216653669729646E-3</v>
      </c>
      <c r="AR241" s="226">
        <f t="shared" si="52"/>
        <v>2.0833333333333307E-3</v>
      </c>
      <c r="AS241" s="226">
        <f t="shared" si="52"/>
        <v>2.045693842837315E-3</v>
      </c>
      <c r="AT241" s="226">
        <f t="shared" si="52"/>
        <v>2.0087343833388033E-3</v>
      </c>
      <c r="AU241" s="226">
        <f t="shared" si="52"/>
        <v>1.9724426687480669E-3</v>
      </c>
      <c r="AV241" s="226">
        <f t="shared" si="52"/>
        <v>1.9368066349476133E-3</v>
      </c>
      <c r="AW241" s="226">
        <f t="shared" si="52"/>
        <v>1.9018144357818227E-3</v>
      </c>
      <c r="AX241" s="226">
        <f t="shared" si="52"/>
        <v>1.867454439119041E-3</v>
      </c>
      <c r="AY241" s="226">
        <f t="shared" si="50"/>
        <v>1.8337152229848186E-3</v>
      </c>
      <c r="AZ241" s="226">
        <f t="shared" si="50"/>
        <v>1.8005855717650094E-3</v>
      </c>
      <c r="BA241" s="226">
        <f t="shared" si="50"/>
        <v>1.7680544724774678E-3</v>
      </c>
      <c r="BB241" s="226">
        <f t="shared" si="53"/>
        <v>1.7361111111111062E-3</v>
      </c>
      <c r="BC241" s="226">
        <f t="shared" si="53"/>
        <v>1.7047448690310934E-3</v>
      </c>
      <c r="BD241" s="226">
        <f t="shared" si="53"/>
        <v>1.6739453194490005E-3</v>
      </c>
      <c r="BE241" s="226">
        <f t="shared" si="53"/>
        <v>1.6437022239567203E-3</v>
      </c>
    </row>
    <row r="242" spans="5:57" s="10" customFormat="1" x14ac:dyDescent="0.35">
      <c r="E242" s="10" t="s">
        <v>632</v>
      </c>
      <c r="F242" s="10" t="s">
        <v>615</v>
      </c>
      <c r="G242" s="43" t="s">
        <v>616</v>
      </c>
      <c r="I242" s="20"/>
      <c r="J242" s="200"/>
      <c r="K242" s="200"/>
      <c r="L242" s="200"/>
      <c r="M242" s="200"/>
      <c r="N242" s="200">
        <v>3.5999999999999999E-3</v>
      </c>
      <c r="O242" s="226">
        <f t="shared" si="51"/>
        <v>3.5349589604228853E-3</v>
      </c>
      <c r="P242" s="226">
        <f t="shared" si="51"/>
        <v>3.4710930144094569E-3</v>
      </c>
      <c r="Q242" s="226">
        <f t="shared" si="51"/>
        <v>3.4083809315966647E-3</v>
      </c>
      <c r="R242" s="226">
        <f t="shared" si="51"/>
        <v>3.3468018651894808E-3</v>
      </c>
      <c r="S242" s="226">
        <f t="shared" si="51"/>
        <v>3.2863353450309943E-3</v>
      </c>
      <c r="T242" s="226">
        <f t="shared" si="51"/>
        <v>3.2269612707977076E-3</v>
      </c>
      <c r="U242" s="226">
        <f t="shared" si="51"/>
        <v>3.1686599053177712E-3</v>
      </c>
      <c r="V242" s="226">
        <f t="shared" si="51"/>
        <v>3.1114118680099405E-3</v>
      </c>
      <c r="W242" s="226">
        <f t="shared" si="51"/>
        <v>3.0551981284410684E-3</v>
      </c>
      <c r="X242" s="226">
        <f t="shared" si="51"/>
        <v>2.9999999999999953E-3</v>
      </c>
      <c r="Y242" s="226">
        <f t="shared" si="51"/>
        <v>2.9457991336857329E-3</v>
      </c>
      <c r="Z242" s="226">
        <f t="shared" si="51"/>
        <v>2.8925775120078761E-3</v>
      </c>
      <c r="AA242" s="226">
        <f t="shared" si="51"/>
        <v>2.8403174429972159E-3</v>
      </c>
      <c r="AB242" s="226">
        <f t="shared" si="51"/>
        <v>2.7890015543245625E-3</v>
      </c>
      <c r="AC242" s="226">
        <f t="shared" si="51"/>
        <v>2.7386127875258241E-3</v>
      </c>
      <c r="AD242" s="226">
        <f t="shared" ref="AD242:AG257" si="54">AC242*(1+($AH242/$N242)^(1/($AH$6-$N$6))-1)</f>
        <v>2.6891343923314188E-3</v>
      </c>
      <c r="AE242" s="226">
        <f t="shared" si="54"/>
        <v>2.6405499210981386E-3</v>
      </c>
      <c r="AF242" s="226">
        <f t="shared" si="54"/>
        <v>2.5928432233416131E-3</v>
      </c>
      <c r="AG242" s="226">
        <f t="shared" si="54"/>
        <v>2.545998440367553E-3</v>
      </c>
      <c r="AH242" s="227">
        <v>2.5000000000000001E-3</v>
      </c>
      <c r="AI242" s="226">
        <f t="shared" si="52"/>
        <v>2.4548326114047815E-3</v>
      </c>
      <c r="AJ242" s="226">
        <f t="shared" si="52"/>
        <v>2.4104812600065674E-3</v>
      </c>
      <c r="AK242" s="226">
        <f t="shared" si="52"/>
        <v>2.3669312024976841E-3</v>
      </c>
      <c r="AL242" s="226">
        <f t="shared" si="52"/>
        <v>2.3241679619371396E-3</v>
      </c>
      <c r="AM242" s="226">
        <f t="shared" si="52"/>
        <v>2.2821773229381908E-3</v>
      </c>
      <c r="AN242" s="226">
        <f t="shared" si="52"/>
        <v>2.2409453269428528E-3</v>
      </c>
      <c r="AO242" s="226">
        <f t="shared" si="52"/>
        <v>2.2004582675817859E-3</v>
      </c>
      <c r="AP242" s="226">
        <f t="shared" si="52"/>
        <v>2.1607026861180149E-3</v>
      </c>
      <c r="AQ242" s="226">
        <f t="shared" si="52"/>
        <v>2.1216653669729646E-3</v>
      </c>
      <c r="AR242" s="226">
        <f t="shared" si="52"/>
        <v>2.0833333333333307E-3</v>
      </c>
      <c r="AS242" s="226">
        <f t="shared" si="52"/>
        <v>2.045693842837315E-3</v>
      </c>
      <c r="AT242" s="226">
        <f t="shared" si="52"/>
        <v>2.0087343833388033E-3</v>
      </c>
      <c r="AU242" s="226">
        <f t="shared" si="52"/>
        <v>1.9724426687480669E-3</v>
      </c>
      <c r="AV242" s="226">
        <f t="shared" si="52"/>
        <v>1.9368066349476133E-3</v>
      </c>
      <c r="AW242" s="226">
        <f t="shared" si="52"/>
        <v>1.9018144357818227E-3</v>
      </c>
      <c r="AX242" s="226">
        <f t="shared" ref="AX242:BE257" si="55">AW242*(1+($AH242/$N242)^(1/($AH$6-$N$6))-1)</f>
        <v>1.867454439119041E-3</v>
      </c>
      <c r="AY242" s="226">
        <f t="shared" si="55"/>
        <v>1.8337152229848186E-3</v>
      </c>
      <c r="AZ242" s="226">
        <f t="shared" si="55"/>
        <v>1.8005855717650094E-3</v>
      </c>
      <c r="BA242" s="226">
        <f t="shared" si="55"/>
        <v>1.7680544724774678E-3</v>
      </c>
      <c r="BB242" s="226">
        <f t="shared" si="53"/>
        <v>1.7361111111111062E-3</v>
      </c>
      <c r="BC242" s="226">
        <f t="shared" si="53"/>
        <v>1.7047448690310934E-3</v>
      </c>
      <c r="BD242" s="226">
        <f t="shared" si="53"/>
        <v>1.6739453194490005E-3</v>
      </c>
      <c r="BE242" s="226">
        <f t="shared" si="53"/>
        <v>1.6437022239567203E-3</v>
      </c>
    </row>
    <row r="243" spans="5:57" s="10" customFormat="1" x14ac:dyDescent="0.35">
      <c r="E243" s="109" t="s">
        <v>633</v>
      </c>
      <c r="F243" s="10" t="s">
        <v>615</v>
      </c>
      <c r="G243" s="43" t="s">
        <v>616</v>
      </c>
      <c r="I243" s="20"/>
      <c r="J243" s="200"/>
      <c r="K243" s="200"/>
      <c r="L243" s="200"/>
      <c r="M243" s="200"/>
      <c r="N243" s="200">
        <v>3.5000000000000001E-3</v>
      </c>
      <c r="O243" s="226">
        <f t="shared" ref="O243:AD258" si="56">N243*(1+($AH243/$N243)^(1/($AH$6-$N$6))-1)</f>
        <v>3.4416099019551048E-3</v>
      </c>
      <c r="P243" s="226">
        <f t="shared" si="56"/>
        <v>3.3841939192101214E-3</v>
      </c>
      <c r="Q243" s="226">
        <f t="shared" si="56"/>
        <v>3.3277358007113736E-3</v>
      </c>
      <c r="R243" s="226">
        <f t="shared" si="56"/>
        <v>3.2722195665196461E-3</v>
      </c>
      <c r="S243" s="226">
        <f t="shared" si="56"/>
        <v>3.2176295032872154E-3</v>
      </c>
      <c r="T243" s="226">
        <f t="shared" si="56"/>
        <v>3.1639501598103329E-3</v>
      </c>
      <c r="U243" s="226">
        <f t="shared" si="56"/>
        <v>3.1111663426559078E-3</v>
      </c>
      <c r="V243" s="226">
        <f t="shared" si="56"/>
        <v>3.0592631118611488E-3</v>
      </c>
      <c r="W243" s="226">
        <f t="shared" si="56"/>
        <v>3.0082257767049475E-3</v>
      </c>
      <c r="X243" s="226">
        <f t="shared" si="56"/>
        <v>2.9580398915498092E-3</v>
      </c>
      <c r="Y243" s="226">
        <f t="shared" si="56"/>
        <v>2.9086912517531506E-3</v>
      </c>
      <c r="Z243" s="226">
        <f t="shared" si="56"/>
        <v>2.8601658896468089E-3</v>
      </c>
      <c r="AA243" s="226">
        <f t="shared" si="56"/>
        <v>2.8124500705836255E-3</v>
      </c>
      <c r="AB243" s="226">
        <f t="shared" si="56"/>
        <v>2.7655302890499823E-3</v>
      </c>
      <c r="AC243" s="226">
        <f t="shared" si="56"/>
        <v>2.7193932648431948E-3</v>
      </c>
      <c r="AD243" s="226">
        <f t="shared" si="56"/>
        <v>2.6740259393126741E-3</v>
      </c>
      <c r="AE243" s="226">
        <f t="shared" si="54"/>
        <v>2.6294154716637996E-3</v>
      </c>
      <c r="AF243" s="226">
        <f t="shared" si="54"/>
        <v>2.5855492353234525E-3</v>
      </c>
      <c r="AG243" s="226">
        <f t="shared" si="54"/>
        <v>2.5424148143661836E-3</v>
      </c>
      <c r="AH243" s="227">
        <v>2.5000000000000001E-3</v>
      </c>
      <c r="AI243" s="226">
        <f t="shared" ref="AI243:AX258" si="57">AH243*(1+($AH243/$N243)^(1/($AH$6-$N$6))-1)</f>
        <v>2.4582927871107892E-3</v>
      </c>
      <c r="AJ243" s="226">
        <f t="shared" si="57"/>
        <v>2.4172813708643725E-3</v>
      </c>
      <c r="AK243" s="226">
        <f t="shared" si="57"/>
        <v>2.3769541433652668E-3</v>
      </c>
      <c r="AL243" s="226">
        <f t="shared" si="57"/>
        <v>2.3372996903711757E-3</v>
      </c>
      <c r="AM243" s="226">
        <f t="shared" si="57"/>
        <v>2.2983067880622968E-3</v>
      </c>
      <c r="AN243" s="226">
        <f t="shared" si="57"/>
        <v>2.2599643998645236E-3</v>
      </c>
      <c r="AO243" s="226">
        <f t="shared" si="57"/>
        <v>2.2222616733256484E-3</v>
      </c>
      <c r="AP243" s="226">
        <f t="shared" si="57"/>
        <v>2.1851879370436778E-3</v>
      </c>
      <c r="AQ243" s="226">
        <f t="shared" si="57"/>
        <v>2.1487326976463912E-3</v>
      </c>
      <c r="AR243" s="226">
        <f t="shared" si="57"/>
        <v>2.1128856368212924E-3</v>
      </c>
      <c r="AS243" s="226">
        <f t="shared" si="57"/>
        <v>2.0776366083951076E-3</v>
      </c>
      <c r="AT243" s="226">
        <f t="shared" si="57"/>
        <v>2.0429756354620066E-3</v>
      </c>
      <c r="AU243" s="226">
        <f t="shared" si="57"/>
        <v>2.0088929075597326E-3</v>
      </c>
      <c r="AV243" s="226">
        <f t="shared" si="57"/>
        <v>1.9753787778928446E-3</v>
      </c>
      <c r="AW243" s="226">
        <f t="shared" si="57"/>
        <v>1.9424237606022821E-3</v>
      </c>
      <c r="AX243" s="226">
        <f t="shared" si="57"/>
        <v>1.9100185280804816E-3</v>
      </c>
      <c r="AY243" s="226">
        <f t="shared" si="55"/>
        <v>1.8781539083312856E-3</v>
      </c>
      <c r="AZ243" s="226">
        <f t="shared" si="55"/>
        <v>1.846820882373895E-3</v>
      </c>
      <c r="BA243" s="226">
        <f t="shared" si="55"/>
        <v>1.8160105816901317E-3</v>
      </c>
      <c r="BB243" s="226">
        <f t="shared" si="55"/>
        <v>1.7857142857142876E-3</v>
      </c>
      <c r="BC243" s="226">
        <f t="shared" si="55"/>
        <v>1.7559234193648512E-3</v>
      </c>
      <c r="BD243" s="226">
        <f t="shared" si="55"/>
        <v>1.7266295506174107E-3</v>
      </c>
      <c r="BE243" s="226">
        <f t="shared" si="55"/>
        <v>1.6978243881180495E-3</v>
      </c>
    </row>
    <row r="244" spans="5:57" s="10" customFormat="1" x14ac:dyDescent="0.35">
      <c r="E244" s="109" t="s">
        <v>634</v>
      </c>
      <c r="F244" s="10" t="s">
        <v>615</v>
      </c>
      <c r="G244" s="43" t="s">
        <v>616</v>
      </c>
      <c r="I244" s="20"/>
      <c r="J244" s="200"/>
      <c r="K244" s="200"/>
      <c r="L244" s="200"/>
      <c r="M244" s="200"/>
      <c r="N244" s="200">
        <v>3.5000000000000001E-3</v>
      </c>
      <c r="O244" s="226">
        <f t="shared" si="56"/>
        <v>3.4416099019551048E-3</v>
      </c>
      <c r="P244" s="226">
        <f t="shared" si="56"/>
        <v>3.3841939192101214E-3</v>
      </c>
      <c r="Q244" s="226">
        <f t="shared" si="56"/>
        <v>3.3277358007113736E-3</v>
      </c>
      <c r="R244" s="226">
        <f t="shared" si="56"/>
        <v>3.2722195665196461E-3</v>
      </c>
      <c r="S244" s="226">
        <f t="shared" si="56"/>
        <v>3.2176295032872154E-3</v>
      </c>
      <c r="T244" s="226">
        <f t="shared" si="56"/>
        <v>3.1639501598103329E-3</v>
      </c>
      <c r="U244" s="226">
        <f t="shared" si="56"/>
        <v>3.1111663426559078E-3</v>
      </c>
      <c r="V244" s="226">
        <f t="shared" si="56"/>
        <v>3.0592631118611488E-3</v>
      </c>
      <c r="W244" s="226">
        <f t="shared" si="56"/>
        <v>3.0082257767049475E-3</v>
      </c>
      <c r="X244" s="226">
        <f t="shared" si="56"/>
        <v>2.9580398915498092E-3</v>
      </c>
      <c r="Y244" s="226">
        <f t="shared" si="56"/>
        <v>2.9086912517531506E-3</v>
      </c>
      <c r="Z244" s="226">
        <f t="shared" si="56"/>
        <v>2.8601658896468089E-3</v>
      </c>
      <c r="AA244" s="226">
        <f t="shared" si="56"/>
        <v>2.8124500705836255E-3</v>
      </c>
      <c r="AB244" s="226">
        <f t="shared" si="56"/>
        <v>2.7655302890499823E-3</v>
      </c>
      <c r="AC244" s="226">
        <f t="shared" si="56"/>
        <v>2.7193932648431948E-3</v>
      </c>
      <c r="AD244" s="226">
        <f t="shared" si="56"/>
        <v>2.6740259393126741E-3</v>
      </c>
      <c r="AE244" s="226">
        <f t="shared" si="54"/>
        <v>2.6294154716637996E-3</v>
      </c>
      <c r="AF244" s="226">
        <f t="shared" si="54"/>
        <v>2.5855492353234525E-3</v>
      </c>
      <c r="AG244" s="226">
        <f t="shared" si="54"/>
        <v>2.5424148143661836E-3</v>
      </c>
      <c r="AH244" s="227">
        <v>2.5000000000000001E-3</v>
      </c>
      <c r="AI244" s="226">
        <f t="shared" si="57"/>
        <v>2.4582927871107892E-3</v>
      </c>
      <c r="AJ244" s="226">
        <f t="shared" si="57"/>
        <v>2.4172813708643725E-3</v>
      </c>
      <c r="AK244" s="226">
        <f t="shared" si="57"/>
        <v>2.3769541433652668E-3</v>
      </c>
      <c r="AL244" s="226">
        <f t="shared" si="57"/>
        <v>2.3372996903711757E-3</v>
      </c>
      <c r="AM244" s="226">
        <f t="shared" si="57"/>
        <v>2.2983067880622968E-3</v>
      </c>
      <c r="AN244" s="226">
        <f t="shared" si="57"/>
        <v>2.2599643998645236E-3</v>
      </c>
      <c r="AO244" s="226">
        <f t="shared" si="57"/>
        <v>2.2222616733256484E-3</v>
      </c>
      <c r="AP244" s="226">
        <f t="shared" si="57"/>
        <v>2.1851879370436778E-3</v>
      </c>
      <c r="AQ244" s="226">
        <f t="shared" si="57"/>
        <v>2.1487326976463912E-3</v>
      </c>
      <c r="AR244" s="226">
        <f t="shared" si="57"/>
        <v>2.1128856368212924E-3</v>
      </c>
      <c r="AS244" s="226">
        <f t="shared" si="57"/>
        <v>2.0776366083951076E-3</v>
      </c>
      <c r="AT244" s="226">
        <f t="shared" si="57"/>
        <v>2.0429756354620066E-3</v>
      </c>
      <c r="AU244" s="226">
        <f t="shared" si="57"/>
        <v>2.0088929075597326E-3</v>
      </c>
      <c r="AV244" s="226">
        <f t="shared" si="57"/>
        <v>1.9753787778928446E-3</v>
      </c>
      <c r="AW244" s="226">
        <f t="shared" si="57"/>
        <v>1.9424237606022821E-3</v>
      </c>
      <c r="AX244" s="226">
        <f t="shared" si="57"/>
        <v>1.9100185280804816E-3</v>
      </c>
      <c r="AY244" s="226">
        <f t="shared" si="55"/>
        <v>1.8781539083312856E-3</v>
      </c>
      <c r="AZ244" s="226">
        <f t="shared" si="55"/>
        <v>1.846820882373895E-3</v>
      </c>
      <c r="BA244" s="226">
        <f t="shared" si="55"/>
        <v>1.8160105816901317E-3</v>
      </c>
      <c r="BB244" s="226">
        <f t="shared" si="55"/>
        <v>1.7857142857142876E-3</v>
      </c>
      <c r="BC244" s="226">
        <f t="shared" si="55"/>
        <v>1.7559234193648512E-3</v>
      </c>
      <c r="BD244" s="226">
        <f t="shared" si="55"/>
        <v>1.7266295506174107E-3</v>
      </c>
      <c r="BE244" s="226">
        <f t="shared" si="55"/>
        <v>1.6978243881180495E-3</v>
      </c>
    </row>
    <row r="245" spans="5:57" s="10" customFormat="1" x14ac:dyDescent="0.35">
      <c r="E245" s="109" t="s">
        <v>635</v>
      </c>
      <c r="F245" s="10" t="s">
        <v>615</v>
      </c>
      <c r="G245" s="43" t="s">
        <v>616</v>
      </c>
      <c r="I245" s="20"/>
      <c r="J245" s="200"/>
      <c r="K245" s="200"/>
      <c r="L245" s="200"/>
      <c r="M245" s="200"/>
      <c r="N245" s="200">
        <v>3.3999999999999998E-3</v>
      </c>
      <c r="O245" s="226">
        <f t="shared" si="56"/>
        <v>3.3481273737599616E-3</v>
      </c>
      <c r="P245" s="226">
        <f t="shared" si="56"/>
        <v>3.2970461502708171E-3</v>
      </c>
      <c r="Q245" s="226">
        <f t="shared" si="56"/>
        <v>3.2467442553740069E-3</v>
      </c>
      <c r="R245" s="226">
        <f t="shared" si="56"/>
        <v>3.1972097991222401E-3</v>
      </c>
      <c r="S245" s="226">
        <f t="shared" si="56"/>
        <v>3.1484310729690472E-3</v>
      </c>
      <c r="T245" s="226">
        <f t="shared" si="56"/>
        <v>3.10039654700121E-3</v>
      </c>
      <c r="U245" s="226">
        <f t="shared" si="56"/>
        <v>3.0530948672134162E-3</v>
      </c>
      <c r="V245" s="226">
        <f t="shared" si="56"/>
        <v>3.0065148528244925E-3</v>
      </c>
      <c r="W245" s="226">
        <f t="shared" si="56"/>
        <v>2.9606454936345842E-3</v>
      </c>
      <c r="X245" s="226">
        <f t="shared" si="56"/>
        <v>2.9154759474226545E-3</v>
      </c>
      <c r="Y245" s="226">
        <f t="shared" si="56"/>
        <v>2.8709955373836908E-3</v>
      </c>
      <c r="Z245" s="226">
        <f t="shared" si="56"/>
        <v>2.8271937496050078E-3</v>
      </c>
      <c r="AA245" s="226">
        <f t="shared" si="56"/>
        <v>2.7840602305810569E-3</v>
      </c>
      <c r="AB245" s="226">
        <f t="shared" si="56"/>
        <v>2.7415847847661492E-3</v>
      </c>
      <c r="AC245" s="226">
        <f t="shared" si="56"/>
        <v>2.6997573721645168E-3</v>
      </c>
      <c r="AD245" s="226">
        <f t="shared" si="56"/>
        <v>2.6585681059571407E-3</v>
      </c>
      <c r="AE245" s="226">
        <f t="shared" si="54"/>
        <v>2.6180072501647872E-3</v>
      </c>
      <c r="AF245" s="226">
        <f t="shared" si="54"/>
        <v>2.5780652173466967E-3</v>
      </c>
      <c r="AG245" s="226">
        <f t="shared" si="54"/>
        <v>2.5387325663343823E-3</v>
      </c>
      <c r="AH245" s="227">
        <v>2.5000000000000001E-3</v>
      </c>
      <c r="AI245" s="226">
        <f t="shared" si="57"/>
        <v>2.4618583630587952E-3</v>
      </c>
      <c r="AJ245" s="226">
        <f t="shared" si="57"/>
        <v>2.4242986399050123E-3</v>
      </c>
      <c r="AK245" s="226">
        <f t="shared" si="57"/>
        <v>2.3873119524808872E-3</v>
      </c>
      <c r="AL245" s="226">
        <f t="shared" si="57"/>
        <v>2.3508895581781175E-3</v>
      </c>
      <c r="AM245" s="226">
        <f t="shared" si="57"/>
        <v>2.3150228477713582E-3</v>
      </c>
      <c r="AN245" s="226">
        <f t="shared" si="57"/>
        <v>2.2797033433832425E-3</v>
      </c>
      <c r="AO245" s="226">
        <f t="shared" si="57"/>
        <v>2.2449226964804531E-3</v>
      </c>
      <c r="AP245" s="226">
        <f t="shared" si="57"/>
        <v>2.210672685900362E-3</v>
      </c>
      <c r="AQ245" s="226">
        <f t="shared" si="57"/>
        <v>2.1769452159077821E-3</v>
      </c>
      <c r="AR245" s="226">
        <f t="shared" si="57"/>
        <v>2.1437323142813633E-3</v>
      </c>
      <c r="AS245" s="226">
        <f t="shared" si="57"/>
        <v>2.1110261304291842E-3</v>
      </c>
      <c r="AT245" s="226">
        <f t="shared" si="57"/>
        <v>2.0788189335330938E-3</v>
      </c>
      <c r="AU245" s="226">
        <f t="shared" si="57"/>
        <v>2.047103110721365E-3</v>
      </c>
      <c r="AV245" s="226">
        <f t="shared" si="57"/>
        <v>2.0158711652692269E-3</v>
      </c>
      <c r="AW245" s="226">
        <f t="shared" si="57"/>
        <v>1.98511571482685E-3</v>
      </c>
      <c r="AX245" s="226">
        <f t="shared" si="57"/>
        <v>1.9548294896743678E-3</v>
      </c>
      <c r="AY245" s="226">
        <f t="shared" si="55"/>
        <v>1.9250053310035198E-3</v>
      </c>
      <c r="AZ245" s="226">
        <f t="shared" si="55"/>
        <v>1.8956361892255118E-3</v>
      </c>
      <c r="BA245" s="226">
        <f t="shared" si="55"/>
        <v>1.8667151223046925E-3</v>
      </c>
      <c r="BB245" s="226">
        <f t="shared" si="55"/>
        <v>1.8382352941176518E-3</v>
      </c>
      <c r="BC245" s="226">
        <f t="shared" si="55"/>
        <v>1.8101899728373541E-3</v>
      </c>
      <c r="BD245" s="226">
        <f t="shared" si="55"/>
        <v>1.7825725293419256E-3</v>
      </c>
      <c r="BE245" s="226">
        <f t="shared" si="55"/>
        <v>1.7553764356477157E-3</v>
      </c>
    </row>
    <row r="246" spans="5:57" s="10" customFormat="1" x14ac:dyDescent="0.35">
      <c r="E246" s="10" t="s">
        <v>636</v>
      </c>
      <c r="F246" s="10" t="s">
        <v>615</v>
      </c>
      <c r="G246" s="43" t="s">
        <v>616</v>
      </c>
      <c r="I246" s="20"/>
      <c r="J246" s="200"/>
      <c r="K246" s="200"/>
      <c r="L246" s="200"/>
      <c r="M246" s="200"/>
      <c r="N246" s="200">
        <v>3.3E-3</v>
      </c>
      <c r="O246" s="226">
        <f t="shared" si="56"/>
        <v>3.2545072497720305E-3</v>
      </c>
      <c r="P246" s="226">
        <f t="shared" si="56"/>
        <v>3.2096416481268808E-3</v>
      </c>
      <c r="Q246" s="226">
        <f t="shared" si="56"/>
        <v>3.1653945493936913E-3</v>
      </c>
      <c r="R246" s="226">
        <f t="shared" si="56"/>
        <v>3.1217574270880721E-3</v>
      </c>
      <c r="S246" s="226">
        <f t="shared" si="56"/>
        <v>3.0787218722690339E-3</v>
      </c>
      <c r="T246" s="226">
        <f t="shared" si="56"/>
        <v>3.0362795919185726E-3</v>
      </c>
      <c r="U246" s="226">
        <f t="shared" si="56"/>
        <v>2.9944224073435929E-3</v>
      </c>
      <c r="V246" s="226">
        <f t="shared" si="56"/>
        <v>2.9531422525998605E-3</v>
      </c>
      <c r="W246" s="226">
        <f t="shared" si="56"/>
        <v>2.912431172937682E-3</v>
      </c>
      <c r="X246" s="226">
        <f t="shared" si="56"/>
        <v>2.8722813232690135E-3</v>
      </c>
      <c r="Y246" s="226">
        <f t="shared" si="56"/>
        <v>2.8326849666556989E-3</v>
      </c>
      <c r="Z246" s="226">
        <f t="shared" si="56"/>
        <v>2.7936344728185496E-3</v>
      </c>
      <c r="AA246" s="226">
        <f t="shared" si="56"/>
        <v>2.75512231666698E-3</v>
      </c>
      <c r="AB246" s="226">
        <f t="shared" si="56"/>
        <v>2.7171410768489085E-3</v>
      </c>
      <c r="AC246" s="226">
        <f t="shared" si="56"/>
        <v>2.6796834343206528E-3</v>
      </c>
      <c r="AD246" s="226">
        <f t="shared" si="56"/>
        <v>2.6427421709365384E-3</v>
      </c>
      <c r="AE246" s="226">
        <f t="shared" si="54"/>
        <v>2.6063101680579514E-3</v>
      </c>
      <c r="AF246" s="226">
        <f t="shared" si="54"/>
        <v>2.5703804051815642E-3</v>
      </c>
      <c r="AG246" s="226">
        <f t="shared" si="54"/>
        <v>2.5349459585864756E-3</v>
      </c>
      <c r="AH246" s="227">
        <v>2.5000000000000001E-3</v>
      </c>
      <c r="AI246" s="226">
        <f t="shared" si="57"/>
        <v>2.4655357952818413E-3</v>
      </c>
      <c r="AJ246" s="226">
        <f t="shared" si="57"/>
        <v>2.4315467031264248E-3</v>
      </c>
      <c r="AK246" s="226">
        <f t="shared" si="57"/>
        <v>2.3980261737830996E-3</v>
      </c>
      <c r="AL246" s="226">
        <f t="shared" si="57"/>
        <v>2.3649677477939942E-3</v>
      </c>
      <c r="AM246" s="226">
        <f t="shared" si="57"/>
        <v>2.3323650547492684E-3</v>
      </c>
      <c r="AN246" s="226">
        <f t="shared" si="57"/>
        <v>2.300211812059525E-3</v>
      </c>
      <c r="AO246" s="226">
        <f t="shared" si="57"/>
        <v>2.2685018237451463E-3</v>
      </c>
      <c r="AP246" s="226">
        <f t="shared" si="57"/>
        <v>2.2372289792423187E-3</v>
      </c>
      <c r="AQ246" s="226">
        <f t="shared" si="57"/>
        <v>2.2063872522255167E-3</v>
      </c>
      <c r="AR246" s="226">
        <f t="shared" si="57"/>
        <v>2.1759706994462225E-3</v>
      </c>
      <c r="AS246" s="226">
        <f t="shared" si="57"/>
        <v>2.1459734595876507E-3</v>
      </c>
      <c r="AT246" s="226">
        <f t="shared" si="57"/>
        <v>2.1163897521352653E-3</v>
      </c>
      <c r="AU246" s="226">
        <f t="shared" si="57"/>
        <v>2.087213876262864E-3</v>
      </c>
      <c r="AV246" s="226">
        <f t="shared" si="57"/>
        <v>2.0584402097340222E-3</v>
      </c>
      <c r="AW246" s="226">
        <f t="shared" si="57"/>
        <v>2.0300632078186771E-3</v>
      </c>
      <c r="AX246" s="226">
        <f t="shared" si="57"/>
        <v>2.0020774022246513E-3</v>
      </c>
      <c r="AY246" s="226">
        <f t="shared" si="55"/>
        <v>1.9744774000439035E-3</v>
      </c>
      <c r="AZ246" s="226">
        <f t="shared" si="55"/>
        <v>1.9472578827133072E-3</v>
      </c>
      <c r="BA246" s="226">
        <f t="shared" si="55"/>
        <v>1.9204136049897553E-3</v>
      </c>
      <c r="BB246" s="226">
        <f t="shared" si="55"/>
        <v>1.8939393939393936E-3</v>
      </c>
      <c r="BC246" s="226">
        <f t="shared" si="55"/>
        <v>1.8678301479407885E-3</v>
      </c>
      <c r="BD246" s="226">
        <f t="shared" si="55"/>
        <v>1.8420808357018366E-3</v>
      </c>
      <c r="BE246" s="226">
        <f t="shared" si="55"/>
        <v>1.8166864952902267E-3</v>
      </c>
    </row>
    <row r="247" spans="5:57" s="10" customFormat="1" x14ac:dyDescent="0.35">
      <c r="E247" s="10" t="s">
        <v>637</v>
      </c>
      <c r="F247" s="10" t="s">
        <v>615</v>
      </c>
      <c r="G247" s="43" t="s">
        <v>616</v>
      </c>
      <c r="I247" s="20"/>
      <c r="J247" s="200"/>
      <c r="K247" s="200"/>
      <c r="L247" s="200"/>
      <c r="M247" s="200"/>
      <c r="N247" s="200">
        <v>3.3E-3</v>
      </c>
      <c r="O247" s="226">
        <f t="shared" si="56"/>
        <v>3.2545072497720305E-3</v>
      </c>
      <c r="P247" s="226">
        <f t="shared" si="56"/>
        <v>3.2096416481268808E-3</v>
      </c>
      <c r="Q247" s="226">
        <f t="shared" si="56"/>
        <v>3.1653945493936913E-3</v>
      </c>
      <c r="R247" s="226">
        <f t="shared" si="56"/>
        <v>3.1217574270880721E-3</v>
      </c>
      <c r="S247" s="226">
        <f t="shared" si="56"/>
        <v>3.0787218722690339E-3</v>
      </c>
      <c r="T247" s="226">
        <f t="shared" si="56"/>
        <v>3.0362795919185726E-3</v>
      </c>
      <c r="U247" s="226">
        <f t="shared" si="56"/>
        <v>2.9944224073435929E-3</v>
      </c>
      <c r="V247" s="226">
        <f t="shared" si="56"/>
        <v>2.9531422525998605E-3</v>
      </c>
      <c r="W247" s="226">
        <f t="shared" si="56"/>
        <v>2.912431172937682E-3</v>
      </c>
      <c r="X247" s="226">
        <f t="shared" si="56"/>
        <v>2.8722813232690135E-3</v>
      </c>
      <c r="Y247" s="226">
        <f t="shared" si="56"/>
        <v>2.8326849666556989E-3</v>
      </c>
      <c r="Z247" s="226">
        <f t="shared" si="56"/>
        <v>2.7936344728185496E-3</v>
      </c>
      <c r="AA247" s="226">
        <f t="shared" si="56"/>
        <v>2.75512231666698E-3</v>
      </c>
      <c r="AB247" s="226">
        <f t="shared" si="56"/>
        <v>2.7171410768489085E-3</v>
      </c>
      <c r="AC247" s="226">
        <f t="shared" si="56"/>
        <v>2.6796834343206528E-3</v>
      </c>
      <c r="AD247" s="226">
        <f t="shared" si="56"/>
        <v>2.6427421709365384E-3</v>
      </c>
      <c r="AE247" s="226">
        <f t="shared" si="54"/>
        <v>2.6063101680579514E-3</v>
      </c>
      <c r="AF247" s="226">
        <f t="shared" si="54"/>
        <v>2.5703804051815642E-3</v>
      </c>
      <c r="AG247" s="226">
        <f t="shared" si="54"/>
        <v>2.5349459585864756E-3</v>
      </c>
      <c r="AH247" s="227">
        <v>2.5000000000000001E-3</v>
      </c>
      <c r="AI247" s="226">
        <f t="shared" si="57"/>
        <v>2.4655357952818413E-3</v>
      </c>
      <c r="AJ247" s="226">
        <f t="shared" si="57"/>
        <v>2.4315467031264248E-3</v>
      </c>
      <c r="AK247" s="226">
        <f t="shared" si="57"/>
        <v>2.3980261737830996E-3</v>
      </c>
      <c r="AL247" s="226">
        <f t="shared" si="57"/>
        <v>2.3649677477939942E-3</v>
      </c>
      <c r="AM247" s="226">
        <f t="shared" si="57"/>
        <v>2.3323650547492684E-3</v>
      </c>
      <c r="AN247" s="226">
        <f t="shared" si="57"/>
        <v>2.300211812059525E-3</v>
      </c>
      <c r="AO247" s="226">
        <f t="shared" si="57"/>
        <v>2.2685018237451463E-3</v>
      </c>
      <c r="AP247" s="226">
        <f t="shared" si="57"/>
        <v>2.2372289792423187E-3</v>
      </c>
      <c r="AQ247" s="226">
        <f t="shared" si="57"/>
        <v>2.2063872522255167E-3</v>
      </c>
      <c r="AR247" s="226">
        <f t="shared" si="57"/>
        <v>2.1759706994462225E-3</v>
      </c>
      <c r="AS247" s="226">
        <f t="shared" si="57"/>
        <v>2.1459734595876507E-3</v>
      </c>
      <c r="AT247" s="226">
        <f t="shared" si="57"/>
        <v>2.1163897521352653E-3</v>
      </c>
      <c r="AU247" s="226">
        <f t="shared" si="57"/>
        <v>2.087213876262864E-3</v>
      </c>
      <c r="AV247" s="226">
        <f t="shared" si="57"/>
        <v>2.0584402097340222E-3</v>
      </c>
      <c r="AW247" s="226">
        <f t="shared" si="57"/>
        <v>2.0300632078186771E-3</v>
      </c>
      <c r="AX247" s="226">
        <f t="shared" si="57"/>
        <v>2.0020774022246513E-3</v>
      </c>
      <c r="AY247" s="226">
        <f t="shared" si="55"/>
        <v>1.9744774000439035E-3</v>
      </c>
      <c r="AZ247" s="226">
        <f t="shared" si="55"/>
        <v>1.9472578827133072E-3</v>
      </c>
      <c r="BA247" s="226">
        <f t="shared" si="55"/>
        <v>1.9204136049897553E-3</v>
      </c>
      <c r="BB247" s="226">
        <f t="shared" si="55"/>
        <v>1.8939393939393936E-3</v>
      </c>
      <c r="BC247" s="226">
        <f t="shared" si="55"/>
        <v>1.8678301479407885E-3</v>
      </c>
      <c r="BD247" s="226">
        <f t="shared" si="55"/>
        <v>1.8420808357018366E-3</v>
      </c>
      <c r="BE247" s="226">
        <f t="shared" si="55"/>
        <v>1.8166864952902267E-3</v>
      </c>
    </row>
    <row r="248" spans="5:57" s="10" customFormat="1" x14ac:dyDescent="0.35">
      <c r="E248" s="10" t="s">
        <v>638</v>
      </c>
      <c r="F248" s="10" t="s">
        <v>615</v>
      </c>
      <c r="G248" s="43" t="s">
        <v>616</v>
      </c>
      <c r="I248" s="20"/>
      <c r="J248" s="200"/>
      <c r="K248" s="200"/>
      <c r="L248" s="200"/>
      <c r="M248" s="200"/>
      <c r="N248" s="200">
        <v>3.2000000000000002E-3</v>
      </c>
      <c r="O248" s="226">
        <f t="shared" si="56"/>
        <v>3.1543003307418068E-3</v>
      </c>
      <c r="P248" s="226">
        <f t="shared" si="56"/>
        <v>3.1092533051618352E-3</v>
      </c>
      <c r="Q248" s="226">
        <f t="shared" si="56"/>
        <v>3.0648496027600104E-3</v>
      </c>
      <c r="R248" s="226">
        <f t="shared" si="56"/>
        <v>3.0210800361436863E-3</v>
      </c>
      <c r="S248" s="226">
        <f t="shared" si="56"/>
        <v>2.9779355491267186E-3</v>
      </c>
      <c r="T248" s="226">
        <f t="shared" si="56"/>
        <v>2.935407214855685E-3</v>
      </c>
      <c r="U248" s="226">
        <f t="shared" si="56"/>
        <v>2.8934862339628667E-3</v>
      </c>
      <c r="V248" s="226">
        <f t="shared" si="56"/>
        <v>2.8521639327456047E-3</v>
      </c>
      <c r="W248" s="226">
        <f t="shared" si="56"/>
        <v>2.8114317613716607E-3</v>
      </c>
      <c r="X248" s="226">
        <f t="shared" si="56"/>
        <v>2.7712812921102032E-3</v>
      </c>
      <c r="Y248" s="226">
        <f t="shared" si="56"/>
        <v>2.731704217588061E-3</v>
      </c>
      <c r="Z248" s="226">
        <f t="shared" si="56"/>
        <v>2.6926923490708781E-3</v>
      </c>
      <c r="AA248" s="226">
        <f t="shared" si="56"/>
        <v>2.6542376147688138E-3</v>
      </c>
      <c r="AB248" s="226">
        <f t="shared" si="56"/>
        <v>2.616332058166442E-3</v>
      </c>
      <c r="AC248" s="226">
        <f t="shared" si="56"/>
        <v>2.5789678363764999E-3</v>
      </c>
      <c r="AD248" s="226">
        <f t="shared" si="56"/>
        <v>2.5421372185171487E-3</v>
      </c>
      <c r="AE248" s="226">
        <f t="shared" si="54"/>
        <v>2.505832584112406E-3</v>
      </c>
      <c r="AF248" s="226">
        <f t="shared" si="54"/>
        <v>2.4700464215154246E-3</v>
      </c>
      <c r="AG248" s="226">
        <f t="shared" si="54"/>
        <v>2.4347713263542874E-3</v>
      </c>
      <c r="AH248" s="227">
        <v>2.3999999999999998E-3</v>
      </c>
      <c r="AI248" s="226">
        <f t="shared" si="57"/>
        <v>2.3657252480563549E-3</v>
      </c>
      <c r="AJ248" s="226">
        <f t="shared" si="57"/>
        <v>2.3319399788713762E-3</v>
      </c>
      <c r="AK248" s="226">
        <f t="shared" si="57"/>
        <v>2.2986372020700075E-3</v>
      </c>
      <c r="AL248" s="226">
        <f t="shared" si="57"/>
        <v>2.2658100271077644E-3</v>
      </c>
      <c r="AM248" s="226">
        <f t="shared" si="57"/>
        <v>2.2334516618450389E-3</v>
      </c>
      <c r="AN248" s="226">
        <f t="shared" si="57"/>
        <v>2.2015554111417639E-3</v>
      </c>
      <c r="AO248" s="226">
        <f t="shared" si="57"/>
        <v>2.1701146754721499E-3</v>
      </c>
      <c r="AP248" s="226">
        <f t="shared" si="57"/>
        <v>2.1391229495592036E-3</v>
      </c>
      <c r="AQ248" s="226">
        <f t="shared" si="57"/>
        <v>2.1085738210287453E-3</v>
      </c>
      <c r="AR248" s="226">
        <f t="shared" si="57"/>
        <v>2.0784609690826521E-3</v>
      </c>
      <c r="AS248" s="226">
        <f t="shared" si="57"/>
        <v>2.0487781631910455E-3</v>
      </c>
      <c r="AT248" s="226">
        <f t="shared" si="57"/>
        <v>2.0195192618031581E-3</v>
      </c>
      <c r="AU248" s="226">
        <f t="shared" si="57"/>
        <v>1.9906782110766098E-3</v>
      </c>
      <c r="AV248" s="226">
        <f t="shared" si="57"/>
        <v>1.9622490436248309E-3</v>
      </c>
      <c r="AW248" s="226">
        <f t="shared" si="57"/>
        <v>1.9342258772823745E-3</v>
      </c>
      <c r="AX248" s="226">
        <f t="shared" si="57"/>
        <v>1.9066029138878611E-3</v>
      </c>
      <c r="AY248" s="226">
        <f t="shared" si="55"/>
        <v>1.8793744380843039E-3</v>
      </c>
      <c r="AZ248" s="226">
        <f t="shared" si="55"/>
        <v>1.8525348161365679E-3</v>
      </c>
      <c r="BA248" s="226">
        <f t="shared" si="55"/>
        <v>1.8260784947657152E-3</v>
      </c>
      <c r="BB248" s="226">
        <f t="shared" si="55"/>
        <v>1.7999999999999989E-3</v>
      </c>
      <c r="BC248" s="226">
        <f t="shared" si="55"/>
        <v>1.7742939360422653E-3</v>
      </c>
      <c r="BD248" s="226">
        <f t="shared" si="55"/>
        <v>1.7489549841535313E-3</v>
      </c>
      <c r="BE248" s="226">
        <f t="shared" si="55"/>
        <v>1.7239779015525048E-3</v>
      </c>
    </row>
    <row r="249" spans="5:57" s="10" customFormat="1" x14ac:dyDescent="0.35">
      <c r="E249" s="10" t="s">
        <v>639</v>
      </c>
      <c r="F249" s="10" t="s">
        <v>615</v>
      </c>
      <c r="G249" s="43" t="s">
        <v>616</v>
      </c>
      <c r="I249" s="20"/>
      <c r="J249" s="200"/>
      <c r="K249" s="200"/>
      <c r="L249" s="200"/>
      <c r="M249" s="200"/>
      <c r="N249" s="200">
        <v>3.2000000000000002E-3</v>
      </c>
      <c r="O249" s="226">
        <f t="shared" si="56"/>
        <v>3.1543003307418068E-3</v>
      </c>
      <c r="P249" s="226">
        <f t="shared" si="56"/>
        <v>3.1092533051618352E-3</v>
      </c>
      <c r="Q249" s="226">
        <f t="shared" si="56"/>
        <v>3.0648496027600104E-3</v>
      </c>
      <c r="R249" s="226">
        <f t="shared" si="56"/>
        <v>3.0210800361436863E-3</v>
      </c>
      <c r="S249" s="226">
        <f t="shared" si="56"/>
        <v>2.9779355491267186E-3</v>
      </c>
      <c r="T249" s="226">
        <f t="shared" si="56"/>
        <v>2.935407214855685E-3</v>
      </c>
      <c r="U249" s="226">
        <f t="shared" si="56"/>
        <v>2.8934862339628667E-3</v>
      </c>
      <c r="V249" s="226">
        <f t="shared" si="56"/>
        <v>2.8521639327456047E-3</v>
      </c>
      <c r="W249" s="226">
        <f t="shared" si="56"/>
        <v>2.8114317613716607E-3</v>
      </c>
      <c r="X249" s="226">
        <f t="shared" si="56"/>
        <v>2.7712812921102032E-3</v>
      </c>
      <c r="Y249" s="226">
        <f t="shared" si="56"/>
        <v>2.731704217588061E-3</v>
      </c>
      <c r="Z249" s="226">
        <f t="shared" si="56"/>
        <v>2.6926923490708781E-3</v>
      </c>
      <c r="AA249" s="226">
        <f t="shared" si="56"/>
        <v>2.6542376147688138E-3</v>
      </c>
      <c r="AB249" s="226">
        <f t="shared" si="56"/>
        <v>2.616332058166442E-3</v>
      </c>
      <c r="AC249" s="226">
        <f t="shared" si="56"/>
        <v>2.5789678363764999E-3</v>
      </c>
      <c r="AD249" s="226">
        <f t="shared" si="56"/>
        <v>2.5421372185171487E-3</v>
      </c>
      <c r="AE249" s="226">
        <f t="shared" si="54"/>
        <v>2.505832584112406E-3</v>
      </c>
      <c r="AF249" s="226">
        <f t="shared" si="54"/>
        <v>2.4700464215154246E-3</v>
      </c>
      <c r="AG249" s="226">
        <f t="shared" si="54"/>
        <v>2.4347713263542874E-3</v>
      </c>
      <c r="AH249" s="227">
        <v>2.3999999999999998E-3</v>
      </c>
      <c r="AI249" s="226">
        <f t="shared" si="57"/>
        <v>2.3657252480563549E-3</v>
      </c>
      <c r="AJ249" s="226">
        <f t="shared" si="57"/>
        <v>2.3319399788713762E-3</v>
      </c>
      <c r="AK249" s="226">
        <f t="shared" si="57"/>
        <v>2.2986372020700075E-3</v>
      </c>
      <c r="AL249" s="226">
        <f t="shared" si="57"/>
        <v>2.2658100271077644E-3</v>
      </c>
      <c r="AM249" s="226">
        <f t="shared" si="57"/>
        <v>2.2334516618450389E-3</v>
      </c>
      <c r="AN249" s="226">
        <f t="shared" si="57"/>
        <v>2.2015554111417639E-3</v>
      </c>
      <c r="AO249" s="226">
        <f t="shared" si="57"/>
        <v>2.1701146754721499E-3</v>
      </c>
      <c r="AP249" s="226">
        <f t="shared" si="57"/>
        <v>2.1391229495592036E-3</v>
      </c>
      <c r="AQ249" s="226">
        <f t="shared" si="57"/>
        <v>2.1085738210287453E-3</v>
      </c>
      <c r="AR249" s="226">
        <f t="shared" si="57"/>
        <v>2.0784609690826521E-3</v>
      </c>
      <c r="AS249" s="226">
        <f t="shared" si="57"/>
        <v>2.0487781631910455E-3</v>
      </c>
      <c r="AT249" s="226">
        <f t="shared" si="57"/>
        <v>2.0195192618031581E-3</v>
      </c>
      <c r="AU249" s="226">
        <f t="shared" si="57"/>
        <v>1.9906782110766098E-3</v>
      </c>
      <c r="AV249" s="226">
        <f t="shared" si="57"/>
        <v>1.9622490436248309E-3</v>
      </c>
      <c r="AW249" s="226">
        <f t="shared" si="57"/>
        <v>1.9342258772823745E-3</v>
      </c>
      <c r="AX249" s="226">
        <f t="shared" si="57"/>
        <v>1.9066029138878611E-3</v>
      </c>
      <c r="AY249" s="226">
        <f t="shared" si="55"/>
        <v>1.8793744380843039E-3</v>
      </c>
      <c r="AZ249" s="226">
        <f t="shared" si="55"/>
        <v>1.8525348161365679E-3</v>
      </c>
      <c r="BA249" s="226">
        <f t="shared" si="55"/>
        <v>1.8260784947657152E-3</v>
      </c>
      <c r="BB249" s="226">
        <f t="shared" si="55"/>
        <v>1.7999999999999989E-3</v>
      </c>
      <c r="BC249" s="226">
        <f t="shared" si="55"/>
        <v>1.7742939360422653E-3</v>
      </c>
      <c r="BD249" s="226">
        <f t="shared" si="55"/>
        <v>1.7489549841535313E-3</v>
      </c>
      <c r="BE249" s="226">
        <f t="shared" si="55"/>
        <v>1.7239779015525048E-3</v>
      </c>
    </row>
    <row r="250" spans="5:57" s="10" customFormat="1" x14ac:dyDescent="0.35">
      <c r="E250" s="10" t="s">
        <v>640</v>
      </c>
      <c r="F250" s="10" t="s">
        <v>615</v>
      </c>
      <c r="G250" s="43" t="s">
        <v>616</v>
      </c>
      <c r="I250" s="20"/>
      <c r="J250" s="200"/>
      <c r="K250" s="200"/>
      <c r="L250" s="200"/>
      <c r="M250" s="200"/>
      <c r="N250" s="200">
        <v>3.0999999999999999E-3</v>
      </c>
      <c r="O250" s="226">
        <f t="shared" si="56"/>
        <v>3.0605830676122959E-3</v>
      </c>
      <c r="P250" s="226">
        <f t="shared" si="56"/>
        <v>3.0216673270177714E-3</v>
      </c>
      <c r="Q250" s="226">
        <f t="shared" si="56"/>
        <v>2.9832464054928699E-3</v>
      </c>
      <c r="R250" s="226">
        <f t="shared" si="56"/>
        <v>2.9453140113441041E-3</v>
      </c>
      <c r="S250" s="226">
        <f t="shared" si="56"/>
        <v>2.9078639328777465E-3</v>
      </c>
      <c r="T250" s="226">
        <f t="shared" si="56"/>
        <v>2.8708900373826222E-3</v>
      </c>
      <c r="U250" s="226">
        <f t="shared" si="56"/>
        <v>2.834386270125834E-3</v>
      </c>
      <c r="V250" s="226">
        <f t="shared" si="56"/>
        <v>2.7983466533612576E-3</v>
      </c>
      <c r="W250" s="226">
        <f t="shared" si="56"/>
        <v>2.7627652853506449E-3</v>
      </c>
      <c r="X250" s="226">
        <f t="shared" si="56"/>
        <v>2.7276363393971734E-3</v>
      </c>
      <c r="Y250" s="226">
        <f t="shared" si="56"/>
        <v>2.692954062891282E-3</v>
      </c>
      <c r="Z250" s="226">
        <f t="shared" si="56"/>
        <v>2.6587127763686436E-3</v>
      </c>
      <c r="AA250" s="226">
        <f t="shared" si="56"/>
        <v>2.6249068725801121E-3</v>
      </c>
      <c r="AB250" s="226">
        <f t="shared" si="56"/>
        <v>2.5915308155734958E-3</v>
      </c>
      <c r="AC250" s="226">
        <f t="shared" si="56"/>
        <v>2.558579139787008E-3</v>
      </c>
      <c r="AD250" s="226">
        <f t="shared" si="56"/>
        <v>2.5260464491542421E-3</v>
      </c>
      <c r="AE250" s="226">
        <f t="shared" si="54"/>
        <v>2.4939274162205285E-3</v>
      </c>
      <c r="AF250" s="226">
        <f t="shared" si="54"/>
        <v>2.4622167812705263E-3</v>
      </c>
      <c r="AG250" s="226">
        <f t="shared" si="54"/>
        <v>2.43090935146691E-3</v>
      </c>
      <c r="AH250" s="227">
        <v>2.3999999999999998E-3</v>
      </c>
      <c r="AI250" s="226">
        <f t="shared" si="57"/>
        <v>2.3694836652482288E-3</v>
      </c>
      <c r="AJ250" s="226">
        <f t="shared" si="57"/>
        <v>2.3393553499492423E-3</v>
      </c>
      <c r="AK250" s="226">
        <f t="shared" si="57"/>
        <v>2.3096101203815768E-3</v>
      </c>
      <c r="AL250" s="226">
        <f t="shared" si="57"/>
        <v>2.2802431055567261E-3</v>
      </c>
      <c r="AM250" s="226">
        <f t="shared" si="57"/>
        <v>2.2512494964214815E-3</v>
      </c>
      <c r="AN250" s="226">
        <f t="shared" si="57"/>
        <v>2.2226245450704175E-3</v>
      </c>
      <c r="AO250" s="226">
        <f t="shared" si="57"/>
        <v>2.1943635639683876E-3</v>
      </c>
      <c r="AP250" s="226">
        <f t="shared" si="57"/>
        <v>2.1664619251829092E-3</v>
      </c>
      <c r="AQ250" s="226">
        <f t="shared" si="57"/>
        <v>2.138915059626306E-3</v>
      </c>
      <c r="AR250" s="226">
        <f t="shared" si="57"/>
        <v>2.111718456307489E-3</v>
      </c>
      <c r="AS250" s="226">
        <f t="shared" si="57"/>
        <v>2.0848676615932505E-3</v>
      </c>
      <c r="AT250" s="226">
        <f t="shared" si="57"/>
        <v>2.0583582784789497E-3</v>
      </c>
      <c r="AU250" s="226">
        <f t="shared" si="57"/>
        <v>2.0321859658684735E-3</v>
      </c>
      <c r="AV250" s="226">
        <f t="shared" si="57"/>
        <v>2.0063464378633515E-3</v>
      </c>
      <c r="AW250" s="226">
        <f t="shared" si="57"/>
        <v>1.9808354630609093E-3</v>
      </c>
      <c r="AX250" s="226">
        <f t="shared" si="57"/>
        <v>1.9556488638613487E-3</v>
      </c>
      <c r="AY250" s="226">
        <f t="shared" si="55"/>
        <v>1.9307825157836348E-3</v>
      </c>
      <c r="AZ250" s="226">
        <f t="shared" si="55"/>
        <v>1.9062323467900848E-3</v>
      </c>
      <c r="BA250" s="226">
        <f t="shared" si="55"/>
        <v>1.8819943366195431E-3</v>
      </c>
      <c r="BB250" s="226">
        <f t="shared" si="55"/>
        <v>1.8580645161290351E-3</v>
      </c>
      <c r="BC250" s="226">
        <f t="shared" si="55"/>
        <v>1.8344389666437931E-3</v>
      </c>
      <c r="BD250" s="226">
        <f t="shared" si="55"/>
        <v>1.8111138193155454E-3</v>
      </c>
      <c r="BE250" s="226">
        <f t="shared" si="55"/>
        <v>1.7880852544889655E-3</v>
      </c>
    </row>
    <row r="251" spans="5:57" s="10" customFormat="1" x14ac:dyDescent="0.35">
      <c r="E251" s="10" t="s">
        <v>641</v>
      </c>
      <c r="F251" s="10" t="s">
        <v>615</v>
      </c>
      <c r="G251" s="43" t="s">
        <v>616</v>
      </c>
      <c r="I251" s="20"/>
      <c r="J251" s="200"/>
      <c r="K251" s="200"/>
      <c r="L251" s="200"/>
      <c r="M251" s="200"/>
      <c r="N251" s="200">
        <v>3.0999999999999999E-3</v>
      </c>
      <c r="O251" s="226">
        <f t="shared" si="56"/>
        <v>3.0605830676122959E-3</v>
      </c>
      <c r="P251" s="226">
        <f t="shared" si="56"/>
        <v>3.0216673270177714E-3</v>
      </c>
      <c r="Q251" s="226">
        <f t="shared" si="56"/>
        <v>2.9832464054928699E-3</v>
      </c>
      <c r="R251" s="226">
        <f t="shared" si="56"/>
        <v>2.9453140113441041E-3</v>
      </c>
      <c r="S251" s="226">
        <f t="shared" si="56"/>
        <v>2.9078639328777465E-3</v>
      </c>
      <c r="T251" s="226">
        <f t="shared" si="56"/>
        <v>2.8708900373826222E-3</v>
      </c>
      <c r="U251" s="226">
        <f t="shared" si="56"/>
        <v>2.834386270125834E-3</v>
      </c>
      <c r="V251" s="226">
        <f t="shared" si="56"/>
        <v>2.7983466533612576E-3</v>
      </c>
      <c r="W251" s="226">
        <f t="shared" si="56"/>
        <v>2.7627652853506449E-3</v>
      </c>
      <c r="X251" s="226">
        <f t="shared" si="56"/>
        <v>2.7276363393971734E-3</v>
      </c>
      <c r="Y251" s="226">
        <f t="shared" si="56"/>
        <v>2.692954062891282E-3</v>
      </c>
      <c r="Z251" s="226">
        <f t="shared" si="56"/>
        <v>2.6587127763686436E-3</v>
      </c>
      <c r="AA251" s="226">
        <f t="shared" si="56"/>
        <v>2.6249068725801121E-3</v>
      </c>
      <c r="AB251" s="226">
        <f t="shared" si="56"/>
        <v>2.5915308155734958E-3</v>
      </c>
      <c r="AC251" s="226">
        <f t="shared" si="56"/>
        <v>2.558579139787008E-3</v>
      </c>
      <c r="AD251" s="226">
        <f t="shared" si="56"/>
        <v>2.5260464491542421E-3</v>
      </c>
      <c r="AE251" s="226">
        <f t="shared" si="54"/>
        <v>2.4939274162205285E-3</v>
      </c>
      <c r="AF251" s="226">
        <f t="shared" si="54"/>
        <v>2.4622167812705263E-3</v>
      </c>
      <c r="AG251" s="226">
        <f t="shared" si="54"/>
        <v>2.43090935146691E-3</v>
      </c>
      <c r="AH251" s="227">
        <v>2.3999999999999998E-3</v>
      </c>
      <c r="AI251" s="226">
        <f t="shared" si="57"/>
        <v>2.3694836652482288E-3</v>
      </c>
      <c r="AJ251" s="226">
        <f t="shared" si="57"/>
        <v>2.3393553499492423E-3</v>
      </c>
      <c r="AK251" s="226">
        <f t="shared" si="57"/>
        <v>2.3096101203815768E-3</v>
      </c>
      <c r="AL251" s="226">
        <f t="shared" si="57"/>
        <v>2.2802431055567261E-3</v>
      </c>
      <c r="AM251" s="226">
        <f t="shared" si="57"/>
        <v>2.2512494964214815E-3</v>
      </c>
      <c r="AN251" s="226">
        <f t="shared" si="57"/>
        <v>2.2226245450704175E-3</v>
      </c>
      <c r="AO251" s="226">
        <f t="shared" si="57"/>
        <v>2.1943635639683876E-3</v>
      </c>
      <c r="AP251" s="226">
        <f t="shared" si="57"/>
        <v>2.1664619251829092E-3</v>
      </c>
      <c r="AQ251" s="226">
        <f t="shared" si="57"/>
        <v>2.138915059626306E-3</v>
      </c>
      <c r="AR251" s="226">
        <f t="shared" si="57"/>
        <v>2.111718456307489E-3</v>
      </c>
      <c r="AS251" s="226">
        <f t="shared" si="57"/>
        <v>2.0848676615932505E-3</v>
      </c>
      <c r="AT251" s="226">
        <f t="shared" si="57"/>
        <v>2.0583582784789497E-3</v>
      </c>
      <c r="AU251" s="226">
        <f t="shared" si="57"/>
        <v>2.0321859658684735E-3</v>
      </c>
      <c r="AV251" s="226">
        <f t="shared" si="57"/>
        <v>2.0063464378633515E-3</v>
      </c>
      <c r="AW251" s="226">
        <f t="shared" si="57"/>
        <v>1.9808354630609093E-3</v>
      </c>
      <c r="AX251" s="226">
        <f t="shared" si="57"/>
        <v>1.9556488638613487E-3</v>
      </c>
      <c r="AY251" s="226">
        <f t="shared" si="55"/>
        <v>1.9307825157836348E-3</v>
      </c>
      <c r="AZ251" s="226">
        <f t="shared" si="55"/>
        <v>1.9062323467900848E-3</v>
      </c>
      <c r="BA251" s="226">
        <f t="shared" si="55"/>
        <v>1.8819943366195431E-3</v>
      </c>
      <c r="BB251" s="226">
        <f t="shared" si="55"/>
        <v>1.8580645161290351E-3</v>
      </c>
      <c r="BC251" s="226">
        <f t="shared" si="55"/>
        <v>1.8344389666437931E-3</v>
      </c>
      <c r="BD251" s="226">
        <f t="shared" si="55"/>
        <v>1.8111138193155454E-3</v>
      </c>
      <c r="BE251" s="226">
        <f t="shared" si="55"/>
        <v>1.7880852544889655E-3</v>
      </c>
    </row>
    <row r="252" spans="5:57" s="10" customFormat="1" x14ac:dyDescent="0.35">
      <c r="E252" s="10" t="s">
        <v>642</v>
      </c>
      <c r="F252" s="10" t="s">
        <v>615</v>
      </c>
      <c r="G252" s="43" t="s">
        <v>616</v>
      </c>
      <c r="I252" s="20"/>
      <c r="J252" s="200"/>
      <c r="K252" s="200"/>
      <c r="L252" s="200"/>
      <c r="M252" s="200"/>
      <c r="N252" s="200">
        <v>3.0999999999999999E-3</v>
      </c>
      <c r="O252" s="226">
        <f t="shared" si="56"/>
        <v>3.0605830676122959E-3</v>
      </c>
      <c r="P252" s="226">
        <f t="shared" si="56"/>
        <v>3.0216673270177714E-3</v>
      </c>
      <c r="Q252" s="226">
        <f t="shared" si="56"/>
        <v>2.9832464054928699E-3</v>
      </c>
      <c r="R252" s="226">
        <f t="shared" si="56"/>
        <v>2.9453140113441041E-3</v>
      </c>
      <c r="S252" s="226">
        <f t="shared" si="56"/>
        <v>2.9078639328777465E-3</v>
      </c>
      <c r="T252" s="226">
        <f t="shared" si="56"/>
        <v>2.8708900373826222E-3</v>
      </c>
      <c r="U252" s="226">
        <f t="shared" si="56"/>
        <v>2.834386270125834E-3</v>
      </c>
      <c r="V252" s="226">
        <f t="shared" si="56"/>
        <v>2.7983466533612576E-3</v>
      </c>
      <c r="W252" s="226">
        <f t="shared" si="56"/>
        <v>2.7627652853506449E-3</v>
      </c>
      <c r="X252" s="226">
        <f t="shared" si="56"/>
        <v>2.7276363393971734E-3</v>
      </c>
      <c r="Y252" s="226">
        <f t="shared" si="56"/>
        <v>2.692954062891282E-3</v>
      </c>
      <c r="Z252" s="226">
        <f t="shared" si="56"/>
        <v>2.6587127763686436E-3</v>
      </c>
      <c r="AA252" s="226">
        <f t="shared" si="56"/>
        <v>2.6249068725801121E-3</v>
      </c>
      <c r="AB252" s="226">
        <f t="shared" si="56"/>
        <v>2.5915308155734958E-3</v>
      </c>
      <c r="AC252" s="226">
        <f t="shared" si="56"/>
        <v>2.558579139787008E-3</v>
      </c>
      <c r="AD252" s="226">
        <f t="shared" si="56"/>
        <v>2.5260464491542421E-3</v>
      </c>
      <c r="AE252" s="226">
        <f t="shared" si="54"/>
        <v>2.4939274162205285E-3</v>
      </c>
      <c r="AF252" s="226">
        <f t="shared" si="54"/>
        <v>2.4622167812705263E-3</v>
      </c>
      <c r="AG252" s="226">
        <f t="shared" si="54"/>
        <v>2.43090935146691E-3</v>
      </c>
      <c r="AH252" s="227">
        <v>2.3999999999999998E-3</v>
      </c>
      <c r="AI252" s="226">
        <f t="shared" si="57"/>
        <v>2.3694836652482288E-3</v>
      </c>
      <c r="AJ252" s="226">
        <f t="shared" si="57"/>
        <v>2.3393553499492423E-3</v>
      </c>
      <c r="AK252" s="226">
        <f t="shared" si="57"/>
        <v>2.3096101203815768E-3</v>
      </c>
      <c r="AL252" s="226">
        <f t="shared" si="57"/>
        <v>2.2802431055567261E-3</v>
      </c>
      <c r="AM252" s="226">
        <f t="shared" si="57"/>
        <v>2.2512494964214815E-3</v>
      </c>
      <c r="AN252" s="226">
        <f t="shared" si="57"/>
        <v>2.2226245450704175E-3</v>
      </c>
      <c r="AO252" s="226">
        <f t="shared" si="57"/>
        <v>2.1943635639683876E-3</v>
      </c>
      <c r="AP252" s="226">
        <f t="shared" si="57"/>
        <v>2.1664619251829092E-3</v>
      </c>
      <c r="AQ252" s="226">
        <f t="shared" si="57"/>
        <v>2.138915059626306E-3</v>
      </c>
      <c r="AR252" s="226">
        <f t="shared" si="57"/>
        <v>2.111718456307489E-3</v>
      </c>
      <c r="AS252" s="226">
        <f t="shared" si="57"/>
        <v>2.0848676615932505E-3</v>
      </c>
      <c r="AT252" s="226">
        <f t="shared" si="57"/>
        <v>2.0583582784789497E-3</v>
      </c>
      <c r="AU252" s="226">
        <f t="shared" si="57"/>
        <v>2.0321859658684735E-3</v>
      </c>
      <c r="AV252" s="226">
        <f t="shared" si="57"/>
        <v>2.0063464378633515E-3</v>
      </c>
      <c r="AW252" s="226">
        <f t="shared" si="57"/>
        <v>1.9808354630609093E-3</v>
      </c>
      <c r="AX252" s="226">
        <f t="shared" si="57"/>
        <v>1.9556488638613487E-3</v>
      </c>
      <c r="AY252" s="226">
        <f t="shared" si="55"/>
        <v>1.9307825157836348E-3</v>
      </c>
      <c r="AZ252" s="226">
        <f t="shared" si="55"/>
        <v>1.9062323467900848E-3</v>
      </c>
      <c r="BA252" s="226">
        <f t="shared" si="55"/>
        <v>1.8819943366195431E-3</v>
      </c>
      <c r="BB252" s="226">
        <f t="shared" si="55"/>
        <v>1.8580645161290351E-3</v>
      </c>
      <c r="BC252" s="226">
        <f t="shared" si="55"/>
        <v>1.8344389666437931E-3</v>
      </c>
      <c r="BD252" s="226">
        <f t="shared" si="55"/>
        <v>1.8111138193155454E-3</v>
      </c>
      <c r="BE252" s="226">
        <f t="shared" si="55"/>
        <v>1.7880852544889655E-3</v>
      </c>
    </row>
    <row r="253" spans="5:57" s="10" customFormat="1" x14ac:dyDescent="0.35">
      <c r="E253" s="109" t="s">
        <v>643</v>
      </c>
      <c r="F253" s="10" t="s">
        <v>615</v>
      </c>
      <c r="G253" s="43" t="s">
        <v>616</v>
      </c>
      <c r="I253" s="20"/>
      <c r="J253" s="200"/>
      <c r="K253" s="200"/>
      <c r="L253" s="200"/>
      <c r="M253" s="200"/>
      <c r="N253" s="200">
        <v>3.0000000000000001E-3</v>
      </c>
      <c r="O253" s="226">
        <f t="shared" si="56"/>
        <v>2.9667144987150949E-3</v>
      </c>
      <c r="P253" s="226">
        <f t="shared" si="56"/>
        <v>2.9337983056287853E-3</v>
      </c>
      <c r="Q253" s="226">
        <f t="shared" si="56"/>
        <v>2.9012473232048991E-3</v>
      </c>
      <c r="R253" s="226">
        <f t="shared" si="56"/>
        <v>2.8690574993701112E-3</v>
      </c>
      <c r="S253" s="226">
        <f t="shared" si="56"/>
        <v>2.8372248270095274E-3</v>
      </c>
      <c r="T253" s="226">
        <f t="shared" si="56"/>
        <v>2.8057453434678641E-3</v>
      </c>
      <c r="U253" s="226">
        <f t="shared" si="56"/>
        <v>2.7746151300561588E-3</v>
      </c>
      <c r="V253" s="226">
        <f t="shared" si="56"/>
        <v>2.7438303115639583E-3</v>
      </c>
      <c r="W253" s="226">
        <f t="shared" si="56"/>
        <v>2.7133870557769172E-3</v>
      </c>
      <c r="X253" s="226">
        <f t="shared" si="56"/>
        <v>2.6832815729997479E-3</v>
      </c>
      <c r="Y253" s="226">
        <f t="shared" si="56"/>
        <v>2.653510115584466E-3</v>
      </c>
      <c r="Z253" s="226">
        <f t="shared" si="56"/>
        <v>2.6240689774638675E-3</v>
      </c>
      <c r="AA253" s="226">
        <f t="shared" si="56"/>
        <v>2.5949544936901829E-3</v>
      </c>
      <c r="AB253" s="226">
        <f t="shared" si="56"/>
        <v>2.5661630399788512E-3</v>
      </c>
      <c r="AC253" s="226">
        <f t="shared" si="56"/>
        <v>2.5376910322573538E-3</v>
      </c>
      <c r="AD253" s="226">
        <f t="shared" si="56"/>
        <v>2.5095349262190558E-3</v>
      </c>
      <c r="AE253" s="226">
        <f t="shared" si="54"/>
        <v>2.4816912168819961E-3</v>
      </c>
      <c r="AF253" s="226">
        <f t="shared" si="54"/>
        <v>2.4541564381525749E-3</v>
      </c>
      <c r="AG253" s="226">
        <f t="shared" si="54"/>
        <v>2.4269271623940797E-3</v>
      </c>
      <c r="AH253" s="227">
        <v>2.3999999999999998E-3</v>
      </c>
      <c r="AI253" s="226">
        <f t="shared" si="57"/>
        <v>2.3733715989720755E-3</v>
      </c>
      <c r="AJ253" s="226">
        <f t="shared" si="57"/>
        <v>2.3470386445030278E-3</v>
      </c>
      <c r="AK253" s="226">
        <f t="shared" si="57"/>
        <v>2.3209978585639187E-3</v>
      </c>
      <c r="AL253" s="226">
        <f t="shared" si="57"/>
        <v>2.2952459994960883E-3</v>
      </c>
      <c r="AM253" s="226">
        <f t="shared" si="57"/>
        <v>2.2697798616076216E-3</v>
      </c>
      <c r="AN253" s="226">
        <f t="shared" si="57"/>
        <v>2.2445962747742907E-3</v>
      </c>
      <c r="AO253" s="226">
        <f t="shared" si="57"/>
        <v>2.2196921040449264E-3</v>
      </c>
      <c r="AP253" s="226">
        <f t="shared" si="57"/>
        <v>2.1950642492511662E-3</v>
      </c>
      <c r="AQ253" s="226">
        <f t="shared" si="57"/>
        <v>2.1707096446215331E-3</v>
      </c>
      <c r="AR253" s="226">
        <f t="shared" si="57"/>
        <v>2.1466252583997977E-3</v>
      </c>
      <c r="AS253" s="226">
        <f t="shared" si="57"/>
        <v>2.1228080924675721E-3</v>
      </c>
      <c r="AT253" s="226">
        <f t="shared" si="57"/>
        <v>2.0992551819710935E-3</v>
      </c>
      <c r="AU253" s="226">
        <f t="shared" si="57"/>
        <v>2.0759635949521458E-3</v>
      </c>
      <c r="AV253" s="226">
        <f t="shared" si="57"/>
        <v>2.0529304319830805E-3</v>
      </c>
      <c r="AW253" s="226">
        <f t="shared" si="57"/>
        <v>2.0301528258058828E-3</v>
      </c>
      <c r="AX253" s="226">
        <f t="shared" si="57"/>
        <v>2.0076279409752444E-3</v>
      </c>
      <c r="AY253" s="226">
        <f t="shared" si="55"/>
        <v>1.9853529735055966E-3</v>
      </c>
      <c r="AZ253" s="226">
        <f t="shared" si="55"/>
        <v>1.9633251505220598E-3</v>
      </c>
      <c r="BA253" s="226">
        <f t="shared" si="55"/>
        <v>1.9415417299152636E-3</v>
      </c>
      <c r="BB253" s="226">
        <f t="shared" si="55"/>
        <v>1.9199999999999998E-3</v>
      </c>
      <c r="BC253" s="226">
        <f t="shared" si="55"/>
        <v>1.8986972791776606E-3</v>
      </c>
      <c r="BD253" s="226">
        <f t="shared" si="55"/>
        <v>1.8776309156024226E-3</v>
      </c>
      <c r="BE253" s="226">
        <f t="shared" si="55"/>
        <v>1.8567982868511353E-3</v>
      </c>
    </row>
    <row r="254" spans="5:57" s="10" customFormat="1" x14ac:dyDescent="0.35">
      <c r="E254" s="109" t="s">
        <v>644</v>
      </c>
      <c r="F254" s="10" t="s">
        <v>615</v>
      </c>
      <c r="G254" s="43" t="s">
        <v>616</v>
      </c>
      <c r="I254" s="20"/>
      <c r="J254" s="200"/>
      <c r="K254" s="200"/>
      <c r="L254" s="200"/>
      <c r="M254" s="200"/>
      <c r="N254" s="200">
        <v>3.0000000000000001E-3</v>
      </c>
      <c r="O254" s="226">
        <f t="shared" si="56"/>
        <v>2.9667144987150949E-3</v>
      </c>
      <c r="P254" s="226">
        <f t="shared" si="56"/>
        <v>2.9337983056287853E-3</v>
      </c>
      <c r="Q254" s="226">
        <f t="shared" si="56"/>
        <v>2.9012473232048991E-3</v>
      </c>
      <c r="R254" s="226">
        <f t="shared" si="56"/>
        <v>2.8690574993701112E-3</v>
      </c>
      <c r="S254" s="226">
        <f t="shared" si="56"/>
        <v>2.8372248270095274E-3</v>
      </c>
      <c r="T254" s="226">
        <f t="shared" si="56"/>
        <v>2.8057453434678641E-3</v>
      </c>
      <c r="U254" s="226">
        <f t="shared" si="56"/>
        <v>2.7746151300561588E-3</v>
      </c>
      <c r="V254" s="226">
        <f t="shared" si="56"/>
        <v>2.7438303115639583E-3</v>
      </c>
      <c r="W254" s="226">
        <f t="shared" si="56"/>
        <v>2.7133870557769172E-3</v>
      </c>
      <c r="X254" s="226">
        <f t="shared" si="56"/>
        <v>2.6832815729997479E-3</v>
      </c>
      <c r="Y254" s="226">
        <f t="shared" si="56"/>
        <v>2.653510115584466E-3</v>
      </c>
      <c r="Z254" s="226">
        <f t="shared" si="56"/>
        <v>2.6240689774638675E-3</v>
      </c>
      <c r="AA254" s="226">
        <f t="shared" si="56"/>
        <v>2.5949544936901829E-3</v>
      </c>
      <c r="AB254" s="226">
        <f t="shared" si="56"/>
        <v>2.5661630399788512E-3</v>
      </c>
      <c r="AC254" s="226">
        <f t="shared" si="56"/>
        <v>2.5376910322573538E-3</v>
      </c>
      <c r="AD254" s="226">
        <f t="shared" si="56"/>
        <v>2.5095349262190558E-3</v>
      </c>
      <c r="AE254" s="226">
        <f t="shared" si="54"/>
        <v>2.4816912168819961E-3</v>
      </c>
      <c r="AF254" s="226">
        <f t="shared" si="54"/>
        <v>2.4541564381525749E-3</v>
      </c>
      <c r="AG254" s="226">
        <f t="shared" si="54"/>
        <v>2.4269271623940797E-3</v>
      </c>
      <c r="AH254" s="227">
        <v>2.3999999999999998E-3</v>
      </c>
      <c r="AI254" s="226">
        <f t="shared" si="57"/>
        <v>2.3733715989720755E-3</v>
      </c>
      <c r="AJ254" s="226">
        <f t="shared" si="57"/>
        <v>2.3470386445030278E-3</v>
      </c>
      <c r="AK254" s="226">
        <f t="shared" si="57"/>
        <v>2.3209978585639187E-3</v>
      </c>
      <c r="AL254" s="226">
        <f t="shared" si="57"/>
        <v>2.2952459994960883E-3</v>
      </c>
      <c r="AM254" s="226">
        <f t="shared" si="57"/>
        <v>2.2697798616076216E-3</v>
      </c>
      <c r="AN254" s="226">
        <f t="shared" si="57"/>
        <v>2.2445962747742907E-3</v>
      </c>
      <c r="AO254" s="226">
        <f t="shared" si="57"/>
        <v>2.2196921040449264E-3</v>
      </c>
      <c r="AP254" s="226">
        <f t="shared" si="57"/>
        <v>2.1950642492511662E-3</v>
      </c>
      <c r="AQ254" s="226">
        <f t="shared" si="57"/>
        <v>2.1707096446215331E-3</v>
      </c>
      <c r="AR254" s="226">
        <f t="shared" si="57"/>
        <v>2.1466252583997977E-3</v>
      </c>
      <c r="AS254" s="226">
        <f t="shared" si="57"/>
        <v>2.1228080924675721E-3</v>
      </c>
      <c r="AT254" s="226">
        <f t="shared" si="57"/>
        <v>2.0992551819710935E-3</v>
      </c>
      <c r="AU254" s="226">
        <f t="shared" si="57"/>
        <v>2.0759635949521458E-3</v>
      </c>
      <c r="AV254" s="226">
        <f t="shared" si="57"/>
        <v>2.0529304319830805E-3</v>
      </c>
      <c r="AW254" s="226">
        <f t="shared" si="57"/>
        <v>2.0301528258058828E-3</v>
      </c>
      <c r="AX254" s="226">
        <f t="shared" si="57"/>
        <v>2.0076279409752444E-3</v>
      </c>
      <c r="AY254" s="226">
        <f t="shared" si="55"/>
        <v>1.9853529735055966E-3</v>
      </c>
      <c r="AZ254" s="226">
        <f t="shared" si="55"/>
        <v>1.9633251505220598E-3</v>
      </c>
      <c r="BA254" s="226">
        <f t="shared" si="55"/>
        <v>1.9415417299152636E-3</v>
      </c>
      <c r="BB254" s="226">
        <f t="shared" si="55"/>
        <v>1.9199999999999998E-3</v>
      </c>
      <c r="BC254" s="226">
        <f t="shared" si="55"/>
        <v>1.8986972791776606E-3</v>
      </c>
      <c r="BD254" s="226">
        <f t="shared" si="55"/>
        <v>1.8776309156024226E-3</v>
      </c>
      <c r="BE254" s="226">
        <f t="shared" si="55"/>
        <v>1.8567982868511353E-3</v>
      </c>
    </row>
    <row r="255" spans="5:57" s="10" customFormat="1" x14ac:dyDescent="0.35">
      <c r="E255" s="109" t="s">
        <v>645</v>
      </c>
      <c r="F255" s="10" t="s">
        <v>615</v>
      </c>
      <c r="G255" s="43" t="s">
        <v>616</v>
      </c>
      <c r="I255" s="20"/>
      <c r="J255" s="200"/>
      <c r="K255" s="200"/>
      <c r="L255" s="200"/>
      <c r="M255" s="200"/>
      <c r="N255" s="200">
        <v>2.8999999999999998E-3</v>
      </c>
      <c r="O255" s="226">
        <f t="shared" si="56"/>
        <v>2.866582794095191E-3</v>
      </c>
      <c r="P255" s="226">
        <f t="shared" si="56"/>
        <v>2.8335506604836528E-3</v>
      </c>
      <c r="Q255" s="226">
        <f t="shared" si="56"/>
        <v>2.800899161910174E-3</v>
      </c>
      <c r="R255" s="226">
        <f t="shared" si="56"/>
        <v>2.7686239122508092E-3</v>
      </c>
      <c r="S255" s="226">
        <f t="shared" si="56"/>
        <v>2.7367205759236844E-3</v>
      </c>
      <c r="T255" s="226">
        <f t="shared" si="56"/>
        <v>2.7051848673065918E-3</v>
      </c>
      <c r="U255" s="226">
        <f t="shared" si="56"/>
        <v>2.6740125501612962E-3</v>
      </c>
      <c r="V255" s="226">
        <f t="shared" si="56"/>
        <v>2.6431994370644746E-3</v>
      </c>
      <c r="W255" s="226">
        <f t="shared" si="56"/>
        <v>2.6127413888452134E-3</v>
      </c>
      <c r="X255" s="226">
        <f t="shared" si="56"/>
        <v>2.5826343140289872E-3</v>
      </c>
      <c r="Y255" s="226">
        <f t="shared" si="56"/>
        <v>2.5528741682880455E-3</v>
      </c>
      <c r="Z255" s="226">
        <f t="shared" si="56"/>
        <v>2.5234569538981322E-3</v>
      </c>
      <c r="AA255" s="226">
        <f t="shared" si="56"/>
        <v>2.4943787192014651E-3</v>
      </c>
      <c r="AB255" s="226">
        <f t="shared" si="56"/>
        <v>2.4656355580759035E-3</v>
      </c>
      <c r="AC255" s="226">
        <f t="shared" si="56"/>
        <v>2.4372236094102346E-3</v>
      </c>
      <c r="AD255" s="226">
        <f t="shared" si="56"/>
        <v>2.4091390565855026E-3</v>
      </c>
      <c r="AE255" s="226">
        <f t="shared" si="54"/>
        <v>2.3813781269623182E-3</v>
      </c>
      <c r="AF255" s="226">
        <f t="shared" si="54"/>
        <v>2.3539370913740745E-3</v>
      </c>
      <c r="AG255" s="226">
        <f t="shared" si="54"/>
        <v>2.326812263626001E-3</v>
      </c>
      <c r="AH255" s="227">
        <v>2.3E-3</v>
      </c>
      <c r="AI255" s="226">
        <f t="shared" si="57"/>
        <v>2.2734966987651519E-3</v>
      </c>
      <c r="AJ255" s="226">
        <f t="shared" si="57"/>
        <v>2.2472987996939322E-3</v>
      </c>
      <c r="AK255" s="226">
        <f t="shared" si="57"/>
        <v>2.2214027835839316E-3</v>
      </c>
      <c r="AL255" s="226">
        <f t="shared" si="57"/>
        <v>2.1958051717851251E-3</v>
      </c>
      <c r="AM255" s="226">
        <f t="shared" si="57"/>
        <v>2.1705025257325776E-3</v>
      </c>
      <c r="AN255" s="226">
        <f t="shared" si="57"/>
        <v>2.1454914464845388E-3</v>
      </c>
      <c r="AO255" s="226">
        <f t="shared" si="57"/>
        <v>2.1207685742658561E-3</v>
      </c>
      <c r="AP255" s="226">
        <f t="shared" si="57"/>
        <v>2.0963305880166527E-3</v>
      </c>
      <c r="AQ255" s="226">
        <f t="shared" si="57"/>
        <v>2.0721742049462041E-3</v>
      </c>
      <c r="AR255" s="226">
        <f t="shared" si="57"/>
        <v>2.0482961800919555E-3</v>
      </c>
      <c r="AS255" s="226">
        <f t="shared" si="57"/>
        <v>2.0246933058836224E-3</v>
      </c>
      <c r="AT255" s="226">
        <f t="shared" si="57"/>
        <v>2.0013624117123118E-3</v>
      </c>
      <c r="AU255" s="226">
        <f t="shared" si="57"/>
        <v>1.9783003635046102E-3</v>
      </c>
      <c r="AV255" s="226">
        <f t="shared" si="57"/>
        <v>1.9555040633015787E-3</v>
      </c>
      <c r="AW255" s="226">
        <f t="shared" si="57"/>
        <v>1.9329704488425998E-3</v>
      </c>
      <c r="AX255" s="226">
        <f t="shared" si="57"/>
        <v>1.9106964931540193E-3</v>
      </c>
      <c r="AY255" s="226">
        <f t="shared" si="55"/>
        <v>1.8886792041425283E-3</v>
      </c>
      <c r="AZ255" s="226">
        <f t="shared" si="55"/>
        <v>1.8669156241932314E-3</v>
      </c>
      <c r="BA255" s="226">
        <f t="shared" si="55"/>
        <v>1.8454028297723453E-3</v>
      </c>
      <c r="BB255" s="226">
        <f t="shared" si="55"/>
        <v>1.8241379310344767E-3</v>
      </c>
      <c r="BC255" s="226">
        <f t="shared" si="55"/>
        <v>1.8031180714344248E-3</v>
      </c>
      <c r="BD255" s="226">
        <f t="shared" si="55"/>
        <v>1.7823404273434574E-3</v>
      </c>
      <c r="BE255" s="226">
        <f t="shared" si="55"/>
        <v>1.7618022076700088E-3</v>
      </c>
    </row>
    <row r="256" spans="5:57" s="10" customFormat="1" x14ac:dyDescent="0.35">
      <c r="E256" s="10" t="s">
        <v>646</v>
      </c>
      <c r="F256" s="10" t="s">
        <v>615</v>
      </c>
      <c r="G256" s="43" t="s">
        <v>616</v>
      </c>
      <c r="I256" s="20"/>
      <c r="J256" s="200"/>
      <c r="K256" s="200"/>
      <c r="L256" s="200"/>
      <c r="M256" s="200"/>
      <c r="N256" s="200">
        <v>2.8999999999999998E-3</v>
      </c>
      <c r="O256" s="226">
        <f t="shared" si="56"/>
        <v>2.866582794095191E-3</v>
      </c>
      <c r="P256" s="226">
        <f t="shared" si="56"/>
        <v>2.8335506604836528E-3</v>
      </c>
      <c r="Q256" s="226">
        <f t="shared" si="56"/>
        <v>2.800899161910174E-3</v>
      </c>
      <c r="R256" s="226">
        <f t="shared" si="56"/>
        <v>2.7686239122508092E-3</v>
      </c>
      <c r="S256" s="226">
        <f t="shared" si="56"/>
        <v>2.7367205759236844E-3</v>
      </c>
      <c r="T256" s="226">
        <f t="shared" si="56"/>
        <v>2.7051848673065918E-3</v>
      </c>
      <c r="U256" s="226">
        <f t="shared" si="56"/>
        <v>2.6740125501612962E-3</v>
      </c>
      <c r="V256" s="226">
        <f t="shared" si="56"/>
        <v>2.6431994370644746E-3</v>
      </c>
      <c r="W256" s="226">
        <f t="shared" si="56"/>
        <v>2.6127413888452134E-3</v>
      </c>
      <c r="X256" s="226">
        <f t="shared" si="56"/>
        <v>2.5826343140289872E-3</v>
      </c>
      <c r="Y256" s="226">
        <f t="shared" si="56"/>
        <v>2.5528741682880455E-3</v>
      </c>
      <c r="Z256" s="226">
        <f t="shared" si="56"/>
        <v>2.5234569538981322E-3</v>
      </c>
      <c r="AA256" s="226">
        <f t="shared" si="56"/>
        <v>2.4943787192014651E-3</v>
      </c>
      <c r="AB256" s="226">
        <f t="shared" si="56"/>
        <v>2.4656355580759035E-3</v>
      </c>
      <c r="AC256" s="226">
        <f t="shared" si="56"/>
        <v>2.4372236094102346E-3</v>
      </c>
      <c r="AD256" s="226">
        <f t="shared" si="56"/>
        <v>2.4091390565855026E-3</v>
      </c>
      <c r="AE256" s="226">
        <f t="shared" si="54"/>
        <v>2.3813781269623182E-3</v>
      </c>
      <c r="AF256" s="226">
        <f t="shared" si="54"/>
        <v>2.3539370913740745E-3</v>
      </c>
      <c r="AG256" s="226">
        <f t="shared" si="54"/>
        <v>2.326812263626001E-3</v>
      </c>
      <c r="AH256" s="227">
        <v>2.3E-3</v>
      </c>
      <c r="AI256" s="226">
        <f t="shared" si="57"/>
        <v>2.2734966987651519E-3</v>
      </c>
      <c r="AJ256" s="226">
        <f t="shared" si="57"/>
        <v>2.2472987996939322E-3</v>
      </c>
      <c r="AK256" s="226">
        <f t="shared" si="57"/>
        <v>2.2214027835839316E-3</v>
      </c>
      <c r="AL256" s="226">
        <f t="shared" si="57"/>
        <v>2.1958051717851251E-3</v>
      </c>
      <c r="AM256" s="226">
        <f t="shared" si="57"/>
        <v>2.1705025257325776E-3</v>
      </c>
      <c r="AN256" s="226">
        <f t="shared" si="57"/>
        <v>2.1454914464845388E-3</v>
      </c>
      <c r="AO256" s="226">
        <f t="shared" si="57"/>
        <v>2.1207685742658561E-3</v>
      </c>
      <c r="AP256" s="226">
        <f t="shared" si="57"/>
        <v>2.0963305880166527E-3</v>
      </c>
      <c r="AQ256" s="226">
        <f t="shared" si="57"/>
        <v>2.0721742049462041E-3</v>
      </c>
      <c r="AR256" s="226">
        <f t="shared" si="57"/>
        <v>2.0482961800919555E-3</v>
      </c>
      <c r="AS256" s="226">
        <f t="shared" si="57"/>
        <v>2.0246933058836224E-3</v>
      </c>
      <c r="AT256" s="226">
        <f t="shared" si="57"/>
        <v>2.0013624117123118E-3</v>
      </c>
      <c r="AU256" s="226">
        <f t="shared" si="57"/>
        <v>1.9783003635046102E-3</v>
      </c>
      <c r="AV256" s="226">
        <f t="shared" si="57"/>
        <v>1.9555040633015787E-3</v>
      </c>
      <c r="AW256" s="226">
        <f t="shared" si="57"/>
        <v>1.9329704488425998E-3</v>
      </c>
      <c r="AX256" s="226">
        <f t="shared" si="57"/>
        <v>1.9106964931540193E-3</v>
      </c>
      <c r="AY256" s="226">
        <f t="shared" si="55"/>
        <v>1.8886792041425283E-3</v>
      </c>
      <c r="AZ256" s="226">
        <f t="shared" si="55"/>
        <v>1.8669156241932314E-3</v>
      </c>
      <c r="BA256" s="226">
        <f t="shared" si="55"/>
        <v>1.8454028297723453E-3</v>
      </c>
      <c r="BB256" s="226">
        <f t="shared" si="55"/>
        <v>1.8241379310344767E-3</v>
      </c>
      <c r="BC256" s="226">
        <f t="shared" si="55"/>
        <v>1.8031180714344248E-3</v>
      </c>
      <c r="BD256" s="226">
        <f t="shared" si="55"/>
        <v>1.7823404273434574E-3</v>
      </c>
      <c r="BE256" s="226">
        <f t="shared" si="55"/>
        <v>1.7618022076700088E-3</v>
      </c>
    </row>
    <row r="257" spans="5:57" s="10" customFormat="1" x14ac:dyDescent="0.35">
      <c r="E257" s="10" t="s">
        <v>647</v>
      </c>
      <c r="F257" s="10" t="s">
        <v>615</v>
      </c>
      <c r="G257" s="43" t="s">
        <v>616</v>
      </c>
      <c r="I257" s="20"/>
      <c r="J257" s="200"/>
      <c r="K257" s="200"/>
      <c r="L257" s="200"/>
      <c r="M257" s="200"/>
      <c r="N257" s="200">
        <v>2.8999999999999998E-3</v>
      </c>
      <c r="O257" s="226">
        <f t="shared" si="56"/>
        <v>2.8602186362782171E-3</v>
      </c>
      <c r="P257" s="226">
        <f t="shared" si="56"/>
        <v>2.8209829818321461E-3</v>
      </c>
      <c r="Q257" s="226">
        <f t="shared" si="56"/>
        <v>2.78228555077931E-3</v>
      </c>
      <c r="R257" s="226">
        <f t="shared" si="56"/>
        <v>2.744118959926409E-3</v>
      </c>
      <c r="S257" s="226">
        <f t="shared" si="56"/>
        <v>2.7064759273606595E-3</v>
      </c>
      <c r="T257" s="226">
        <f t="shared" si="56"/>
        <v>2.669349271060458E-3</v>
      </c>
      <c r="U257" s="226">
        <f t="shared" si="56"/>
        <v>2.6327319075251021E-3</v>
      </c>
      <c r="V257" s="226">
        <f t="shared" si="56"/>
        <v>2.596616850423309E-3</v>
      </c>
      <c r="W257" s="226">
        <f t="shared" si="56"/>
        <v>2.5609972092602747E-3</v>
      </c>
      <c r="X257" s="226">
        <f t="shared" si="56"/>
        <v>2.5258661880630147E-3</v>
      </c>
      <c r="Y257" s="226">
        <f t="shared" si="56"/>
        <v>2.491217084083743E-3</v>
      </c>
      <c r="Z257" s="226">
        <f t="shared" si="56"/>
        <v>2.4570432865210342E-3</v>
      </c>
      <c r="AA257" s="226">
        <f t="shared" si="56"/>
        <v>2.4233382752585314E-3</v>
      </c>
      <c r="AB257" s="226">
        <f t="shared" si="56"/>
        <v>2.3900956196209527E-3</v>
      </c>
      <c r="AC257" s="226">
        <f t="shared" si="56"/>
        <v>2.3573089771471659E-3</v>
      </c>
      <c r="AD257" s="226">
        <f t="shared" si="56"/>
        <v>2.3249720923800917E-3</v>
      </c>
      <c r="AE257" s="226">
        <f t="shared" si="54"/>
        <v>2.2930787956732066E-3</v>
      </c>
      <c r="AF257" s="226">
        <f t="shared" si="54"/>
        <v>2.2616230020134193E-3</v>
      </c>
      <c r="AG257" s="226">
        <f t="shared" si="54"/>
        <v>2.2305987098600929E-3</v>
      </c>
      <c r="AH257" s="227">
        <v>2.2000000000000001E-3</v>
      </c>
      <c r="AI257" s="226">
        <f t="shared" si="57"/>
        <v>2.1698210344179578E-3</v>
      </c>
      <c r="AJ257" s="226">
        <f t="shared" si="57"/>
        <v>2.1400560551830075E-3</v>
      </c>
      <c r="AK257" s="226">
        <f t="shared" si="57"/>
        <v>2.1106993833498217E-3</v>
      </c>
      <c r="AL257" s="226">
        <f t="shared" si="57"/>
        <v>2.081745417875207E-3</v>
      </c>
      <c r="AM257" s="226">
        <f t="shared" si="57"/>
        <v>2.053188634549466E-3</v>
      </c>
      <c r="AN257" s="226">
        <f t="shared" si="57"/>
        <v>2.0250235849424165E-3</v>
      </c>
      <c r="AO257" s="226">
        <f t="shared" si="57"/>
        <v>1.9972448953638707E-3</v>
      </c>
      <c r="AP257" s="226">
        <f t="shared" si="57"/>
        <v>1.9698472658383728E-3</v>
      </c>
      <c r="AQ257" s="226">
        <f t="shared" si="57"/>
        <v>1.9428254690940017E-3</v>
      </c>
      <c r="AR257" s="226">
        <f t="shared" si="57"/>
        <v>1.9161743495650458E-3</v>
      </c>
      <c r="AS257" s="226">
        <f t="shared" si="57"/>
        <v>1.8898888224083569E-3</v>
      </c>
      <c r="AT257" s="226">
        <f t="shared" si="57"/>
        <v>1.8639638725331986E-3</v>
      </c>
      <c r="AU257" s="226">
        <f t="shared" si="57"/>
        <v>1.8383945536444035E-3</v>
      </c>
      <c r="AV257" s="226">
        <f t="shared" si="57"/>
        <v>1.8131759872986543E-3</v>
      </c>
      <c r="AW257" s="226">
        <f t="shared" si="57"/>
        <v>1.7883033619737127E-3</v>
      </c>
      <c r="AX257" s="226">
        <f t="shared" si="57"/>
        <v>1.7637719321504149E-3</v>
      </c>
      <c r="AY257" s="226">
        <f t="shared" si="55"/>
        <v>1.7395770174072607E-3</v>
      </c>
      <c r="AZ257" s="226">
        <f t="shared" si="55"/>
        <v>1.715714001527422E-3</v>
      </c>
      <c r="BA257" s="226">
        <f t="shared" si="55"/>
        <v>1.6921783316180021E-3</v>
      </c>
      <c r="BB257" s="226">
        <f t="shared" si="55"/>
        <v>1.6689655172413759E-3</v>
      </c>
      <c r="BC257" s="226">
        <f t="shared" si="55"/>
        <v>1.6460711295584473E-3</v>
      </c>
      <c r="BD257" s="226">
        <f t="shared" si="55"/>
        <v>1.6234908004836574E-3</v>
      </c>
      <c r="BE257" s="226">
        <f t="shared" si="55"/>
        <v>1.6012202218515855E-3</v>
      </c>
    </row>
    <row r="258" spans="5:57" s="10" customFormat="1" x14ac:dyDescent="0.35">
      <c r="E258" s="10" t="s">
        <v>648</v>
      </c>
      <c r="F258" s="10" t="s">
        <v>615</v>
      </c>
      <c r="G258" s="43" t="s">
        <v>616</v>
      </c>
      <c r="I258" s="20"/>
      <c r="J258" s="200"/>
      <c r="K258" s="200"/>
      <c r="L258" s="200"/>
      <c r="M258" s="200"/>
      <c r="N258" s="200">
        <v>2.8E-3</v>
      </c>
      <c r="O258" s="226">
        <f t="shared" si="56"/>
        <v>2.7664400533175234E-3</v>
      </c>
      <c r="P258" s="226">
        <f t="shared" si="56"/>
        <v>2.7332823459283793E-3</v>
      </c>
      <c r="Q258" s="226">
        <f t="shared" si="56"/>
        <v>2.7005220567149829E-3</v>
      </c>
      <c r="R258" s="226">
        <f t="shared" si="56"/>
        <v>2.6681544223441946E-3</v>
      </c>
      <c r="S258" s="226">
        <f t="shared" si="56"/>
        <v>2.6361747365747355E-3</v>
      </c>
      <c r="T258" s="226">
        <f t="shared" si="56"/>
        <v>2.6045783495728999E-3</v>
      </c>
      <c r="U258" s="226">
        <f t="shared" si="56"/>
        <v>2.5733606672364716E-3</v>
      </c>
      <c r="V258" s="226">
        <f t="shared" si="56"/>
        <v>2.5425171505267436E-3</v>
      </c>
      <c r="W258" s="226">
        <f t="shared" si="56"/>
        <v>2.5120433148085436E-3</v>
      </c>
      <c r="X258" s="226">
        <f t="shared" si="56"/>
        <v>2.48193472919817E-3</v>
      </c>
      <c r="Y258" s="226">
        <f t="shared" si="56"/>
        <v>2.4521870159191425E-3</v>
      </c>
      <c r="Z258" s="226">
        <f t="shared" si="56"/>
        <v>2.4227958496656756E-3</v>
      </c>
      <c r="AA258" s="226">
        <f t="shared" si="56"/>
        <v>2.393756956973781E-3</v>
      </c>
      <c r="AB258" s="226">
        <f t="shared" si="56"/>
        <v>2.3650661155999071E-3</v>
      </c>
      <c r="AC258" s="226">
        <f t="shared" si="56"/>
        <v>2.336719153907027E-3</v>
      </c>
      <c r="AD258" s="226">
        <f t="shared" ref="AD258:AG273" si="58">AC258*(1+($AH258/$N258)^(1/($AH$6-$N$6))-1)</f>
        <v>2.3087119502580838E-3</v>
      </c>
      <c r="AE258" s="226">
        <f t="shared" si="58"/>
        <v>2.281040432416706E-3</v>
      </c>
      <c r="AF258" s="226">
        <f t="shared" si="58"/>
        <v>2.2537005769551069E-3</v>
      </c>
      <c r="AG258" s="226">
        <f t="shared" si="58"/>
        <v>2.2266884086690783E-3</v>
      </c>
      <c r="AH258" s="227">
        <v>2.2000000000000001E-3</v>
      </c>
      <c r="AI258" s="226">
        <f t="shared" si="57"/>
        <v>2.1736314704637687E-3</v>
      </c>
      <c r="AJ258" s="226">
        <f t="shared" si="57"/>
        <v>2.1475789860865842E-3</v>
      </c>
      <c r="AK258" s="226">
        <f t="shared" si="57"/>
        <v>2.1218387588474866E-3</v>
      </c>
      <c r="AL258" s="226">
        <f t="shared" si="57"/>
        <v>2.0964070461275816E-3</v>
      </c>
      <c r="AM258" s="226">
        <f t="shared" si="57"/>
        <v>2.0712801501658637E-3</v>
      </c>
      <c r="AN258" s="226">
        <f t="shared" si="57"/>
        <v>2.0464544175215643E-3</v>
      </c>
      <c r="AO258" s="226">
        <f t="shared" si="57"/>
        <v>2.0219262385429422E-3</v>
      </c>
      <c r="AP258" s="226">
        <f t="shared" si="57"/>
        <v>1.9976920468424415E-3</v>
      </c>
      <c r="AQ258" s="226">
        <f t="shared" si="57"/>
        <v>1.9737483187781415E-3</v>
      </c>
      <c r="AR258" s="226">
        <f t="shared" si="57"/>
        <v>1.9500915729414193E-3</v>
      </c>
      <c r="AS258" s="226">
        <f t="shared" si="57"/>
        <v>1.9267183696507547E-3</v>
      </c>
      <c r="AT258" s="226">
        <f t="shared" si="57"/>
        <v>1.9036253104516021E-3</v>
      </c>
      <c r="AU258" s="226">
        <f t="shared" si="57"/>
        <v>1.8808090376222562E-3</v>
      </c>
      <c r="AV258" s="226">
        <f t="shared" si="57"/>
        <v>1.8582662336856408E-3</v>
      </c>
      <c r="AW258" s="226">
        <f t="shared" si="57"/>
        <v>1.8359936209269491E-3</v>
      </c>
      <c r="AX258" s="226">
        <f t="shared" ref="AX258:BE273" si="59">AW258*(1+($AH258/$N258)^(1/($AH$6-$N$6))-1)</f>
        <v>1.8139879609170651E-3</v>
      </c>
      <c r="AY258" s="226">
        <f t="shared" si="59"/>
        <v>1.7922460540416968E-3</v>
      </c>
      <c r="AZ258" s="226">
        <f t="shared" si="59"/>
        <v>1.7707647390361547E-3</v>
      </c>
      <c r="BA258" s="226">
        <f t="shared" si="59"/>
        <v>1.7495408925257037E-3</v>
      </c>
      <c r="BB258" s="226">
        <f t="shared" si="59"/>
        <v>1.728571428571427E-3</v>
      </c>
      <c r="BC258" s="226">
        <f t="shared" si="59"/>
        <v>1.7078532982215309E-3</v>
      </c>
      <c r="BD258" s="226">
        <f t="shared" si="59"/>
        <v>1.6873834890680287E-3</v>
      </c>
      <c r="BE258" s="226">
        <f t="shared" si="59"/>
        <v>1.6671590248087378E-3</v>
      </c>
    </row>
    <row r="259" spans="5:57" s="10" customFormat="1" x14ac:dyDescent="0.35">
      <c r="E259" s="10" t="s">
        <v>649</v>
      </c>
      <c r="F259" s="10" t="s">
        <v>615</v>
      </c>
      <c r="G259" s="43" t="s">
        <v>616</v>
      </c>
      <c r="I259" s="20"/>
      <c r="J259" s="200"/>
      <c r="K259" s="200"/>
      <c r="L259" s="200"/>
      <c r="M259" s="200"/>
      <c r="N259" s="200">
        <v>2.8E-3</v>
      </c>
      <c r="O259" s="226">
        <f t="shared" ref="O259:AD274" si="60">N259*(1+($AH259/$N259)^(1/($AH$6-$N$6))-1)</f>
        <v>2.7664400533175234E-3</v>
      </c>
      <c r="P259" s="226">
        <f t="shared" si="60"/>
        <v>2.7332823459283793E-3</v>
      </c>
      <c r="Q259" s="226">
        <f t="shared" si="60"/>
        <v>2.7005220567149829E-3</v>
      </c>
      <c r="R259" s="226">
        <f t="shared" si="60"/>
        <v>2.6681544223441946E-3</v>
      </c>
      <c r="S259" s="226">
        <f t="shared" si="60"/>
        <v>2.6361747365747355E-3</v>
      </c>
      <c r="T259" s="226">
        <f t="shared" si="60"/>
        <v>2.6045783495728999E-3</v>
      </c>
      <c r="U259" s="226">
        <f t="shared" si="60"/>
        <v>2.5733606672364716E-3</v>
      </c>
      <c r="V259" s="226">
        <f t="shared" si="60"/>
        <v>2.5425171505267436E-3</v>
      </c>
      <c r="W259" s="226">
        <f t="shared" si="60"/>
        <v>2.5120433148085436E-3</v>
      </c>
      <c r="X259" s="226">
        <f t="shared" si="60"/>
        <v>2.48193472919817E-3</v>
      </c>
      <c r="Y259" s="226">
        <f t="shared" si="60"/>
        <v>2.4521870159191425E-3</v>
      </c>
      <c r="Z259" s="226">
        <f t="shared" si="60"/>
        <v>2.4227958496656756E-3</v>
      </c>
      <c r="AA259" s="226">
        <f t="shared" si="60"/>
        <v>2.393756956973781E-3</v>
      </c>
      <c r="AB259" s="226">
        <f t="shared" si="60"/>
        <v>2.3650661155999071E-3</v>
      </c>
      <c r="AC259" s="226">
        <f t="shared" si="60"/>
        <v>2.336719153907027E-3</v>
      </c>
      <c r="AD259" s="226">
        <f t="shared" si="60"/>
        <v>2.3087119502580838E-3</v>
      </c>
      <c r="AE259" s="226">
        <f t="shared" si="58"/>
        <v>2.281040432416706E-3</v>
      </c>
      <c r="AF259" s="226">
        <f t="shared" si="58"/>
        <v>2.2537005769551069E-3</v>
      </c>
      <c r="AG259" s="226">
        <f t="shared" si="58"/>
        <v>2.2266884086690783E-3</v>
      </c>
      <c r="AH259" s="227">
        <v>2.2000000000000001E-3</v>
      </c>
      <c r="AI259" s="226">
        <f t="shared" ref="AI259:AX274" si="61">AH259*(1+($AH259/$N259)^(1/($AH$6-$N$6))-1)</f>
        <v>2.1736314704637687E-3</v>
      </c>
      <c r="AJ259" s="226">
        <f t="shared" si="61"/>
        <v>2.1475789860865842E-3</v>
      </c>
      <c r="AK259" s="226">
        <f t="shared" si="61"/>
        <v>2.1218387588474866E-3</v>
      </c>
      <c r="AL259" s="226">
        <f t="shared" si="61"/>
        <v>2.0964070461275816E-3</v>
      </c>
      <c r="AM259" s="226">
        <f t="shared" si="61"/>
        <v>2.0712801501658637E-3</v>
      </c>
      <c r="AN259" s="226">
        <f t="shared" si="61"/>
        <v>2.0464544175215643E-3</v>
      </c>
      <c r="AO259" s="226">
        <f t="shared" si="61"/>
        <v>2.0219262385429422E-3</v>
      </c>
      <c r="AP259" s="226">
        <f t="shared" si="61"/>
        <v>1.9976920468424415E-3</v>
      </c>
      <c r="AQ259" s="226">
        <f t="shared" si="61"/>
        <v>1.9737483187781415E-3</v>
      </c>
      <c r="AR259" s="226">
        <f t="shared" si="61"/>
        <v>1.9500915729414193E-3</v>
      </c>
      <c r="AS259" s="226">
        <f t="shared" si="61"/>
        <v>1.9267183696507547E-3</v>
      </c>
      <c r="AT259" s="226">
        <f t="shared" si="61"/>
        <v>1.9036253104516021E-3</v>
      </c>
      <c r="AU259" s="226">
        <f t="shared" si="61"/>
        <v>1.8808090376222562E-3</v>
      </c>
      <c r="AV259" s="226">
        <f t="shared" si="61"/>
        <v>1.8582662336856408E-3</v>
      </c>
      <c r="AW259" s="226">
        <f t="shared" si="61"/>
        <v>1.8359936209269491E-3</v>
      </c>
      <c r="AX259" s="226">
        <f t="shared" si="61"/>
        <v>1.8139879609170651E-3</v>
      </c>
      <c r="AY259" s="226">
        <f t="shared" si="59"/>
        <v>1.7922460540416968E-3</v>
      </c>
      <c r="AZ259" s="226">
        <f t="shared" si="59"/>
        <v>1.7707647390361547E-3</v>
      </c>
      <c r="BA259" s="226">
        <f t="shared" si="59"/>
        <v>1.7495408925257037E-3</v>
      </c>
      <c r="BB259" s="226">
        <f t="shared" si="59"/>
        <v>1.728571428571427E-3</v>
      </c>
      <c r="BC259" s="226">
        <f t="shared" si="59"/>
        <v>1.7078532982215309E-3</v>
      </c>
      <c r="BD259" s="226">
        <f t="shared" si="59"/>
        <v>1.6873834890680287E-3</v>
      </c>
      <c r="BE259" s="226">
        <f t="shared" si="59"/>
        <v>1.6671590248087378E-3</v>
      </c>
    </row>
    <row r="260" spans="5:57" s="10" customFormat="1" x14ac:dyDescent="0.35">
      <c r="E260" s="10" t="s">
        <v>650</v>
      </c>
      <c r="F260" s="10" t="s">
        <v>615</v>
      </c>
      <c r="G260" s="43" t="s">
        <v>616</v>
      </c>
      <c r="I260" s="20"/>
      <c r="J260" s="200"/>
      <c r="K260" s="200"/>
      <c r="L260" s="200"/>
      <c r="M260" s="200"/>
      <c r="N260" s="200">
        <v>2.8E-3</v>
      </c>
      <c r="O260" s="226">
        <f t="shared" si="60"/>
        <v>2.7664400533175234E-3</v>
      </c>
      <c r="P260" s="226">
        <f t="shared" si="60"/>
        <v>2.7332823459283793E-3</v>
      </c>
      <c r="Q260" s="226">
        <f t="shared" si="60"/>
        <v>2.7005220567149829E-3</v>
      </c>
      <c r="R260" s="226">
        <f t="shared" si="60"/>
        <v>2.6681544223441946E-3</v>
      </c>
      <c r="S260" s="226">
        <f t="shared" si="60"/>
        <v>2.6361747365747355E-3</v>
      </c>
      <c r="T260" s="226">
        <f t="shared" si="60"/>
        <v>2.6045783495728999E-3</v>
      </c>
      <c r="U260" s="226">
        <f t="shared" si="60"/>
        <v>2.5733606672364716E-3</v>
      </c>
      <c r="V260" s="226">
        <f t="shared" si="60"/>
        <v>2.5425171505267436E-3</v>
      </c>
      <c r="W260" s="226">
        <f t="shared" si="60"/>
        <v>2.5120433148085436E-3</v>
      </c>
      <c r="X260" s="226">
        <f t="shared" si="60"/>
        <v>2.48193472919817E-3</v>
      </c>
      <c r="Y260" s="226">
        <f t="shared" si="60"/>
        <v>2.4521870159191425E-3</v>
      </c>
      <c r="Z260" s="226">
        <f t="shared" si="60"/>
        <v>2.4227958496656756E-3</v>
      </c>
      <c r="AA260" s="226">
        <f t="shared" si="60"/>
        <v>2.393756956973781E-3</v>
      </c>
      <c r="AB260" s="226">
        <f t="shared" si="60"/>
        <v>2.3650661155999071E-3</v>
      </c>
      <c r="AC260" s="226">
        <f t="shared" si="60"/>
        <v>2.336719153907027E-3</v>
      </c>
      <c r="AD260" s="226">
        <f t="shared" si="60"/>
        <v>2.3087119502580838E-3</v>
      </c>
      <c r="AE260" s="226">
        <f t="shared" si="58"/>
        <v>2.281040432416706E-3</v>
      </c>
      <c r="AF260" s="226">
        <f t="shared" si="58"/>
        <v>2.2537005769551069E-3</v>
      </c>
      <c r="AG260" s="226">
        <f t="shared" si="58"/>
        <v>2.2266884086690783E-3</v>
      </c>
      <c r="AH260" s="227">
        <v>2.2000000000000001E-3</v>
      </c>
      <c r="AI260" s="226">
        <f t="shared" si="61"/>
        <v>2.1736314704637687E-3</v>
      </c>
      <c r="AJ260" s="226">
        <f t="shared" si="61"/>
        <v>2.1475789860865842E-3</v>
      </c>
      <c r="AK260" s="226">
        <f t="shared" si="61"/>
        <v>2.1218387588474866E-3</v>
      </c>
      <c r="AL260" s="226">
        <f t="shared" si="61"/>
        <v>2.0964070461275816E-3</v>
      </c>
      <c r="AM260" s="226">
        <f t="shared" si="61"/>
        <v>2.0712801501658637E-3</v>
      </c>
      <c r="AN260" s="226">
        <f t="shared" si="61"/>
        <v>2.0464544175215643E-3</v>
      </c>
      <c r="AO260" s="226">
        <f t="shared" si="61"/>
        <v>2.0219262385429422E-3</v>
      </c>
      <c r="AP260" s="226">
        <f t="shared" si="61"/>
        <v>1.9976920468424415E-3</v>
      </c>
      <c r="AQ260" s="226">
        <f t="shared" si="61"/>
        <v>1.9737483187781415E-3</v>
      </c>
      <c r="AR260" s="226">
        <f t="shared" si="61"/>
        <v>1.9500915729414193E-3</v>
      </c>
      <c r="AS260" s="226">
        <f t="shared" si="61"/>
        <v>1.9267183696507547E-3</v>
      </c>
      <c r="AT260" s="226">
        <f t="shared" si="61"/>
        <v>1.9036253104516021E-3</v>
      </c>
      <c r="AU260" s="226">
        <f t="shared" si="61"/>
        <v>1.8808090376222562E-3</v>
      </c>
      <c r="AV260" s="226">
        <f t="shared" si="61"/>
        <v>1.8582662336856408E-3</v>
      </c>
      <c r="AW260" s="226">
        <f t="shared" si="61"/>
        <v>1.8359936209269491E-3</v>
      </c>
      <c r="AX260" s="226">
        <f t="shared" si="61"/>
        <v>1.8139879609170651E-3</v>
      </c>
      <c r="AY260" s="226">
        <f t="shared" si="59"/>
        <v>1.7922460540416968E-3</v>
      </c>
      <c r="AZ260" s="226">
        <f t="shared" si="59"/>
        <v>1.7707647390361547E-3</v>
      </c>
      <c r="BA260" s="226">
        <f t="shared" si="59"/>
        <v>1.7495408925257037E-3</v>
      </c>
      <c r="BB260" s="226">
        <f t="shared" si="59"/>
        <v>1.728571428571427E-3</v>
      </c>
      <c r="BC260" s="226">
        <f t="shared" si="59"/>
        <v>1.7078532982215309E-3</v>
      </c>
      <c r="BD260" s="226">
        <f t="shared" si="59"/>
        <v>1.6873834890680287E-3</v>
      </c>
      <c r="BE260" s="226">
        <f t="shared" si="59"/>
        <v>1.6671590248087378E-3</v>
      </c>
    </row>
    <row r="261" spans="5:57" s="10" customFormat="1" x14ac:dyDescent="0.35">
      <c r="E261" s="10" t="s">
        <v>651</v>
      </c>
      <c r="F261" s="10" t="s">
        <v>615</v>
      </c>
      <c r="G261" s="43" t="s">
        <v>616</v>
      </c>
      <c r="I261" s="20"/>
      <c r="J261" s="200"/>
      <c r="K261" s="200"/>
      <c r="L261" s="200"/>
      <c r="M261" s="200"/>
      <c r="N261" s="200">
        <v>2.8E-3</v>
      </c>
      <c r="O261" s="226">
        <f t="shared" si="60"/>
        <v>2.7664400533175234E-3</v>
      </c>
      <c r="P261" s="226">
        <f t="shared" si="60"/>
        <v>2.7332823459283793E-3</v>
      </c>
      <c r="Q261" s="226">
        <f t="shared" si="60"/>
        <v>2.7005220567149829E-3</v>
      </c>
      <c r="R261" s="226">
        <f t="shared" si="60"/>
        <v>2.6681544223441946E-3</v>
      </c>
      <c r="S261" s="226">
        <f t="shared" si="60"/>
        <v>2.6361747365747355E-3</v>
      </c>
      <c r="T261" s="226">
        <f t="shared" si="60"/>
        <v>2.6045783495728999E-3</v>
      </c>
      <c r="U261" s="226">
        <f t="shared" si="60"/>
        <v>2.5733606672364716E-3</v>
      </c>
      <c r="V261" s="226">
        <f t="shared" si="60"/>
        <v>2.5425171505267436E-3</v>
      </c>
      <c r="W261" s="226">
        <f t="shared" si="60"/>
        <v>2.5120433148085436E-3</v>
      </c>
      <c r="X261" s="226">
        <f t="shared" si="60"/>
        <v>2.48193472919817E-3</v>
      </c>
      <c r="Y261" s="226">
        <f t="shared" si="60"/>
        <v>2.4521870159191425E-3</v>
      </c>
      <c r="Z261" s="226">
        <f t="shared" si="60"/>
        <v>2.4227958496656756E-3</v>
      </c>
      <c r="AA261" s="226">
        <f t="shared" si="60"/>
        <v>2.393756956973781E-3</v>
      </c>
      <c r="AB261" s="226">
        <f t="shared" si="60"/>
        <v>2.3650661155999071E-3</v>
      </c>
      <c r="AC261" s="226">
        <f t="shared" si="60"/>
        <v>2.336719153907027E-3</v>
      </c>
      <c r="AD261" s="226">
        <f t="shared" si="60"/>
        <v>2.3087119502580838E-3</v>
      </c>
      <c r="AE261" s="226">
        <f t="shared" si="58"/>
        <v>2.281040432416706E-3</v>
      </c>
      <c r="AF261" s="226">
        <f t="shared" si="58"/>
        <v>2.2537005769551069E-3</v>
      </c>
      <c r="AG261" s="226">
        <f t="shared" si="58"/>
        <v>2.2266884086690783E-3</v>
      </c>
      <c r="AH261" s="227">
        <v>2.2000000000000001E-3</v>
      </c>
      <c r="AI261" s="226">
        <f t="shared" si="61"/>
        <v>2.1736314704637687E-3</v>
      </c>
      <c r="AJ261" s="226">
        <f t="shared" si="61"/>
        <v>2.1475789860865842E-3</v>
      </c>
      <c r="AK261" s="226">
        <f t="shared" si="61"/>
        <v>2.1218387588474866E-3</v>
      </c>
      <c r="AL261" s="226">
        <f t="shared" si="61"/>
        <v>2.0964070461275816E-3</v>
      </c>
      <c r="AM261" s="226">
        <f t="shared" si="61"/>
        <v>2.0712801501658637E-3</v>
      </c>
      <c r="AN261" s="226">
        <f t="shared" si="61"/>
        <v>2.0464544175215643E-3</v>
      </c>
      <c r="AO261" s="226">
        <f t="shared" si="61"/>
        <v>2.0219262385429422E-3</v>
      </c>
      <c r="AP261" s="226">
        <f t="shared" si="61"/>
        <v>1.9976920468424415E-3</v>
      </c>
      <c r="AQ261" s="226">
        <f t="shared" si="61"/>
        <v>1.9737483187781415E-3</v>
      </c>
      <c r="AR261" s="226">
        <f t="shared" si="61"/>
        <v>1.9500915729414193E-3</v>
      </c>
      <c r="AS261" s="226">
        <f t="shared" si="61"/>
        <v>1.9267183696507547E-3</v>
      </c>
      <c r="AT261" s="226">
        <f t="shared" si="61"/>
        <v>1.9036253104516021E-3</v>
      </c>
      <c r="AU261" s="226">
        <f t="shared" si="61"/>
        <v>1.8808090376222562E-3</v>
      </c>
      <c r="AV261" s="226">
        <f t="shared" si="61"/>
        <v>1.8582662336856408E-3</v>
      </c>
      <c r="AW261" s="226">
        <f t="shared" si="61"/>
        <v>1.8359936209269491E-3</v>
      </c>
      <c r="AX261" s="226">
        <f t="shared" si="61"/>
        <v>1.8139879609170651E-3</v>
      </c>
      <c r="AY261" s="226">
        <f t="shared" si="59"/>
        <v>1.7922460540416968E-3</v>
      </c>
      <c r="AZ261" s="226">
        <f t="shared" si="59"/>
        <v>1.7707647390361547E-3</v>
      </c>
      <c r="BA261" s="226">
        <f t="shared" si="59"/>
        <v>1.7495408925257037E-3</v>
      </c>
      <c r="BB261" s="226">
        <f t="shared" si="59"/>
        <v>1.728571428571427E-3</v>
      </c>
      <c r="BC261" s="226">
        <f t="shared" si="59"/>
        <v>1.7078532982215309E-3</v>
      </c>
      <c r="BD261" s="226">
        <f t="shared" si="59"/>
        <v>1.6873834890680287E-3</v>
      </c>
      <c r="BE261" s="226">
        <f t="shared" si="59"/>
        <v>1.6671590248087378E-3</v>
      </c>
    </row>
    <row r="262" spans="5:57" s="10" customFormat="1" x14ac:dyDescent="0.35">
      <c r="E262" s="10" t="s">
        <v>652</v>
      </c>
      <c r="F262" s="10" t="s">
        <v>615</v>
      </c>
      <c r="G262" s="43" t="s">
        <v>616</v>
      </c>
      <c r="I262" s="20"/>
      <c r="J262" s="200"/>
      <c r="K262" s="200"/>
      <c r="L262" s="200"/>
      <c r="M262" s="200"/>
      <c r="N262" s="200">
        <v>2.8E-3</v>
      </c>
      <c r="O262" s="226">
        <f t="shared" si="60"/>
        <v>2.7664400533175234E-3</v>
      </c>
      <c r="P262" s="226">
        <f t="shared" si="60"/>
        <v>2.7332823459283793E-3</v>
      </c>
      <c r="Q262" s="226">
        <f t="shared" si="60"/>
        <v>2.7005220567149829E-3</v>
      </c>
      <c r="R262" s="226">
        <f t="shared" si="60"/>
        <v>2.6681544223441946E-3</v>
      </c>
      <c r="S262" s="226">
        <f t="shared" si="60"/>
        <v>2.6361747365747355E-3</v>
      </c>
      <c r="T262" s="226">
        <f t="shared" si="60"/>
        <v>2.6045783495728999E-3</v>
      </c>
      <c r="U262" s="226">
        <f t="shared" si="60"/>
        <v>2.5733606672364716E-3</v>
      </c>
      <c r="V262" s="226">
        <f t="shared" si="60"/>
        <v>2.5425171505267436E-3</v>
      </c>
      <c r="W262" s="226">
        <f t="shared" si="60"/>
        <v>2.5120433148085436E-3</v>
      </c>
      <c r="X262" s="226">
        <f t="shared" si="60"/>
        <v>2.48193472919817E-3</v>
      </c>
      <c r="Y262" s="226">
        <f t="shared" si="60"/>
        <v>2.4521870159191425E-3</v>
      </c>
      <c r="Z262" s="226">
        <f t="shared" si="60"/>
        <v>2.4227958496656756E-3</v>
      </c>
      <c r="AA262" s="226">
        <f t="shared" si="60"/>
        <v>2.393756956973781E-3</v>
      </c>
      <c r="AB262" s="226">
        <f t="shared" si="60"/>
        <v>2.3650661155999071E-3</v>
      </c>
      <c r="AC262" s="226">
        <f t="shared" si="60"/>
        <v>2.336719153907027E-3</v>
      </c>
      <c r="AD262" s="226">
        <f t="shared" si="60"/>
        <v>2.3087119502580838E-3</v>
      </c>
      <c r="AE262" s="226">
        <f t="shared" si="58"/>
        <v>2.281040432416706E-3</v>
      </c>
      <c r="AF262" s="226">
        <f t="shared" si="58"/>
        <v>2.2537005769551069E-3</v>
      </c>
      <c r="AG262" s="226">
        <f t="shared" si="58"/>
        <v>2.2266884086690783E-3</v>
      </c>
      <c r="AH262" s="227">
        <v>2.2000000000000001E-3</v>
      </c>
      <c r="AI262" s="226">
        <f t="shared" si="61"/>
        <v>2.1736314704637687E-3</v>
      </c>
      <c r="AJ262" s="226">
        <f t="shared" si="61"/>
        <v>2.1475789860865842E-3</v>
      </c>
      <c r="AK262" s="226">
        <f t="shared" si="61"/>
        <v>2.1218387588474866E-3</v>
      </c>
      <c r="AL262" s="226">
        <f t="shared" si="61"/>
        <v>2.0964070461275816E-3</v>
      </c>
      <c r="AM262" s="226">
        <f t="shared" si="61"/>
        <v>2.0712801501658637E-3</v>
      </c>
      <c r="AN262" s="226">
        <f t="shared" si="61"/>
        <v>2.0464544175215643E-3</v>
      </c>
      <c r="AO262" s="226">
        <f t="shared" si="61"/>
        <v>2.0219262385429422E-3</v>
      </c>
      <c r="AP262" s="226">
        <f t="shared" si="61"/>
        <v>1.9976920468424415E-3</v>
      </c>
      <c r="AQ262" s="226">
        <f t="shared" si="61"/>
        <v>1.9737483187781415E-3</v>
      </c>
      <c r="AR262" s="226">
        <f t="shared" si="61"/>
        <v>1.9500915729414193E-3</v>
      </c>
      <c r="AS262" s="226">
        <f t="shared" si="61"/>
        <v>1.9267183696507547E-3</v>
      </c>
      <c r="AT262" s="226">
        <f t="shared" si="61"/>
        <v>1.9036253104516021E-3</v>
      </c>
      <c r="AU262" s="226">
        <f t="shared" si="61"/>
        <v>1.8808090376222562E-3</v>
      </c>
      <c r="AV262" s="226">
        <f t="shared" si="61"/>
        <v>1.8582662336856408E-3</v>
      </c>
      <c r="AW262" s="226">
        <f t="shared" si="61"/>
        <v>1.8359936209269491E-3</v>
      </c>
      <c r="AX262" s="226">
        <f t="shared" si="61"/>
        <v>1.8139879609170651E-3</v>
      </c>
      <c r="AY262" s="226">
        <f t="shared" si="59"/>
        <v>1.7922460540416968E-3</v>
      </c>
      <c r="AZ262" s="226">
        <f t="shared" si="59"/>
        <v>1.7707647390361547E-3</v>
      </c>
      <c r="BA262" s="226">
        <f t="shared" si="59"/>
        <v>1.7495408925257037E-3</v>
      </c>
      <c r="BB262" s="226">
        <f t="shared" si="59"/>
        <v>1.728571428571427E-3</v>
      </c>
      <c r="BC262" s="226">
        <f t="shared" si="59"/>
        <v>1.7078532982215309E-3</v>
      </c>
      <c r="BD262" s="226">
        <f t="shared" si="59"/>
        <v>1.6873834890680287E-3</v>
      </c>
      <c r="BE262" s="226">
        <f t="shared" si="59"/>
        <v>1.6671590248087378E-3</v>
      </c>
    </row>
    <row r="263" spans="5:57" s="10" customFormat="1" x14ac:dyDescent="0.35">
      <c r="E263" s="10" t="s">
        <v>653</v>
      </c>
      <c r="F263" s="10" t="s">
        <v>615</v>
      </c>
      <c r="G263" s="43" t="s">
        <v>616</v>
      </c>
      <c r="I263" s="20"/>
      <c r="J263" s="200"/>
      <c r="K263" s="200"/>
      <c r="L263" s="200"/>
      <c r="M263" s="200"/>
      <c r="N263" s="200">
        <v>2.8E-3</v>
      </c>
      <c r="O263" s="226">
        <f t="shared" si="60"/>
        <v>2.7664400533175234E-3</v>
      </c>
      <c r="P263" s="226">
        <f t="shared" si="60"/>
        <v>2.7332823459283793E-3</v>
      </c>
      <c r="Q263" s="226">
        <f t="shared" si="60"/>
        <v>2.7005220567149829E-3</v>
      </c>
      <c r="R263" s="226">
        <f t="shared" si="60"/>
        <v>2.6681544223441946E-3</v>
      </c>
      <c r="S263" s="226">
        <f t="shared" si="60"/>
        <v>2.6361747365747355E-3</v>
      </c>
      <c r="T263" s="226">
        <f t="shared" si="60"/>
        <v>2.6045783495728999E-3</v>
      </c>
      <c r="U263" s="226">
        <f t="shared" si="60"/>
        <v>2.5733606672364716E-3</v>
      </c>
      <c r="V263" s="226">
        <f t="shared" si="60"/>
        <v>2.5425171505267436E-3</v>
      </c>
      <c r="W263" s="226">
        <f t="shared" si="60"/>
        <v>2.5120433148085436E-3</v>
      </c>
      <c r="X263" s="226">
        <f t="shared" si="60"/>
        <v>2.48193472919817E-3</v>
      </c>
      <c r="Y263" s="226">
        <f t="shared" si="60"/>
        <v>2.4521870159191425E-3</v>
      </c>
      <c r="Z263" s="226">
        <f t="shared" si="60"/>
        <v>2.4227958496656756E-3</v>
      </c>
      <c r="AA263" s="226">
        <f t="shared" si="60"/>
        <v>2.393756956973781E-3</v>
      </c>
      <c r="AB263" s="226">
        <f t="shared" si="60"/>
        <v>2.3650661155999071E-3</v>
      </c>
      <c r="AC263" s="226">
        <f t="shared" si="60"/>
        <v>2.336719153907027E-3</v>
      </c>
      <c r="AD263" s="226">
        <f t="shared" si="60"/>
        <v>2.3087119502580838E-3</v>
      </c>
      <c r="AE263" s="226">
        <f t="shared" si="58"/>
        <v>2.281040432416706E-3</v>
      </c>
      <c r="AF263" s="226">
        <f t="shared" si="58"/>
        <v>2.2537005769551069E-3</v>
      </c>
      <c r="AG263" s="226">
        <f t="shared" si="58"/>
        <v>2.2266884086690783E-3</v>
      </c>
      <c r="AH263" s="227">
        <v>2.2000000000000001E-3</v>
      </c>
      <c r="AI263" s="226">
        <f t="shared" si="61"/>
        <v>2.1736314704637687E-3</v>
      </c>
      <c r="AJ263" s="226">
        <f t="shared" si="61"/>
        <v>2.1475789860865842E-3</v>
      </c>
      <c r="AK263" s="226">
        <f t="shared" si="61"/>
        <v>2.1218387588474866E-3</v>
      </c>
      <c r="AL263" s="226">
        <f t="shared" si="61"/>
        <v>2.0964070461275816E-3</v>
      </c>
      <c r="AM263" s="226">
        <f t="shared" si="61"/>
        <v>2.0712801501658637E-3</v>
      </c>
      <c r="AN263" s="226">
        <f t="shared" si="61"/>
        <v>2.0464544175215643E-3</v>
      </c>
      <c r="AO263" s="226">
        <f t="shared" si="61"/>
        <v>2.0219262385429422E-3</v>
      </c>
      <c r="AP263" s="226">
        <f t="shared" si="61"/>
        <v>1.9976920468424415E-3</v>
      </c>
      <c r="AQ263" s="226">
        <f t="shared" si="61"/>
        <v>1.9737483187781415E-3</v>
      </c>
      <c r="AR263" s="226">
        <f t="shared" si="61"/>
        <v>1.9500915729414193E-3</v>
      </c>
      <c r="AS263" s="226">
        <f t="shared" si="61"/>
        <v>1.9267183696507547E-3</v>
      </c>
      <c r="AT263" s="226">
        <f t="shared" si="61"/>
        <v>1.9036253104516021E-3</v>
      </c>
      <c r="AU263" s="226">
        <f t="shared" si="61"/>
        <v>1.8808090376222562E-3</v>
      </c>
      <c r="AV263" s="226">
        <f t="shared" si="61"/>
        <v>1.8582662336856408E-3</v>
      </c>
      <c r="AW263" s="226">
        <f t="shared" si="61"/>
        <v>1.8359936209269491E-3</v>
      </c>
      <c r="AX263" s="226">
        <f t="shared" si="61"/>
        <v>1.8139879609170651E-3</v>
      </c>
      <c r="AY263" s="226">
        <f t="shared" si="59"/>
        <v>1.7922460540416968E-3</v>
      </c>
      <c r="AZ263" s="226">
        <f t="shared" si="59"/>
        <v>1.7707647390361547E-3</v>
      </c>
      <c r="BA263" s="226">
        <f t="shared" si="59"/>
        <v>1.7495408925257037E-3</v>
      </c>
      <c r="BB263" s="226">
        <f t="shared" si="59"/>
        <v>1.728571428571427E-3</v>
      </c>
      <c r="BC263" s="226">
        <f t="shared" si="59"/>
        <v>1.7078532982215309E-3</v>
      </c>
      <c r="BD263" s="226">
        <f t="shared" si="59"/>
        <v>1.6873834890680287E-3</v>
      </c>
      <c r="BE263" s="226">
        <f t="shared" si="59"/>
        <v>1.6671590248087378E-3</v>
      </c>
    </row>
    <row r="264" spans="5:57" s="10" customFormat="1" x14ac:dyDescent="0.35">
      <c r="E264" s="10" t="s">
        <v>654</v>
      </c>
      <c r="F264" s="10" t="s">
        <v>615</v>
      </c>
      <c r="G264" s="43" t="s">
        <v>616</v>
      </c>
      <c r="I264" s="20"/>
      <c r="J264" s="200"/>
      <c r="K264" s="200"/>
      <c r="L264" s="200"/>
      <c r="M264" s="200"/>
      <c r="N264" s="200">
        <v>2.8E-3</v>
      </c>
      <c r="O264" s="226">
        <f t="shared" si="60"/>
        <v>2.7664400533175234E-3</v>
      </c>
      <c r="P264" s="226">
        <f t="shared" si="60"/>
        <v>2.7332823459283793E-3</v>
      </c>
      <c r="Q264" s="226">
        <f t="shared" si="60"/>
        <v>2.7005220567149829E-3</v>
      </c>
      <c r="R264" s="226">
        <f t="shared" si="60"/>
        <v>2.6681544223441946E-3</v>
      </c>
      <c r="S264" s="226">
        <f t="shared" si="60"/>
        <v>2.6361747365747355E-3</v>
      </c>
      <c r="T264" s="226">
        <f t="shared" si="60"/>
        <v>2.6045783495728999E-3</v>
      </c>
      <c r="U264" s="226">
        <f t="shared" si="60"/>
        <v>2.5733606672364716E-3</v>
      </c>
      <c r="V264" s="226">
        <f t="shared" si="60"/>
        <v>2.5425171505267436E-3</v>
      </c>
      <c r="W264" s="226">
        <f t="shared" si="60"/>
        <v>2.5120433148085436E-3</v>
      </c>
      <c r="X264" s="226">
        <f t="shared" si="60"/>
        <v>2.48193472919817E-3</v>
      </c>
      <c r="Y264" s="226">
        <f t="shared" si="60"/>
        <v>2.4521870159191425E-3</v>
      </c>
      <c r="Z264" s="226">
        <f t="shared" si="60"/>
        <v>2.4227958496656756E-3</v>
      </c>
      <c r="AA264" s="226">
        <f t="shared" si="60"/>
        <v>2.393756956973781E-3</v>
      </c>
      <c r="AB264" s="226">
        <f t="shared" si="60"/>
        <v>2.3650661155999071E-3</v>
      </c>
      <c r="AC264" s="226">
        <f t="shared" si="60"/>
        <v>2.336719153907027E-3</v>
      </c>
      <c r="AD264" s="226">
        <f t="shared" si="60"/>
        <v>2.3087119502580838E-3</v>
      </c>
      <c r="AE264" s="226">
        <f t="shared" si="58"/>
        <v>2.281040432416706E-3</v>
      </c>
      <c r="AF264" s="226">
        <f t="shared" si="58"/>
        <v>2.2537005769551069E-3</v>
      </c>
      <c r="AG264" s="226">
        <f t="shared" si="58"/>
        <v>2.2266884086690783E-3</v>
      </c>
      <c r="AH264" s="227">
        <v>2.2000000000000001E-3</v>
      </c>
      <c r="AI264" s="226">
        <f t="shared" si="61"/>
        <v>2.1736314704637687E-3</v>
      </c>
      <c r="AJ264" s="226">
        <f t="shared" si="61"/>
        <v>2.1475789860865842E-3</v>
      </c>
      <c r="AK264" s="226">
        <f t="shared" si="61"/>
        <v>2.1218387588474866E-3</v>
      </c>
      <c r="AL264" s="226">
        <f t="shared" si="61"/>
        <v>2.0964070461275816E-3</v>
      </c>
      <c r="AM264" s="226">
        <f t="shared" si="61"/>
        <v>2.0712801501658637E-3</v>
      </c>
      <c r="AN264" s="226">
        <f t="shared" si="61"/>
        <v>2.0464544175215643E-3</v>
      </c>
      <c r="AO264" s="226">
        <f t="shared" si="61"/>
        <v>2.0219262385429422E-3</v>
      </c>
      <c r="AP264" s="226">
        <f t="shared" si="61"/>
        <v>1.9976920468424415E-3</v>
      </c>
      <c r="AQ264" s="226">
        <f t="shared" si="61"/>
        <v>1.9737483187781415E-3</v>
      </c>
      <c r="AR264" s="226">
        <f t="shared" si="61"/>
        <v>1.9500915729414193E-3</v>
      </c>
      <c r="AS264" s="226">
        <f t="shared" si="61"/>
        <v>1.9267183696507547E-3</v>
      </c>
      <c r="AT264" s="226">
        <f t="shared" si="61"/>
        <v>1.9036253104516021E-3</v>
      </c>
      <c r="AU264" s="226">
        <f t="shared" si="61"/>
        <v>1.8808090376222562E-3</v>
      </c>
      <c r="AV264" s="226">
        <f t="shared" si="61"/>
        <v>1.8582662336856408E-3</v>
      </c>
      <c r="AW264" s="226">
        <f t="shared" si="61"/>
        <v>1.8359936209269491E-3</v>
      </c>
      <c r="AX264" s="226">
        <f t="shared" si="61"/>
        <v>1.8139879609170651E-3</v>
      </c>
      <c r="AY264" s="226">
        <f t="shared" si="59"/>
        <v>1.7922460540416968E-3</v>
      </c>
      <c r="AZ264" s="226">
        <f t="shared" si="59"/>
        <v>1.7707647390361547E-3</v>
      </c>
      <c r="BA264" s="226">
        <f t="shared" si="59"/>
        <v>1.7495408925257037E-3</v>
      </c>
      <c r="BB264" s="226">
        <f t="shared" si="59"/>
        <v>1.728571428571427E-3</v>
      </c>
      <c r="BC264" s="226">
        <f t="shared" si="59"/>
        <v>1.7078532982215309E-3</v>
      </c>
      <c r="BD264" s="226">
        <f t="shared" si="59"/>
        <v>1.6873834890680287E-3</v>
      </c>
      <c r="BE264" s="226">
        <f t="shared" si="59"/>
        <v>1.6671590248087378E-3</v>
      </c>
    </row>
    <row r="265" spans="5:57" s="10" customFormat="1" x14ac:dyDescent="0.35">
      <c r="E265" s="10" t="s">
        <v>655</v>
      </c>
      <c r="F265" s="10" t="s">
        <v>615</v>
      </c>
      <c r="G265" s="43" t="s">
        <v>616</v>
      </c>
      <c r="I265" s="20"/>
      <c r="J265" s="200"/>
      <c r="K265" s="200"/>
      <c r="L265" s="200"/>
      <c r="M265" s="200"/>
      <c r="N265" s="200">
        <v>2.8E-3</v>
      </c>
      <c r="O265" s="226">
        <f t="shared" si="60"/>
        <v>2.7664400533175234E-3</v>
      </c>
      <c r="P265" s="226">
        <f t="shared" si="60"/>
        <v>2.7332823459283793E-3</v>
      </c>
      <c r="Q265" s="226">
        <f t="shared" si="60"/>
        <v>2.7005220567149829E-3</v>
      </c>
      <c r="R265" s="226">
        <f t="shared" si="60"/>
        <v>2.6681544223441946E-3</v>
      </c>
      <c r="S265" s="226">
        <f t="shared" si="60"/>
        <v>2.6361747365747355E-3</v>
      </c>
      <c r="T265" s="226">
        <f t="shared" si="60"/>
        <v>2.6045783495728999E-3</v>
      </c>
      <c r="U265" s="226">
        <f t="shared" si="60"/>
        <v>2.5733606672364716E-3</v>
      </c>
      <c r="V265" s="226">
        <f t="shared" si="60"/>
        <v>2.5425171505267436E-3</v>
      </c>
      <c r="W265" s="226">
        <f t="shared" si="60"/>
        <v>2.5120433148085436E-3</v>
      </c>
      <c r="X265" s="226">
        <f t="shared" si="60"/>
        <v>2.48193472919817E-3</v>
      </c>
      <c r="Y265" s="226">
        <f t="shared" si="60"/>
        <v>2.4521870159191425E-3</v>
      </c>
      <c r="Z265" s="226">
        <f t="shared" si="60"/>
        <v>2.4227958496656756E-3</v>
      </c>
      <c r="AA265" s="226">
        <f t="shared" si="60"/>
        <v>2.393756956973781E-3</v>
      </c>
      <c r="AB265" s="226">
        <f t="shared" si="60"/>
        <v>2.3650661155999071E-3</v>
      </c>
      <c r="AC265" s="226">
        <f t="shared" si="60"/>
        <v>2.336719153907027E-3</v>
      </c>
      <c r="AD265" s="226">
        <f t="shared" si="60"/>
        <v>2.3087119502580838E-3</v>
      </c>
      <c r="AE265" s="226">
        <f t="shared" si="58"/>
        <v>2.281040432416706E-3</v>
      </c>
      <c r="AF265" s="226">
        <f t="shared" si="58"/>
        <v>2.2537005769551069E-3</v>
      </c>
      <c r="AG265" s="226">
        <f t="shared" si="58"/>
        <v>2.2266884086690783E-3</v>
      </c>
      <c r="AH265" s="227">
        <v>2.2000000000000001E-3</v>
      </c>
      <c r="AI265" s="226">
        <f t="shared" si="61"/>
        <v>2.1736314704637687E-3</v>
      </c>
      <c r="AJ265" s="226">
        <f t="shared" si="61"/>
        <v>2.1475789860865842E-3</v>
      </c>
      <c r="AK265" s="226">
        <f t="shared" si="61"/>
        <v>2.1218387588474866E-3</v>
      </c>
      <c r="AL265" s="226">
        <f t="shared" si="61"/>
        <v>2.0964070461275816E-3</v>
      </c>
      <c r="AM265" s="226">
        <f t="shared" si="61"/>
        <v>2.0712801501658637E-3</v>
      </c>
      <c r="AN265" s="226">
        <f t="shared" si="61"/>
        <v>2.0464544175215643E-3</v>
      </c>
      <c r="AO265" s="226">
        <f t="shared" si="61"/>
        <v>2.0219262385429422E-3</v>
      </c>
      <c r="AP265" s="226">
        <f t="shared" si="61"/>
        <v>1.9976920468424415E-3</v>
      </c>
      <c r="AQ265" s="226">
        <f t="shared" si="61"/>
        <v>1.9737483187781415E-3</v>
      </c>
      <c r="AR265" s="226">
        <f t="shared" si="61"/>
        <v>1.9500915729414193E-3</v>
      </c>
      <c r="AS265" s="226">
        <f t="shared" si="61"/>
        <v>1.9267183696507547E-3</v>
      </c>
      <c r="AT265" s="226">
        <f t="shared" si="61"/>
        <v>1.9036253104516021E-3</v>
      </c>
      <c r="AU265" s="226">
        <f t="shared" si="61"/>
        <v>1.8808090376222562E-3</v>
      </c>
      <c r="AV265" s="226">
        <f t="shared" si="61"/>
        <v>1.8582662336856408E-3</v>
      </c>
      <c r="AW265" s="226">
        <f t="shared" si="61"/>
        <v>1.8359936209269491E-3</v>
      </c>
      <c r="AX265" s="226">
        <f t="shared" si="61"/>
        <v>1.8139879609170651E-3</v>
      </c>
      <c r="AY265" s="226">
        <f t="shared" si="59"/>
        <v>1.7922460540416968E-3</v>
      </c>
      <c r="AZ265" s="226">
        <f t="shared" si="59"/>
        <v>1.7707647390361547E-3</v>
      </c>
      <c r="BA265" s="226">
        <f t="shared" si="59"/>
        <v>1.7495408925257037E-3</v>
      </c>
      <c r="BB265" s="226">
        <f t="shared" si="59"/>
        <v>1.728571428571427E-3</v>
      </c>
      <c r="BC265" s="226">
        <f t="shared" si="59"/>
        <v>1.7078532982215309E-3</v>
      </c>
      <c r="BD265" s="226">
        <f t="shared" si="59"/>
        <v>1.6873834890680287E-3</v>
      </c>
      <c r="BE265" s="226">
        <f t="shared" si="59"/>
        <v>1.6671590248087378E-3</v>
      </c>
    </row>
    <row r="266" spans="5:57" s="10" customFormat="1" x14ac:dyDescent="0.35">
      <c r="E266" s="10" t="s">
        <v>656</v>
      </c>
      <c r="F266" s="10" t="s">
        <v>615</v>
      </c>
      <c r="G266" s="43" t="s">
        <v>616</v>
      </c>
      <c r="I266" s="20"/>
      <c r="J266" s="200"/>
      <c r="K266" s="200"/>
      <c r="L266" s="200"/>
      <c r="M266" s="200"/>
      <c r="N266" s="200">
        <v>2.8E-3</v>
      </c>
      <c r="O266" s="226">
        <f t="shared" si="60"/>
        <v>2.7664400533175234E-3</v>
      </c>
      <c r="P266" s="226">
        <f t="shared" si="60"/>
        <v>2.7332823459283793E-3</v>
      </c>
      <c r="Q266" s="226">
        <f t="shared" si="60"/>
        <v>2.7005220567149829E-3</v>
      </c>
      <c r="R266" s="226">
        <f t="shared" si="60"/>
        <v>2.6681544223441946E-3</v>
      </c>
      <c r="S266" s="226">
        <f t="shared" si="60"/>
        <v>2.6361747365747355E-3</v>
      </c>
      <c r="T266" s="226">
        <f t="shared" si="60"/>
        <v>2.6045783495728999E-3</v>
      </c>
      <c r="U266" s="226">
        <f t="shared" si="60"/>
        <v>2.5733606672364716E-3</v>
      </c>
      <c r="V266" s="226">
        <f t="shared" si="60"/>
        <v>2.5425171505267436E-3</v>
      </c>
      <c r="W266" s="226">
        <f t="shared" si="60"/>
        <v>2.5120433148085436E-3</v>
      </c>
      <c r="X266" s="226">
        <f t="shared" si="60"/>
        <v>2.48193472919817E-3</v>
      </c>
      <c r="Y266" s="226">
        <f t="shared" si="60"/>
        <v>2.4521870159191425E-3</v>
      </c>
      <c r="Z266" s="226">
        <f t="shared" si="60"/>
        <v>2.4227958496656756E-3</v>
      </c>
      <c r="AA266" s="226">
        <f t="shared" si="60"/>
        <v>2.393756956973781E-3</v>
      </c>
      <c r="AB266" s="226">
        <f t="shared" si="60"/>
        <v>2.3650661155999071E-3</v>
      </c>
      <c r="AC266" s="226">
        <f t="shared" si="60"/>
        <v>2.336719153907027E-3</v>
      </c>
      <c r="AD266" s="226">
        <f t="shared" si="60"/>
        <v>2.3087119502580838E-3</v>
      </c>
      <c r="AE266" s="226">
        <f t="shared" si="58"/>
        <v>2.281040432416706E-3</v>
      </c>
      <c r="AF266" s="226">
        <f t="shared" si="58"/>
        <v>2.2537005769551069E-3</v>
      </c>
      <c r="AG266" s="226">
        <f t="shared" si="58"/>
        <v>2.2266884086690783E-3</v>
      </c>
      <c r="AH266" s="227">
        <v>2.2000000000000001E-3</v>
      </c>
      <c r="AI266" s="226">
        <f t="shared" si="61"/>
        <v>2.1736314704637687E-3</v>
      </c>
      <c r="AJ266" s="226">
        <f t="shared" si="61"/>
        <v>2.1475789860865842E-3</v>
      </c>
      <c r="AK266" s="226">
        <f t="shared" si="61"/>
        <v>2.1218387588474866E-3</v>
      </c>
      <c r="AL266" s="226">
        <f t="shared" si="61"/>
        <v>2.0964070461275816E-3</v>
      </c>
      <c r="AM266" s="226">
        <f t="shared" si="61"/>
        <v>2.0712801501658637E-3</v>
      </c>
      <c r="AN266" s="226">
        <f t="shared" si="61"/>
        <v>2.0464544175215643E-3</v>
      </c>
      <c r="AO266" s="226">
        <f t="shared" si="61"/>
        <v>2.0219262385429422E-3</v>
      </c>
      <c r="AP266" s="226">
        <f t="shared" si="61"/>
        <v>1.9976920468424415E-3</v>
      </c>
      <c r="AQ266" s="226">
        <f t="shared" si="61"/>
        <v>1.9737483187781415E-3</v>
      </c>
      <c r="AR266" s="226">
        <f t="shared" si="61"/>
        <v>1.9500915729414193E-3</v>
      </c>
      <c r="AS266" s="226">
        <f t="shared" si="61"/>
        <v>1.9267183696507547E-3</v>
      </c>
      <c r="AT266" s="226">
        <f t="shared" si="61"/>
        <v>1.9036253104516021E-3</v>
      </c>
      <c r="AU266" s="226">
        <f t="shared" si="61"/>
        <v>1.8808090376222562E-3</v>
      </c>
      <c r="AV266" s="226">
        <f t="shared" si="61"/>
        <v>1.8582662336856408E-3</v>
      </c>
      <c r="AW266" s="226">
        <f t="shared" si="61"/>
        <v>1.8359936209269491E-3</v>
      </c>
      <c r="AX266" s="226">
        <f t="shared" si="61"/>
        <v>1.8139879609170651E-3</v>
      </c>
      <c r="AY266" s="226">
        <f t="shared" si="59"/>
        <v>1.7922460540416968E-3</v>
      </c>
      <c r="AZ266" s="226">
        <f t="shared" si="59"/>
        <v>1.7707647390361547E-3</v>
      </c>
      <c r="BA266" s="226">
        <f t="shared" si="59"/>
        <v>1.7495408925257037E-3</v>
      </c>
      <c r="BB266" s="226">
        <f t="shared" si="59"/>
        <v>1.728571428571427E-3</v>
      </c>
      <c r="BC266" s="226">
        <f t="shared" si="59"/>
        <v>1.7078532982215309E-3</v>
      </c>
      <c r="BD266" s="226">
        <f t="shared" si="59"/>
        <v>1.6873834890680287E-3</v>
      </c>
      <c r="BE266" s="226">
        <f t="shared" si="59"/>
        <v>1.6671590248087378E-3</v>
      </c>
    </row>
    <row r="267" spans="5:57" s="10" customFormat="1" x14ac:dyDescent="0.35">
      <c r="E267" s="10" t="s">
        <v>657</v>
      </c>
      <c r="F267" s="10" t="s">
        <v>615</v>
      </c>
      <c r="G267" s="43" t="s">
        <v>616</v>
      </c>
      <c r="I267" s="20"/>
      <c r="J267" s="200"/>
      <c r="K267" s="200"/>
      <c r="L267" s="200"/>
      <c r="M267" s="200"/>
      <c r="N267" s="200">
        <v>2.8E-3</v>
      </c>
      <c r="O267" s="226">
        <f t="shared" si="60"/>
        <v>2.7664400533175234E-3</v>
      </c>
      <c r="P267" s="226">
        <f t="shared" si="60"/>
        <v>2.7332823459283793E-3</v>
      </c>
      <c r="Q267" s="226">
        <f t="shared" si="60"/>
        <v>2.7005220567149829E-3</v>
      </c>
      <c r="R267" s="226">
        <f t="shared" si="60"/>
        <v>2.6681544223441946E-3</v>
      </c>
      <c r="S267" s="226">
        <f t="shared" si="60"/>
        <v>2.6361747365747355E-3</v>
      </c>
      <c r="T267" s="226">
        <f t="shared" si="60"/>
        <v>2.6045783495728999E-3</v>
      </c>
      <c r="U267" s="226">
        <f t="shared" si="60"/>
        <v>2.5733606672364716E-3</v>
      </c>
      <c r="V267" s="226">
        <f t="shared" si="60"/>
        <v>2.5425171505267436E-3</v>
      </c>
      <c r="W267" s="226">
        <f t="shared" si="60"/>
        <v>2.5120433148085436E-3</v>
      </c>
      <c r="X267" s="226">
        <f t="shared" si="60"/>
        <v>2.48193472919817E-3</v>
      </c>
      <c r="Y267" s="226">
        <f t="shared" si="60"/>
        <v>2.4521870159191425E-3</v>
      </c>
      <c r="Z267" s="226">
        <f t="shared" si="60"/>
        <v>2.4227958496656756E-3</v>
      </c>
      <c r="AA267" s="226">
        <f t="shared" si="60"/>
        <v>2.393756956973781E-3</v>
      </c>
      <c r="AB267" s="226">
        <f t="shared" si="60"/>
        <v>2.3650661155999071E-3</v>
      </c>
      <c r="AC267" s="226">
        <f t="shared" si="60"/>
        <v>2.336719153907027E-3</v>
      </c>
      <c r="AD267" s="226">
        <f t="shared" si="60"/>
        <v>2.3087119502580838E-3</v>
      </c>
      <c r="AE267" s="226">
        <f t="shared" si="58"/>
        <v>2.281040432416706E-3</v>
      </c>
      <c r="AF267" s="226">
        <f t="shared" si="58"/>
        <v>2.2537005769551069E-3</v>
      </c>
      <c r="AG267" s="226">
        <f t="shared" si="58"/>
        <v>2.2266884086690783E-3</v>
      </c>
      <c r="AH267" s="227">
        <v>2.2000000000000001E-3</v>
      </c>
      <c r="AI267" s="226">
        <f t="shared" si="61"/>
        <v>2.1736314704637687E-3</v>
      </c>
      <c r="AJ267" s="226">
        <f t="shared" si="61"/>
        <v>2.1475789860865842E-3</v>
      </c>
      <c r="AK267" s="226">
        <f t="shared" si="61"/>
        <v>2.1218387588474866E-3</v>
      </c>
      <c r="AL267" s="226">
        <f t="shared" si="61"/>
        <v>2.0964070461275816E-3</v>
      </c>
      <c r="AM267" s="226">
        <f t="shared" si="61"/>
        <v>2.0712801501658637E-3</v>
      </c>
      <c r="AN267" s="226">
        <f t="shared" si="61"/>
        <v>2.0464544175215643E-3</v>
      </c>
      <c r="AO267" s="226">
        <f t="shared" si="61"/>
        <v>2.0219262385429422E-3</v>
      </c>
      <c r="AP267" s="226">
        <f t="shared" si="61"/>
        <v>1.9976920468424415E-3</v>
      </c>
      <c r="AQ267" s="226">
        <f t="shared" si="61"/>
        <v>1.9737483187781415E-3</v>
      </c>
      <c r="AR267" s="226">
        <f t="shared" si="61"/>
        <v>1.9500915729414193E-3</v>
      </c>
      <c r="AS267" s="226">
        <f t="shared" si="61"/>
        <v>1.9267183696507547E-3</v>
      </c>
      <c r="AT267" s="226">
        <f t="shared" si="61"/>
        <v>1.9036253104516021E-3</v>
      </c>
      <c r="AU267" s="226">
        <f t="shared" si="61"/>
        <v>1.8808090376222562E-3</v>
      </c>
      <c r="AV267" s="226">
        <f t="shared" si="61"/>
        <v>1.8582662336856408E-3</v>
      </c>
      <c r="AW267" s="226">
        <f t="shared" si="61"/>
        <v>1.8359936209269491E-3</v>
      </c>
      <c r="AX267" s="226">
        <f t="shared" si="61"/>
        <v>1.8139879609170651E-3</v>
      </c>
      <c r="AY267" s="226">
        <f t="shared" si="59"/>
        <v>1.7922460540416968E-3</v>
      </c>
      <c r="AZ267" s="226">
        <f t="shared" si="59"/>
        <v>1.7707647390361547E-3</v>
      </c>
      <c r="BA267" s="226">
        <f t="shared" si="59"/>
        <v>1.7495408925257037E-3</v>
      </c>
      <c r="BB267" s="226">
        <f t="shared" si="59"/>
        <v>1.728571428571427E-3</v>
      </c>
      <c r="BC267" s="226">
        <f t="shared" si="59"/>
        <v>1.7078532982215309E-3</v>
      </c>
      <c r="BD267" s="226">
        <f t="shared" si="59"/>
        <v>1.6873834890680287E-3</v>
      </c>
      <c r="BE267" s="226">
        <f t="shared" si="59"/>
        <v>1.6671590248087378E-3</v>
      </c>
    </row>
    <row r="268" spans="5:57" s="10" customFormat="1" x14ac:dyDescent="0.35">
      <c r="E268" s="10" t="s">
        <v>658</v>
      </c>
      <c r="F268" s="10" t="s">
        <v>615</v>
      </c>
      <c r="G268" s="43" t="s">
        <v>616</v>
      </c>
      <c r="I268" s="20"/>
      <c r="J268" s="200"/>
      <c r="K268" s="200"/>
      <c r="L268" s="200"/>
      <c r="M268" s="200"/>
      <c r="N268" s="200">
        <v>2.8E-3</v>
      </c>
      <c r="O268" s="226">
        <f t="shared" si="60"/>
        <v>2.7725955481692809E-3</v>
      </c>
      <c r="P268" s="226">
        <f t="shared" si="60"/>
        <v>2.7454593120457556E-3</v>
      </c>
      <c r="Q268" s="226">
        <f t="shared" si="60"/>
        <v>2.7185886665206998E-3</v>
      </c>
      <c r="R268" s="226">
        <f t="shared" si="60"/>
        <v>2.6919810121781265E-3</v>
      </c>
      <c r="S268" s="226">
        <f t="shared" si="60"/>
        <v>2.6656337750433248E-3</v>
      </c>
      <c r="T268" s="226">
        <f t="shared" si="60"/>
        <v>2.6395444063338561E-3</v>
      </c>
      <c r="U268" s="226">
        <f t="shared" si="60"/>
        <v>2.6137103822129917E-3</v>
      </c>
      <c r="V268" s="226">
        <f t="shared" si="60"/>
        <v>2.5881292035455613E-3</v>
      </c>
      <c r="W268" s="226">
        <f t="shared" si="60"/>
        <v>2.5627983956561895E-3</v>
      </c>
      <c r="X268" s="226">
        <f t="shared" si="60"/>
        <v>2.5377155080899025E-3</v>
      </c>
      <c r="Y268" s="226">
        <f t="shared" si="60"/>
        <v>2.5128781143750746E-3</v>
      </c>
      <c r="Z268" s="226">
        <f t="shared" si="60"/>
        <v>2.4882838117886961E-3</v>
      </c>
      <c r="AA268" s="226">
        <f t="shared" si="60"/>
        <v>2.4639302211239386E-3</v>
      </c>
      <c r="AB268" s="226">
        <f t="shared" si="60"/>
        <v>2.4398149864599946E-3</v>
      </c>
      <c r="AC268" s="226">
        <f t="shared" si="60"/>
        <v>2.4159357749341699E-3</v>
      </c>
      <c r="AD268" s="226">
        <f t="shared" si="60"/>
        <v>2.392290276516208E-3</v>
      </c>
      <c r="AE268" s="226">
        <f t="shared" si="58"/>
        <v>2.3688762037848204E-3</v>
      </c>
      <c r="AF268" s="226">
        <f t="shared" si="58"/>
        <v>2.3456912917064069E-3</v>
      </c>
      <c r="AG268" s="226">
        <f t="shared" si="58"/>
        <v>2.3227332974159408E-3</v>
      </c>
      <c r="AH268" s="227">
        <v>2.3E-3</v>
      </c>
      <c r="AI268" s="226">
        <f t="shared" si="61"/>
        <v>2.2774892002819093E-3</v>
      </c>
      <c r="AJ268" s="226">
        <f t="shared" si="61"/>
        <v>2.2551987206090134E-3</v>
      </c>
      <c r="AK268" s="226">
        <f t="shared" si="61"/>
        <v>2.2331264046420033E-3</v>
      </c>
      <c r="AL268" s="226">
        <f t="shared" si="61"/>
        <v>2.2112701171463182E-3</v>
      </c>
      <c r="AM268" s="226">
        <f t="shared" si="61"/>
        <v>2.1896277437855882E-3</v>
      </c>
      <c r="AN268" s="226">
        <f t="shared" si="61"/>
        <v>2.1681971909170961E-3</v>
      </c>
      <c r="AO268" s="226">
        <f t="shared" si="61"/>
        <v>2.1469763853892432E-3</v>
      </c>
      <c r="AP268" s="226">
        <f t="shared" si="61"/>
        <v>2.1259632743409968E-3</v>
      </c>
      <c r="AQ268" s="226">
        <f t="shared" si="61"/>
        <v>2.1051558250032984E-3</v>
      </c>
      <c r="AR268" s="226">
        <f t="shared" si="61"/>
        <v>2.0845520245024196E-3</v>
      </c>
      <c r="AS268" s="226">
        <f t="shared" si="61"/>
        <v>2.0641498796652395E-3</v>
      </c>
      <c r="AT268" s="226">
        <f t="shared" si="61"/>
        <v>2.0439474168264288E-3</v>
      </c>
      <c r="AU268" s="226">
        <f t="shared" si="61"/>
        <v>2.0239426816375207E-3</v>
      </c>
      <c r="AV268" s="226">
        <f t="shared" si="61"/>
        <v>2.0041337388778521E-3</v>
      </c>
      <c r="AW268" s="226">
        <f t="shared" si="61"/>
        <v>1.9845186722673531E-3</v>
      </c>
      <c r="AX268" s="226">
        <f t="shared" si="61"/>
        <v>1.9650955842811699E-3</v>
      </c>
      <c r="AY268" s="226">
        <f t="shared" si="59"/>
        <v>1.9458625959661014E-3</v>
      </c>
      <c r="AZ268" s="226">
        <f t="shared" si="59"/>
        <v>1.9268178467588333E-3</v>
      </c>
      <c r="BA268" s="226">
        <f t="shared" si="59"/>
        <v>1.9079594943059504E-3</v>
      </c>
      <c r="BB268" s="226">
        <f t="shared" si="59"/>
        <v>1.889285714285711E-3</v>
      </c>
      <c r="BC268" s="226">
        <f t="shared" si="59"/>
        <v>1.8707947002315653E-3</v>
      </c>
      <c r="BD268" s="226">
        <f t="shared" si="59"/>
        <v>1.8524846633574009E-3</v>
      </c>
      <c r="BE268" s="226">
        <f t="shared" si="59"/>
        <v>1.8343538323844996E-3</v>
      </c>
    </row>
    <row r="269" spans="5:57" s="10" customFormat="1" x14ac:dyDescent="0.35">
      <c r="E269" s="10" t="s">
        <v>659</v>
      </c>
      <c r="F269" s="10" t="s">
        <v>615</v>
      </c>
      <c r="G269" s="43" t="s">
        <v>616</v>
      </c>
      <c r="I269" s="20"/>
      <c r="J269" s="200"/>
      <c r="K269" s="200"/>
      <c r="L269" s="200"/>
      <c r="M269" s="200"/>
      <c r="N269" s="200">
        <v>2.8999999999999998E-3</v>
      </c>
      <c r="O269" s="226">
        <f t="shared" si="60"/>
        <v>2.866582794095191E-3</v>
      </c>
      <c r="P269" s="226">
        <f t="shared" si="60"/>
        <v>2.8335506604836528E-3</v>
      </c>
      <c r="Q269" s="226">
        <f t="shared" si="60"/>
        <v>2.800899161910174E-3</v>
      </c>
      <c r="R269" s="226">
        <f t="shared" si="60"/>
        <v>2.7686239122508092E-3</v>
      </c>
      <c r="S269" s="226">
        <f t="shared" si="60"/>
        <v>2.7367205759236844E-3</v>
      </c>
      <c r="T269" s="226">
        <f t="shared" si="60"/>
        <v>2.7051848673065918E-3</v>
      </c>
      <c r="U269" s="226">
        <f t="shared" si="60"/>
        <v>2.6740125501612962E-3</v>
      </c>
      <c r="V269" s="226">
        <f t="shared" si="60"/>
        <v>2.6431994370644746E-3</v>
      </c>
      <c r="W269" s="226">
        <f t="shared" si="60"/>
        <v>2.6127413888452134E-3</v>
      </c>
      <c r="X269" s="226">
        <f t="shared" si="60"/>
        <v>2.5826343140289872E-3</v>
      </c>
      <c r="Y269" s="226">
        <f t="shared" si="60"/>
        <v>2.5528741682880455E-3</v>
      </c>
      <c r="Z269" s="226">
        <f t="shared" si="60"/>
        <v>2.5234569538981322E-3</v>
      </c>
      <c r="AA269" s="226">
        <f t="shared" si="60"/>
        <v>2.4943787192014651E-3</v>
      </c>
      <c r="AB269" s="226">
        <f t="shared" si="60"/>
        <v>2.4656355580759035E-3</v>
      </c>
      <c r="AC269" s="226">
        <f t="shared" si="60"/>
        <v>2.4372236094102346E-3</v>
      </c>
      <c r="AD269" s="226">
        <f t="shared" si="60"/>
        <v>2.4091390565855026E-3</v>
      </c>
      <c r="AE269" s="226">
        <f t="shared" si="58"/>
        <v>2.3813781269623182E-3</v>
      </c>
      <c r="AF269" s="226">
        <f t="shared" si="58"/>
        <v>2.3539370913740745E-3</v>
      </c>
      <c r="AG269" s="226">
        <f t="shared" si="58"/>
        <v>2.326812263626001E-3</v>
      </c>
      <c r="AH269" s="227">
        <v>2.3E-3</v>
      </c>
      <c r="AI269" s="226">
        <f t="shared" si="61"/>
        <v>2.2734966987651519E-3</v>
      </c>
      <c r="AJ269" s="226">
        <f t="shared" si="61"/>
        <v>2.2472987996939322E-3</v>
      </c>
      <c r="AK269" s="226">
        <f t="shared" si="61"/>
        <v>2.2214027835839316E-3</v>
      </c>
      <c r="AL269" s="226">
        <f t="shared" si="61"/>
        <v>2.1958051717851251E-3</v>
      </c>
      <c r="AM269" s="226">
        <f t="shared" si="61"/>
        <v>2.1705025257325776E-3</v>
      </c>
      <c r="AN269" s="226">
        <f t="shared" si="61"/>
        <v>2.1454914464845388E-3</v>
      </c>
      <c r="AO269" s="226">
        <f t="shared" si="61"/>
        <v>2.1207685742658561E-3</v>
      </c>
      <c r="AP269" s="226">
        <f t="shared" si="61"/>
        <v>2.0963305880166527E-3</v>
      </c>
      <c r="AQ269" s="226">
        <f t="shared" si="61"/>
        <v>2.0721742049462041E-3</v>
      </c>
      <c r="AR269" s="226">
        <f t="shared" si="61"/>
        <v>2.0482961800919555E-3</v>
      </c>
      <c r="AS269" s="226">
        <f t="shared" si="61"/>
        <v>2.0246933058836224E-3</v>
      </c>
      <c r="AT269" s="226">
        <f t="shared" si="61"/>
        <v>2.0013624117123118E-3</v>
      </c>
      <c r="AU269" s="226">
        <f t="shared" si="61"/>
        <v>1.9783003635046102E-3</v>
      </c>
      <c r="AV269" s="226">
        <f t="shared" si="61"/>
        <v>1.9555040633015787E-3</v>
      </c>
      <c r="AW269" s="226">
        <f t="shared" si="61"/>
        <v>1.9329704488425998E-3</v>
      </c>
      <c r="AX269" s="226">
        <f t="shared" si="61"/>
        <v>1.9106964931540193E-3</v>
      </c>
      <c r="AY269" s="226">
        <f t="shared" si="59"/>
        <v>1.8886792041425283E-3</v>
      </c>
      <c r="AZ269" s="226">
        <f t="shared" si="59"/>
        <v>1.8669156241932314E-3</v>
      </c>
      <c r="BA269" s="226">
        <f t="shared" si="59"/>
        <v>1.8454028297723453E-3</v>
      </c>
      <c r="BB269" s="226">
        <f t="shared" si="59"/>
        <v>1.8241379310344767E-3</v>
      </c>
      <c r="BC269" s="226">
        <f t="shared" si="59"/>
        <v>1.8031180714344248E-3</v>
      </c>
      <c r="BD269" s="226">
        <f t="shared" si="59"/>
        <v>1.7823404273434574E-3</v>
      </c>
      <c r="BE269" s="226">
        <f t="shared" si="59"/>
        <v>1.7618022076700088E-3</v>
      </c>
    </row>
    <row r="270" spans="5:57" s="10" customFormat="1" x14ac:dyDescent="0.35">
      <c r="E270" s="10" t="s">
        <v>660</v>
      </c>
      <c r="F270" s="10" t="s">
        <v>615</v>
      </c>
      <c r="G270" s="43" t="s">
        <v>616</v>
      </c>
      <c r="I270" s="20"/>
      <c r="J270" s="200"/>
      <c r="K270" s="200"/>
      <c r="L270" s="200"/>
      <c r="M270" s="200"/>
      <c r="N270" s="200">
        <v>2.8999999999999998E-3</v>
      </c>
      <c r="O270" s="226">
        <f t="shared" si="60"/>
        <v>2.866582794095191E-3</v>
      </c>
      <c r="P270" s="226">
        <f t="shared" si="60"/>
        <v>2.8335506604836528E-3</v>
      </c>
      <c r="Q270" s="226">
        <f t="shared" si="60"/>
        <v>2.800899161910174E-3</v>
      </c>
      <c r="R270" s="226">
        <f t="shared" si="60"/>
        <v>2.7686239122508092E-3</v>
      </c>
      <c r="S270" s="226">
        <f t="shared" si="60"/>
        <v>2.7367205759236844E-3</v>
      </c>
      <c r="T270" s="226">
        <f t="shared" si="60"/>
        <v>2.7051848673065918E-3</v>
      </c>
      <c r="U270" s="226">
        <f t="shared" si="60"/>
        <v>2.6740125501612962E-3</v>
      </c>
      <c r="V270" s="226">
        <f t="shared" si="60"/>
        <v>2.6431994370644746E-3</v>
      </c>
      <c r="W270" s="226">
        <f t="shared" si="60"/>
        <v>2.6127413888452134E-3</v>
      </c>
      <c r="X270" s="226">
        <f t="shared" si="60"/>
        <v>2.5826343140289872E-3</v>
      </c>
      <c r="Y270" s="226">
        <f t="shared" si="60"/>
        <v>2.5528741682880455E-3</v>
      </c>
      <c r="Z270" s="226">
        <f t="shared" si="60"/>
        <v>2.5234569538981322E-3</v>
      </c>
      <c r="AA270" s="226">
        <f t="shared" si="60"/>
        <v>2.4943787192014651E-3</v>
      </c>
      <c r="AB270" s="226">
        <f t="shared" si="60"/>
        <v>2.4656355580759035E-3</v>
      </c>
      <c r="AC270" s="226">
        <f t="shared" si="60"/>
        <v>2.4372236094102346E-3</v>
      </c>
      <c r="AD270" s="226">
        <f t="shared" si="60"/>
        <v>2.4091390565855026E-3</v>
      </c>
      <c r="AE270" s="226">
        <f t="shared" si="58"/>
        <v>2.3813781269623182E-3</v>
      </c>
      <c r="AF270" s="226">
        <f t="shared" si="58"/>
        <v>2.3539370913740745E-3</v>
      </c>
      <c r="AG270" s="226">
        <f t="shared" si="58"/>
        <v>2.326812263626001E-3</v>
      </c>
      <c r="AH270" s="227">
        <v>2.3E-3</v>
      </c>
      <c r="AI270" s="226">
        <f t="shared" si="61"/>
        <v>2.2734966987651519E-3</v>
      </c>
      <c r="AJ270" s="226">
        <f t="shared" si="61"/>
        <v>2.2472987996939322E-3</v>
      </c>
      <c r="AK270" s="226">
        <f t="shared" si="61"/>
        <v>2.2214027835839316E-3</v>
      </c>
      <c r="AL270" s="226">
        <f t="shared" si="61"/>
        <v>2.1958051717851251E-3</v>
      </c>
      <c r="AM270" s="226">
        <f t="shared" si="61"/>
        <v>2.1705025257325776E-3</v>
      </c>
      <c r="AN270" s="226">
        <f t="shared" si="61"/>
        <v>2.1454914464845388E-3</v>
      </c>
      <c r="AO270" s="226">
        <f t="shared" si="61"/>
        <v>2.1207685742658561E-3</v>
      </c>
      <c r="AP270" s="226">
        <f t="shared" si="61"/>
        <v>2.0963305880166527E-3</v>
      </c>
      <c r="AQ270" s="226">
        <f t="shared" si="61"/>
        <v>2.0721742049462041E-3</v>
      </c>
      <c r="AR270" s="226">
        <f t="shared" si="61"/>
        <v>2.0482961800919555E-3</v>
      </c>
      <c r="AS270" s="226">
        <f t="shared" si="61"/>
        <v>2.0246933058836224E-3</v>
      </c>
      <c r="AT270" s="226">
        <f t="shared" si="61"/>
        <v>2.0013624117123118E-3</v>
      </c>
      <c r="AU270" s="226">
        <f t="shared" si="61"/>
        <v>1.9783003635046102E-3</v>
      </c>
      <c r="AV270" s="226">
        <f t="shared" si="61"/>
        <v>1.9555040633015787E-3</v>
      </c>
      <c r="AW270" s="226">
        <f t="shared" si="61"/>
        <v>1.9329704488425998E-3</v>
      </c>
      <c r="AX270" s="226">
        <f t="shared" si="61"/>
        <v>1.9106964931540193E-3</v>
      </c>
      <c r="AY270" s="226">
        <f t="shared" si="59"/>
        <v>1.8886792041425283E-3</v>
      </c>
      <c r="AZ270" s="226">
        <f t="shared" si="59"/>
        <v>1.8669156241932314E-3</v>
      </c>
      <c r="BA270" s="226">
        <f t="shared" si="59"/>
        <v>1.8454028297723453E-3</v>
      </c>
      <c r="BB270" s="226">
        <f t="shared" si="59"/>
        <v>1.8241379310344767E-3</v>
      </c>
      <c r="BC270" s="226">
        <f t="shared" si="59"/>
        <v>1.8031180714344248E-3</v>
      </c>
      <c r="BD270" s="226">
        <f t="shared" si="59"/>
        <v>1.7823404273434574E-3</v>
      </c>
      <c r="BE270" s="226">
        <f t="shared" si="59"/>
        <v>1.7618022076700088E-3</v>
      </c>
    </row>
    <row r="271" spans="5:57" s="10" customFormat="1" x14ac:dyDescent="0.35">
      <c r="E271" s="10" t="s">
        <v>661</v>
      </c>
      <c r="F271" s="10" t="s">
        <v>615</v>
      </c>
      <c r="G271" s="43" t="s">
        <v>616</v>
      </c>
      <c r="I271" s="20"/>
      <c r="J271" s="200"/>
      <c r="K271" s="200"/>
      <c r="L271" s="200"/>
      <c r="M271" s="200"/>
      <c r="N271" s="200">
        <v>2.8999999999999998E-3</v>
      </c>
      <c r="O271" s="226">
        <f t="shared" si="60"/>
        <v>2.866582794095191E-3</v>
      </c>
      <c r="P271" s="226">
        <f t="shared" si="60"/>
        <v>2.8335506604836528E-3</v>
      </c>
      <c r="Q271" s="226">
        <f t="shared" si="60"/>
        <v>2.800899161910174E-3</v>
      </c>
      <c r="R271" s="226">
        <f t="shared" si="60"/>
        <v>2.7686239122508092E-3</v>
      </c>
      <c r="S271" s="226">
        <f t="shared" si="60"/>
        <v>2.7367205759236844E-3</v>
      </c>
      <c r="T271" s="226">
        <f t="shared" si="60"/>
        <v>2.7051848673065918E-3</v>
      </c>
      <c r="U271" s="226">
        <f t="shared" si="60"/>
        <v>2.6740125501612962E-3</v>
      </c>
      <c r="V271" s="226">
        <f t="shared" si="60"/>
        <v>2.6431994370644746E-3</v>
      </c>
      <c r="W271" s="226">
        <f t="shared" si="60"/>
        <v>2.6127413888452134E-3</v>
      </c>
      <c r="X271" s="226">
        <f t="shared" si="60"/>
        <v>2.5826343140289872E-3</v>
      </c>
      <c r="Y271" s="226">
        <f t="shared" si="60"/>
        <v>2.5528741682880455E-3</v>
      </c>
      <c r="Z271" s="226">
        <f t="shared" si="60"/>
        <v>2.5234569538981322E-3</v>
      </c>
      <c r="AA271" s="226">
        <f t="shared" si="60"/>
        <v>2.4943787192014651E-3</v>
      </c>
      <c r="AB271" s="226">
        <f t="shared" si="60"/>
        <v>2.4656355580759035E-3</v>
      </c>
      <c r="AC271" s="226">
        <f t="shared" si="60"/>
        <v>2.4372236094102346E-3</v>
      </c>
      <c r="AD271" s="226">
        <f t="shared" si="60"/>
        <v>2.4091390565855026E-3</v>
      </c>
      <c r="AE271" s="226">
        <f t="shared" si="58"/>
        <v>2.3813781269623182E-3</v>
      </c>
      <c r="AF271" s="226">
        <f t="shared" si="58"/>
        <v>2.3539370913740745E-3</v>
      </c>
      <c r="AG271" s="226">
        <f t="shared" si="58"/>
        <v>2.326812263626001E-3</v>
      </c>
      <c r="AH271" s="227">
        <v>2.3E-3</v>
      </c>
      <c r="AI271" s="226">
        <f t="shared" si="61"/>
        <v>2.2734966987651519E-3</v>
      </c>
      <c r="AJ271" s="226">
        <f t="shared" si="61"/>
        <v>2.2472987996939322E-3</v>
      </c>
      <c r="AK271" s="226">
        <f t="shared" si="61"/>
        <v>2.2214027835839316E-3</v>
      </c>
      <c r="AL271" s="226">
        <f t="shared" si="61"/>
        <v>2.1958051717851251E-3</v>
      </c>
      <c r="AM271" s="226">
        <f t="shared" si="61"/>
        <v>2.1705025257325776E-3</v>
      </c>
      <c r="AN271" s="226">
        <f t="shared" si="61"/>
        <v>2.1454914464845388E-3</v>
      </c>
      <c r="AO271" s="226">
        <f t="shared" si="61"/>
        <v>2.1207685742658561E-3</v>
      </c>
      <c r="AP271" s="226">
        <f t="shared" si="61"/>
        <v>2.0963305880166527E-3</v>
      </c>
      <c r="AQ271" s="226">
        <f t="shared" si="61"/>
        <v>2.0721742049462041E-3</v>
      </c>
      <c r="AR271" s="226">
        <f t="shared" si="61"/>
        <v>2.0482961800919555E-3</v>
      </c>
      <c r="AS271" s="226">
        <f t="shared" si="61"/>
        <v>2.0246933058836224E-3</v>
      </c>
      <c r="AT271" s="226">
        <f t="shared" si="61"/>
        <v>2.0013624117123118E-3</v>
      </c>
      <c r="AU271" s="226">
        <f t="shared" si="61"/>
        <v>1.9783003635046102E-3</v>
      </c>
      <c r="AV271" s="226">
        <f t="shared" si="61"/>
        <v>1.9555040633015787E-3</v>
      </c>
      <c r="AW271" s="226">
        <f t="shared" si="61"/>
        <v>1.9329704488425998E-3</v>
      </c>
      <c r="AX271" s="226">
        <f t="shared" si="61"/>
        <v>1.9106964931540193E-3</v>
      </c>
      <c r="AY271" s="226">
        <f t="shared" si="59"/>
        <v>1.8886792041425283E-3</v>
      </c>
      <c r="AZ271" s="226">
        <f t="shared" si="59"/>
        <v>1.8669156241932314E-3</v>
      </c>
      <c r="BA271" s="226">
        <f t="shared" si="59"/>
        <v>1.8454028297723453E-3</v>
      </c>
      <c r="BB271" s="226">
        <f t="shared" si="59"/>
        <v>1.8241379310344767E-3</v>
      </c>
      <c r="BC271" s="226">
        <f t="shared" si="59"/>
        <v>1.8031180714344248E-3</v>
      </c>
      <c r="BD271" s="226">
        <f t="shared" si="59"/>
        <v>1.7823404273434574E-3</v>
      </c>
      <c r="BE271" s="226">
        <f t="shared" si="59"/>
        <v>1.7618022076700088E-3</v>
      </c>
    </row>
    <row r="272" spans="5:57" s="10" customFormat="1" x14ac:dyDescent="0.35">
      <c r="E272" s="10" t="s">
        <v>662</v>
      </c>
      <c r="F272" s="10" t="s">
        <v>615</v>
      </c>
      <c r="G272" s="43" t="s">
        <v>616</v>
      </c>
      <c r="I272" s="20"/>
      <c r="J272" s="200"/>
      <c r="K272" s="200"/>
      <c r="L272" s="200"/>
      <c r="M272" s="200"/>
      <c r="N272" s="200">
        <v>2.8999999999999998E-3</v>
      </c>
      <c r="O272" s="226">
        <f t="shared" si="60"/>
        <v>2.8726893219984785E-3</v>
      </c>
      <c r="P272" s="226">
        <f t="shared" si="60"/>
        <v>2.8456358416289926E-3</v>
      </c>
      <c r="Q272" s="226">
        <f t="shared" si="60"/>
        <v>2.8188371367392283E-3</v>
      </c>
      <c r="R272" s="226">
        <f t="shared" si="60"/>
        <v>2.7922908079874298E-3</v>
      </c>
      <c r="S272" s="226">
        <f t="shared" si="60"/>
        <v>2.7659944786275841E-3</v>
      </c>
      <c r="T272" s="226">
        <f t="shared" si="60"/>
        <v>2.7399457942966243E-3</v>
      </c>
      <c r="U272" s="226">
        <f t="shared" si="60"/>
        <v>2.714142422803639E-3</v>
      </c>
      <c r="V272" s="226">
        <f t="shared" si="60"/>
        <v>2.688582053921067E-3</v>
      </c>
      <c r="W272" s="226">
        <f t="shared" si="60"/>
        <v>2.6632623991778579E-3</v>
      </c>
      <c r="X272" s="226">
        <f t="shared" si="60"/>
        <v>2.6381811916545801E-3</v>
      </c>
      <c r="Y272" s="226">
        <f t="shared" si="60"/>
        <v>2.61333618578046E-3</v>
      </c>
      <c r="Z272" s="226">
        <f t="shared" si="60"/>
        <v>2.5887251571323311E-3</v>
      </c>
      <c r="AA272" s="226">
        <f t="shared" si="60"/>
        <v>2.5643459022354764E-3</v>
      </c>
      <c r="AB272" s="226">
        <f t="shared" si="60"/>
        <v>2.5401962383663477E-3</v>
      </c>
      <c r="AC272" s="226">
        <f t="shared" si="60"/>
        <v>2.5162740033571412E-3</v>
      </c>
      <c r="AD272" s="226">
        <f t="shared" si="60"/>
        <v>2.4925770554022151E-3</v>
      </c>
      <c r="AE272" s="226">
        <f t="shared" si="58"/>
        <v>2.4691032728663292E-3</v>
      </c>
      <c r="AF272" s="226">
        <f t="shared" si="58"/>
        <v>2.4458505540946897E-3</v>
      </c>
      <c r="AG272" s="226">
        <f t="shared" si="58"/>
        <v>2.4228168172247856E-3</v>
      </c>
      <c r="AH272" s="227">
        <v>2.3999999999999998E-3</v>
      </c>
      <c r="AI272" s="226">
        <f t="shared" si="61"/>
        <v>2.3773980595849478E-3</v>
      </c>
      <c r="AJ272" s="226">
        <f t="shared" si="61"/>
        <v>2.355008972382615E-3</v>
      </c>
      <c r="AK272" s="226">
        <f t="shared" si="61"/>
        <v>2.3328307338531546E-3</v>
      </c>
      <c r="AL272" s="226">
        <f t="shared" si="61"/>
        <v>2.3108613583344251E-3</v>
      </c>
      <c r="AM272" s="226">
        <f t="shared" si="61"/>
        <v>2.2890988788642082E-3</v>
      </c>
      <c r="AN272" s="226">
        <f t="shared" si="61"/>
        <v>2.2675413470041035E-3</v>
      </c>
      <c r="AO272" s="226">
        <f t="shared" si="61"/>
        <v>2.2461868326650813E-3</v>
      </c>
      <c r="AP272" s="226">
        <f t="shared" si="61"/>
        <v>2.2250334239346768E-3</v>
      </c>
      <c r="AQ272" s="226">
        <f t="shared" si="61"/>
        <v>2.2040792269058139E-3</v>
      </c>
      <c r="AR272" s="226">
        <f t="shared" si="61"/>
        <v>2.1833223655072392E-3</v>
      </c>
      <c r="AS272" s="226">
        <f t="shared" si="61"/>
        <v>2.1627609813355537E-3</v>
      </c>
      <c r="AT272" s="226">
        <f t="shared" si="61"/>
        <v>2.1423932334888266E-3</v>
      </c>
      <c r="AU272" s="226">
        <f t="shared" si="61"/>
        <v>2.1222172984017747E-3</v>
      </c>
      <c r="AV272" s="226">
        <f t="shared" si="61"/>
        <v>2.1022313696824955E-3</v>
      </c>
      <c r="AW272" s="226">
        <f t="shared" si="61"/>
        <v>2.0824336579507385E-3</v>
      </c>
      <c r="AX272" s="226">
        <f t="shared" si="61"/>
        <v>2.0628223906776961E-3</v>
      </c>
      <c r="AY272" s="226">
        <f t="shared" si="59"/>
        <v>2.0433958120273077E-3</v>
      </c>
      <c r="AZ272" s="226">
        <f t="shared" si="59"/>
        <v>2.0241521826990542E-3</v>
      </c>
      <c r="BA272" s="226">
        <f t="shared" si="59"/>
        <v>2.0050897797722371E-3</v>
      </c>
      <c r="BB272" s="226">
        <f t="shared" si="59"/>
        <v>1.9862068965517195E-3</v>
      </c>
      <c r="BC272" s="226">
        <f t="shared" si="59"/>
        <v>1.9675018424151246E-3</v>
      </c>
      <c r="BD272" s="226">
        <f t="shared" si="59"/>
        <v>1.9489729426614697E-3</v>
      </c>
      <c r="BE272" s="226">
        <f t="shared" si="59"/>
        <v>1.9306185383612267E-3</v>
      </c>
    </row>
    <row r="273" spans="5:57" s="10" customFormat="1" x14ac:dyDescent="0.35">
      <c r="E273" s="10" t="s">
        <v>663</v>
      </c>
      <c r="F273" s="10" t="s">
        <v>615</v>
      </c>
      <c r="G273" s="43" t="s">
        <v>616</v>
      </c>
      <c r="I273" s="20"/>
      <c r="J273" s="200"/>
      <c r="K273" s="200"/>
      <c r="L273" s="200"/>
      <c r="M273" s="200"/>
      <c r="N273" s="200">
        <v>3.0000000000000001E-3</v>
      </c>
      <c r="O273" s="226">
        <f t="shared" si="60"/>
        <v>2.9667144987150949E-3</v>
      </c>
      <c r="P273" s="226">
        <f t="shared" si="60"/>
        <v>2.9337983056287853E-3</v>
      </c>
      <c r="Q273" s="226">
        <f t="shared" si="60"/>
        <v>2.9012473232048991E-3</v>
      </c>
      <c r="R273" s="226">
        <f t="shared" si="60"/>
        <v>2.8690574993701112E-3</v>
      </c>
      <c r="S273" s="226">
        <f t="shared" si="60"/>
        <v>2.8372248270095274E-3</v>
      </c>
      <c r="T273" s="226">
        <f t="shared" si="60"/>
        <v>2.8057453434678641E-3</v>
      </c>
      <c r="U273" s="226">
        <f t="shared" si="60"/>
        <v>2.7746151300561588E-3</v>
      </c>
      <c r="V273" s="226">
        <f t="shared" si="60"/>
        <v>2.7438303115639583E-3</v>
      </c>
      <c r="W273" s="226">
        <f t="shared" si="60"/>
        <v>2.7133870557769172E-3</v>
      </c>
      <c r="X273" s="226">
        <f t="shared" si="60"/>
        <v>2.6832815729997479E-3</v>
      </c>
      <c r="Y273" s="226">
        <f t="shared" si="60"/>
        <v>2.653510115584466E-3</v>
      </c>
      <c r="Z273" s="226">
        <f t="shared" si="60"/>
        <v>2.6240689774638675E-3</v>
      </c>
      <c r="AA273" s="226">
        <f t="shared" si="60"/>
        <v>2.5949544936901829E-3</v>
      </c>
      <c r="AB273" s="226">
        <f t="shared" si="60"/>
        <v>2.5661630399788512E-3</v>
      </c>
      <c r="AC273" s="226">
        <f t="shared" si="60"/>
        <v>2.5376910322573538E-3</v>
      </c>
      <c r="AD273" s="226">
        <f t="shared" si="60"/>
        <v>2.5095349262190558E-3</v>
      </c>
      <c r="AE273" s="226">
        <f t="shared" si="58"/>
        <v>2.4816912168819961E-3</v>
      </c>
      <c r="AF273" s="226">
        <f t="shared" si="58"/>
        <v>2.4541564381525749E-3</v>
      </c>
      <c r="AG273" s="226">
        <f t="shared" si="58"/>
        <v>2.4269271623940797E-3</v>
      </c>
      <c r="AH273" s="227">
        <v>2.3999999999999998E-3</v>
      </c>
      <c r="AI273" s="226">
        <f t="shared" si="61"/>
        <v>2.3733715989720755E-3</v>
      </c>
      <c r="AJ273" s="226">
        <f t="shared" si="61"/>
        <v>2.3470386445030278E-3</v>
      </c>
      <c r="AK273" s="226">
        <f t="shared" si="61"/>
        <v>2.3209978585639187E-3</v>
      </c>
      <c r="AL273" s="226">
        <f t="shared" si="61"/>
        <v>2.2952459994960883E-3</v>
      </c>
      <c r="AM273" s="226">
        <f t="shared" si="61"/>
        <v>2.2697798616076216E-3</v>
      </c>
      <c r="AN273" s="226">
        <f t="shared" si="61"/>
        <v>2.2445962747742907E-3</v>
      </c>
      <c r="AO273" s="226">
        <f t="shared" si="61"/>
        <v>2.2196921040449264E-3</v>
      </c>
      <c r="AP273" s="226">
        <f t="shared" si="61"/>
        <v>2.1950642492511662E-3</v>
      </c>
      <c r="AQ273" s="226">
        <f t="shared" si="61"/>
        <v>2.1707096446215331E-3</v>
      </c>
      <c r="AR273" s="226">
        <f t="shared" si="61"/>
        <v>2.1466252583997977E-3</v>
      </c>
      <c r="AS273" s="226">
        <f t="shared" si="61"/>
        <v>2.1228080924675721E-3</v>
      </c>
      <c r="AT273" s="226">
        <f t="shared" si="61"/>
        <v>2.0992551819710935E-3</v>
      </c>
      <c r="AU273" s="226">
        <f t="shared" si="61"/>
        <v>2.0759635949521458E-3</v>
      </c>
      <c r="AV273" s="226">
        <f t="shared" si="61"/>
        <v>2.0529304319830805E-3</v>
      </c>
      <c r="AW273" s="226">
        <f t="shared" si="61"/>
        <v>2.0301528258058828E-3</v>
      </c>
      <c r="AX273" s="226">
        <f t="shared" si="61"/>
        <v>2.0076279409752444E-3</v>
      </c>
      <c r="AY273" s="226">
        <f t="shared" si="59"/>
        <v>1.9853529735055966E-3</v>
      </c>
      <c r="AZ273" s="226">
        <f t="shared" si="59"/>
        <v>1.9633251505220598E-3</v>
      </c>
      <c r="BA273" s="226">
        <f t="shared" si="59"/>
        <v>1.9415417299152636E-3</v>
      </c>
      <c r="BB273" s="226">
        <f t="shared" si="59"/>
        <v>1.9199999999999998E-3</v>
      </c>
      <c r="BC273" s="226">
        <f t="shared" si="59"/>
        <v>1.8986972791776606E-3</v>
      </c>
      <c r="BD273" s="226">
        <f t="shared" si="59"/>
        <v>1.8776309156024226E-3</v>
      </c>
      <c r="BE273" s="226">
        <f t="shared" si="59"/>
        <v>1.8567982868511353E-3</v>
      </c>
    </row>
    <row r="274" spans="5:57" s="10" customFormat="1" x14ac:dyDescent="0.35">
      <c r="E274" s="10" t="s">
        <v>664</v>
      </c>
      <c r="F274" s="10" t="s">
        <v>615</v>
      </c>
      <c r="G274" s="43" t="s">
        <v>616</v>
      </c>
      <c r="I274" s="20"/>
      <c r="J274" s="200"/>
      <c r="K274" s="200"/>
      <c r="L274" s="200"/>
      <c r="M274" s="200"/>
      <c r="N274" s="200">
        <v>3.0000000000000001E-3</v>
      </c>
      <c r="O274" s="226">
        <f t="shared" si="60"/>
        <v>2.9667144987150949E-3</v>
      </c>
      <c r="P274" s="226">
        <f t="shared" si="60"/>
        <v>2.9337983056287853E-3</v>
      </c>
      <c r="Q274" s="226">
        <f t="shared" si="60"/>
        <v>2.9012473232048991E-3</v>
      </c>
      <c r="R274" s="226">
        <f t="shared" si="60"/>
        <v>2.8690574993701112E-3</v>
      </c>
      <c r="S274" s="226">
        <f t="shared" si="60"/>
        <v>2.8372248270095274E-3</v>
      </c>
      <c r="T274" s="226">
        <f t="shared" si="60"/>
        <v>2.8057453434678641E-3</v>
      </c>
      <c r="U274" s="226">
        <f t="shared" si="60"/>
        <v>2.7746151300561588E-3</v>
      </c>
      <c r="V274" s="226">
        <f t="shared" si="60"/>
        <v>2.7438303115639583E-3</v>
      </c>
      <c r="W274" s="226">
        <f t="shared" si="60"/>
        <v>2.7133870557769172E-3</v>
      </c>
      <c r="X274" s="226">
        <f t="shared" si="60"/>
        <v>2.6832815729997479E-3</v>
      </c>
      <c r="Y274" s="226">
        <f t="shared" si="60"/>
        <v>2.653510115584466E-3</v>
      </c>
      <c r="Z274" s="226">
        <f t="shared" si="60"/>
        <v>2.6240689774638675E-3</v>
      </c>
      <c r="AA274" s="226">
        <f t="shared" si="60"/>
        <v>2.5949544936901829E-3</v>
      </c>
      <c r="AB274" s="226">
        <f t="shared" si="60"/>
        <v>2.5661630399788512E-3</v>
      </c>
      <c r="AC274" s="226">
        <f t="shared" si="60"/>
        <v>2.5376910322573538E-3</v>
      </c>
      <c r="AD274" s="226">
        <f t="shared" ref="AD274:AG289" si="62">AC274*(1+($AH274/$N274)^(1/($AH$6-$N$6))-1)</f>
        <v>2.5095349262190558E-3</v>
      </c>
      <c r="AE274" s="226">
        <f t="shared" si="62"/>
        <v>2.4816912168819961E-3</v>
      </c>
      <c r="AF274" s="226">
        <f t="shared" si="62"/>
        <v>2.4541564381525749E-3</v>
      </c>
      <c r="AG274" s="226">
        <f t="shared" si="62"/>
        <v>2.4269271623940797E-3</v>
      </c>
      <c r="AH274" s="227">
        <v>2.3999999999999998E-3</v>
      </c>
      <c r="AI274" s="226">
        <f t="shared" si="61"/>
        <v>2.3733715989720755E-3</v>
      </c>
      <c r="AJ274" s="226">
        <f t="shared" si="61"/>
        <v>2.3470386445030278E-3</v>
      </c>
      <c r="AK274" s="226">
        <f t="shared" si="61"/>
        <v>2.3209978585639187E-3</v>
      </c>
      <c r="AL274" s="226">
        <f t="shared" si="61"/>
        <v>2.2952459994960883E-3</v>
      </c>
      <c r="AM274" s="226">
        <f t="shared" si="61"/>
        <v>2.2697798616076216E-3</v>
      </c>
      <c r="AN274" s="226">
        <f t="shared" si="61"/>
        <v>2.2445962747742907E-3</v>
      </c>
      <c r="AO274" s="226">
        <f t="shared" si="61"/>
        <v>2.2196921040449264E-3</v>
      </c>
      <c r="AP274" s="226">
        <f t="shared" si="61"/>
        <v>2.1950642492511662E-3</v>
      </c>
      <c r="AQ274" s="226">
        <f t="shared" si="61"/>
        <v>2.1707096446215331E-3</v>
      </c>
      <c r="AR274" s="226">
        <f t="shared" si="61"/>
        <v>2.1466252583997977E-3</v>
      </c>
      <c r="AS274" s="226">
        <f t="shared" si="61"/>
        <v>2.1228080924675721E-3</v>
      </c>
      <c r="AT274" s="226">
        <f t="shared" si="61"/>
        <v>2.0992551819710935E-3</v>
      </c>
      <c r="AU274" s="226">
        <f t="shared" si="61"/>
        <v>2.0759635949521458E-3</v>
      </c>
      <c r="AV274" s="226">
        <f t="shared" si="61"/>
        <v>2.0529304319830805E-3</v>
      </c>
      <c r="AW274" s="226">
        <f t="shared" si="61"/>
        <v>2.0301528258058828E-3</v>
      </c>
      <c r="AX274" s="226">
        <f t="shared" ref="AX274:BE289" si="63">AW274*(1+($AH274/$N274)^(1/($AH$6-$N$6))-1)</f>
        <v>2.0076279409752444E-3</v>
      </c>
      <c r="AY274" s="226">
        <f t="shared" si="63"/>
        <v>1.9853529735055966E-3</v>
      </c>
      <c r="AZ274" s="226">
        <f t="shared" si="63"/>
        <v>1.9633251505220598E-3</v>
      </c>
      <c r="BA274" s="226">
        <f t="shared" si="63"/>
        <v>1.9415417299152636E-3</v>
      </c>
      <c r="BB274" s="226">
        <f t="shared" si="63"/>
        <v>1.9199999999999998E-3</v>
      </c>
      <c r="BC274" s="226">
        <f t="shared" si="63"/>
        <v>1.8986972791776606E-3</v>
      </c>
      <c r="BD274" s="226">
        <f t="shared" si="63"/>
        <v>1.8776309156024226E-3</v>
      </c>
      <c r="BE274" s="226">
        <f t="shared" si="63"/>
        <v>1.8567982868511353E-3</v>
      </c>
    </row>
    <row r="275" spans="5:57" s="10" customFormat="1" x14ac:dyDescent="0.35">
      <c r="E275" s="10" t="s">
        <v>665</v>
      </c>
      <c r="F275" s="10" t="s">
        <v>615</v>
      </c>
      <c r="G275" s="43" t="s">
        <v>616</v>
      </c>
      <c r="I275" s="20"/>
      <c r="J275" s="200"/>
      <c r="K275" s="200"/>
      <c r="L275" s="200"/>
      <c r="M275" s="200"/>
      <c r="N275" s="200">
        <v>3.0000000000000001E-3</v>
      </c>
      <c r="O275" s="226">
        <f t="shared" ref="O275:AD290" si="64">N275*(1+($AH275/$N275)^(1/($AH$6-$N$6))-1)</f>
        <v>2.9727760428692267E-3</v>
      </c>
      <c r="P275" s="226">
        <f t="shared" si="64"/>
        <v>2.9457991336857394E-3</v>
      </c>
      <c r="Q275" s="226">
        <f t="shared" si="64"/>
        <v>2.9190670305752958E-3</v>
      </c>
      <c r="R275" s="226">
        <f t="shared" si="64"/>
        <v>2.8925775120078839E-3</v>
      </c>
      <c r="S275" s="226">
        <f t="shared" si="64"/>
        <v>2.8663283766131031E-3</v>
      </c>
      <c r="T275" s="226">
        <f t="shared" si="64"/>
        <v>2.840317442997225E-3</v>
      </c>
      <c r="U275" s="226">
        <f t="shared" si="64"/>
        <v>2.81454254956191E-3</v>
      </c>
      <c r="V275" s="226">
        <f t="shared" si="64"/>
        <v>2.7890015543245729E-3</v>
      </c>
      <c r="W275" s="226">
        <f t="shared" si="64"/>
        <v>2.7636923347403755E-3</v>
      </c>
      <c r="X275" s="226">
        <f t="shared" si="64"/>
        <v>2.7386127875258359E-3</v>
      </c>
      <c r="Y275" s="226">
        <f t="shared" si="64"/>
        <v>2.7137608284840387E-3</v>
      </c>
      <c r="Z275" s="226">
        <f t="shared" si="64"/>
        <v>2.6891343923314314E-3</v>
      </c>
      <c r="AA275" s="226">
        <f t="shared" si="64"/>
        <v>2.6647314325261916E-3</v>
      </c>
      <c r="AB275" s="226">
        <f t="shared" si="64"/>
        <v>2.6405499210981525E-3</v>
      </c>
      <c r="AC275" s="226">
        <f t="shared" si="64"/>
        <v>2.6165878484802714E-3</v>
      </c>
      <c r="AD275" s="226">
        <f t="shared" si="64"/>
        <v>2.5928432233416282E-3</v>
      </c>
      <c r="AE275" s="226">
        <f t="shared" si="62"/>
        <v>2.5693140724219387E-3</v>
      </c>
      <c r="AF275" s="226">
        <f t="shared" si="62"/>
        <v>2.5459984403675695E-3</v>
      </c>
      <c r="AG275" s="226">
        <f t="shared" si="62"/>
        <v>2.5228943895690419E-3</v>
      </c>
      <c r="AH275" s="227">
        <v>2.5000000000000001E-3</v>
      </c>
      <c r="AI275" s="226">
        <f t="shared" ref="AI275:AX290" si="65">AH275*(1+($AH275/$N275)^(1/($AH$6-$N$6))-1)</f>
        <v>2.4773133690576886E-3</v>
      </c>
      <c r="AJ275" s="226">
        <f t="shared" si="65"/>
        <v>2.4548326114047824E-3</v>
      </c>
      <c r="AK275" s="226">
        <f t="shared" si="65"/>
        <v>2.4325558588127461E-3</v>
      </c>
      <c r="AL275" s="226">
        <f t="shared" si="65"/>
        <v>2.4104812600065691E-3</v>
      </c>
      <c r="AM275" s="226">
        <f t="shared" si="65"/>
        <v>2.3886069805109187E-3</v>
      </c>
      <c r="AN275" s="226">
        <f t="shared" si="65"/>
        <v>2.3669312024976867E-3</v>
      </c>
      <c r="AO275" s="226">
        <f t="shared" si="65"/>
        <v>2.3454521246349244E-3</v>
      </c>
      <c r="AP275" s="226">
        <f t="shared" si="65"/>
        <v>2.3241679619371435E-3</v>
      </c>
      <c r="AQ275" s="226">
        <f t="shared" si="65"/>
        <v>2.3030769456169786E-3</v>
      </c>
      <c r="AR275" s="226">
        <f t="shared" si="65"/>
        <v>2.2821773229381955E-3</v>
      </c>
      <c r="AS275" s="226">
        <f t="shared" si="65"/>
        <v>2.2614673570700312E-3</v>
      </c>
      <c r="AT275" s="226">
        <f t="shared" si="65"/>
        <v>2.2409453269428585E-3</v>
      </c>
      <c r="AU275" s="226">
        <f t="shared" si="65"/>
        <v>2.2206095271051587E-3</v>
      </c>
      <c r="AV275" s="226">
        <f t="shared" si="65"/>
        <v>2.2004582675817928E-3</v>
      </c>
      <c r="AW275" s="226">
        <f t="shared" si="65"/>
        <v>2.1804898737335585E-3</v>
      </c>
      <c r="AX275" s="226">
        <f t="shared" si="65"/>
        <v>2.1607026861180222E-3</v>
      </c>
      <c r="AY275" s="226">
        <f t="shared" si="63"/>
        <v>2.1410950603516143E-3</v>
      </c>
      <c r="AZ275" s="226">
        <f t="shared" si="63"/>
        <v>2.1216653669729733E-3</v>
      </c>
      <c r="BA275" s="226">
        <f t="shared" si="63"/>
        <v>2.1024119913075337E-3</v>
      </c>
      <c r="BB275" s="226">
        <f t="shared" si="63"/>
        <v>2.0833333333333402E-3</v>
      </c>
      <c r="BC275" s="226">
        <f t="shared" si="63"/>
        <v>2.0644278075480807E-3</v>
      </c>
      <c r="BD275" s="226">
        <f t="shared" si="63"/>
        <v>2.0456938428373254E-3</v>
      </c>
      <c r="BE275" s="226">
        <f t="shared" si="63"/>
        <v>2.0271298823439617E-3</v>
      </c>
    </row>
    <row r="276" spans="5:57" s="10" customFormat="1" x14ac:dyDescent="0.35">
      <c r="E276" s="10" t="s">
        <v>666</v>
      </c>
      <c r="F276" s="10" t="s">
        <v>615</v>
      </c>
      <c r="G276" s="43" t="s">
        <v>616</v>
      </c>
      <c r="I276" s="20"/>
      <c r="J276" s="200"/>
      <c r="K276" s="200"/>
      <c r="L276" s="200"/>
      <c r="M276" s="200"/>
      <c r="N276" s="200">
        <v>3.0999999999999999E-3</v>
      </c>
      <c r="O276" s="226">
        <f t="shared" si="64"/>
        <v>3.0668364025421492E-3</v>
      </c>
      <c r="P276" s="226">
        <f t="shared" si="64"/>
        <v>3.0340275870831203E-3</v>
      </c>
      <c r="Q276" s="226">
        <f t="shared" si="64"/>
        <v>3.0015697581882695E-3</v>
      </c>
      <c r="R276" s="226">
        <f t="shared" si="64"/>
        <v>2.9694591610262651E-3</v>
      </c>
      <c r="S276" s="226">
        <f t="shared" si="64"/>
        <v>2.9376920809347164E-3</v>
      </c>
      <c r="T276" s="226">
        <f t="shared" si="64"/>
        <v>2.9062648429904474E-3</v>
      </c>
      <c r="U276" s="226">
        <f t="shared" si="64"/>
        <v>2.8751738115843704E-3</v>
      </c>
      <c r="V276" s="226">
        <f t="shared" si="64"/>
        <v>2.8444153900009064E-3</v>
      </c>
      <c r="W276" s="226">
        <f t="shared" si="64"/>
        <v>2.8139860200019047E-3</v>
      </c>
      <c r="X276" s="226">
        <f t="shared" si="64"/>
        <v>2.7838821814150138E-3</v>
      </c>
      <c r="Y276" s="226">
        <f t="shared" si="64"/>
        <v>2.7541003917264557E-3</v>
      </c>
      <c r="Z276" s="226">
        <f t="shared" si="64"/>
        <v>2.7246372056781575E-3</v>
      </c>
      <c r="AA276" s="226">
        <f t="shared" si="64"/>
        <v>2.695489214869192E-3</v>
      </c>
      <c r="AB276" s="226">
        <f t="shared" si="64"/>
        <v>2.6666530473614825E-3</v>
      </c>
      <c r="AC276" s="226">
        <f t="shared" si="64"/>
        <v>2.6381253672897254E-3</v>
      </c>
      <c r="AD276" s="226">
        <f t="shared" si="64"/>
        <v>2.6099028744754867E-3</v>
      </c>
      <c r="AE276" s="226">
        <f t="shared" si="62"/>
        <v>2.5819823040454247E-3</v>
      </c>
      <c r="AF276" s="226">
        <f t="shared" si="62"/>
        <v>2.5543604260536003E-3</v>
      </c>
      <c r="AG276" s="226">
        <f t="shared" si="62"/>
        <v>2.5270340451078246E-3</v>
      </c>
      <c r="AH276" s="227">
        <v>2.5000000000000001E-3</v>
      </c>
      <c r="AI276" s="226">
        <f t="shared" si="65"/>
        <v>2.4732551633404433E-3</v>
      </c>
      <c r="AJ276" s="226">
        <f t="shared" si="65"/>
        <v>2.4467964411960651E-3</v>
      </c>
      <c r="AK276" s="226">
        <f t="shared" si="65"/>
        <v>2.4206207727324757E-3</v>
      </c>
      <c r="AL276" s="226">
        <f t="shared" si="65"/>
        <v>2.3947251298598914E-3</v>
      </c>
      <c r="AM276" s="226">
        <f t="shared" si="65"/>
        <v>2.3691065168828357E-3</v>
      </c>
      <c r="AN276" s="226">
        <f t="shared" si="65"/>
        <v>2.3437619701535866E-3</v>
      </c>
      <c r="AO276" s="226">
        <f t="shared" si="65"/>
        <v>2.3186885577293312E-3</v>
      </c>
      <c r="AP276" s="226">
        <f t="shared" si="65"/>
        <v>2.2938833790329895E-3</v>
      </c>
      <c r="AQ276" s="226">
        <f t="shared" si="65"/>
        <v>2.2693435645176657E-3</v>
      </c>
      <c r="AR276" s="226">
        <f t="shared" si="65"/>
        <v>2.2450662753346891E-3</v>
      </c>
      <c r="AS276" s="226">
        <f t="shared" si="65"/>
        <v>2.2210487030052068E-3</v>
      </c>
      <c r="AT276" s="226">
        <f t="shared" si="65"/>
        <v>2.1972880690952889E-3</v>
      </c>
      <c r="AU276" s="226">
        <f t="shared" si="65"/>
        <v>2.1737816248945103E-3</v>
      </c>
      <c r="AV276" s="226">
        <f t="shared" si="65"/>
        <v>2.1505266510979705E-3</v>
      </c>
      <c r="AW276" s="226">
        <f t="shared" si="65"/>
        <v>2.127520457491715E-3</v>
      </c>
      <c r="AX276" s="226">
        <f t="shared" si="65"/>
        <v>2.1047603826415224E-3</v>
      </c>
      <c r="AY276" s="226">
        <f t="shared" si="63"/>
        <v>2.0822437935850207E-3</v>
      </c>
      <c r="AZ276" s="226">
        <f t="shared" si="63"/>
        <v>2.0599680855270977E-3</v>
      </c>
      <c r="BA276" s="226">
        <f t="shared" si="63"/>
        <v>2.0379306815385689E-3</v>
      </c>
      <c r="BB276" s="226">
        <f t="shared" si="63"/>
        <v>2.0161290322580697E-3</v>
      </c>
      <c r="BC276" s="226">
        <f t="shared" si="63"/>
        <v>1.9945606155971365E-3</v>
      </c>
      <c r="BD276" s="226">
        <f t="shared" si="63"/>
        <v>1.9732229364484441E-3</v>
      </c>
      <c r="BE276" s="226">
        <f t="shared" si="63"/>
        <v>1.9521135263971623E-3</v>
      </c>
    </row>
    <row r="277" spans="5:57" s="10" customFormat="1" x14ac:dyDescent="0.35">
      <c r="E277" s="10" t="s">
        <v>667</v>
      </c>
      <c r="F277" s="10" t="s">
        <v>615</v>
      </c>
      <c r="G277" s="43" t="s">
        <v>616</v>
      </c>
      <c r="I277" s="20"/>
      <c r="J277" s="200"/>
      <c r="K277" s="200"/>
      <c r="L277" s="200"/>
      <c r="M277" s="200"/>
      <c r="N277" s="200">
        <v>3.0999999999999999E-3</v>
      </c>
      <c r="O277" s="226">
        <f t="shared" si="64"/>
        <v>3.0728564789467379E-3</v>
      </c>
      <c r="P277" s="226">
        <f t="shared" si="64"/>
        <v>3.0459506258725625E-3</v>
      </c>
      <c r="Q277" s="226">
        <f t="shared" si="64"/>
        <v>3.0192803597627015E-3</v>
      </c>
      <c r="R277" s="226">
        <f t="shared" si="64"/>
        <v>2.9928436178236952E-3</v>
      </c>
      <c r="S277" s="226">
        <f t="shared" si="64"/>
        <v>2.9666383553238504E-3</v>
      </c>
      <c r="T277" s="226">
        <f t="shared" si="64"/>
        <v>2.9406625454350931E-3</v>
      </c>
      <c r="U277" s="226">
        <f t="shared" si="64"/>
        <v>2.9149141790762037E-3</v>
      </c>
      <c r="V277" s="226">
        <f t="shared" si="64"/>
        <v>2.8893912647574272E-3</v>
      </c>
      <c r="W277" s="226">
        <f t="shared" si="64"/>
        <v>2.8640918284264416E-3</v>
      </c>
      <c r="X277" s="226">
        <f t="shared" si="64"/>
        <v>2.8390139133156775E-3</v>
      </c>
      <c r="Y277" s="226">
        <f t="shared" si="64"/>
        <v>2.8141555797909718E-3</v>
      </c>
      <c r="Z277" s="226">
        <f t="shared" si="64"/>
        <v>2.789514905201549E-3</v>
      </c>
      <c r="AA277" s="226">
        <f t="shared" si="64"/>
        <v>2.7650899837313148E-3</v>
      </c>
      <c r="AB277" s="226">
        <f t="shared" si="64"/>
        <v>2.7408789262514518E-3</v>
      </c>
      <c r="AC277" s="226">
        <f t="shared" si="64"/>
        <v>2.716879860174307E-3</v>
      </c>
      <c r="AD277" s="226">
        <f t="shared" si="64"/>
        <v>2.6930909293085572E-3</v>
      </c>
      <c r="AE277" s="226">
        <f t="shared" si="62"/>
        <v>2.6695102937156425E-3</v>
      </c>
      <c r="AF277" s="226">
        <f t="shared" si="62"/>
        <v>2.6461361295674586E-3</v>
      </c>
      <c r="AG277" s="226">
        <f t="shared" si="62"/>
        <v>2.6229666290052936E-3</v>
      </c>
      <c r="AH277" s="227">
        <v>2.5999999999999999E-3</v>
      </c>
      <c r="AI277" s="226">
        <f t="shared" si="65"/>
        <v>2.5772344662133928E-3</v>
      </c>
      <c r="AJ277" s="226">
        <f t="shared" si="65"/>
        <v>2.5546682668608589E-3</v>
      </c>
      <c r="AK277" s="226">
        <f t="shared" si="65"/>
        <v>2.5322996565751692E-3</v>
      </c>
      <c r="AL277" s="226">
        <f t="shared" si="65"/>
        <v>2.5101269052714864E-3</v>
      </c>
      <c r="AM277" s="226">
        <f t="shared" si="65"/>
        <v>2.4881482980135521E-3</v>
      </c>
      <c r="AN277" s="226">
        <f t="shared" si="65"/>
        <v>2.4663621348810462E-3</v>
      </c>
      <c r="AO277" s="226">
        <f t="shared" si="65"/>
        <v>2.4447667308381067E-3</v>
      </c>
      <c r="AP277" s="226">
        <f t="shared" si="65"/>
        <v>2.4233604156030041E-3</v>
      </c>
      <c r="AQ277" s="226">
        <f t="shared" si="65"/>
        <v>2.4021415335189517E-3</v>
      </c>
      <c r="AR277" s="226">
        <f t="shared" si="65"/>
        <v>2.3811084434260527E-3</v>
      </c>
      <c r="AS277" s="226">
        <f t="shared" si="65"/>
        <v>2.3602595185343639E-3</v>
      </c>
      <c r="AT277" s="226">
        <f t="shared" si="65"/>
        <v>2.3395931462980735E-3</v>
      </c>
      <c r="AU277" s="226">
        <f t="shared" si="65"/>
        <v>2.3191077282907801E-3</v>
      </c>
      <c r="AV277" s="226">
        <f t="shared" si="65"/>
        <v>2.2988016800818628E-3</v>
      </c>
      <c r="AW277" s="226">
        <f t="shared" si="65"/>
        <v>2.2786734311139351E-3</v>
      </c>
      <c r="AX277" s="226">
        <f t="shared" si="65"/>
        <v>2.2587214245813705E-3</v>
      </c>
      <c r="AY277" s="226">
        <f t="shared" si="63"/>
        <v>2.2389441173098937E-3</v>
      </c>
      <c r="AZ277" s="226">
        <f t="shared" si="63"/>
        <v>2.2193399796372232E-3</v>
      </c>
      <c r="BA277" s="226">
        <f t="shared" si="63"/>
        <v>2.1999074952947623E-3</v>
      </c>
      <c r="BB277" s="226">
        <f t="shared" si="63"/>
        <v>2.1806451612903228E-3</v>
      </c>
      <c r="BC277" s="226">
        <f t="shared" si="63"/>
        <v>2.1615514877918783E-3</v>
      </c>
      <c r="BD277" s="226">
        <f t="shared" si="63"/>
        <v>2.1426249980123335E-3</v>
      </c>
      <c r="BE277" s="226">
        <f t="shared" si="63"/>
        <v>2.1238642280953035E-3</v>
      </c>
    </row>
    <row r="278" spans="5:57" s="10" customFormat="1" x14ac:dyDescent="0.35">
      <c r="E278" s="10" t="s">
        <v>668</v>
      </c>
      <c r="F278" s="10" t="s">
        <v>615</v>
      </c>
      <c r="G278" s="43" t="s">
        <v>616</v>
      </c>
      <c r="I278" s="20"/>
      <c r="J278" s="200"/>
      <c r="K278" s="200"/>
      <c r="L278" s="200"/>
      <c r="M278" s="200"/>
      <c r="N278" s="200">
        <v>3.0999999999999999E-3</v>
      </c>
      <c r="O278" s="226">
        <f t="shared" si="64"/>
        <v>3.0728564789467379E-3</v>
      </c>
      <c r="P278" s="226">
        <f t="shared" si="64"/>
        <v>3.0459506258725625E-3</v>
      </c>
      <c r="Q278" s="226">
        <f t="shared" si="64"/>
        <v>3.0192803597627015E-3</v>
      </c>
      <c r="R278" s="226">
        <f t="shared" si="64"/>
        <v>2.9928436178236952E-3</v>
      </c>
      <c r="S278" s="226">
        <f t="shared" si="64"/>
        <v>2.9666383553238504E-3</v>
      </c>
      <c r="T278" s="226">
        <f t="shared" si="64"/>
        <v>2.9406625454350931E-3</v>
      </c>
      <c r="U278" s="226">
        <f t="shared" si="64"/>
        <v>2.9149141790762037E-3</v>
      </c>
      <c r="V278" s="226">
        <f t="shared" si="64"/>
        <v>2.8893912647574272E-3</v>
      </c>
      <c r="W278" s="226">
        <f t="shared" si="64"/>
        <v>2.8640918284264416E-3</v>
      </c>
      <c r="X278" s="226">
        <f t="shared" si="64"/>
        <v>2.8390139133156775E-3</v>
      </c>
      <c r="Y278" s="226">
        <f t="shared" si="64"/>
        <v>2.8141555797909718E-3</v>
      </c>
      <c r="Z278" s="226">
        <f t="shared" si="64"/>
        <v>2.789514905201549E-3</v>
      </c>
      <c r="AA278" s="226">
        <f t="shared" si="64"/>
        <v>2.7650899837313148E-3</v>
      </c>
      <c r="AB278" s="226">
        <f t="shared" si="64"/>
        <v>2.7408789262514518E-3</v>
      </c>
      <c r="AC278" s="226">
        <f t="shared" si="64"/>
        <v>2.716879860174307E-3</v>
      </c>
      <c r="AD278" s="226">
        <f t="shared" si="64"/>
        <v>2.6930909293085572E-3</v>
      </c>
      <c r="AE278" s="226">
        <f t="shared" si="62"/>
        <v>2.6695102937156425E-3</v>
      </c>
      <c r="AF278" s="226">
        <f t="shared" si="62"/>
        <v>2.6461361295674586E-3</v>
      </c>
      <c r="AG278" s="226">
        <f t="shared" si="62"/>
        <v>2.6229666290052936E-3</v>
      </c>
      <c r="AH278" s="227">
        <v>2.5999999999999999E-3</v>
      </c>
      <c r="AI278" s="226">
        <f t="shared" si="65"/>
        <v>2.5772344662133928E-3</v>
      </c>
      <c r="AJ278" s="226">
        <f t="shared" si="65"/>
        <v>2.5546682668608589E-3</v>
      </c>
      <c r="AK278" s="226">
        <f t="shared" si="65"/>
        <v>2.5322996565751692E-3</v>
      </c>
      <c r="AL278" s="226">
        <f t="shared" si="65"/>
        <v>2.5101269052714864E-3</v>
      </c>
      <c r="AM278" s="226">
        <f t="shared" si="65"/>
        <v>2.4881482980135521E-3</v>
      </c>
      <c r="AN278" s="226">
        <f t="shared" si="65"/>
        <v>2.4663621348810462E-3</v>
      </c>
      <c r="AO278" s="226">
        <f t="shared" si="65"/>
        <v>2.4447667308381067E-3</v>
      </c>
      <c r="AP278" s="226">
        <f t="shared" si="65"/>
        <v>2.4233604156030041E-3</v>
      </c>
      <c r="AQ278" s="226">
        <f t="shared" si="65"/>
        <v>2.4021415335189517E-3</v>
      </c>
      <c r="AR278" s="226">
        <f t="shared" si="65"/>
        <v>2.3811084434260527E-3</v>
      </c>
      <c r="AS278" s="226">
        <f t="shared" si="65"/>
        <v>2.3602595185343639E-3</v>
      </c>
      <c r="AT278" s="226">
        <f t="shared" si="65"/>
        <v>2.3395931462980735E-3</v>
      </c>
      <c r="AU278" s="226">
        <f t="shared" si="65"/>
        <v>2.3191077282907801E-3</v>
      </c>
      <c r="AV278" s="226">
        <f t="shared" si="65"/>
        <v>2.2988016800818628E-3</v>
      </c>
      <c r="AW278" s="226">
        <f t="shared" si="65"/>
        <v>2.2786734311139351E-3</v>
      </c>
      <c r="AX278" s="226">
        <f t="shared" si="65"/>
        <v>2.2587214245813705E-3</v>
      </c>
      <c r="AY278" s="226">
        <f t="shared" si="63"/>
        <v>2.2389441173098937E-3</v>
      </c>
      <c r="AZ278" s="226">
        <f t="shared" si="63"/>
        <v>2.2193399796372232E-3</v>
      </c>
      <c r="BA278" s="226">
        <f t="shared" si="63"/>
        <v>2.1999074952947623E-3</v>
      </c>
      <c r="BB278" s="226">
        <f t="shared" si="63"/>
        <v>2.1806451612903228E-3</v>
      </c>
      <c r="BC278" s="226">
        <f t="shared" si="63"/>
        <v>2.1615514877918783E-3</v>
      </c>
      <c r="BD278" s="226">
        <f t="shared" si="63"/>
        <v>2.1426249980123335E-3</v>
      </c>
      <c r="BE278" s="226">
        <f t="shared" si="63"/>
        <v>2.1238642280953035E-3</v>
      </c>
    </row>
    <row r="279" spans="5:57" s="10" customFormat="1" x14ac:dyDescent="0.35">
      <c r="E279" s="10" t="s">
        <v>669</v>
      </c>
      <c r="F279" s="10" t="s">
        <v>615</v>
      </c>
      <c r="G279" s="43" t="s">
        <v>616</v>
      </c>
      <c r="I279" s="20"/>
      <c r="J279" s="200"/>
      <c r="K279" s="200"/>
      <c r="L279" s="200"/>
      <c r="M279" s="200"/>
      <c r="N279" s="200">
        <v>3.2000000000000002E-3</v>
      </c>
      <c r="O279" s="226">
        <f t="shared" si="64"/>
        <v>3.1669495627921446E-3</v>
      </c>
      <c r="P279" s="226">
        <f t="shared" si="64"/>
        <v>3.1342404791466732E-3</v>
      </c>
      <c r="Q279" s="226">
        <f t="shared" si="64"/>
        <v>3.1018692234746868E-3</v>
      </c>
      <c r="R279" s="226">
        <f t="shared" si="64"/>
        <v>3.06983230660049E-3</v>
      </c>
      <c r="S279" s="226">
        <f t="shared" si="64"/>
        <v>3.0381262753855069E-3</v>
      </c>
      <c r="T279" s="226">
        <f t="shared" si="64"/>
        <v>3.0067477123560801E-3</v>
      </c>
      <c r="U279" s="226">
        <f t="shared" si="64"/>
        <v>2.9756932353351149E-3</v>
      </c>
      <c r="V279" s="226">
        <f t="shared" si="64"/>
        <v>2.9449594970775259E-3</v>
      </c>
      <c r="W279" s="226">
        <f t="shared" si="64"/>
        <v>2.9145431849094509E-3</v>
      </c>
      <c r="X279" s="226">
        <f t="shared" si="64"/>
        <v>2.8844410203711906E-3</v>
      </c>
      <c r="Y279" s="226">
        <f t="shared" si="64"/>
        <v>2.8546497588638341E-3</v>
      </c>
      <c r="Z279" s="226">
        <f t="shared" si="64"/>
        <v>2.8251661892995375E-3</v>
      </c>
      <c r="AA279" s="226">
        <f t="shared" si="64"/>
        <v>2.7959871337554119E-3</v>
      </c>
      <c r="AB279" s="226">
        <f t="shared" si="64"/>
        <v>2.7671094471309883E-3</v>
      </c>
      <c r="AC279" s="226">
        <f t="shared" si="64"/>
        <v>2.7385300168092171E-3</v>
      </c>
      <c r="AD279" s="226">
        <f t="shared" si="64"/>
        <v>2.7102457623209729E-3</v>
      </c>
      <c r="AE279" s="226">
        <f t="shared" si="62"/>
        <v>2.6822536350130208E-3</v>
      </c>
      <c r="AF279" s="226">
        <f t="shared" si="62"/>
        <v>2.6545506177194141E-3</v>
      </c>
      <c r="AG279" s="226">
        <f t="shared" si="62"/>
        <v>2.6271337244362859E-3</v>
      </c>
      <c r="AH279" s="227">
        <v>2.5999999999999999E-3</v>
      </c>
      <c r="AI279" s="226">
        <f t="shared" si="65"/>
        <v>2.5731465197686171E-3</v>
      </c>
      <c r="AJ279" s="226">
        <f t="shared" si="65"/>
        <v>2.5465703893066717E-3</v>
      </c>
      <c r="AK279" s="226">
        <f t="shared" si="65"/>
        <v>2.5202687440731828E-3</v>
      </c>
      <c r="AL279" s="226">
        <f t="shared" si="65"/>
        <v>2.4942387491128978E-3</v>
      </c>
      <c r="AM279" s="226">
        <f t="shared" si="65"/>
        <v>2.4684775987507237E-3</v>
      </c>
      <c r="AN279" s="226">
        <f t="shared" si="65"/>
        <v>2.4429825162893145E-3</v>
      </c>
      <c r="AO279" s="226">
        <f t="shared" si="65"/>
        <v>2.4177507537097801E-3</v>
      </c>
      <c r="AP279" s="226">
        <f t="shared" si="65"/>
        <v>2.3927795913754892E-3</v>
      </c>
      <c r="AQ279" s="226">
        <f t="shared" si="65"/>
        <v>2.3680663377389287E-3</v>
      </c>
      <c r="AR279" s="226">
        <f t="shared" si="65"/>
        <v>2.343608329051592E-3</v>
      </c>
      <c r="AS279" s="226">
        <f t="shared" si="65"/>
        <v>2.3194029290768648E-3</v>
      </c>
      <c r="AT279" s="226">
        <f t="shared" si="65"/>
        <v>2.2954475288058736E-3</v>
      </c>
      <c r="AU279" s="226">
        <f t="shared" si="65"/>
        <v>2.2717395461762718E-3</v>
      </c>
      <c r="AV279" s="226">
        <f t="shared" si="65"/>
        <v>2.2482764257939275E-3</v>
      </c>
      <c r="AW279" s="226">
        <f t="shared" si="65"/>
        <v>2.2250556386574885E-3</v>
      </c>
      <c r="AX279" s="226">
        <f t="shared" si="65"/>
        <v>2.2020746818857901E-3</v>
      </c>
      <c r="AY279" s="226">
        <f t="shared" si="63"/>
        <v>2.1793310784480793E-3</v>
      </c>
      <c r="AZ279" s="226">
        <f t="shared" si="63"/>
        <v>2.1568223768970241E-3</v>
      </c>
      <c r="BA279" s="226">
        <f t="shared" si="63"/>
        <v>2.1345461511044824E-3</v>
      </c>
      <c r="BB279" s="226">
        <f t="shared" si="63"/>
        <v>2.1124999999999985E-3</v>
      </c>
      <c r="BC279" s="226">
        <f t="shared" si="63"/>
        <v>2.090681547312E-3</v>
      </c>
      <c r="BD279" s="226">
        <f t="shared" si="63"/>
        <v>2.0690884413116692E-3</v>
      </c>
      <c r="BE279" s="226">
        <f t="shared" si="63"/>
        <v>2.0477183545594595E-3</v>
      </c>
    </row>
    <row r="280" spans="5:57" s="10" customFormat="1" x14ac:dyDescent="0.35">
      <c r="E280" s="10" t="s">
        <v>670</v>
      </c>
      <c r="F280" s="10" t="s">
        <v>615</v>
      </c>
      <c r="G280" s="43" t="s">
        <v>616</v>
      </c>
      <c r="I280" s="20"/>
      <c r="J280" s="200"/>
      <c r="K280" s="200"/>
      <c r="L280" s="200"/>
      <c r="M280" s="200"/>
      <c r="N280" s="200">
        <v>3.2000000000000002E-3</v>
      </c>
      <c r="O280" s="226">
        <f t="shared" si="64"/>
        <v>3.1669495627921446E-3</v>
      </c>
      <c r="P280" s="226">
        <f t="shared" si="64"/>
        <v>3.1342404791466732E-3</v>
      </c>
      <c r="Q280" s="226">
        <f t="shared" si="64"/>
        <v>3.1018692234746868E-3</v>
      </c>
      <c r="R280" s="226">
        <f t="shared" si="64"/>
        <v>3.06983230660049E-3</v>
      </c>
      <c r="S280" s="226">
        <f t="shared" si="64"/>
        <v>3.0381262753855069E-3</v>
      </c>
      <c r="T280" s="226">
        <f t="shared" si="64"/>
        <v>3.0067477123560801E-3</v>
      </c>
      <c r="U280" s="226">
        <f t="shared" si="64"/>
        <v>2.9756932353351149E-3</v>
      </c>
      <c r="V280" s="226">
        <f t="shared" si="64"/>
        <v>2.9449594970775259E-3</v>
      </c>
      <c r="W280" s="226">
        <f t="shared" si="64"/>
        <v>2.9145431849094509E-3</v>
      </c>
      <c r="X280" s="226">
        <f t="shared" si="64"/>
        <v>2.8844410203711906E-3</v>
      </c>
      <c r="Y280" s="226">
        <f t="shared" si="64"/>
        <v>2.8546497588638341E-3</v>
      </c>
      <c r="Z280" s="226">
        <f t="shared" si="64"/>
        <v>2.8251661892995375E-3</v>
      </c>
      <c r="AA280" s="226">
        <f t="shared" si="64"/>
        <v>2.7959871337554119E-3</v>
      </c>
      <c r="AB280" s="226">
        <f t="shared" si="64"/>
        <v>2.7671094471309883E-3</v>
      </c>
      <c r="AC280" s="226">
        <f t="shared" si="64"/>
        <v>2.7385300168092171E-3</v>
      </c>
      <c r="AD280" s="226">
        <f t="shared" si="64"/>
        <v>2.7102457623209729E-3</v>
      </c>
      <c r="AE280" s="226">
        <f t="shared" si="62"/>
        <v>2.6822536350130208E-3</v>
      </c>
      <c r="AF280" s="226">
        <f t="shared" si="62"/>
        <v>2.6545506177194141E-3</v>
      </c>
      <c r="AG280" s="226">
        <f t="shared" si="62"/>
        <v>2.6271337244362859E-3</v>
      </c>
      <c r="AH280" s="227">
        <v>2.5999999999999999E-3</v>
      </c>
      <c r="AI280" s="226">
        <f t="shared" si="65"/>
        <v>2.5731465197686171E-3</v>
      </c>
      <c r="AJ280" s="226">
        <f t="shared" si="65"/>
        <v>2.5465703893066717E-3</v>
      </c>
      <c r="AK280" s="226">
        <f t="shared" si="65"/>
        <v>2.5202687440731828E-3</v>
      </c>
      <c r="AL280" s="226">
        <f t="shared" si="65"/>
        <v>2.4942387491128978E-3</v>
      </c>
      <c r="AM280" s="226">
        <f t="shared" si="65"/>
        <v>2.4684775987507237E-3</v>
      </c>
      <c r="AN280" s="226">
        <f t="shared" si="65"/>
        <v>2.4429825162893145E-3</v>
      </c>
      <c r="AO280" s="226">
        <f t="shared" si="65"/>
        <v>2.4177507537097801E-3</v>
      </c>
      <c r="AP280" s="226">
        <f t="shared" si="65"/>
        <v>2.3927795913754892E-3</v>
      </c>
      <c r="AQ280" s="226">
        <f t="shared" si="65"/>
        <v>2.3680663377389287E-3</v>
      </c>
      <c r="AR280" s="226">
        <f t="shared" si="65"/>
        <v>2.343608329051592E-3</v>
      </c>
      <c r="AS280" s="226">
        <f t="shared" si="65"/>
        <v>2.3194029290768648E-3</v>
      </c>
      <c r="AT280" s="226">
        <f t="shared" si="65"/>
        <v>2.2954475288058736E-3</v>
      </c>
      <c r="AU280" s="226">
        <f t="shared" si="65"/>
        <v>2.2717395461762718E-3</v>
      </c>
      <c r="AV280" s="226">
        <f t="shared" si="65"/>
        <v>2.2482764257939275E-3</v>
      </c>
      <c r="AW280" s="226">
        <f t="shared" si="65"/>
        <v>2.2250556386574885E-3</v>
      </c>
      <c r="AX280" s="226">
        <f t="shared" si="65"/>
        <v>2.2020746818857901E-3</v>
      </c>
      <c r="AY280" s="226">
        <f t="shared" si="63"/>
        <v>2.1793310784480793E-3</v>
      </c>
      <c r="AZ280" s="226">
        <f t="shared" si="63"/>
        <v>2.1568223768970241E-3</v>
      </c>
      <c r="BA280" s="226">
        <f t="shared" si="63"/>
        <v>2.1345461511044824E-3</v>
      </c>
      <c r="BB280" s="226">
        <f t="shared" si="63"/>
        <v>2.1124999999999985E-3</v>
      </c>
      <c r="BC280" s="226">
        <f t="shared" si="63"/>
        <v>2.090681547312E-3</v>
      </c>
      <c r="BD280" s="226">
        <f t="shared" si="63"/>
        <v>2.0690884413116692E-3</v>
      </c>
      <c r="BE280" s="226">
        <f t="shared" si="63"/>
        <v>2.0477183545594595E-3</v>
      </c>
    </row>
    <row r="281" spans="5:57" s="10" customFormat="1" x14ac:dyDescent="0.35">
      <c r="E281" s="10" t="s">
        <v>671</v>
      </c>
      <c r="F281" s="10" t="s">
        <v>615</v>
      </c>
      <c r="G281" s="43" t="s">
        <v>616</v>
      </c>
      <c r="I281" s="20"/>
      <c r="J281" s="200"/>
      <c r="K281" s="200"/>
      <c r="L281" s="200"/>
      <c r="M281" s="200"/>
      <c r="N281" s="200">
        <v>3.2000000000000002E-3</v>
      </c>
      <c r="O281" s="226">
        <f t="shared" si="64"/>
        <v>3.1729312905866181E-3</v>
      </c>
      <c r="P281" s="226">
        <f t="shared" si="64"/>
        <v>3.1460915546198944E-3</v>
      </c>
      <c r="Q281" s="226">
        <f t="shared" si="64"/>
        <v>3.1194788552199254E-3</v>
      </c>
      <c r="R281" s="226">
        <f t="shared" si="64"/>
        <v>3.0930912718908198E-3</v>
      </c>
      <c r="S281" s="226">
        <f t="shared" si="64"/>
        <v>3.0669269003821072E-3</v>
      </c>
      <c r="T281" s="226">
        <f t="shared" si="64"/>
        <v>3.0409838525513174E-3</v>
      </c>
      <c r="U281" s="226">
        <f t="shared" si="64"/>
        <v>3.015260256227724E-3</v>
      </c>
      <c r="V281" s="226">
        <f t="shared" si="64"/>
        <v>2.9897542550772404E-3</v>
      </c>
      <c r="W281" s="226">
        <f t="shared" si="64"/>
        <v>2.9644640084684568E-3</v>
      </c>
      <c r="X281" s="226">
        <f t="shared" si="64"/>
        <v>2.9393876913398126E-3</v>
      </c>
      <c r="Y281" s="226">
        <f t="shared" si="64"/>
        <v>2.9145234940678908E-3</v>
      </c>
      <c r="Z281" s="226">
        <f t="shared" si="64"/>
        <v>2.889869622336829E-3</v>
      </c>
      <c r="AA281" s="226">
        <f t="shared" si="64"/>
        <v>2.8654242970088304E-3</v>
      </c>
      <c r="AB281" s="226">
        <f t="shared" si="64"/>
        <v>2.8411857539957751E-3</v>
      </c>
      <c r="AC281" s="226">
        <f t="shared" si="64"/>
        <v>2.8171522441319151E-3</v>
      </c>
      <c r="AD281" s="226">
        <f t="shared" si="64"/>
        <v>2.7933220330476453E-3</v>
      </c>
      <c r="AE281" s="226">
        <f t="shared" si="62"/>
        <v>2.7696934010443442E-3</v>
      </c>
      <c r="AF281" s="226">
        <f t="shared" si="62"/>
        <v>2.7462646429702721E-3</v>
      </c>
      <c r="AG281" s="226">
        <f t="shared" si="62"/>
        <v>2.7230340680975199E-3</v>
      </c>
      <c r="AH281" s="227">
        <v>2.7000000000000001E-3</v>
      </c>
      <c r="AI281" s="226">
        <f t="shared" si="65"/>
        <v>2.6771607764324592E-3</v>
      </c>
      <c r="AJ281" s="226">
        <f t="shared" si="65"/>
        <v>2.6545147492105358E-3</v>
      </c>
      <c r="AK281" s="226">
        <f t="shared" si="65"/>
        <v>2.632060284091812E-3</v>
      </c>
      <c r="AL281" s="226">
        <f t="shared" si="65"/>
        <v>2.6097957606578794E-3</v>
      </c>
      <c r="AM281" s="226">
        <f t="shared" si="65"/>
        <v>2.5877195721974032E-3</v>
      </c>
      <c r="AN281" s="226">
        <f t="shared" si="65"/>
        <v>2.5658301255901744E-3</v>
      </c>
      <c r="AO281" s="226">
        <f t="shared" si="65"/>
        <v>2.5441258411921428E-3</v>
      </c>
      <c r="AP281" s="226">
        <f t="shared" si="65"/>
        <v>2.5226051527214221E-3</v>
      </c>
      <c r="AQ281" s="226">
        <f t="shared" si="65"/>
        <v>2.5012665071452609E-3</v>
      </c>
      <c r="AR281" s="226">
        <f t="shared" si="65"/>
        <v>2.4801083645679674E-3</v>
      </c>
      <c r="AS281" s="226">
        <f t="shared" si="65"/>
        <v>2.4591291981197836E-3</v>
      </c>
      <c r="AT281" s="226">
        <f t="shared" si="65"/>
        <v>2.4383274938467002E-3</v>
      </c>
      <c r="AU281" s="226">
        <f t="shared" si="65"/>
        <v>2.4177017506012014E-3</v>
      </c>
      <c r="AV281" s="226">
        <f t="shared" si="65"/>
        <v>2.397250479933936E-3</v>
      </c>
      <c r="AW281" s="226">
        <f t="shared" si="65"/>
        <v>2.3769722059863042E-3</v>
      </c>
      <c r="AX281" s="226">
        <f t="shared" si="65"/>
        <v>2.3568654653839515E-3</v>
      </c>
      <c r="AY281" s="226">
        <f t="shared" si="63"/>
        <v>2.336928807131166E-3</v>
      </c>
      <c r="AZ281" s="226">
        <f t="shared" si="63"/>
        <v>2.3171607925061674E-3</v>
      </c>
      <c r="BA281" s="226">
        <f t="shared" si="63"/>
        <v>2.2975599949572826E-3</v>
      </c>
      <c r="BB281" s="226">
        <f t="shared" si="63"/>
        <v>2.278124999999998E-3</v>
      </c>
      <c r="BC281" s="226">
        <f t="shared" si="63"/>
        <v>2.2588544051148855E-3</v>
      </c>
      <c r="BD281" s="226">
        <f t="shared" si="63"/>
        <v>2.2397468196463876E-3</v>
      </c>
      <c r="BE281" s="226">
        <f t="shared" si="63"/>
        <v>2.2208008647024644E-3</v>
      </c>
    </row>
    <row r="282" spans="5:57" s="10" customFormat="1" x14ac:dyDescent="0.35">
      <c r="E282" s="10" t="s">
        <v>672</v>
      </c>
      <c r="F282" s="10" t="s">
        <v>615</v>
      </c>
      <c r="G282" s="43" t="s">
        <v>616</v>
      </c>
      <c r="I282" s="20"/>
      <c r="J282" s="200"/>
      <c r="K282" s="200"/>
      <c r="L282" s="200"/>
      <c r="M282" s="200"/>
      <c r="N282" s="200">
        <v>3.2000000000000002E-3</v>
      </c>
      <c r="O282" s="226">
        <f t="shared" si="64"/>
        <v>3.1729312905866181E-3</v>
      </c>
      <c r="P282" s="226">
        <f t="shared" si="64"/>
        <v>3.1460915546198944E-3</v>
      </c>
      <c r="Q282" s="226">
        <f t="shared" si="64"/>
        <v>3.1194788552199254E-3</v>
      </c>
      <c r="R282" s="226">
        <f t="shared" si="64"/>
        <v>3.0930912718908198E-3</v>
      </c>
      <c r="S282" s="226">
        <f t="shared" si="64"/>
        <v>3.0669269003821072E-3</v>
      </c>
      <c r="T282" s="226">
        <f t="shared" si="64"/>
        <v>3.0409838525513174E-3</v>
      </c>
      <c r="U282" s="226">
        <f t="shared" si="64"/>
        <v>3.015260256227724E-3</v>
      </c>
      <c r="V282" s="226">
        <f t="shared" si="64"/>
        <v>2.9897542550772404E-3</v>
      </c>
      <c r="W282" s="226">
        <f t="shared" si="64"/>
        <v>2.9644640084684568E-3</v>
      </c>
      <c r="X282" s="226">
        <f t="shared" si="64"/>
        <v>2.9393876913398126E-3</v>
      </c>
      <c r="Y282" s="226">
        <f t="shared" si="64"/>
        <v>2.9145234940678908E-3</v>
      </c>
      <c r="Z282" s="226">
        <f t="shared" si="64"/>
        <v>2.889869622336829E-3</v>
      </c>
      <c r="AA282" s="226">
        <f t="shared" si="64"/>
        <v>2.8654242970088304E-3</v>
      </c>
      <c r="AB282" s="226">
        <f t="shared" si="64"/>
        <v>2.8411857539957751E-3</v>
      </c>
      <c r="AC282" s="226">
        <f t="shared" si="64"/>
        <v>2.8171522441319151E-3</v>
      </c>
      <c r="AD282" s="226">
        <f t="shared" si="64"/>
        <v>2.7933220330476453E-3</v>
      </c>
      <c r="AE282" s="226">
        <f t="shared" si="62"/>
        <v>2.7696934010443442E-3</v>
      </c>
      <c r="AF282" s="226">
        <f t="shared" si="62"/>
        <v>2.7462646429702721E-3</v>
      </c>
      <c r="AG282" s="226">
        <f t="shared" si="62"/>
        <v>2.7230340680975199E-3</v>
      </c>
      <c r="AH282" s="227">
        <v>2.7000000000000001E-3</v>
      </c>
      <c r="AI282" s="226">
        <f t="shared" si="65"/>
        <v>2.6771607764324592E-3</v>
      </c>
      <c r="AJ282" s="226">
        <f t="shared" si="65"/>
        <v>2.6545147492105358E-3</v>
      </c>
      <c r="AK282" s="226">
        <f t="shared" si="65"/>
        <v>2.632060284091812E-3</v>
      </c>
      <c r="AL282" s="226">
        <f t="shared" si="65"/>
        <v>2.6097957606578794E-3</v>
      </c>
      <c r="AM282" s="226">
        <f t="shared" si="65"/>
        <v>2.5877195721974032E-3</v>
      </c>
      <c r="AN282" s="226">
        <f t="shared" si="65"/>
        <v>2.5658301255901744E-3</v>
      </c>
      <c r="AO282" s="226">
        <f t="shared" si="65"/>
        <v>2.5441258411921428E-3</v>
      </c>
      <c r="AP282" s="226">
        <f t="shared" si="65"/>
        <v>2.5226051527214221E-3</v>
      </c>
      <c r="AQ282" s="226">
        <f t="shared" si="65"/>
        <v>2.5012665071452609E-3</v>
      </c>
      <c r="AR282" s="226">
        <f t="shared" si="65"/>
        <v>2.4801083645679674E-3</v>
      </c>
      <c r="AS282" s="226">
        <f t="shared" si="65"/>
        <v>2.4591291981197836E-3</v>
      </c>
      <c r="AT282" s="226">
        <f t="shared" si="65"/>
        <v>2.4383274938467002E-3</v>
      </c>
      <c r="AU282" s="226">
        <f t="shared" si="65"/>
        <v>2.4177017506012014E-3</v>
      </c>
      <c r="AV282" s="226">
        <f t="shared" si="65"/>
        <v>2.397250479933936E-3</v>
      </c>
      <c r="AW282" s="226">
        <f t="shared" si="65"/>
        <v>2.3769722059863042E-3</v>
      </c>
      <c r="AX282" s="226">
        <f t="shared" si="65"/>
        <v>2.3568654653839515E-3</v>
      </c>
      <c r="AY282" s="226">
        <f t="shared" si="63"/>
        <v>2.336928807131166E-3</v>
      </c>
      <c r="AZ282" s="226">
        <f t="shared" si="63"/>
        <v>2.3171607925061674E-3</v>
      </c>
      <c r="BA282" s="226">
        <f t="shared" si="63"/>
        <v>2.2975599949572826E-3</v>
      </c>
      <c r="BB282" s="226">
        <f t="shared" si="63"/>
        <v>2.278124999999998E-3</v>
      </c>
      <c r="BC282" s="226">
        <f t="shared" si="63"/>
        <v>2.2588544051148855E-3</v>
      </c>
      <c r="BD282" s="226">
        <f t="shared" si="63"/>
        <v>2.2397468196463876E-3</v>
      </c>
      <c r="BE282" s="226">
        <f t="shared" si="63"/>
        <v>2.2208008647024644E-3</v>
      </c>
    </row>
    <row r="283" spans="5:57" s="10" customFormat="1" x14ac:dyDescent="0.35">
      <c r="E283" s="10" t="s">
        <v>673</v>
      </c>
      <c r="F283" s="10" t="s">
        <v>615</v>
      </c>
      <c r="G283" s="43" t="s">
        <v>616</v>
      </c>
      <c r="I283" s="20"/>
      <c r="J283" s="200"/>
      <c r="K283" s="200"/>
      <c r="L283" s="200"/>
      <c r="M283" s="200"/>
      <c r="N283" s="200">
        <v>3.2000000000000002E-3</v>
      </c>
      <c r="O283" s="226">
        <f t="shared" si="64"/>
        <v>3.1729312905866181E-3</v>
      </c>
      <c r="P283" s="226">
        <f t="shared" si="64"/>
        <v>3.1460915546198944E-3</v>
      </c>
      <c r="Q283" s="226">
        <f t="shared" si="64"/>
        <v>3.1194788552199254E-3</v>
      </c>
      <c r="R283" s="226">
        <f t="shared" si="64"/>
        <v>3.0930912718908198E-3</v>
      </c>
      <c r="S283" s="226">
        <f t="shared" si="64"/>
        <v>3.0669269003821072E-3</v>
      </c>
      <c r="T283" s="226">
        <f t="shared" si="64"/>
        <v>3.0409838525513174E-3</v>
      </c>
      <c r="U283" s="226">
        <f t="shared" si="64"/>
        <v>3.015260256227724E-3</v>
      </c>
      <c r="V283" s="226">
        <f t="shared" si="64"/>
        <v>2.9897542550772404E-3</v>
      </c>
      <c r="W283" s="226">
        <f t="shared" si="64"/>
        <v>2.9644640084684568E-3</v>
      </c>
      <c r="X283" s="226">
        <f t="shared" si="64"/>
        <v>2.9393876913398126E-3</v>
      </c>
      <c r="Y283" s="226">
        <f t="shared" si="64"/>
        <v>2.9145234940678908E-3</v>
      </c>
      <c r="Z283" s="226">
        <f t="shared" si="64"/>
        <v>2.889869622336829E-3</v>
      </c>
      <c r="AA283" s="226">
        <f t="shared" si="64"/>
        <v>2.8654242970088304E-3</v>
      </c>
      <c r="AB283" s="226">
        <f t="shared" si="64"/>
        <v>2.8411857539957751E-3</v>
      </c>
      <c r="AC283" s="226">
        <f t="shared" si="64"/>
        <v>2.8171522441319151E-3</v>
      </c>
      <c r="AD283" s="226">
        <f t="shared" si="64"/>
        <v>2.7933220330476453E-3</v>
      </c>
      <c r="AE283" s="226">
        <f t="shared" si="62"/>
        <v>2.7696934010443442E-3</v>
      </c>
      <c r="AF283" s="226">
        <f t="shared" si="62"/>
        <v>2.7462646429702721E-3</v>
      </c>
      <c r="AG283" s="226">
        <f t="shared" si="62"/>
        <v>2.7230340680975199E-3</v>
      </c>
      <c r="AH283" s="227">
        <v>2.7000000000000001E-3</v>
      </c>
      <c r="AI283" s="226">
        <f t="shared" si="65"/>
        <v>2.6771607764324592E-3</v>
      </c>
      <c r="AJ283" s="226">
        <f t="shared" si="65"/>
        <v>2.6545147492105358E-3</v>
      </c>
      <c r="AK283" s="226">
        <f t="shared" si="65"/>
        <v>2.632060284091812E-3</v>
      </c>
      <c r="AL283" s="226">
        <f t="shared" si="65"/>
        <v>2.6097957606578794E-3</v>
      </c>
      <c r="AM283" s="226">
        <f t="shared" si="65"/>
        <v>2.5877195721974032E-3</v>
      </c>
      <c r="AN283" s="226">
        <f t="shared" si="65"/>
        <v>2.5658301255901744E-3</v>
      </c>
      <c r="AO283" s="226">
        <f t="shared" si="65"/>
        <v>2.5441258411921428E-3</v>
      </c>
      <c r="AP283" s="226">
        <f t="shared" si="65"/>
        <v>2.5226051527214221E-3</v>
      </c>
      <c r="AQ283" s="226">
        <f t="shared" si="65"/>
        <v>2.5012665071452609E-3</v>
      </c>
      <c r="AR283" s="226">
        <f t="shared" si="65"/>
        <v>2.4801083645679674E-3</v>
      </c>
      <c r="AS283" s="226">
        <f t="shared" si="65"/>
        <v>2.4591291981197836E-3</v>
      </c>
      <c r="AT283" s="226">
        <f t="shared" si="65"/>
        <v>2.4383274938467002E-3</v>
      </c>
      <c r="AU283" s="226">
        <f t="shared" si="65"/>
        <v>2.4177017506012014E-3</v>
      </c>
      <c r="AV283" s="226">
        <f t="shared" si="65"/>
        <v>2.397250479933936E-3</v>
      </c>
      <c r="AW283" s="226">
        <f t="shared" si="65"/>
        <v>2.3769722059863042E-3</v>
      </c>
      <c r="AX283" s="226">
        <f t="shared" si="65"/>
        <v>2.3568654653839515E-3</v>
      </c>
      <c r="AY283" s="226">
        <f t="shared" si="63"/>
        <v>2.336928807131166E-3</v>
      </c>
      <c r="AZ283" s="226">
        <f t="shared" si="63"/>
        <v>2.3171607925061674E-3</v>
      </c>
      <c r="BA283" s="226">
        <f t="shared" si="63"/>
        <v>2.2975599949572826E-3</v>
      </c>
      <c r="BB283" s="226">
        <f t="shared" si="63"/>
        <v>2.278124999999998E-3</v>
      </c>
      <c r="BC283" s="226">
        <f t="shared" si="63"/>
        <v>2.2588544051148855E-3</v>
      </c>
      <c r="BD283" s="226">
        <f t="shared" si="63"/>
        <v>2.2397468196463876E-3</v>
      </c>
      <c r="BE283" s="226">
        <f t="shared" si="63"/>
        <v>2.2208008647024644E-3</v>
      </c>
    </row>
    <row r="284" spans="5:57" s="10" customFormat="1" x14ac:dyDescent="0.35">
      <c r="E284" s="10" t="s">
        <v>674</v>
      </c>
      <c r="F284" s="10" t="s">
        <v>615</v>
      </c>
      <c r="G284" s="43" t="s">
        <v>616</v>
      </c>
      <c r="I284" s="20"/>
      <c r="J284" s="200"/>
      <c r="K284" s="200"/>
      <c r="L284" s="200"/>
      <c r="M284" s="200"/>
      <c r="N284" s="200">
        <v>3.3E-3</v>
      </c>
      <c r="O284" s="226">
        <f t="shared" si="64"/>
        <v>3.2670548895907484E-3</v>
      </c>
      <c r="P284" s="226">
        <f t="shared" si="64"/>
        <v>3.2344386823026719E-3</v>
      </c>
      <c r="Q284" s="226">
        <f t="shared" si="64"/>
        <v>3.2021480945752731E-3</v>
      </c>
      <c r="R284" s="226">
        <f t="shared" si="64"/>
        <v>3.1701798756290436E-3</v>
      </c>
      <c r="S284" s="226">
        <f t="shared" si="64"/>
        <v>3.1385308071381992E-3</v>
      </c>
      <c r="T284" s="226">
        <f t="shared" si="64"/>
        <v>3.1071977029066824E-3</v>
      </c>
      <c r="U284" s="226">
        <f t="shared" si="64"/>
        <v>3.0761774085473993E-3</v>
      </c>
      <c r="V284" s="226">
        <f t="shared" si="64"/>
        <v>3.0454668011646599E-3</v>
      </c>
      <c r="W284" s="226">
        <f t="shared" si="64"/>
        <v>3.0150627890397873E-3</v>
      </c>
      <c r="X284" s="226">
        <f t="shared" si="64"/>
        <v>2.9849623113198656E-3</v>
      </c>
      <c r="Y284" s="226">
        <f t="shared" si="64"/>
        <v>2.9551623377095963E-3</v>
      </c>
      <c r="Z284" s="226">
        <f t="shared" si="64"/>
        <v>2.9256598681662309E-3</v>
      </c>
      <c r="AA284" s="226">
        <f t="shared" si="64"/>
        <v>2.8964519325975482E-3</v>
      </c>
      <c r="AB284" s="226">
        <f t="shared" si="64"/>
        <v>2.8675355905628461E-3</v>
      </c>
      <c r="AC284" s="226">
        <f t="shared" si="64"/>
        <v>2.8389079309769213E-3</v>
      </c>
      <c r="AD284" s="226">
        <f t="shared" si="64"/>
        <v>2.8105660718170016E-3</v>
      </c>
      <c r="AE284" s="226">
        <f t="shared" si="62"/>
        <v>2.7825071598326051E-3</v>
      </c>
      <c r="AF284" s="226">
        <f t="shared" si="62"/>
        <v>2.7547283702582964E-3</v>
      </c>
      <c r="AG284" s="226">
        <f t="shared" si="62"/>
        <v>2.7272269065293092E-3</v>
      </c>
      <c r="AH284" s="227">
        <v>2.7000000000000001E-3</v>
      </c>
      <c r="AI284" s="226">
        <f t="shared" si="65"/>
        <v>2.6730449096651577E-3</v>
      </c>
      <c r="AJ284" s="226">
        <f t="shared" si="65"/>
        <v>2.6463589218840042E-3</v>
      </c>
      <c r="AK284" s="226">
        <f t="shared" si="65"/>
        <v>2.6199393501070414E-3</v>
      </c>
      <c r="AL284" s="226">
        <f t="shared" si="65"/>
        <v>2.5937835346055808E-3</v>
      </c>
      <c r="AM284" s="226">
        <f t="shared" si="65"/>
        <v>2.567888842203981E-3</v>
      </c>
      <c r="AN284" s="226">
        <f t="shared" si="65"/>
        <v>2.5422526660145582E-3</v>
      </c>
      <c r="AO284" s="226">
        <f t="shared" si="65"/>
        <v>2.516872425175145E-3</v>
      </c>
      <c r="AP284" s="226">
        <f t="shared" si="65"/>
        <v>2.4917455645892673E-3</v>
      </c>
      <c r="AQ284" s="226">
        <f t="shared" si="65"/>
        <v>2.4668695546689167E-3</v>
      </c>
      <c r="AR284" s="226">
        <f t="shared" si="65"/>
        <v>2.4422418910798895E-3</v>
      </c>
      <c r="AS284" s="226">
        <f t="shared" si="65"/>
        <v>2.4178600944896691E-3</v>
      </c>
      <c r="AT284" s="226">
        <f t="shared" si="65"/>
        <v>2.3937217103178247E-3</v>
      </c>
      <c r="AU284" s="226">
        <f t="shared" si="65"/>
        <v>2.3698243084889024E-3</v>
      </c>
      <c r="AV284" s="226">
        <f t="shared" si="65"/>
        <v>2.3461654831877826E-3</v>
      </c>
      <c r="AW284" s="226">
        <f t="shared" si="65"/>
        <v>2.3227428526174806E-3</v>
      </c>
      <c r="AX284" s="226">
        <f t="shared" si="65"/>
        <v>2.2995540587593642E-3</v>
      </c>
      <c r="AY284" s="226">
        <f t="shared" si="63"/>
        <v>2.2765967671357673E-3</v>
      </c>
      <c r="AZ284" s="226">
        <f t="shared" si="63"/>
        <v>2.2538686665749693E-3</v>
      </c>
      <c r="BA284" s="226">
        <f t="shared" si="63"/>
        <v>2.2313674689785254E-3</v>
      </c>
      <c r="BB284" s="226">
        <f t="shared" si="63"/>
        <v>2.2090909090909162E-3</v>
      </c>
      <c r="BC284" s="226">
        <f t="shared" si="63"/>
        <v>2.1870367442714997E-3</v>
      </c>
      <c r="BD284" s="226">
        <f t="shared" si="63"/>
        <v>2.1652027542687375E-3</v>
      </c>
      <c r="BE284" s="226">
        <f t="shared" si="63"/>
        <v>2.1435867409966771E-3</v>
      </c>
    </row>
    <row r="285" spans="5:57" s="10" customFormat="1" x14ac:dyDescent="0.35">
      <c r="E285" s="10" t="s">
        <v>675</v>
      </c>
      <c r="F285" s="10" t="s">
        <v>615</v>
      </c>
      <c r="G285" s="43" t="s">
        <v>616</v>
      </c>
      <c r="I285" s="20"/>
      <c r="J285" s="200"/>
      <c r="K285" s="200"/>
      <c r="L285" s="200"/>
      <c r="M285" s="200"/>
      <c r="N285" s="200">
        <v>3.3E-3</v>
      </c>
      <c r="O285" s="226">
        <f t="shared" si="64"/>
        <v>3.2730010486327998E-3</v>
      </c>
      <c r="P285" s="226">
        <f t="shared" si="64"/>
        <v>3.2462229891973963E-3</v>
      </c>
      <c r="Q285" s="226">
        <f t="shared" si="64"/>
        <v>3.2196640144663575E-3</v>
      </c>
      <c r="R285" s="226">
        <f t="shared" si="64"/>
        <v>3.1933223319980841E-3</v>
      </c>
      <c r="S285" s="226">
        <f t="shared" si="64"/>
        <v>3.1671961640158384E-3</v>
      </c>
      <c r="T285" s="226">
        <f t="shared" si="64"/>
        <v>3.1412837472877637E-3</v>
      </c>
      <c r="U285" s="226">
        <f t="shared" si="64"/>
        <v>3.1155833330078855E-3</v>
      </c>
      <c r="V285" s="226">
        <f t="shared" si="64"/>
        <v>3.0900931866780857E-3</v>
      </c>
      <c r="W285" s="226">
        <f t="shared" si="64"/>
        <v>3.0648115879910436E-3</v>
      </c>
      <c r="X285" s="226">
        <f t="shared" si="64"/>
        <v>3.0397368307141341E-3</v>
      </c>
      <c r="Y285" s="226">
        <f t="shared" si="64"/>
        <v>3.0148672225742742E-3</v>
      </c>
      <c r="Z285" s="226">
        <f t="shared" si="64"/>
        <v>2.9902010851437138E-3</v>
      </c>
      <c r="AA285" s="226">
        <f t="shared" si="64"/>
        <v>2.9657367537267608E-3</v>
      </c>
      <c r="AB285" s="226">
        <f t="shared" si="64"/>
        <v>2.9414725772474314E-3</v>
      </c>
      <c r="AC285" s="226">
        <f t="shared" si="64"/>
        <v>2.9174069181380205E-3</v>
      </c>
      <c r="AD285" s="226">
        <f t="shared" si="64"/>
        <v>2.8935381522285837E-3</v>
      </c>
      <c r="AE285" s="226">
        <f t="shared" si="62"/>
        <v>2.8698646686373236E-3</v>
      </c>
      <c r="AF285" s="226">
        <f t="shared" si="62"/>
        <v>2.8463848696618737E-3</v>
      </c>
      <c r="AG285" s="226">
        <f t="shared" si="62"/>
        <v>2.8230971706714693E-3</v>
      </c>
      <c r="AH285" s="227">
        <v>2.8E-3</v>
      </c>
      <c r="AI285" s="226">
        <f t="shared" si="65"/>
        <v>2.7770917988399514E-3</v>
      </c>
      <c r="AJ285" s="226">
        <f t="shared" si="65"/>
        <v>2.7543710211371847E-3</v>
      </c>
      <c r="AK285" s="226">
        <f t="shared" si="65"/>
        <v>2.7318361334866064E-3</v>
      </c>
      <c r="AL285" s="226">
        <f t="shared" si="65"/>
        <v>2.7094856150286775E-3</v>
      </c>
      <c r="AM285" s="226">
        <f t="shared" si="65"/>
        <v>2.687317957346772E-3</v>
      </c>
      <c r="AN285" s="226">
        <f t="shared" si="65"/>
        <v>2.6653316643653752E-3</v>
      </c>
      <c r="AO285" s="226">
        <f t="shared" si="65"/>
        <v>2.6435252522491147E-3</v>
      </c>
      <c r="AP285" s="226">
        <f t="shared" si="65"/>
        <v>2.6218972493026178E-3</v>
      </c>
      <c r="AQ285" s="226">
        <f t="shared" si="65"/>
        <v>2.6004461958711884E-3</v>
      </c>
      <c r="AR285" s="226">
        <f t="shared" si="65"/>
        <v>2.5791706442422953E-3</v>
      </c>
      <c r="AS285" s="226">
        <f t="shared" si="65"/>
        <v>2.5580691585478685E-3</v>
      </c>
      <c r="AT285" s="226">
        <f t="shared" si="65"/>
        <v>2.5371403146673931E-3</v>
      </c>
      <c r="AU285" s="226">
        <f t="shared" si="65"/>
        <v>2.5163827001317969E-3</v>
      </c>
      <c r="AV285" s="226">
        <f t="shared" si="65"/>
        <v>2.4957949140281236E-3</v>
      </c>
      <c r="AW285" s="226">
        <f t="shared" si="65"/>
        <v>2.4753755669049871E-3</v>
      </c>
      <c r="AX285" s="226">
        <f t="shared" si="65"/>
        <v>2.4551232806787979E-3</v>
      </c>
      <c r="AY285" s="226">
        <f t="shared" si="63"/>
        <v>2.4350366885407594E-3</v>
      </c>
      <c r="AZ285" s="226">
        <f t="shared" si="63"/>
        <v>2.4151144348646199E-3</v>
      </c>
      <c r="BA285" s="226">
        <f t="shared" si="63"/>
        <v>2.3953551751151854E-3</v>
      </c>
      <c r="BB285" s="226">
        <f t="shared" si="63"/>
        <v>2.3757575757575775E-3</v>
      </c>
      <c r="BC285" s="226">
        <f t="shared" si="63"/>
        <v>2.3563203141672333E-3</v>
      </c>
      <c r="BD285" s="226">
        <f t="shared" si="63"/>
        <v>2.3370420785406433E-3</v>
      </c>
      <c r="BE285" s="226">
        <f t="shared" si="63"/>
        <v>2.3179215678068191E-3</v>
      </c>
    </row>
    <row r="286" spans="5:57" s="10" customFormat="1" x14ac:dyDescent="0.35">
      <c r="E286" s="10" t="s">
        <v>676</v>
      </c>
      <c r="F286" s="10" t="s">
        <v>615</v>
      </c>
      <c r="G286" s="43" t="s">
        <v>616</v>
      </c>
      <c r="I286" s="20"/>
      <c r="J286" s="200"/>
      <c r="K286" s="200"/>
      <c r="L286" s="200"/>
      <c r="M286" s="200"/>
      <c r="N286" s="200">
        <v>3.3E-3</v>
      </c>
      <c r="O286" s="226">
        <f t="shared" si="64"/>
        <v>3.2730010486327998E-3</v>
      </c>
      <c r="P286" s="226">
        <f t="shared" si="64"/>
        <v>3.2462229891973963E-3</v>
      </c>
      <c r="Q286" s="226">
        <f t="shared" si="64"/>
        <v>3.2196640144663575E-3</v>
      </c>
      <c r="R286" s="226">
        <f t="shared" si="64"/>
        <v>3.1933223319980841E-3</v>
      </c>
      <c r="S286" s="226">
        <f t="shared" si="64"/>
        <v>3.1671961640158384E-3</v>
      </c>
      <c r="T286" s="226">
        <f t="shared" si="64"/>
        <v>3.1412837472877637E-3</v>
      </c>
      <c r="U286" s="226">
        <f t="shared" si="64"/>
        <v>3.1155833330078855E-3</v>
      </c>
      <c r="V286" s="226">
        <f t="shared" si="64"/>
        <v>3.0900931866780857E-3</v>
      </c>
      <c r="W286" s="226">
        <f t="shared" si="64"/>
        <v>3.0648115879910436E-3</v>
      </c>
      <c r="X286" s="226">
        <f t="shared" si="64"/>
        <v>3.0397368307141341E-3</v>
      </c>
      <c r="Y286" s="226">
        <f t="shared" si="64"/>
        <v>3.0148672225742742E-3</v>
      </c>
      <c r="Z286" s="226">
        <f t="shared" si="64"/>
        <v>2.9902010851437138E-3</v>
      </c>
      <c r="AA286" s="226">
        <f t="shared" si="64"/>
        <v>2.9657367537267608E-3</v>
      </c>
      <c r="AB286" s="226">
        <f t="shared" si="64"/>
        <v>2.9414725772474314E-3</v>
      </c>
      <c r="AC286" s="226">
        <f t="shared" si="64"/>
        <v>2.9174069181380205E-3</v>
      </c>
      <c r="AD286" s="226">
        <f t="shared" si="64"/>
        <v>2.8935381522285837E-3</v>
      </c>
      <c r="AE286" s="226">
        <f t="shared" si="62"/>
        <v>2.8698646686373236E-3</v>
      </c>
      <c r="AF286" s="226">
        <f t="shared" si="62"/>
        <v>2.8463848696618737E-3</v>
      </c>
      <c r="AG286" s="226">
        <f t="shared" si="62"/>
        <v>2.8230971706714693E-3</v>
      </c>
      <c r="AH286" s="227">
        <v>2.8E-3</v>
      </c>
      <c r="AI286" s="226">
        <f t="shared" si="65"/>
        <v>2.7770917988399514E-3</v>
      </c>
      <c r="AJ286" s="226">
        <f t="shared" si="65"/>
        <v>2.7543710211371847E-3</v>
      </c>
      <c r="AK286" s="226">
        <f t="shared" si="65"/>
        <v>2.7318361334866064E-3</v>
      </c>
      <c r="AL286" s="226">
        <f t="shared" si="65"/>
        <v>2.7094856150286775E-3</v>
      </c>
      <c r="AM286" s="226">
        <f t="shared" si="65"/>
        <v>2.687317957346772E-3</v>
      </c>
      <c r="AN286" s="226">
        <f t="shared" si="65"/>
        <v>2.6653316643653752E-3</v>
      </c>
      <c r="AO286" s="226">
        <f t="shared" si="65"/>
        <v>2.6435252522491147E-3</v>
      </c>
      <c r="AP286" s="226">
        <f t="shared" si="65"/>
        <v>2.6218972493026178E-3</v>
      </c>
      <c r="AQ286" s="226">
        <f t="shared" si="65"/>
        <v>2.6004461958711884E-3</v>
      </c>
      <c r="AR286" s="226">
        <f t="shared" si="65"/>
        <v>2.5791706442422953E-3</v>
      </c>
      <c r="AS286" s="226">
        <f t="shared" si="65"/>
        <v>2.5580691585478685E-3</v>
      </c>
      <c r="AT286" s="226">
        <f t="shared" si="65"/>
        <v>2.5371403146673931E-3</v>
      </c>
      <c r="AU286" s="226">
        <f t="shared" si="65"/>
        <v>2.5163827001317969E-3</v>
      </c>
      <c r="AV286" s="226">
        <f t="shared" si="65"/>
        <v>2.4957949140281236E-3</v>
      </c>
      <c r="AW286" s="226">
        <f t="shared" si="65"/>
        <v>2.4753755669049871E-3</v>
      </c>
      <c r="AX286" s="226">
        <f t="shared" si="65"/>
        <v>2.4551232806787979E-3</v>
      </c>
      <c r="AY286" s="226">
        <f t="shared" si="63"/>
        <v>2.4350366885407594E-3</v>
      </c>
      <c r="AZ286" s="226">
        <f t="shared" si="63"/>
        <v>2.4151144348646199E-3</v>
      </c>
      <c r="BA286" s="226">
        <f t="shared" si="63"/>
        <v>2.3953551751151854E-3</v>
      </c>
      <c r="BB286" s="226">
        <f t="shared" si="63"/>
        <v>2.3757575757575775E-3</v>
      </c>
      <c r="BC286" s="226">
        <f t="shared" si="63"/>
        <v>2.3563203141672333E-3</v>
      </c>
      <c r="BD286" s="226">
        <f t="shared" si="63"/>
        <v>2.3370420785406433E-3</v>
      </c>
      <c r="BE286" s="226">
        <f t="shared" si="63"/>
        <v>2.3179215678068191E-3</v>
      </c>
    </row>
    <row r="287" spans="5:57" s="10" customFormat="1" x14ac:dyDescent="0.35">
      <c r="E287" s="10" t="s">
        <v>677</v>
      </c>
      <c r="F287" s="10" t="s">
        <v>615</v>
      </c>
      <c r="G287" s="43" t="s">
        <v>616</v>
      </c>
      <c r="I287" s="20"/>
      <c r="J287" s="200"/>
      <c r="K287" s="200"/>
      <c r="L287" s="200"/>
      <c r="M287" s="200"/>
      <c r="N287" s="200">
        <v>3.3E-3</v>
      </c>
      <c r="O287" s="226">
        <f t="shared" si="64"/>
        <v>3.2730010486327998E-3</v>
      </c>
      <c r="P287" s="226">
        <f t="shared" si="64"/>
        <v>3.2462229891973963E-3</v>
      </c>
      <c r="Q287" s="226">
        <f t="shared" si="64"/>
        <v>3.2196640144663575E-3</v>
      </c>
      <c r="R287" s="226">
        <f t="shared" si="64"/>
        <v>3.1933223319980841E-3</v>
      </c>
      <c r="S287" s="226">
        <f t="shared" si="64"/>
        <v>3.1671961640158384E-3</v>
      </c>
      <c r="T287" s="226">
        <f t="shared" si="64"/>
        <v>3.1412837472877637E-3</v>
      </c>
      <c r="U287" s="226">
        <f t="shared" si="64"/>
        <v>3.1155833330078855E-3</v>
      </c>
      <c r="V287" s="226">
        <f t="shared" si="64"/>
        <v>3.0900931866780857E-3</v>
      </c>
      <c r="W287" s="226">
        <f t="shared" si="64"/>
        <v>3.0648115879910436E-3</v>
      </c>
      <c r="X287" s="226">
        <f t="shared" si="64"/>
        <v>3.0397368307141341E-3</v>
      </c>
      <c r="Y287" s="226">
        <f t="shared" si="64"/>
        <v>3.0148672225742742E-3</v>
      </c>
      <c r="Z287" s="226">
        <f t="shared" si="64"/>
        <v>2.9902010851437138E-3</v>
      </c>
      <c r="AA287" s="226">
        <f t="shared" si="64"/>
        <v>2.9657367537267608E-3</v>
      </c>
      <c r="AB287" s="226">
        <f t="shared" si="64"/>
        <v>2.9414725772474314E-3</v>
      </c>
      <c r="AC287" s="226">
        <f t="shared" si="64"/>
        <v>2.9174069181380205E-3</v>
      </c>
      <c r="AD287" s="226">
        <f t="shared" si="64"/>
        <v>2.8935381522285837E-3</v>
      </c>
      <c r="AE287" s="226">
        <f t="shared" si="62"/>
        <v>2.8698646686373236E-3</v>
      </c>
      <c r="AF287" s="226">
        <f t="shared" si="62"/>
        <v>2.8463848696618737E-3</v>
      </c>
      <c r="AG287" s="226">
        <f t="shared" si="62"/>
        <v>2.8230971706714693E-3</v>
      </c>
      <c r="AH287" s="227">
        <v>2.8E-3</v>
      </c>
      <c r="AI287" s="226">
        <f t="shared" si="65"/>
        <v>2.7770917988399514E-3</v>
      </c>
      <c r="AJ287" s="226">
        <f t="shared" si="65"/>
        <v>2.7543710211371847E-3</v>
      </c>
      <c r="AK287" s="226">
        <f t="shared" si="65"/>
        <v>2.7318361334866064E-3</v>
      </c>
      <c r="AL287" s="226">
        <f t="shared" si="65"/>
        <v>2.7094856150286775E-3</v>
      </c>
      <c r="AM287" s="226">
        <f t="shared" si="65"/>
        <v>2.687317957346772E-3</v>
      </c>
      <c r="AN287" s="226">
        <f t="shared" si="65"/>
        <v>2.6653316643653752E-3</v>
      </c>
      <c r="AO287" s="226">
        <f t="shared" si="65"/>
        <v>2.6435252522491147E-3</v>
      </c>
      <c r="AP287" s="226">
        <f t="shared" si="65"/>
        <v>2.6218972493026178E-3</v>
      </c>
      <c r="AQ287" s="226">
        <f t="shared" si="65"/>
        <v>2.6004461958711884E-3</v>
      </c>
      <c r="AR287" s="226">
        <f t="shared" si="65"/>
        <v>2.5791706442422953E-3</v>
      </c>
      <c r="AS287" s="226">
        <f t="shared" si="65"/>
        <v>2.5580691585478685E-3</v>
      </c>
      <c r="AT287" s="226">
        <f t="shared" si="65"/>
        <v>2.5371403146673931E-3</v>
      </c>
      <c r="AU287" s="226">
        <f t="shared" si="65"/>
        <v>2.5163827001317969E-3</v>
      </c>
      <c r="AV287" s="226">
        <f t="shared" si="65"/>
        <v>2.4957949140281236E-3</v>
      </c>
      <c r="AW287" s="226">
        <f t="shared" si="65"/>
        <v>2.4753755669049871E-3</v>
      </c>
      <c r="AX287" s="226">
        <f t="shared" si="65"/>
        <v>2.4551232806787979E-3</v>
      </c>
      <c r="AY287" s="226">
        <f t="shared" si="63"/>
        <v>2.4350366885407594E-3</v>
      </c>
      <c r="AZ287" s="226">
        <f t="shared" si="63"/>
        <v>2.4151144348646199E-3</v>
      </c>
      <c r="BA287" s="226">
        <f t="shared" si="63"/>
        <v>2.3953551751151854E-3</v>
      </c>
      <c r="BB287" s="226">
        <f t="shared" si="63"/>
        <v>2.3757575757575775E-3</v>
      </c>
      <c r="BC287" s="226">
        <f t="shared" si="63"/>
        <v>2.3563203141672333E-3</v>
      </c>
      <c r="BD287" s="226">
        <f t="shared" si="63"/>
        <v>2.3370420785406433E-3</v>
      </c>
      <c r="BE287" s="226">
        <f t="shared" si="63"/>
        <v>2.3179215678068191E-3</v>
      </c>
    </row>
    <row r="288" spans="5:57" s="10" customFormat="1" x14ac:dyDescent="0.35">
      <c r="E288" s="10" t="s">
        <v>678</v>
      </c>
      <c r="F288" s="10" t="s">
        <v>615</v>
      </c>
      <c r="G288" s="43" t="s">
        <v>616</v>
      </c>
      <c r="I288" s="20"/>
      <c r="J288" s="200"/>
      <c r="K288" s="200"/>
      <c r="L288" s="200"/>
      <c r="M288" s="200"/>
      <c r="N288" s="200">
        <v>3.3999999999999998E-3</v>
      </c>
      <c r="O288" s="226">
        <f t="shared" si="64"/>
        <v>3.3671531707419426E-3</v>
      </c>
      <c r="P288" s="226">
        <f t="shared" si="64"/>
        <v>3.3346236691875054E-3</v>
      </c>
      <c r="Q288" s="226">
        <f t="shared" si="64"/>
        <v>3.3024084296870118E-3</v>
      </c>
      <c r="R288" s="226">
        <f t="shared" si="64"/>
        <v>3.2705044162075125E-3</v>
      </c>
      <c r="S288" s="226">
        <f t="shared" si="64"/>
        <v>3.2389086220466624E-3</v>
      </c>
      <c r="T288" s="226">
        <f t="shared" si="64"/>
        <v>3.2076180695493639E-3</v>
      </c>
      <c r="U288" s="226">
        <f t="shared" si="64"/>
        <v>3.1766298098271444E-3</v>
      </c>
      <c r="V288" s="226">
        <f t="shared" si="64"/>
        <v>3.1459409224802483E-3</v>
      </c>
      <c r="W288" s="226">
        <f t="shared" si="64"/>
        <v>3.115548515322412E-3</v>
      </c>
      <c r="X288" s="226">
        <f t="shared" si="64"/>
        <v>3.0854497241082977E-3</v>
      </c>
      <c r="Y288" s="226">
        <f t="shared" si="64"/>
        <v>3.0556417122635611E-3</v>
      </c>
      <c r="Z288" s="226">
        <f t="shared" si="64"/>
        <v>3.026121670617526E-3</v>
      </c>
      <c r="AA288" s="226">
        <f t="shared" si="64"/>
        <v>2.9968868171384435E-3</v>
      </c>
      <c r="AB288" s="226">
        <f t="shared" si="64"/>
        <v>2.9679343966713058E-3</v>
      </c>
      <c r="AC288" s="226">
        <f t="shared" si="64"/>
        <v>2.9392616806781947E-3</v>
      </c>
      <c r="AD288" s="226">
        <f t="shared" si="64"/>
        <v>2.9108659669811396E-3</v>
      </c>
      <c r="AE288" s="226">
        <f t="shared" si="62"/>
        <v>2.8827445795074577E-3</v>
      </c>
      <c r="AF288" s="226">
        <f t="shared" si="62"/>
        <v>2.8548948680375543E-3</v>
      </c>
      <c r="AG288" s="226">
        <f t="shared" si="62"/>
        <v>2.8273142079551622E-3</v>
      </c>
      <c r="AH288" s="227">
        <v>2.8E-3</v>
      </c>
      <c r="AI288" s="226">
        <f t="shared" si="65"/>
        <v>2.7729496700227767E-3</v>
      </c>
      <c r="AJ288" s="226">
        <f t="shared" si="65"/>
        <v>2.7461606687426521E-3</v>
      </c>
      <c r="AK288" s="226">
        <f t="shared" si="65"/>
        <v>2.7196304715069513E-3</v>
      </c>
      <c r="AL288" s="226">
        <f t="shared" si="65"/>
        <v>2.6933565780532459E-3</v>
      </c>
      <c r="AM288" s="226">
        <f t="shared" si="65"/>
        <v>2.6673365122737223E-3</v>
      </c>
      <c r="AN288" s="226">
        <f t="shared" si="65"/>
        <v>2.641567821981829E-3</v>
      </c>
      <c r="AO288" s="226">
        <f t="shared" si="65"/>
        <v>2.6160480786811776E-3</v>
      </c>
      <c r="AP288" s="226">
        <f t="shared" si="65"/>
        <v>2.5907748773366748E-3</v>
      </c>
      <c r="AQ288" s="226">
        <f t="shared" si="65"/>
        <v>2.5657458361478683E-3</v>
      </c>
      <c r="AR288" s="226">
        <f t="shared" si="65"/>
        <v>2.5409585963244801E-3</v>
      </c>
      <c r="AS288" s="226">
        <f t="shared" si="65"/>
        <v>2.5164108218641086E-3</v>
      </c>
      <c r="AT288" s="226">
        <f t="shared" si="65"/>
        <v>2.4921001993320801E-3</v>
      </c>
      <c r="AU288" s="226">
        <f t="shared" si="65"/>
        <v>2.4680244376434238E-3</v>
      </c>
      <c r="AV288" s="226">
        <f t="shared" si="65"/>
        <v>2.4441812678469574E-3</v>
      </c>
      <c r="AW288" s="226">
        <f t="shared" si="65"/>
        <v>2.4205684429114542E-3</v>
      </c>
      <c r="AX288" s="226">
        <f t="shared" si="65"/>
        <v>2.3971837375138796E-3</v>
      </c>
      <c r="AY288" s="226">
        <f t="shared" si="63"/>
        <v>2.3740249478296708E-3</v>
      </c>
      <c r="AZ288" s="226">
        <f t="shared" si="63"/>
        <v>2.3510898913250448E-3</v>
      </c>
      <c r="BA288" s="226">
        <f t="shared" si="63"/>
        <v>2.32837640655131E-3</v>
      </c>
      <c r="BB288" s="226">
        <f t="shared" si="63"/>
        <v>2.3058823529411689E-3</v>
      </c>
      <c r="BC288" s="226">
        <f t="shared" si="63"/>
        <v>2.2836056106069849E-3</v>
      </c>
      <c r="BD288" s="226">
        <f t="shared" si="63"/>
        <v>2.2615440801410001E-3</v>
      </c>
      <c r="BE288" s="226">
        <f t="shared" si="63"/>
        <v>2.2396956824174822E-3</v>
      </c>
    </row>
    <row r="289" spans="2:57" s="10" customFormat="1" x14ac:dyDescent="0.35">
      <c r="B289" s="13"/>
      <c r="D289" s="169"/>
      <c r="E289" s="10" t="s">
        <v>679</v>
      </c>
      <c r="F289" s="10" t="s">
        <v>615</v>
      </c>
      <c r="G289" s="43" t="s">
        <v>616</v>
      </c>
      <c r="I289" s="20"/>
      <c r="J289" s="200"/>
      <c r="K289" s="200"/>
      <c r="L289" s="200"/>
      <c r="M289" s="200"/>
      <c r="N289" s="200">
        <v>3.3999999999999998E-3</v>
      </c>
      <c r="O289" s="226">
        <f t="shared" si="64"/>
        <v>3.3671531707419426E-3</v>
      </c>
      <c r="P289" s="226">
        <f t="shared" si="64"/>
        <v>3.3346236691875054E-3</v>
      </c>
      <c r="Q289" s="226">
        <f t="shared" si="64"/>
        <v>3.3024084296870118E-3</v>
      </c>
      <c r="R289" s="226">
        <f t="shared" si="64"/>
        <v>3.2705044162075125E-3</v>
      </c>
      <c r="S289" s="226">
        <f t="shared" si="64"/>
        <v>3.2389086220466624E-3</v>
      </c>
      <c r="T289" s="226">
        <f t="shared" si="64"/>
        <v>3.2076180695493639E-3</v>
      </c>
      <c r="U289" s="226">
        <f t="shared" si="64"/>
        <v>3.1766298098271444E-3</v>
      </c>
      <c r="V289" s="226">
        <f t="shared" si="64"/>
        <v>3.1459409224802483E-3</v>
      </c>
      <c r="W289" s="226">
        <f t="shared" si="64"/>
        <v>3.115548515322412E-3</v>
      </c>
      <c r="X289" s="226">
        <f t="shared" si="64"/>
        <v>3.0854497241082977E-3</v>
      </c>
      <c r="Y289" s="226">
        <f t="shared" si="64"/>
        <v>3.0556417122635611E-3</v>
      </c>
      <c r="Z289" s="226">
        <f t="shared" si="64"/>
        <v>3.026121670617526E-3</v>
      </c>
      <c r="AA289" s="226">
        <f t="shared" si="64"/>
        <v>2.9968868171384435E-3</v>
      </c>
      <c r="AB289" s="226">
        <f t="shared" si="64"/>
        <v>2.9679343966713058E-3</v>
      </c>
      <c r="AC289" s="226">
        <f t="shared" si="64"/>
        <v>2.9392616806781947E-3</v>
      </c>
      <c r="AD289" s="226">
        <f t="shared" si="64"/>
        <v>2.9108659669811396E-3</v>
      </c>
      <c r="AE289" s="226">
        <f t="shared" si="62"/>
        <v>2.8827445795074577E-3</v>
      </c>
      <c r="AF289" s="226">
        <f t="shared" si="62"/>
        <v>2.8548948680375543E-3</v>
      </c>
      <c r="AG289" s="226">
        <f t="shared" si="62"/>
        <v>2.8273142079551622E-3</v>
      </c>
      <c r="AH289" s="227">
        <v>2.8E-3</v>
      </c>
      <c r="AI289" s="226">
        <f t="shared" si="65"/>
        <v>2.7729496700227767E-3</v>
      </c>
      <c r="AJ289" s="226">
        <f t="shared" si="65"/>
        <v>2.7461606687426521E-3</v>
      </c>
      <c r="AK289" s="226">
        <f t="shared" si="65"/>
        <v>2.7196304715069513E-3</v>
      </c>
      <c r="AL289" s="226">
        <f t="shared" si="65"/>
        <v>2.6933565780532459E-3</v>
      </c>
      <c r="AM289" s="226">
        <f t="shared" si="65"/>
        <v>2.6673365122737223E-3</v>
      </c>
      <c r="AN289" s="226">
        <f t="shared" si="65"/>
        <v>2.641567821981829E-3</v>
      </c>
      <c r="AO289" s="226">
        <f t="shared" si="65"/>
        <v>2.6160480786811776E-3</v>
      </c>
      <c r="AP289" s="226">
        <f t="shared" si="65"/>
        <v>2.5907748773366748E-3</v>
      </c>
      <c r="AQ289" s="226">
        <f t="shared" si="65"/>
        <v>2.5657458361478683E-3</v>
      </c>
      <c r="AR289" s="226">
        <f t="shared" si="65"/>
        <v>2.5409585963244801E-3</v>
      </c>
      <c r="AS289" s="226">
        <f t="shared" si="65"/>
        <v>2.5164108218641086E-3</v>
      </c>
      <c r="AT289" s="226">
        <f t="shared" si="65"/>
        <v>2.4921001993320801E-3</v>
      </c>
      <c r="AU289" s="226">
        <f t="shared" si="65"/>
        <v>2.4680244376434238E-3</v>
      </c>
      <c r="AV289" s="226">
        <f t="shared" si="65"/>
        <v>2.4441812678469574E-3</v>
      </c>
      <c r="AW289" s="226">
        <f t="shared" si="65"/>
        <v>2.4205684429114542E-3</v>
      </c>
      <c r="AX289" s="226">
        <f t="shared" si="65"/>
        <v>2.3971837375138796E-3</v>
      </c>
      <c r="AY289" s="226">
        <f t="shared" si="63"/>
        <v>2.3740249478296708E-3</v>
      </c>
      <c r="AZ289" s="226">
        <f t="shared" si="63"/>
        <v>2.3510898913250448E-3</v>
      </c>
      <c r="BA289" s="226">
        <f t="shared" si="63"/>
        <v>2.32837640655131E-3</v>
      </c>
      <c r="BB289" s="226">
        <f t="shared" si="63"/>
        <v>2.3058823529411689E-3</v>
      </c>
      <c r="BC289" s="226">
        <f t="shared" si="63"/>
        <v>2.2836056106069849E-3</v>
      </c>
      <c r="BD289" s="226">
        <f t="shared" si="63"/>
        <v>2.2615440801410001E-3</v>
      </c>
      <c r="BE289" s="226">
        <f t="shared" si="63"/>
        <v>2.2396956824174822E-3</v>
      </c>
    </row>
    <row r="290" spans="2:57" s="10" customFormat="1" x14ac:dyDescent="0.35">
      <c r="B290" s="13"/>
      <c r="D290" s="169"/>
      <c r="E290" s="10" t="s">
        <v>680</v>
      </c>
      <c r="F290" s="10" t="s">
        <v>615</v>
      </c>
      <c r="G290" s="43" t="s">
        <v>616</v>
      </c>
      <c r="I290" s="20"/>
      <c r="J290" s="200"/>
      <c r="K290" s="200"/>
      <c r="L290" s="200"/>
      <c r="M290" s="200"/>
      <c r="N290" s="200">
        <v>3.3999999999999998E-3</v>
      </c>
      <c r="O290" s="226">
        <f t="shared" si="64"/>
        <v>3.3671531707419426E-3</v>
      </c>
      <c r="P290" s="226">
        <f t="shared" si="64"/>
        <v>3.3346236691875054E-3</v>
      </c>
      <c r="Q290" s="226">
        <f t="shared" si="64"/>
        <v>3.3024084296870118E-3</v>
      </c>
      <c r="R290" s="226">
        <f t="shared" si="64"/>
        <v>3.2705044162075125E-3</v>
      </c>
      <c r="S290" s="226">
        <f t="shared" si="64"/>
        <v>3.2389086220466624E-3</v>
      </c>
      <c r="T290" s="226">
        <f t="shared" si="64"/>
        <v>3.2076180695493639E-3</v>
      </c>
      <c r="U290" s="226">
        <f t="shared" si="64"/>
        <v>3.1766298098271444E-3</v>
      </c>
      <c r="V290" s="226">
        <f t="shared" si="64"/>
        <v>3.1459409224802483E-3</v>
      </c>
      <c r="W290" s="226">
        <f t="shared" si="64"/>
        <v>3.115548515322412E-3</v>
      </c>
      <c r="X290" s="226">
        <f t="shared" si="64"/>
        <v>3.0854497241082977E-3</v>
      </c>
      <c r="Y290" s="226">
        <f t="shared" si="64"/>
        <v>3.0556417122635611E-3</v>
      </c>
      <c r="Z290" s="226">
        <f t="shared" si="64"/>
        <v>3.026121670617526E-3</v>
      </c>
      <c r="AA290" s="226">
        <f t="shared" si="64"/>
        <v>2.9968868171384435E-3</v>
      </c>
      <c r="AB290" s="226">
        <f t="shared" si="64"/>
        <v>2.9679343966713058E-3</v>
      </c>
      <c r="AC290" s="226">
        <f t="shared" si="64"/>
        <v>2.9392616806781947E-3</v>
      </c>
      <c r="AD290" s="226">
        <f t="shared" ref="AD290:AG292" si="66">AC290*(1+($AH290/$N290)^(1/($AH$6-$N$6))-1)</f>
        <v>2.9108659669811396E-3</v>
      </c>
      <c r="AE290" s="226">
        <f t="shared" si="66"/>
        <v>2.8827445795074577E-3</v>
      </c>
      <c r="AF290" s="226">
        <f t="shared" si="66"/>
        <v>2.8548948680375543E-3</v>
      </c>
      <c r="AG290" s="226">
        <f t="shared" si="66"/>
        <v>2.8273142079551622E-3</v>
      </c>
      <c r="AH290" s="227">
        <v>2.8E-3</v>
      </c>
      <c r="AI290" s="226">
        <f t="shared" si="65"/>
        <v>2.7729496700227767E-3</v>
      </c>
      <c r="AJ290" s="226">
        <f t="shared" si="65"/>
        <v>2.7461606687426521E-3</v>
      </c>
      <c r="AK290" s="226">
        <f t="shared" si="65"/>
        <v>2.7196304715069513E-3</v>
      </c>
      <c r="AL290" s="226">
        <f t="shared" si="65"/>
        <v>2.6933565780532459E-3</v>
      </c>
      <c r="AM290" s="226">
        <f t="shared" si="65"/>
        <v>2.6673365122737223E-3</v>
      </c>
      <c r="AN290" s="226">
        <f t="shared" si="65"/>
        <v>2.641567821981829E-3</v>
      </c>
      <c r="AO290" s="226">
        <f t="shared" si="65"/>
        <v>2.6160480786811776E-3</v>
      </c>
      <c r="AP290" s="226">
        <f t="shared" si="65"/>
        <v>2.5907748773366748E-3</v>
      </c>
      <c r="AQ290" s="226">
        <f t="shared" si="65"/>
        <v>2.5657458361478683E-3</v>
      </c>
      <c r="AR290" s="226">
        <f t="shared" si="65"/>
        <v>2.5409585963244801E-3</v>
      </c>
      <c r="AS290" s="226">
        <f t="shared" si="65"/>
        <v>2.5164108218641086E-3</v>
      </c>
      <c r="AT290" s="226">
        <f t="shared" si="65"/>
        <v>2.4921001993320801E-3</v>
      </c>
      <c r="AU290" s="226">
        <f t="shared" si="65"/>
        <v>2.4680244376434238E-3</v>
      </c>
      <c r="AV290" s="226">
        <f t="shared" si="65"/>
        <v>2.4441812678469574E-3</v>
      </c>
      <c r="AW290" s="226">
        <f t="shared" si="65"/>
        <v>2.4205684429114542E-3</v>
      </c>
      <c r="AX290" s="226">
        <f t="shared" ref="AX290:BE292" si="67">AW290*(1+($AH290/$N290)^(1/($AH$6-$N$6))-1)</f>
        <v>2.3971837375138796E-3</v>
      </c>
      <c r="AY290" s="226">
        <f t="shared" si="67"/>
        <v>2.3740249478296708E-3</v>
      </c>
      <c r="AZ290" s="226">
        <f t="shared" si="67"/>
        <v>2.3510898913250448E-3</v>
      </c>
      <c r="BA290" s="226">
        <f t="shared" si="67"/>
        <v>2.32837640655131E-3</v>
      </c>
      <c r="BB290" s="226">
        <f t="shared" si="67"/>
        <v>2.3058823529411689E-3</v>
      </c>
      <c r="BC290" s="226">
        <f t="shared" si="67"/>
        <v>2.2836056106069849E-3</v>
      </c>
      <c r="BD290" s="226">
        <f t="shared" si="67"/>
        <v>2.2615440801410001E-3</v>
      </c>
      <c r="BE290" s="226">
        <f t="shared" si="67"/>
        <v>2.2396956824174822E-3</v>
      </c>
    </row>
    <row r="291" spans="2:57" s="10" customFormat="1" x14ac:dyDescent="0.35">
      <c r="B291" s="13"/>
      <c r="E291" s="10" t="s">
        <v>681</v>
      </c>
      <c r="F291" s="10" t="s">
        <v>615</v>
      </c>
      <c r="G291" s="43" t="s">
        <v>616</v>
      </c>
      <c r="I291" s="20"/>
      <c r="J291" s="200"/>
      <c r="K291" s="200"/>
      <c r="L291" s="200"/>
      <c r="M291" s="200"/>
      <c r="N291" s="200">
        <v>3.3999999999999998E-3</v>
      </c>
      <c r="O291" s="226">
        <f t="shared" ref="O291:AD292" si="68">N291*(1+($AH291/$N291)^(1/($AH$6-$N$6))-1)</f>
        <v>3.3671531707419426E-3</v>
      </c>
      <c r="P291" s="226">
        <f t="shared" si="68"/>
        <v>3.3346236691875054E-3</v>
      </c>
      <c r="Q291" s="226">
        <f t="shared" si="68"/>
        <v>3.3024084296870118E-3</v>
      </c>
      <c r="R291" s="226">
        <f t="shared" si="68"/>
        <v>3.2705044162075125E-3</v>
      </c>
      <c r="S291" s="226">
        <f t="shared" si="68"/>
        <v>3.2389086220466624E-3</v>
      </c>
      <c r="T291" s="226">
        <f t="shared" si="68"/>
        <v>3.2076180695493639E-3</v>
      </c>
      <c r="U291" s="226">
        <f t="shared" si="68"/>
        <v>3.1766298098271444E-3</v>
      </c>
      <c r="V291" s="226">
        <f t="shared" si="68"/>
        <v>3.1459409224802483E-3</v>
      </c>
      <c r="W291" s="226">
        <f t="shared" si="68"/>
        <v>3.115548515322412E-3</v>
      </c>
      <c r="X291" s="226">
        <f t="shared" si="68"/>
        <v>3.0854497241082977E-3</v>
      </c>
      <c r="Y291" s="226">
        <f t="shared" si="68"/>
        <v>3.0556417122635611E-3</v>
      </c>
      <c r="Z291" s="226">
        <f t="shared" si="68"/>
        <v>3.026121670617526E-3</v>
      </c>
      <c r="AA291" s="226">
        <f t="shared" si="68"/>
        <v>2.9968868171384435E-3</v>
      </c>
      <c r="AB291" s="226">
        <f t="shared" si="68"/>
        <v>2.9679343966713058E-3</v>
      </c>
      <c r="AC291" s="226">
        <f t="shared" si="68"/>
        <v>2.9392616806781947E-3</v>
      </c>
      <c r="AD291" s="226">
        <f t="shared" si="68"/>
        <v>2.9108659669811396E-3</v>
      </c>
      <c r="AE291" s="226">
        <f t="shared" si="66"/>
        <v>2.8827445795074577E-3</v>
      </c>
      <c r="AF291" s="226">
        <f t="shared" si="66"/>
        <v>2.8548948680375543E-3</v>
      </c>
      <c r="AG291" s="226">
        <f t="shared" si="66"/>
        <v>2.8273142079551622E-3</v>
      </c>
      <c r="AH291" s="227">
        <v>2.8E-3</v>
      </c>
      <c r="AI291" s="226">
        <f t="shared" ref="AI291:AX292" si="69">AH291*(1+($AH291/$N291)^(1/($AH$6-$N$6))-1)</f>
        <v>2.7729496700227767E-3</v>
      </c>
      <c r="AJ291" s="226">
        <f t="shared" si="69"/>
        <v>2.7461606687426521E-3</v>
      </c>
      <c r="AK291" s="226">
        <f t="shared" si="69"/>
        <v>2.7196304715069513E-3</v>
      </c>
      <c r="AL291" s="226">
        <f t="shared" si="69"/>
        <v>2.6933565780532459E-3</v>
      </c>
      <c r="AM291" s="226">
        <f t="shared" si="69"/>
        <v>2.6673365122737223E-3</v>
      </c>
      <c r="AN291" s="226">
        <f t="shared" si="69"/>
        <v>2.641567821981829E-3</v>
      </c>
      <c r="AO291" s="226">
        <f t="shared" si="69"/>
        <v>2.6160480786811776E-3</v>
      </c>
      <c r="AP291" s="226">
        <f t="shared" si="69"/>
        <v>2.5907748773366748E-3</v>
      </c>
      <c r="AQ291" s="226">
        <f t="shared" si="69"/>
        <v>2.5657458361478683E-3</v>
      </c>
      <c r="AR291" s="226">
        <f t="shared" si="69"/>
        <v>2.5409585963244801E-3</v>
      </c>
      <c r="AS291" s="226">
        <f t="shared" si="69"/>
        <v>2.5164108218641086E-3</v>
      </c>
      <c r="AT291" s="226">
        <f t="shared" si="69"/>
        <v>2.4921001993320801E-3</v>
      </c>
      <c r="AU291" s="226">
        <f t="shared" si="69"/>
        <v>2.4680244376434238E-3</v>
      </c>
      <c r="AV291" s="226">
        <f t="shared" si="69"/>
        <v>2.4441812678469574E-3</v>
      </c>
      <c r="AW291" s="226">
        <f t="shared" si="69"/>
        <v>2.4205684429114542E-3</v>
      </c>
      <c r="AX291" s="226">
        <f t="shared" si="69"/>
        <v>2.3971837375138796E-3</v>
      </c>
      <c r="AY291" s="226">
        <f t="shared" si="67"/>
        <v>2.3740249478296708E-3</v>
      </c>
      <c r="AZ291" s="226">
        <f t="shared" si="67"/>
        <v>2.3510898913250448E-3</v>
      </c>
      <c r="BA291" s="226">
        <f t="shared" si="67"/>
        <v>2.32837640655131E-3</v>
      </c>
      <c r="BB291" s="226">
        <f t="shared" si="67"/>
        <v>2.3058823529411689E-3</v>
      </c>
      <c r="BC291" s="226">
        <f t="shared" si="67"/>
        <v>2.2836056106069849E-3</v>
      </c>
      <c r="BD291" s="226">
        <f t="shared" si="67"/>
        <v>2.2615440801410001E-3</v>
      </c>
      <c r="BE291" s="226">
        <f t="shared" si="67"/>
        <v>2.2396956824174822E-3</v>
      </c>
    </row>
    <row r="292" spans="2:57" s="10" customFormat="1" x14ac:dyDescent="0.35">
      <c r="B292" s="13"/>
      <c r="E292" s="10" t="s">
        <v>682</v>
      </c>
      <c r="F292" s="10" t="s">
        <v>615</v>
      </c>
      <c r="G292" s="43" t="s">
        <v>616</v>
      </c>
      <c r="I292" s="20"/>
      <c r="J292" s="200"/>
      <c r="K292" s="200"/>
      <c r="L292" s="200"/>
      <c r="M292" s="200"/>
      <c r="N292" s="200">
        <v>3.3999999999999998E-3</v>
      </c>
      <c r="O292" s="226">
        <f t="shared" si="68"/>
        <v>3.3671531707419426E-3</v>
      </c>
      <c r="P292" s="226">
        <f t="shared" si="68"/>
        <v>3.3346236691875054E-3</v>
      </c>
      <c r="Q292" s="226">
        <f t="shared" si="68"/>
        <v>3.3024084296870118E-3</v>
      </c>
      <c r="R292" s="226">
        <f t="shared" si="68"/>
        <v>3.2705044162075125E-3</v>
      </c>
      <c r="S292" s="226">
        <f t="shared" si="68"/>
        <v>3.2389086220466624E-3</v>
      </c>
      <c r="T292" s="226">
        <f t="shared" si="68"/>
        <v>3.2076180695493639E-3</v>
      </c>
      <c r="U292" s="226">
        <f t="shared" si="68"/>
        <v>3.1766298098271444E-3</v>
      </c>
      <c r="V292" s="226">
        <f t="shared" si="68"/>
        <v>3.1459409224802483E-3</v>
      </c>
      <c r="W292" s="226">
        <f t="shared" si="68"/>
        <v>3.115548515322412E-3</v>
      </c>
      <c r="X292" s="226">
        <f t="shared" si="68"/>
        <v>3.0854497241082977E-3</v>
      </c>
      <c r="Y292" s="226">
        <f t="shared" si="68"/>
        <v>3.0556417122635611E-3</v>
      </c>
      <c r="Z292" s="226">
        <f t="shared" si="68"/>
        <v>3.026121670617526E-3</v>
      </c>
      <c r="AA292" s="226">
        <f t="shared" si="68"/>
        <v>2.9968868171384435E-3</v>
      </c>
      <c r="AB292" s="226">
        <f t="shared" si="68"/>
        <v>2.9679343966713058E-3</v>
      </c>
      <c r="AC292" s="226">
        <f t="shared" si="68"/>
        <v>2.9392616806781947E-3</v>
      </c>
      <c r="AD292" s="226">
        <f t="shared" si="68"/>
        <v>2.9108659669811396E-3</v>
      </c>
      <c r="AE292" s="226">
        <f t="shared" si="66"/>
        <v>2.8827445795074577E-3</v>
      </c>
      <c r="AF292" s="226">
        <f t="shared" si="66"/>
        <v>2.8548948680375543E-3</v>
      </c>
      <c r="AG292" s="226">
        <f t="shared" si="66"/>
        <v>2.8273142079551622E-3</v>
      </c>
      <c r="AH292" s="227">
        <v>2.8E-3</v>
      </c>
      <c r="AI292" s="226">
        <f t="shared" si="69"/>
        <v>2.7729496700227767E-3</v>
      </c>
      <c r="AJ292" s="226">
        <f t="shared" si="69"/>
        <v>2.7461606687426521E-3</v>
      </c>
      <c r="AK292" s="226">
        <f t="shared" si="69"/>
        <v>2.7196304715069513E-3</v>
      </c>
      <c r="AL292" s="226">
        <f t="shared" si="69"/>
        <v>2.6933565780532459E-3</v>
      </c>
      <c r="AM292" s="226">
        <f t="shared" si="69"/>
        <v>2.6673365122737223E-3</v>
      </c>
      <c r="AN292" s="226">
        <f t="shared" si="69"/>
        <v>2.641567821981829E-3</v>
      </c>
      <c r="AO292" s="226">
        <f t="shared" si="69"/>
        <v>2.6160480786811776E-3</v>
      </c>
      <c r="AP292" s="226">
        <f t="shared" si="69"/>
        <v>2.5907748773366748E-3</v>
      </c>
      <c r="AQ292" s="226">
        <f t="shared" si="69"/>
        <v>2.5657458361478683E-3</v>
      </c>
      <c r="AR292" s="226">
        <f t="shared" si="69"/>
        <v>2.5409585963244801E-3</v>
      </c>
      <c r="AS292" s="226">
        <f t="shared" si="69"/>
        <v>2.5164108218641086E-3</v>
      </c>
      <c r="AT292" s="226">
        <f t="shared" si="69"/>
        <v>2.4921001993320801E-3</v>
      </c>
      <c r="AU292" s="226">
        <f t="shared" si="69"/>
        <v>2.4680244376434238E-3</v>
      </c>
      <c r="AV292" s="226">
        <f t="shared" si="69"/>
        <v>2.4441812678469574E-3</v>
      </c>
      <c r="AW292" s="226">
        <f t="shared" si="69"/>
        <v>2.4205684429114542E-3</v>
      </c>
      <c r="AX292" s="226">
        <f t="shared" si="69"/>
        <v>2.3971837375138796E-3</v>
      </c>
      <c r="AY292" s="226">
        <f t="shared" si="67"/>
        <v>2.3740249478296708E-3</v>
      </c>
      <c r="AZ292" s="226">
        <f t="shared" si="67"/>
        <v>2.3510898913250448E-3</v>
      </c>
      <c r="BA292" s="226">
        <f t="shared" si="67"/>
        <v>2.32837640655131E-3</v>
      </c>
      <c r="BB292" s="226">
        <f t="shared" si="67"/>
        <v>2.3058823529411689E-3</v>
      </c>
      <c r="BC292" s="226">
        <f t="shared" si="67"/>
        <v>2.2836056106069849E-3</v>
      </c>
      <c r="BD292" s="226">
        <f t="shared" si="67"/>
        <v>2.2615440801410001E-3</v>
      </c>
      <c r="BE292" s="226">
        <f t="shared" si="67"/>
        <v>2.2396956824174822E-3</v>
      </c>
    </row>
    <row r="293" spans="2:57" s="4" customFormat="1" ht="5.25" customHeight="1" x14ac:dyDescent="0.35">
      <c r="E293" s="26"/>
      <c r="G293" s="43"/>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c r="AG293" s="119"/>
      <c r="AH293" s="119"/>
      <c r="AI293" s="119"/>
      <c r="AJ293" s="119"/>
      <c r="AK293" s="119"/>
      <c r="AL293" s="119"/>
      <c r="AM293" s="119"/>
      <c r="AN293" s="119"/>
      <c r="AO293" s="21"/>
      <c r="AP293" s="21"/>
      <c r="AQ293" s="21"/>
      <c r="AR293" s="21"/>
      <c r="AS293" s="21"/>
      <c r="AT293" s="21"/>
      <c r="AU293" s="21"/>
      <c r="AV293" s="21"/>
      <c r="AW293" s="21"/>
      <c r="AX293" s="21"/>
      <c r="AY293" s="21"/>
      <c r="AZ293" s="21"/>
      <c r="BA293" s="21"/>
      <c r="BB293" s="21"/>
      <c r="BC293" s="21"/>
      <c r="BD293" s="21"/>
      <c r="BE293" s="21"/>
    </row>
    <row r="294" spans="2:57" s="4" customFormat="1" ht="15" customHeight="1" x14ac:dyDescent="0.35">
      <c r="B294" s="2" t="s">
        <v>685</v>
      </c>
      <c r="E294" s="26"/>
      <c r="G294" s="43"/>
      <c r="I294" s="29"/>
      <c r="J294" s="150"/>
      <c r="K294" s="150"/>
      <c r="L294" s="150"/>
      <c r="M294" s="150"/>
      <c r="N294" s="150"/>
      <c r="O294" s="150"/>
      <c r="P294" s="150"/>
      <c r="Q294" s="150"/>
      <c r="R294" s="150"/>
      <c r="S294" s="150"/>
      <c r="T294" s="150"/>
      <c r="U294" s="150"/>
      <c r="V294" s="150"/>
      <c r="W294" s="150"/>
      <c r="X294" s="150"/>
      <c r="Y294" s="150"/>
      <c r="Z294" s="150"/>
      <c r="AA294" s="150"/>
      <c r="AB294" s="150"/>
      <c r="AC294" s="150"/>
      <c r="AD294" s="150"/>
      <c r="AE294" s="150"/>
      <c r="AF294" s="150"/>
      <c r="AG294" s="150"/>
      <c r="AH294" s="150"/>
      <c r="AI294" s="150"/>
      <c r="AJ294" s="150"/>
      <c r="AK294" s="150"/>
      <c r="AL294" s="150"/>
      <c r="AM294" s="150"/>
      <c r="AN294" s="150"/>
      <c r="AO294" s="150"/>
      <c r="AP294" s="150"/>
      <c r="AQ294" s="150"/>
      <c r="AR294" s="150"/>
      <c r="AS294" s="150"/>
      <c r="AT294" s="228"/>
      <c r="AU294" s="228"/>
      <c r="AV294" s="228"/>
      <c r="AW294" s="228"/>
      <c r="AX294" s="228"/>
      <c r="AY294" s="228"/>
      <c r="AZ294" s="228"/>
      <c r="BA294" s="228"/>
      <c r="BB294" s="228"/>
      <c r="BC294" s="228"/>
      <c r="BD294" s="228"/>
      <c r="BE294" s="228"/>
    </row>
    <row r="295" spans="2:57" s="4" customFormat="1" ht="5.25" customHeight="1" x14ac:dyDescent="0.35">
      <c r="B295" s="2"/>
      <c r="E295" s="26"/>
      <c r="G295" s="43"/>
      <c r="I295" s="29"/>
      <c r="J295" s="150"/>
      <c r="K295" s="150"/>
      <c r="L295" s="150"/>
      <c r="M295" s="150"/>
      <c r="N295" s="150"/>
      <c r="O295" s="150"/>
      <c r="P295" s="150"/>
      <c r="Q295" s="150"/>
      <c r="R295" s="150"/>
      <c r="S295" s="150"/>
      <c r="T295" s="150"/>
      <c r="U295" s="150"/>
      <c r="V295" s="150"/>
      <c r="W295" s="150"/>
      <c r="X295" s="150"/>
      <c r="Y295" s="150"/>
      <c r="Z295" s="150"/>
      <c r="AA295" s="150"/>
      <c r="AB295" s="150"/>
      <c r="AC295" s="150"/>
      <c r="AD295" s="150"/>
      <c r="AE295" s="150"/>
      <c r="AF295" s="150"/>
      <c r="AG295" s="150"/>
      <c r="AH295" s="150"/>
      <c r="AI295" s="150"/>
      <c r="AJ295" s="150"/>
      <c r="AK295" s="150"/>
      <c r="AL295" s="150"/>
      <c r="AM295" s="150"/>
      <c r="AN295" s="150"/>
      <c r="AO295" s="150"/>
      <c r="AP295" s="150"/>
      <c r="AQ295" s="150"/>
      <c r="AR295" s="150"/>
      <c r="AS295" s="150"/>
      <c r="AT295" s="228"/>
      <c r="AU295" s="228"/>
      <c r="AV295" s="228"/>
      <c r="AW295" s="228"/>
      <c r="AX295" s="228"/>
      <c r="AY295" s="228"/>
      <c r="AZ295" s="228"/>
      <c r="BA295" s="228"/>
      <c r="BB295" s="228"/>
      <c r="BC295" s="228"/>
      <c r="BD295" s="228"/>
      <c r="BE295" s="228"/>
    </row>
    <row r="296" spans="2:57" s="4" customFormat="1" ht="32.15" customHeight="1" x14ac:dyDescent="0.35">
      <c r="B296" s="2"/>
      <c r="E296" s="675" t="s">
        <v>686</v>
      </c>
      <c r="F296" s="676"/>
      <c r="G296" s="677"/>
      <c r="I296" s="29"/>
      <c r="J296" s="150"/>
      <c r="K296" s="150"/>
      <c r="L296" s="150"/>
      <c r="M296" s="150"/>
      <c r="N296" s="150"/>
      <c r="O296" s="150"/>
      <c r="P296" s="150"/>
      <c r="Q296" s="150"/>
      <c r="R296" s="150"/>
      <c r="S296" s="150"/>
      <c r="T296" s="150"/>
      <c r="U296" s="150"/>
      <c r="V296" s="150"/>
      <c r="W296" s="150"/>
      <c r="X296" s="150"/>
      <c r="Y296" s="150"/>
      <c r="Z296" s="150"/>
      <c r="AA296" s="150"/>
      <c r="AB296" s="150"/>
      <c r="AC296" s="150"/>
      <c r="AD296" s="150"/>
      <c r="AE296" s="150"/>
      <c r="AF296" s="150"/>
      <c r="AG296" s="150"/>
      <c r="AH296" s="150"/>
      <c r="AI296" s="150"/>
      <c r="AJ296" s="150"/>
      <c r="AK296" s="150"/>
      <c r="AL296" s="150"/>
      <c r="AM296" s="150"/>
      <c r="AN296" s="150"/>
      <c r="AO296" s="150"/>
      <c r="AP296" s="150"/>
      <c r="AQ296" s="150"/>
      <c r="AR296" s="150"/>
      <c r="AS296" s="150"/>
      <c r="AT296" s="228"/>
      <c r="AU296" s="228"/>
      <c r="AV296" s="228"/>
      <c r="AW296" s="228"/>
      <c r="AX296" s="228"/>
      <c r="AY296" s="228"/>
      <c r="AZ296" s="228"/>
      <c r="BA296" s="228"/>
      <c r="BB296" s="228"/>
      <c r="BC296" s="228"/>
      <c r="BD296" s="228"/>
      <c r="BE296" s="228"/>
    </row>
    <row r="297" spans="2:57" s="4" customFormat="1" ht="5.15" customHeight="1" x14ac:dyDescent="0.35">
      <c r="B297" s="2"/>
      <c r="E297" s="171"/>
      <c r="F297" s="172"/>
      <c r="G297" s="430"/>
      <c r="I297" s="29"/>
      <c r="J297" s="150"/>
      <c r="K297" s="150"/>
      <c r="L297" s="150"/>
      <c r="M297" s="150"/>
      <c r="N297" s="150"/>
      <c r="O297" s="150"/>
      <c r="P297" s="150"/>
      <c r="Q297" s="150"/>
      <c r="R297" s="150"/>
      <c r="S297" s="150"/>
      <c r="T297" s="150"/>
      <c r="U297" s="150"/>
      <c r="V297" s="150"/>
      <c r="W297" s="150"/>
      <c r="X297" s="150"/>
      <c r="Y297" s="150"/>
      <c r="Z297" s="150"/>
      <c r="AA297" s="150"/>
      <c r="AB297" s="150"/>
      <c r="AC297" s="150"/>
      <c r="AD297" s="150"/>
      <c r="AE297" s="150"/>
      <c r="AF297" s="150"/>
      <c r="AG297" s="150"/>
      <c r="AH297" s="150"/>
      <c r="AI297" s="150"/>
      <c r="AJ297" s="150"/>
      <c r="AK297" s="150"/>
      <c r="AL297" s="150"/>
      <c r="AM297" s="150"/>
      <c r="AN297" s="150"/>
      <c r="AO297" s="150"/>
      <c r="AP297" s="150"/>
      <c r="AQ297" s="150"/>
      <c r="AR297" s="150"/>
      <c r="AS297" s="150"/>
      <c r="AT297" s="228"/>
      <c r="AU297" s="228"/>
      <c r="AV297" s="228"/>
      <c r="AW297" s="228"/>
      <c r="AX297" s="228"/>
      <c r="AY297" s="228"/>
      <c r="AZ297" s="228"/>
      <c r="BA297" s="228"/>
      <c r="BB297" s="228"/>
      <c r="BC297" s="228"/>
      <c r="BD297" s="228"/>
      <c r="BE297" s="228"/>
    </row>
    <row r="298" spans="2:57" s="10" customFormat="1" ht="15" customHeight="1" x14ac:dyDescent="0.35">
      <c r="B298" s="13"/>
      <c r="D298" s="168" t="s">
        <v>613</v>
      </c>
      <c r="E298" s="109"/>
      <c r="G298" s="302"/>
      <c r="I298" s="122"/>
      <c r="J298" s="226"/>
      <c r="K298" s="226"/>
      <c r="L298" s="226"/>
      <c r="M298" s="226"/>
      <c r="N298" s="226"/>
      <c r="O298" s="226"/>
      <c r="P298" s="226"/>
      <c r="Q298" s="226"/>
      <c r="R298" s="226"/>
      <c r="S298" s="226"/>
      <c r="T298" s="226"/>
      <c r="U298" s="226"/>
      <c r="V298" s="226"/>
      <c r="W298" s="226"/>
      <c r="X298" s="226"/>
      <c r="Y298" s="226"/>
      <c r="Z298" s="226"/>
      <c r="AA298" s="226"/>
      <c r="AB298" s="226"/>
      <c r="AC298" s="226"/>
      <c r="AD298" s="226"/>
      <c r="AE298" s="226"/>
      <c r="AF298" s="226"/>
      <c r="AG298" s="226"/>
      <c r="AH298" s="226"/>
      <c r="AI298" s="226"/>
      <c r="AJ298" s="226"/>
      <c r="AK298" s="226"/>
      <c r="AL298" s="226"/>
      <c r="AM298" s="226"/>
      <c r="AN298" s="226"/>
      <c r="AO298" s="226"/>
      <c r="AP298" s="226"/>
      <c r="AQ298" s="226"/>
      <c r="AR298" s="226"/>
      <c r="AS298" s="226"/>
      <c r="AT298" s="170"/>
      <c r="AU298" s="170"/>
      <c r="AV298" s="170"/>
      <c r="AW298" s="170"/>
      <c r="AX298" s="170"/>
      <c r="AY298" s="170"/>
      <c r="AZ298" s="170"/>
      <c r="BA298" s="170"/>
      <c r="BB298" s="170"/>
      <c r="BC298" s="170"/>
      <c r="BD298" s="170"/>
      <c r="BE298" s="170"/>
    </row>
    <row r="299" spans="2:57" s="10" customFormat="1" ht="5.25" customHeight="1" x14ac:dyDescent="0.35">
      <c r="B299" s="13"/>
      <c r="D299" s="169"/>
      <c r="E299" s="109"/>
      <c r="G299" s="302"/>
      <c r="I299" s="122"/>
      <c r="J299" s="226"/>
      <c r="K299" s="226"/>
      <c r="L299" s="226"/>
      <c r="M299" s="226"/>
      <c r="N299" s="226"/>
      <c r="O299" s="226"/>
      <c r="P299" s="226"/>
      <c r="Q299" s="226"/>
      <c r="R299" s="226"/>
      <c r="S299" s="226"/>
      <c r="T299" s="226"/>
      <c r="U299" s="226"/>
      <c r="V299" s="226"/>
      <c r="W299" s="226"/>
      <c r="X299" s="226"/>
      <c r="Y299" s="226"/>
      <c r="Z299" s="226"/>
      <c r="AA299" s="226"/>
      <c r="AB299" s="226"/>
      <c r="AC299" s="226"/>
      <c r="AD299" s="226"/>
      <c r="AE299" s="226"/>
      <c r="AF299" s="226"/>
      <c r="AG299" s="226"/>
      <c r="AH299" s="226"/>
      <c r="AI299" s="226"/>
      <c r="AJ299" s="226"/>
      <c r="AK299" s="226"/>
      <c r="AL299" s="226"/>
      <c r="AM299" s="226"/>
      <c r="AN299" s="226"/>
      <c r="AO299" s="226"/>
      <c r="AP299" s="226"/>
      <c r="AQ299" s="226"/>
      <c r="AR299" s="226"/>
      <c r="AS299" s="226"/>
      <c r="AT299" s="170"/>
      <c r="AU299" s="170"/>
      <c r="AV299" s="170"/>
      <c r="AW299" s="170"/>
      <c r="AX299" s="170"/>
      <c r="AY299" s="170"/>
      <c r="AZ299" s="170"/>
      <c r="BA299" s="170"/>
      <c r="BB299" s="170"/>
      <c r="BC299" s="170"/>
      <c r="BD299" s="170"/>
      <c r="BE299" s="170"/>
    </row>
    <row r="300" spans="2:57" s="10" customFormat="1" x14ac:dyDescent="0.35">
      <c r="B300" s="13"/>
      <c r="E300" s="169" t="s">
        <v>614</v>
      </c>
      <c r="F300" s="10" t="s">
        <v>615</v>
      </c>
      <c r="G300" s="43" t="s">
        <v>616</v>
      </c>
      <c r="I300" s="20"/>
      <c r="J300" s="200"/>
      <c r="K300" s="200"/>
      <c r="L300" s="200"/>
      <c r="M300" s="200"/>
      <c r="N300" s="200">
        <v>1.0065</v>
      </c>
      <c r="O300" s="226">
        <f>N300*(1+($AH300/$N300)^(1/($AH$6-$N$6))-1)</f>
        <v>0.99282610199072974</v>
      </c>
      <c r="P300" s="226">
        <f t="shared" ref="P300:AG315" si="70">O300*(1+($AH300/$N300)^(1/($AH$6-$N$6))-1)</f>
        <v>0.97933797197626127</v>
      </c>
      <c r="Q300" s="226">
        <f t="shared" si="70"/>
        <v>0.96603308618847294</v>
      </c>
      <c r="R300" s="226">
        <f t="shared" si="70"/>
        <v>0.9529089551461265</v>
      </c>
      <c r="S300" s="226">
        <f t="shared" si="70"/>
        <v>0.93996312318905906</v>
      </c>
      <c r="T300" s="226">
        <f t="shared" si="70"/>
        <v>0.92719316801870411</v>
      </c>
      <c r="U300" s="226">
        <f t="shared" si="70"/>
        <v>0.91459670024485418</v>
      </c>
      <c r="V300" s="226">
        <f t="shared" si="70"/>
        <v>0.90217136293858169</v>
      </c>
      <c r="W300" s="226">
        <f t="shared" si="70"/>
        <v>0.88991483119123294</v>
      </c>
      <c r="X300" s="226">
        <f t="shared" si="70"/>
        <v>0.87782481167941395</v>
      </c>
      <c r="Y300" s="226">
        <f t="shared" si="70"/>
        <v>0.86589904223588576</v>
      </c>
      <c r="Z300" s="226">
        <f t="shared" si="70"/>
        <v>0.85413529142628986</v>
      </c>
      <c r="AA300" s="226">
        <f t="shared" si="70"/>
        <v>0.84253135813162383</v>
      </c>
      <c r="AB300" s="226">
        <f t="shared" si="70"/>
        <v>0.83108507113638908</v>
      </c>
      <c r="AC300" s="226">
        <f t="shared" si="70"/>
        <v>0.8197942887223344</v>
      </c>
      <c r="AD300" s="226">
        <f t="shared" si="70"/>
        <v>0.80865689826771803</v>
      </c>
      <c r="AE300" s="226">
        <f t="shared" si="70"/>
        <v>0.79767081585201449</v>
      </c>
      <c r="AF300" s="226">
        <f t="shared" si="70"/>
        <v>0.78683398586599185</v>
      </c>
      <c r="AG300" s="226">
        <f t="shared" si="70"/>
        <v>0.77614438062708557</v>
      </c>
      <c r="AH300" s="227">
        <v>0.76559999999999995</v>
      </c>
      <c r="AI300" s="226">
        <f>AH300*(1+($AH300/$N300)^(1/($AH$6-$N$6))-1)</f>
        <v>0.75519887102245675</v>
      </c>
      <c r="AJ300" s="226">
        <f t="shared" ref="AJ300:BB315" si="71">AI300*(1+($AH300/$N300)^(1/($AH$6-$N$6))-1)</f>
        <v>0.74493904753604134</v>
      </c>
      <c r="AK300" s="226">
        <f t="shared" si="71"/>
        <v>0.7348186098220516</v>
      </c>
      <c r="AL300" s="226">
        <f t="shared" si="71"/>
        <v>0.7248356642422995</v>
      </c>
      <c r="AM300" s="226">
        <f t="shared" si="71"/>
        <v>0.71498834288479252</v>
      </c>
      <c r="AN300" s="226">
        <f t="shared" si="71"/>
        <v>0.70527480321422742</v>
      </c>
      <c r="AO300" s="226">
        <f t="shared" si="71"/>
        <v>0.69569322772723341</v>
      </c>
      <c r="AP300" s="226">
        <f t="shared" si="71"/>
        <v>0.68624182361229835</v>
      </c>
      <c r="AQ300" s="226">
        <f t="shared" si="71"/>
        <v>0.67691882241431511</v>
      </c>
      <c r="AR300" s="226">
        <f t="shared" si="71"/>
        <v>0.66772247970368559</v>
      </c>
      <c r="AS300" s="226">
        <f t="shared" si="71"/>
        <v>0.65865107474991991</v>
      </c>
      <c r="AT300" s="226">
        <f t="shared" si="71"/>
        <v>0.64970291019966986</v>
      </c>
      <c r="AU300" s="226">
        <f t="shared" si="71"/>
        <v>0.64087631175913695</v>
      </c>
      <c r="AV300" s="226">
        <f t="shared" si="71"/>
        <v>0.63216962788079445</v>
      </c>
      <c r="AW300" s="226">
        <f t="shared" si="71"/>
        <v>0.62358122945436589</v>
      </c>
      <c r="AX300" s="226">
        <f t="shared" si="71"/>
        <v>0.61510950950200194</v>
      </c>
      <c r="AY300" s="226">
        <f t="shared" si="71"/>
        <v>0.60675288287759799</v>
      </c>
      <c r="AZ300" s="226">
        <f t="shared" si="71"/>
        <v>0.59850978597019711</v>
      </c>
      <c r="BA300" s="226">
        <f t="shared" si="71"/>
        <v>0.5903786764114225</v>
      </c>
      <c r="BB300" s="226">
        <f t="shared" si="71"/>
        <v>0.58235803278688425</v>
      </c>
      <c r="BC300" s="226">
        <f>BB300*(1+($AH300/$N300)^(1/($AH$6-$N$6))-1)</f>
        <v>0.57444635435150715</v>
      </c>
      <c r="BD300" s="226">
        <f>BC300*(1+($AH300/$N300)^(1/($AH$6-$N$6))-1)</f>
        <v>0.56664216074872564</v>
      </c>
      <c r="BE300" s="226">
        <f>BD300*(1+($AH300/$N300)^(1/($AH$6-$N$6))-1)</f>
        <v>0.55894399173349407</v>
      </c>
    </row>
    <row r="301" spans="2:57" s="10" customFormat="1" x14ac:dyDescent="0.35">
      <c r="B301" s="13"/>
      <c r="D301" s="169"/>
      <c r="E301" s="10" t="s">
        <v>617</v>
      </c>
      <c r="F301" s="10" t="s">
        <v>615</v>
      </c>
      <c r="G301" s="43" t="s">
        <v>616</v>
      </c>
      <c r="I301" s="20"/>
      <c r="J301" s="200"/>
      <c r="K301" s="200"/>
      <c r="L301" s="200"/>
      <c r="M301" s="200"/>
      <c r="N301" s="200">
        <v>2.1959</v>
      </c>
      <c r="O301" s="226">
        <f t="shared" ref="O301:AD316" si="72">N301*(1+($AH301/$N301)^(1/($AH$6-$N$6))-1)</f>
        <v>2.0234333014503241</v>
      </c>
      <c r="P301" s="226">
        <f t="shared" si="72"/>
        <v>1.8645121933686224</v>
      </c>
      <c r="Q301" s="226">
        <f t="shared" si="72"/>
        <v>1.7180728006841188</v>
      </c>
      <c r="R301" s="226">
        <f t="shared" si="72"/>
        <v>1.5831348054193137</v>
      </c>
      <c r="S301" s="226">
        <f t="shared" si="72"/>
        <v>1.4587948840887646</v>
      </c>
      <c r="T301" s="226">
        <f t="shared" si="72"/>
        <v>1.344220660526696</v>
      </c>
      <c r="U301" s="226">
        <f t="shared" si="72"/>
        <v>1.2386451336614908</v>
      </c>
      <c r="V301" s="226">
        <f t="shared" si="72"/>
        <v>1.1413615429345818</v>
      </c>
      <c r="W301" s="226">
        <f t="shared" si="72"/>
        <v>1.051718636991009</v>
      </c>
      <c r="X301" s="226">
        <f t="shared" si="72"/>
        <v>0.96911631396855602</v>
      </c>
      <c r="Y301" s="226">
        <f t="shared" si="72"/>
        <v>0.89300160419999275</v>
      </c>
      <c r="Z301" s="226">
        <f t="shared" si="72"/>
        <v>0.82286496843518686</v>
      </c>
      <c r="AA301" s="226">
        <f t="shared" si="72"/>
        <v>0.75823688680205237</v>
      </c>
      <c r="AB301" s="226">
        <f t="shared" si="72"/>
        <v>0.69868471567161183</v>
      </c>
      <c r="AC301" s="226">
        <f t="shared" si="72"/>
        <v>0.64380979138589667</v>
      </c>
      <c r="AD301" s="226">
        <f t="shared" si="72"/>
        <v>0.59324476145999783</v>
      </c>
      <c r="AE301" s="226">
        <f t="shared" si="70"/>
        <v>0.5466511253923737</v>
      </c>
      <c r="AF301" s="226">
        <f t="shared" si="70"/>
        <v>0.50371696862071391</v>
      </c>
      <c r="AG301" s="226">
        <f t="shared" si="70"/>
        <v>0.46415487445364562</v>
      </c>
      <c r="AH301" s="227">
        <v>0.42770000000000002</v>
      </c>
      <c r="AI301" s="226">
        <f t="shared" ref="AI301:AX316" si="73">AH301*(1+($AH301/$N301)^(1/($AH$6-$N$6))-1)</f>
        <v>0.39410830321522095</v>
      </c>
      <c r="AJ301" s="226">
        <f t="shared" si="73"/>
        <v>0.36315490919611998</v>
      </c>
      <c r="AK301" s="226">
        <f t="shared" si="73"/>
        <v>0.33463260478737544</v>
      </c>
      <c r="AL301" s="226">
        <f t="shared" si="73"/>
        <v>0.30835045142212331</v>
      </c>
      <c r="AM301" s="226">
        <f t="shared" si="73"/>
        <v>0.28413250691049896</v>
      </c>
      <c r="AN301" s="226">
        <f t="shared" si="73"/>
        <v>0.26181664761932144</v>
      </c>
      <c r="AO301" s="226">
        <f t="shared" si="73"/>
        <v>0.24125348315816736</v>
      </c>
      <c r="AP301" s="226">
        <f t="shared" si="73"/>
        <v>0.22230535630635306</v>
      </c>
      <c r="AQ301" s="226">
        <f t="shared" si="73"/>
        <v>0.20484542148597595</v>
      </c>
      <c r="AR301" s="226">
        <f t="shared" si="73"/>
        <v>0.18875679561198208</v>
      </c>
      <c r="AS301" s="226">
        <f t="shared" si="73"/>
        <v>0.17393177563474518</v>
      </c>
      <c r="AT301" s="226">
        <f t="shared" si="73"/>
        <v>0.16027111753710527</v>
      </c>
      <c r="AU301" s="226">
        <f t="shared" si="73"/>
        <v>0.14768337195921391</v>
      </c>
      <c r="AV301" s="226">
        <f t="shared" si="73"/>
        <v>0.13608427200361967</v>
      </c>
      <c r="AW301" s="226">
        <f t="shared" si="73"/>
        <v>0.12539616912234075</v>
      </c>
      <c r="AX301" s="226">
        <f t="shared" si="73"/>
        <v>0.11554751330955013</v>
      </c>
      <c r="AY301" s="226">
        <f t="shared" si="71"/>
        <v>0.10647237412009575</v>
      </c>
      <c r="AZ301" s="226">
        <f t="shared" si="71"/>
        <v>9.8109999307381651E-2</v>
      </c>
      <c r="BA301" s="226">
        <f t="shared" si="71"/>
        <v>9.0404408125973071E-2</v>
      </c>
      <c r="BB301" s="226">
        <f t="shared" si="71"/>
        <v>8.3304016576346909E-2</v>
      </c>
      <c r="BC301" s="226">
        <f t="shared" ref="BB301:BE316" si="74">BB301*(1+($AH301/$N301)^(1/($AH$6-$N$6))-1)</f>
        <v>7.6761292083041194E-2</v>
      </c>
      <c r="BD301" s="226">
        <f t="shared" si="74"/>
        <v>7.0732435294494592E-2</v>
      </c>
      <c r="BE301" s="226">
        <f t="shared" si="74"/>
        <v>6.5177086874429899E-2</v>
      </c>
    </row>
    <row r="302" spans="2:57" s="10" customFormat="1" x14ac:dyDescent="0.35">
      <c r="B302" s="13"/>
      <c r="D302" s="169"/>
      <c r="E302" s="10" t="s">
        <v>618</v>
      </c>
      <c r="F302" s="10" t="s">
        <v>615</v>
      </c>
      <c r="G302" s="43" t="s">
        <v>616</v>
      </c>
      <c r="I302" s="20"/>
      <c r="J302" s="200"/>
      <c r="K302" s="200"/>
      <c r="L302" s="200"/>
      <c r="M302" s="200"/>
      <c r="N302" s="200">
        <v>2.2233000000000001</v>
      </c>
      <c r="O302" s="226">
        <f t="shared" si="72"/>
        <v>2.0637925528498995</v>
      </c>
      <c r="P302" s="226">
        <f t="shared" si="72"/>
        <v>1.9157287371019229</v>
      </c>
      <c r="Q302" s="226">
        <f t="shared" si="72"/>
        <v>1.7782875459503853</v>
      </c>
      <c r="R302" s="226">
        <f t="shared" si="72"/>
        <v>1.6507068745370075</v>
      </c>
      <c r="S302" s="226">
        <f t="shared" si="72"/>
        <v>1.5322792941157781</v>
      </c>
      <c r="T302" s="226">
        <f t="shared" si="72"/>
        <v>1.4223481293942535</v>
      </c>
      <c r="U302" s="226">
        <f t="shared" si="72"/>
        <v>1.3203038173003399</v>
      </c>
      <c r="V302" s="226">
        <f t="shared" si="72"/>
        <v>1.2255805269840938</v>
      </c>
      <c r="W302" s="226">
        <f t="shared" si="72"/>
        <v>1.1376530223126111</v>
      </c>
      <c r="X302" s="226">
        <f t="shared" si="72"/>
        <v>1.056033749460688</v>
      </c>
      <c r="Y302" s="226">
        <f t="shared" si="72"/>
        <v>0.98027013344808367</v>
      </c>
      <c r="Z302" s="226">
        <f t="shared" si="72"/>
        <v>0.90994206863281268</v>
      </c>
      <c r="AA302" s="226">
        <f t="shared" si="72"/>
        <v>0.84465958924536999</v>
      </c>
      <c r="AB302" s="226">
        <f t="shared" si="72"/>
        <v>0.7840607070471145</v>
      </c>
      <c r="AC302" s="226">
        <f t="shared" si="72"/>
        <v>0.72780940412272821</v>
      </c>
      <c r="AD302" s="226">
        <f t="shared" si="72"/>
        <v>0.67559376967688101</v>
      </c>
      <c r="AE302" s="226">
        <f t="shared" si="70"/>
        <v>0.62712427050372754</v>
      </c>
      <c r="AF302" s="226">
        <f t="shared" si="70"/>
        <v>0.582132145539072</v>
      </c>
      <c r="AG302" s="226">
        <f t="shared" si="70"/>
        <v>0.54036791559306918</v>
      </c>
      <c r="AH302" s="227">
        <v>0.50160000000000005</v>
      </c>
      <c r="AI302" s="226">
        <f t="shared" si="73"/>
        <v>0.46561343251450982</v>
      </c>
      <c r="AJ302" s="226">
        <f t="shared" si="73"/>
        <v>0.43220866933401908</v>
      </c>
      <c r="AK302" s="226">
        <f t="shared" si="73"/>
        <v>0.40120048263784164</v>
      </c>
      <c r="AL302" s="226">
        <f t="shared" si="73"/>
        <v>0.37241693350774208</v>
      </c>
      <c r="AM302" s="226">
        <f t="shared" si="73"/>
        <v>0.34569841853482408</v>
      </c>
      <c r="AN302" s="226">
        <f t="shared" si="73"/>
        <v>0.32089678482623019</v>
      </c>
      <c r="AO302" s="226">
        <f t="shared" si="73"/>
        <v>0.29787450850440811</v>
      </c>
      <c r="AP302" s="226">
        <f t="shared" si="73"/>
        <v>0.27650393214375996</v>
      </c>
      <c r="AQ302" s="226">
        <f t="shared" si="73"/>
        <v>0.25666655691629819</v>
      </c>
      <c r="AR302" s="226">
        <f t="shared" si="73"/>
        <v>0.23825238552128866</v>
      </c>
      <c r="AS302" s="226">
        <f t="shared" si="73"/>
        <v>0.22115931225545757</v>
      </c>
      <c r="AT302" s="226">
        <f t="shared" si="73"/>
        <v>0.20529255684173026</v>
      </c>
      <c r="AU302" s="226">
        <f t="shared" si="73"/>
        <v>0.19056413887710952</v>
      </c>
      <c r="AV302" s="226">
        <f t="shared" si="73"/>
        <v>0.17689238998553172</v>
      </c>
      <c r="AW302" s="226">
        <f t="shared" si="73"/>
        <v>0.16420150097061148</v>
      </c>
      <c r="AX302" s="226">
        <f t="shared" si="73"/>
        <v>0.15242110145725882</v>
      </c>
      <c r="AY302" s="226">
        <f t="shared" si="71"/>
        <v>0.14148586969130109</v>
      </c>
      <c r="AZ302" s="226">
        <f t="shared" si="71"/>
        <v>0.13133517033346759</v>
      </c>
      <c r="BA302" s="226">
        <f t="shared" si="71"/>
        <v>0.1219127182393215</v>
      </c>
      <c r="BB302" s="226">
        <f t="shared" si="74"/>
        <v>0.11316626636081492</v>
      </c>
      <c r="BC302" s="226">
        <f t="shared" si="74"/>
        <v>0.10504731603889621</v>
      </c>
      <c r="BD302" s="226">
        <f t="shared" si="74"/>
        <v>9.7510848080755552E-2</v>
      </c>
      <c r="BE302" s="226">
        <f t="shared" si="74"/>
        <v>9.0515073130545243E-2</v>
      </c>
    </row>
    <row r="303" spans="2:57" s="10" customFormat="1" x14ac:dyDescent="0.35">
      <c r="B303" s="13"/>
      <c r="D303" s="169"/>
      <c r="E303" s="10" t="s">
        <v>619</v>
      </c>
      <c r="F303" s="10" t="s">
        <v>615</v>
      </c>
      <c r="G303" s="43" t="s">
        <v>616</v>
      </c>
      <c r="I303" s="20"/>
      <c r="J303" s="200"/>
      <c r="K303" s="200"/>
      <c r="L303" s="200"/>
      <c r="M303" s="200"/>
      <c r="N303" s="200">
        <v>2.2511000000000001</v>
      </c>
      <c r="O303" s="226">
        <f t="shared" si="72"/>
        <v>2.1049961196015823</v>
      </c>
      <c r="P303" s="226">
        <f t="shared" si="72"/>
        <v>1.9683748671928027</v>
      </c>
      <c r="Q303" s="226">
        <f t="shared" si="72"/>
        <v>1.840620788664266</v>
      </c>
      <c r="R303" s="226">
        <f t="shared" si="72"/>
        <v>1.7211583749261623</v>
      </c>
      <c r="S303" s="226">
        <f t="shared" si="72"/>
        <v>1.6094494693435817</v>
      </c>
      <c r="T303" s="226">
        <f t="shared" si="72"/>
        <v>1.5049908434379036</v>
      </c>
      <c r="U303" s="226">
        <f t="shared" si="72"/>
        <v>1.4073119299332322</v>
      </c>
      <c r="V303" s="226">
        <f t="shared" si="72"/>
        <v>1.3159727029356614</v>
      </c>
      <c r="W303" s="226">
        <f t="shared" si="72"/>
        <v>1.2305616956959586</v>
      </c>
      <c r="X303" s="226">
        <f t="shared" si="72"/>
        <v>1.1506941470260477</v>
      </c>
      <c r="Y303" s="226">
        <f t="shared" si="72"/>
        <v>1.0760102680192274</v>
      </c>
      <c r="Z303" s="226">
        <f t="shared" si="72"/>
        <v>1.0061736212660175</v>
      </c>
      <c r="AA303" s="226">
        <f t="shared" si="72"/>
        <v>0.94086960526428798</v>
      </c>
      <c r="AB303" s="226">
        <f t="shared" si="72"/>
        <v>0.87980403719621447</v>
      </c>
      <c r="AC303" s="226">
        <f t="shared" si="72"/>
        <v>0.82270182768772482</v>
      </c>
      <c r="AD303" s="226">
        <f t="shared" si="72"/>
        <v>0.76930574158046738</v>
      </c>
      <c r="AE303" s="226">
        <f t="shared" si="70"/>
        <v>0.71937523913380186</v>
      </c>
      <c r="AF303" s="226">
        <f t="shared" si="70"/>
        <v>0.67268539243663683</v>
      </c>
      <c r="AG303" s="226">
        <f t="shared" si="70"/>
        <v>0.62902587214774464</v>
      </c>
      <c r="AH303" s="227">
        <v>0.58819999999999995</v>
      </c>
      <c r="AI303" s="226">
        <f t="shared" si="73"/>
        <v>0.55002386280025339</v>
      </c>
      <c r="AJ303" s="226">
        <f t="shared" si="73"/>
        <v>0.51432548393354638</v>
      </c>
      <c r="AK303" s="226">
        <f t="shared" si="73"/>
        <v>0.48094404863947449</v>
      </c>
      <c r="AL303" s="226">
        <f t="shared" si="73"/>
        <v>0.4497291795706847</v>
      </c>
      <c r="AM303" s="226">
        <f t="shared" si="73"/>
        <v>0.4205402593700388</v>
      </c>
      <c r="AN303" s="226">
        <f t="shared" si="73"/>
        <v>0.3932457972147726</v>
      </c>
      <c r="AO303" s="226">
        <f t="shared" si="73"/>
        <v>0.36772283647404691</v>
      </c>
      <c r="AP303" s="226">
        <f t="shared" si="73"/>
        <v>0.34385640081149477</v>
      </c>
      <c r="AQ303" s="226">
        <f t="shared" si="73"/>
        <v>0.32153897623755623</v>
      </c>
      <c r="AR303" s="226">
        <f t="shared" si="73"/>
        <v>0.30067002677833998</v>
      </c>
      <c r="AS303" s="226">
        <f t="shared" si="73"/>
        <v>0.28115554157918771</v>
      </c>
      <c r="AT303" s="226">
        <f t="shared" si="73"/>
        <v>0.26290761140272373</v>
      </c>
      <c r="AU303" s="226">
        <f t="shared" si="73"/>
        <v>0.24584403261359072</v>
      </c>
      <c r="AV303" s="226">
        <f t="shared" si="73"/>
        <v>0.22988793686589368</v>
      </c>
      <c r="AW303" s="226">
        <f t="shared" si="73"/>
        <v>0.21496744482516089</v>
      </c>
      <c r="AX303" s="226">
        <f t="shared" si="73"/>
        <v>0.20101534236490198</v>
      </c>
      <c r="AY303" s="226">
        <f t="shared" si="71"/>
        <v>0.18796877777908674</v>
      </c>
      <c r="AZ303" s="226">
        <f t="shared" si="71"/>
        <v>0.17576897864654156</v>
      </c>
      <c r="BA303" s="226">
        <f t="shared" si="71"/>
        <v>0.16436098707178862</v>
      </c>
      <c r="BB303" s="226">
        <f t="shared" si="74"/>
        <v>0.15369341210963566</v>
      </c>
      <c r="BC303" s="226">
        <f t="shared" si="74"/>
        <v>0.1437181982582337</v>
      </c>
      <c r="BD303" s="226">
        <f t="shared" si="74"/>
        <v>0.13439040897770549</v>
      </c>
      <c r="BE303" s="226">
        <f t="shared" si="74"/>
        <v>0.1256680242591354</v>
      </c>
    </row>
    <row r="304" spans="2:57" s="10" customFormat="1" x14ac:dyDescent="0.35">
      <c r="E304" s="10" t="s">
        <v>620</v>
      </c>
      <c r="F304" s="10" t="s">
        <v>615</v>
      </c>
      <c r="G304" s="43" t="s">
        <v>616</v>
      </c>
      <c r="I304" s="20"/>
      <c r="J304" s="200"/>
      <c r="K304" s="200"/>
      <c r="L304" s="200"/>
      <c r="M304" s="200"/>
      <c r="N304" s="200">
        <v>2.2791999999999999</v>
      </c>
      <c r="O304" s="226">
        <f t="shared" si="72"/>
        <v>2.1469717288499615</v>
      </c>
      <c r="P304" s="226">
        <f t="shared" si="72"/>
        <v>2.0224147088807443</v>
      </c>
      <c r="Q304" s="226">
        <f t="shared" si="72"/>
        <v>1.9050838908289236</v>
      </c>
      <c r="R304" s="226">
        <f t="shared" si="72"/>
        <v>1.7945600450584351</v>
      </c>
      <c r="S304" s="226">
        <f t="shared" si="72"/>
        <v>1.6904482636294196</v>
      </c>
      <c r="T304" s="226">
        <f t="shared" si="72"/>
        <v>1.5923765492698623</v>
      </c>
      <c r="U304" s="226">
        <f t="shared" si="72"/>
        <v>1.4999944862083414</v>
      </c>
      <c r="V304" s="226">
        <f t="shared" si="72"/>
        <v>1.4129719881186962</v>
      </c>
      <c r="W304" s="226">
        <f t="shared" si="72"/>
        <v>1.3309981187029503</v>
      </c>
      <c r="X304" s="226">
        <f t="shared" si="72"/>
        <v>1.2537799806983676</v>
      </c>
      <c r="Y304" s="226">
        <f t="shared" si="72"/>
        <v>1.1810416693389985</v>
      </c>
      <c r="Z304" s="226">
        <f t="shared" si="72"/>
        <v>1.1125232865323771</v>
      </c>
      <c r="AA304" s="226">
        <f t="shared" si="72"/>
        <v>1.0479800122289658</v>
      </c>
      <c r="AB304" s="226">
        <f t="shared" si="72"/>
        <v>0.98718122966629795</v>
      </c>
      <c r="AC304" s="226">
        <f t="shared" si="72"/>
        <v>0.92990970136226858</v>
      </c>
      <c r="AD304" s="226">
        <f t="shared" si="72"/>
        <v>0.87596079291334727</v>
      </c>
      <c r="AE304" s="226">
        <f t="shared" si="70"/>
        <v>0.82514174182430333</v>
      </c>
      <c r="AF304" s="226">
        <f t="shared" si="70"/>
        <v>0.77727096875692914</v>
      </c>
      <c r="AG304" s="226">
        <f t="shared" si="70"/>
        <v>0.73217742873681491</v>
      </c>
      <c r="AH304" s="227">
        <v>0.68969999999999998</v>
      </c>
      <c r="AI304" s="226">
        <f t="shared" si="73"/>
        <v>0.64968690829581355</v>
      </c>
      <c r="AJ304" s="226">
        <f t="shared" si="73"/>
        <v>0.61199518458891244</v>
      </c>
      <c r="AK304" s="226">
        <f t="shared" si="73"/>
        <v>0.57649015422284511</v>
      </c>
      <c r="AL304" s="226">
        <f t="shared" si="73"/>
        <v>0.54304495571990286</v>
      </c>
      <c r="AM304" s="226">
        <f t="shared" si="73"/>
        <v>0.51154008749789859</v>
      </c>
      <c r="AN304" s="226">
        <f t="shared" si="73"/>
        <v>0.4818629808842681</v>
      </c>
      <c r="AO304" s="226">
        <f t="shared" si="73"/>
        <v>0.45390759790184843</v>
      </c>
      <c r="AP304" s="226">
        <f t="shared" si="73"/>
        <v>0.42757405238919999</v>
      </c>
      <c r="AQ304" s="226">
        <f t="shared" si="73"/>
        <v>0.40276825310171316</v>
      </c>
      <c r="AR304" s="226">
        <f t="shared" si="73"/>
        <v>0.37940156751828008</v>
      </c>
      <c r="AS304" s="226">
        <f t="shared" si="73"/>
        <v>0.35739050515229343</v>
      </c>
      <c r="AT304" s="226">
        <f t="shared" si="73"/>
        <v>0.33665641923542489</v>
      </c>
      <c r="AU304" s="226">
        <f t="shared" si="73"/>
        <v>0.31712522570828255</v>
      </c>
      <c r="AV304" s="226">
        <f t="shared" si="73"/>
        <v>0.29872713851388455</v>
      </c>
      <c r="AW304" s="226">
        <f t="shared" si="73"/>
        <v>0.28139642024813821</v>
      </c>
      <c r="AX304" s="226">
        <f t="shared" si="73"/>
        <v>0.26507114727638453</v>
      </c>
      <c r="AY304" s="226">
        <f t="shared" si="71"/>
        <v>0.24969298847675589</v>
      </c>
      <c r="AZ304" s="226">
        <f t="shared" si="71"/>
        <v>0.23520699681978505</v>
      </c>
      <c r="BA304" s="226">
        <f t="shared" si="71"/>
        <v>0.22156141303956708</v>
      </c>
      <c r="BB304" s="226">
        <f t="shared" si="74"/>
        <v>0.20870748069498057</v>
      </c>
      <c r="BC304" s="226">
        <f t="shared" si="74"/>
        <v>0.19659927196017127</v>
      </c>
      <c r="BD304" s="226">
        <f t="shared" si="74"/>
        <v>0.18519352352183777</v>
      </c>
      <c r="BE304" s="226">
        <f t="shared" si="74"/>
        <v>0.17444948199697088</v>
      </c>
    </row>
    <row r="305" spans="5:57" s="10" customFormat="1" x14ac:dyDescent="0.35">
      <c r="E305" s="10" t="s">
        <v>621</v>
      </c>
      <c r="F305" s="10" t="s">
        <v>615</v>
      </c>
      <c r="G305" s="43" t="s">
        <v>616</v>
      </c>
      <c r="I305" s="20"/>
      <c r="J305" s="200"/>
      <c r="K305" s="200"/>
      <c r="L305" s="200"/>
      <c r="M305" s="200"/>
      <c r="N305" s="200">
        <v>2.3075999999999999</v>
      </c>
      <c r="O305" s="226">
        <f t="shared" si="72"/>
        <v>2.1897501305216123</v>
      </c>
      <c r="P305" s="226">
        <f t="shared" si="72"/>
        <v>2.0779188915407429</v>
      </c>
      <c r="Q305" s="226">
        <f t="shared" si="72"/>
        <v>1.9717989096744089</v>
      </c>
      <c r="R305" s="226">
        <f t="shared" si="72"/>
        <v>1.8710985091965286</v>
      </c>
      <c r="S305" s="226">
        <f t="shared" si="72"/>
        <v>1.7755409103535678</v>
      </c>
      <c r="T305" s="226">
        <f t="shared" si="72"/>
        <v>1.6848634686224595</v>
      </c>
      <c r="U305" s="226">
        <f t="shared" si="72"/>
        <v>1.5988169528198679</v>
      </c>
      <c r="V305" s="226">
        <f t="shared" si="72"/>
        <v>1.5171648600786412</v>
      </c>
      <c r="W305" s="226">
        <f t="shared" si="72"/>
        <v>1.439682765808636</v>
      </c>
      <c r="X305" s="226">
        <f t="shared" si="72"/>
        <v>1.3661577068552506</v>
      </c>
      <c r="Y305" s="226">
        <f t="shared" si="72"/>
        <v>1.2963875961602496</v>
      </c>
      <c r="Z305" s="226">
        <f t="shared" si="72"/>
        <v>1.2301806673160451</v>
      </c>
      <c r="AA305" s="226">
        <f t="shared" si="72"/>
        <v>1.1673549474867715</v>
      </c>
      <c r="AB305" s="226">
        <f t="shared" si="72"/>
        <v>1.1077377572474465</v>
      </c>
      <c r="AC305" s="226">
        <f t="shared" si="72"/>
        <v>1.051165235966508</v>
      </c>
      <c r="AD305" s="226">
        <f t="shared" si="72"/>
        <v>0.99748189142721544</v>
      </c>
      <c r="AE305" s="226">
        <f t="shared" si="70"/>
        <v>0.94654017245003019</v>
      </c>
      <c r="AF305" s="226">
        <f t="shared" si="70"/>
        <v>0.89820006334130831</v>
      </c>
      <c r="AG305" s="226">
        <f t="shared" si="70"/>
        <v>0.85232869905362729</v>
      </c>
      <c r="AH305" s="227">
        <v>0.80879999999999996</v>
      </c>
      <c r="AI305" s="226">
        <f t="shared" si="73"/>
        <v>0.76749432551823538</v>
      </c>
      <c r="AJ305" s="226">
        <f t="shared" si="73"/>
        <v>0.72829814503300083</v>
      </c>
      <c r="AK305" s="226">
        <f t="shared" si="73"/>
        <v>0.6911037260117272</v>
      </c>
      <c r="AL305" s="226">
        <f t="shared" si="73"/>
        <v>0.65580883785671362</v>
      </c>
      <c r="AM305" s="226">
        <f t="shared" si="73"/>
        <v>0.62231647091955522</v>
      </c>
      <c r="AN305" s="226">
        <f t="shared" si="73"/>
        <v>0.59053456986559416</v>
      </c>
      <c r="AO305" s="226">
        <f t="shared" si="73"/>
        <v>0.56037578065553351</v>
      </c>
      <c r="AP305" s="226">
        <f t="shared" si="73"/>
        <v>0.5317572104487801</v>
      </c>
      <c r="AQ305" s="226">
        <f t="shared" si="73"/>
        <v>0.50460019976860149</v>
      </c>
      <c r="AR305" s="226">
        <f t="shared" si="73"/>
        <v>0.47883010630288037</v>
      </c>
      <c r="AS305" s="226">
        <f t="shared" si="73"/>
        <v>0.45437609974623411</v>
      </c>
      <c r="AT305" s="226">
        <f t="shared" si="73"/>
        <v>0.43117096711961228</v>
      </c>
      <c r="AU305" s="226">
        <f t="shared" si="73"/>
        <v>0.40915092803228498</v>
      </c>
      <c r="AV305" s="226">
        <f t="shared" si="73"/>
        <v>0.38825545937846023</v>
      </c>
      <c r="AW305" s="226">
        <f t="shared" si="73"/>
        <v>0.36842712898670127</v>
      </c>
      <c r="AX305" s="226">
        <f t="shared" si="73"/>
        <v>0.34961143776492115</v>
      </c>
      <c r="AY305" s="226">
        <f t="shared" si="71"/>
        <v>0.33175666990708297</v>
      </c>
      <c r="AZ305" s="226">
        <f t="shared" si="71"/>
        <v>0.31481375074989182</v>
      </c>
      <c r="BA305" s="226">
        <f t="shared" si="71"/>
        <v>0.2987361118887909</v>
      </c>
      <c r="BB305" s="226">
        <f t="shared" si="74"/>
        <v>0.28347956318252682</v>
      </c>
      <c r="BC305" s="226">
        <f t="shared" si="74"/>
        <v>0.26900217129448245</v>
      </c>
      <c r="BD305" s="226">
        <f t="shared" si="74"/>
        <v>0.25526414443694317</v>
      </c>
      <c r="BE305" s="226">
        <f t="shared" si="74"/>
        <v>0.2422277230015098</v>
      </c>
    </row>
    <row r="306" spans="5:57" s="10" customFormat="1" x14ac:dyDescent="0.35">
      <c r="E306" s="10" t="s">
        <v>622</v>
      </c>
      <c r="F306" s="10" t="s">
        <v>615</v>
      </c>
      <c r="G306" s="43" t="s">
        <v>616</v>
      </c>
      <c r="I306" s="20"/>
      <c r="J306" s="200"/>
      <c r="K306" s="200"/>
      <c r="L306" s="200"/>
      <c r="M306" s="200"/>
      <c r="N306" s="200">
        <v>2.3365</v>
      </c>
      <c r="O306" s="226">
        <f t="shared" si="72"/>
        <v>2.2335057422260962</v>
      </c>
      <c r="P306" s="226">
        <f t="shared" si="72"/>
        <v>2.1350515303047057</v>
      </c>
      <c r="Q306" s="226">
        <f t="shared" si="72"/>
        <v>2.0409372364152252</v>
      </c>
      <c r="R306" s="226">
        <f t="shared" si="72"/>
        <v>1.9509715544859683</v>
      </c>
      <c r="S306" s="226">
        <f t="shared" si="72"/>
        <v>1.864971611326421</v>
      </c>
      <c r="T306" s="226">
        <f t="shared" si="72"/>
        <v>1.7827625949010126</v>
      </c>
      <c r="U306" s="226">
        <f t="shared" si="72"/>
        <v>1.7041773989887896</v>
      </c>
      <c r="V306" s="226">
        <f t="shared" si="72"/>
        <v>1.6290562835066955</v>
      </c>
      <c r="W306" s="226">
        <f t="shared" si="72"/>
        <v>1.5572465498059951</v>
      </c>
      <c r="X306" s="226">
        <f t="shared" si="72"/>
        <v>1.4886022302818174</v>
      </c>
      <c r="Y306" s="226">
        <f t="shared" si="72"/>
        <v>1.4229837916648886</v>
      </c>
      <c r="Z306" s="226">
        <f t="shared" si="72"/>
        <v>1.3602578513923353</v>
      </c>
      <c r="AA306" s="226">
        <f t="shared" si="72"/>
        <v>1.3002969064810239</v>
      </c>
      <c r="AB306" s="226">
        <f t="shared" si="72"/>
        <v>1.2429790743523201</v>
      </c>
      <c r="AC306" s="226">
        <f t="shared" si="72"/>
        <v>1.18818784508144</v>
      </c>
      <c r="AD306" s="226">
        <f t="shared" si="72"/>
        <v>1.1358118445677925</v>
      </c>
      <c r="AE306" s="226">
        <f t="shared" si="70"/>
        <v>1.0857446081449085</v>
      </c>
      <c r="AF306" s="226">
        <f t="shared" si="70"/>
        <v>1.0378843641697735</v>
      </c>
      <c r="AG306" s="226">
        <f t="shared" si="70"/>
        <v>0.99213382715166687</v>
      </c>
      <c r="AH306" s="227">
        <v>0.94840000000000002</v>
      </c>
      <c r="AI306" s="226">
        <f t="shared" si="73"/>
        <v>0.90659398498918442</v>
      </c>
      <c r="AJ306" s="226">
        <f t="shared" si="73"/>
        <v>0.86663080305627327</v>
      </c>
      <c r="AK306" s="226">
        <f t="shared" si="73"/>
        <v>0.82842922106406991</v>
      </c>
      <c r="AL306" s="226">
        <f t="shared" si="73"/>
        <v>0.79191158667857564</v>
      </c>
      <c r="AM306" s="226">
        <f t="shared" si="73"/>
        <v>0.75700367052513484</v>
      </c>
      <c r="AN306" s="226">
        <f t="shared" si="73"/>
        <v>0.72363451530242684</v>
      </c>
      <c r="AO306" s="226">
        <f t="shared" si="73"/>
        <v>0.6917362915476003</v>
      </c>
      <c r="AP306" s="226">
        <f t="shared" si="73"/>
        <v>0.66124415975936235</v>
      </c>
      <c r="AQ306" s="226">
        <f t="shared" si="73"/>
        <v>0.63209613859876135</v>
      </c>
      <c r="AR306" s="226">
        <f t="shared" si="73"/>
        <v>0.60423297889975425</v>
      </c>
      <c r="AS306" s="226">
        <f t="shared" si="73"/>
        <v>0.57759804323346053</v>
      </c>
      <c r="AT306" s="226">
        <f t="shared" si="73"/>
        <v>0.55213719078129297</v>
      </c>
      <c r="AU306" s="226">
        <f t="shared" si="73"/>
        <v>0.527798667282946</v>
      </c>
      <c r="AV306" s="226">
        <f t="shared" si="73"/>
        <v>0.50453299983554056</v>
      </c>
      <c r="AW306" s="226">
        <f t="shared" si="73"/>
        <v>0.48229289633008249</v>
      </c>
      <c r="AX306" s="226">
        <f t="shared" si="73"/>
        <v>0.46103314932081935</v>
      </c>
      <c r="AY306" s="226">
        <f t="shared" si="71"/>
        <v>0.44071054413209121</v>
      </c>
      <c r="AZ306" s="226">
        <f t="shared" si="71"/>
        <v>0.42128377101588405</v>
      </c>
      <c r="BA306" s="226">
        <f t="shared" si="71"/>
        <v>0.40271334118152824</v>
      </c>
      <c r="BB306" s="226">
        <f t="shared" si="74"/>
        <v>0.38496150652685651</v>
      </c>
      <c r="BC306" s="226">
        <f t="shared" si="74"/>
        <v>0.36799218290765795</v>
      </c>
      <c r="BD306" s="226">
        <f t="shared" si="74"/>
        <v>0.35177087678945851</v>
      </c>
      <c r="BE306" s="226">
        <f t="shared" si="74"/>
        <v>0.33626461513253331</v>
      </c>
    </row>
    <row r="307" spans="5:57" s="10" customFormat="1" x14ac:dyDescent="0.35">
      <c r="E307" s="109" t="s">
        <v>623</v>
      </c>
      <c r="F307" s="10" t="s">
        <v>615</v>
      </c>
      <c r="G307" s="43" t="s">
        <v>616</v>
      </c>
      <c r="I307" s="20"/>
      <c r="J307" s="200"/>
      <c r="K307" s="200"/>
      <c r="L307" s="200"/>
      <c r="M307" s="200"/>
      <c r="N307" s="200">
        <v>2.1839</v>
      </c>
      <c r="O307" s="226">
        <f t="shared" si="72"/>
        <v>2.0874841236647619</v>
      </c>
      <c r="P307" s="226">
        <f t="shared" si="72"/>
        <v>1.995324862197188</v>
      </c>
      <c r="Q307" s="226">
        <f t="shared" si="72"/>
        <v>1.9072342924997521</v>
      </c>
      <c r="R307" s="226">
        <f t="shared" si="72"/>
        <v>1.8230327879949755</v>
      </c>
      <c r="S307" s="226">
        <f t="shared" si="72"/>
        <v>1.7425486523466363</v>
      </c>
      <c r="T307" s="226">
        <f t="shared" si="72"/>
        <v>1.6656177693516321</v>
      </c>
      <c r="U307" s="226">
        <f t="shared" si="72"/>
        <v>1.5920832682885877</v>
      </c>
      <c r="V307" s="226">
        <f t="shared" si="72"/>
        <v>1.5217952040408134</v>
      </c>
      <c r="W307" s="226">
        <f t="shared" si="72"/>
        <v>1.4546102513413501</v>
      </c>
      <c r="X307" s="226">
        <f t="shared" si="72"/>
        <v>1.3903914125166341</v>
      </c>
      <c r="Y307" s="226">
        <f t="shared" si="72"/>
        <v>1.329007738132834</v>
      </c>
      <c r="Z307" s="226">
        <f t="shared" si="72"/>
        <v>1.2703340599752306</v>
      </c>
      <c r="AA307" s="226">
        <f t="shared" si="72"/>
        <v>1.2142507358161514</v>
      </c>
      <c r="AB307" s="226">
        <f t="shared" si="72"/>
        <v>1.1606434054510146</v>
      </c>
      <c r="AC307" s="226">
        <f t="shared" si="72"/>
        <v>1.109402757505012</v>
      </c>
      <c r="AD307" s="226">
        <f t="shared" si="72"/>
        <v>1.0604243065349239</v>
      </c>
      <c r="AE307" s="226">
        <f t="shared" si="70"/>
        <v>1.0136081799715502</v>
      </c>
      <c r="AF307" s="226">
        <f t="shared" si="70"/>
        <v>0.96885891446831152</v>
      </c>
      <c r="AG307" s="226">
        <f t="shared" si="70"/>
        <v>0.92608526124075075</v>
      </c>
      <c r="AH307" s="227">
        <v>0.88519999999999999</v>
      </c>
      <c r="AI307" s="226">
        <f t="shared" si="73"/>
        <v>0.84611976110080456</v>
      </c>
      <c r="AJ307" s="226">
        <f t="shared" si="73"/>
        <v>0.80876485554143984</v>
      </c>
      <c r="AK307" s="226">
        <f t="shared" si="73"/>
        <v>0.77305911246887682</v>
      </c>
      <c r="AL307" s="226">
        <f t="shared" si="73"/>
        <v>0.73892972385784683</v>
      </c>
      <c r="AM307" s="226">
        <f t="shared" si="73"/>
        <v>0.70630709604709085</v>
      </c>
      <c r="AN307" s="226">
        <f t="shared" si="73"/>
        <v>0.67512470783005818</v>
      </c>
      <c r="AO307" s="226">
        <f t="shared" si="73"/>
        <v>0.64531897481068612</v>
      </c>
      <c r="AP307" s="226">
        <f t="shared" si="73"/>
        <v>0.61682911974766585</v>
      </c>
      <c r="AQ307" s="226">
        <f t="shared" si="73"/>
        <v>0.58959704862281359</v>
      </c>
      <c r="AR307" s="226">
        <f t="shared" si="73"/>
        <v>0.56356723218083427</v>
      </c>
      <c r="AS307" s="226">
        <f t="shared" si="73"/>
        <v>0.53868659269892583</v>
      </c>
      <c r="AT307" s="226">
        <f t="shared" si="73"/>
        <v>0.51490439575533387</v>
      </c>
      <c r="AU307" s="226">
        <f t="shared" si="73"/>
        <v>0.49217214677616045</v>
      </c>
      <c r="AV307" s="226">
        <f t="shared" si="73"/>
        <v>0.47044349214947467</v>
      </c>
      <c r="AW307" s="226">
        <f t="shared" si="73"/>
        <v>0.44967412470508555</v>
      </c>
      <c r="AX307" s="226">
        <f t="shared" si="73"/>
        <v>0.42982169336723947</v>
      </c>
      <c r="AY307" s="226">
        <f t="shared" si="71"/>
        <v>0.41084571679601439</v>
      </c>
      <c r="AZ307" s="226">
        <f t="shared" si="71"/>
        <v>0.3927075008413155</v>
      </c>
      <c r="BA307" s="226">
        <f t="shared" si="71"/>
        <v>0.37537005964115217</v>
      </c>
      <c r="BB307" s="226">
        <f t="shared" si="74"/>
        <v>0.35879804020330597</v>
      </c>
      <c r="BC307" s="226">
        <f t="shared" si="74"/>
        <v>0.3429576503166043</v>
      </c>
      <c r="BD307" s="226">
        <f t="shared" si="74"/>
        <v>0.32781658964480176</v>
      </c>
      <c r="BE307" s="226">
        <f t="shared" si="74"/>
        <v>0.31334398386256229</v>
      </c>
    </row>
    <row r="308" spans="5:57" s="10" customFormat="1" x14ac:dyDescent="0.35">
      <c r="E308" s="109" t="s">
        <v>624</v>
      </c>
      <c r="F308" s="10" t="s">
        <v>615</v>
      </c>
      <c r="G308" s="43" t="s">
        <v>616</v>
      </c>
      <c r="I308" s="20"/>
      <c r="J308" s="200"/>
      <c r="K308" s="200"/>
      <c r="L308" s="200"/>
      <c r="M308" s="200"/>
      <c r="N308" s="200">
        <v>2.0413000000000001</v>
      </c>
      <c r="O308" s="226">
        <f t="shared" si="72"/>
        <v>1.9510263051120817</v>
      </c>
      <c r="P308" s="226">
        <f t="shared" si="72"/>
        <v>1.8647448406600216</v>
      </c>
      <c r="Q308" s="226">
        <f t="shared" si="72"/>
        <v>1.7822790557241657</v>
      </c>
      <c r="R308" s="226">
        <f t="shared" si="72"/>
        <v>1.7034602071073184</v>
      </c>
      <c r="S308" s="226">
        <f t="shared" si="72"/>
        <v>1.6281270140489164</v>
      </c>
      <c r="T308" s="226">
        <f t="shared" si="72"/>
        <v>1.556125328208996</v>
      </c>
      <c r="U308" s="226">
        <f t="shared" si="72"/>
        <v>1.4873078182466677</v>
      </c>
      <c r="V308" s="226">
        <f t="shared" si="72"/>
        <v>1.4215336683476743</v>
      </c>
      <c r="W308" s="226">
        <f t="shared" si="72"/>
        <v>1.3586682900841554</v>
      </c>
      <c r="X308" s="226">
        <f t="shared" si="72"/>
        <v>1.2985830470170183</v>
      </c>
      <c r="Y308" s="226">
        <f t="shared" si="72"/>
        <v>1.2411549914773927</v>
      </c>
      <c r="Z308" s="226">
        <f t="shared" si="72"/>
        <v>1.1862666129885635</v>
      </c>
      <c r="AA308" s="226">
        <f t="shared" si="72"/>
        <v>1.1338055978135997</v>
      </c>
      <c r="AB308" s="226">
        <f t="shared" si="72"/>
        <v>1.0836645991366591</v>
      </c>
      <c r="AC308" s="226">
        <f t="shared" si="72"/>
        <v>1.0357410174077113</v>
      </c>
      <c r="AD308" s="226">
        <f t="shared" si="72"/>
        <v>0.98993679040121263</v>
      </c>
      <c r="AE308" s="226">
        <f t="shared" si="70"/>
        <v>0.94615819255914912</v>
      </c>
      <c r="AF308" s="226">
        <f t="shared" si="70"/>
        <v>0.90431564320785884</v>
      </c>
      <c r="AG308" s="226">
        <f t="shared" si="70"/>
        <v>0.86432352325620165</v>
      </c>
      <c r="AH308" s="227">
        <v>0.82609999999999995</v>
      </c>
      <c r="AI308" s="226">
        <f t="shared" si="73"/>
        <v>0.78956685967427154</v>
      </c>
      <c r="AJ308" s="226">
        <f t="shared" si="73"/>
        <v>0.75464934741059297</v>
      </c>
      <c r="AK308" s="226">
        <f t="shared" si="73"/>
        <v>0.7212760142721466</v>
      </c>
      <c r="AL308" s="226">
        <f t="shared" si="73"/>
        <v>0.68937857105342448</v>
      </c>
      <c r="AM308" s="226">
        <f t="shared" si="73"/>
        <v>0.65889174854544141</v>
      </c>
      <c r="AN308" s="226">
        <f t="shared" si="73"/>
        <v>0.62975316398052783</v>
      </c>
      <c r="AO308" s="226">
        <f t="shared" si="73"/>
        <v>0.60190319338341847</v>
      </c>
      <c r="AP308" s="226">
        <f t="shared" si="73"/>
        <v>0.57528484956743919</v>
      </c>
      <c r="AQ308" s="226">
        <f t="shared" si="73"/>
        <v>0.54984366552614539</v>
      </c>
      <c r="AR308" s="226">
        <f t="shared" si="73"/>
        <v>0.52552758298180513</v>
      </c>
      <c r="AS308" s="226">
        <f t="shared" si="73"/>
        <v>0.50228684586267291</v>
      </c>
      <c r="AT308" s="226">
        <f t="shared" si="73"/>
        <v>0.48007389849108534</v>
      </c>
      <c r="AU308" s="226">
        <f t="shared" si="73"/>
        <v>0.4588432882740483</v>
      </c>
      <c r="AV308" s="226">
        <f t="shared" si="73"/>
        <v>0.43855157269719991</v>
      </c>
      <c r="AW308" s="226">
        <f t="shared" si="73"/>
        <v>0.41915723043183778</v>
      </c>
      <c r="AX308" s="226">
        <f t="shared" si="73"/>
        <v>0.4006205763731161</v>
      </c>
      <c r="AY308" s="226">
        <f t="shared" si="71"/>
        <v>0.38290368043556228</v>
      </c>
      <c r="AZ308" s="226">
        <f t="shared" si="71"/>
        <v>0.36597028993975034</v>
      </c>
      <c r="BA308" s="226">
        <f t="shared" si="71"/>
        <v>0.34978575543131746</v>
      </c>
      <c r="BB308" s="226">
        <f t="shared" si="74"/>
        <v>0.33431695978053277</v>
      </c>
      <c r="BC308" s="226">
        <f t="shared" si="74"/>
        <v>0.31953225041734057</v>
      </c>
      <c r="BD308" s="226">
        <f t="shared" si="74"/>
        <v>0.30540137456321581</v>
      </c>
      <c r="BE308" s="226">
        <f t="shared" si="74"/>
        <v>0.29189541732730212</v>
      </c>
    </row>
    <row r="309" spans="5:57" s="10" customFormat="1" x14ac:dyDescent="0.35">
      <c r="E309" s="109" t="s">
        <v>625</v>
      </c>
      <c r="F309" s="10" t="s">
        <v>615</v>
      </c>
      <c r="G309" s="43" t="s">
        <v>616</v>
      </c>
      <c r="I309" s="20"/>
      <c r="J309" s="200"/>
      <c r="K309" s="200"/>
      <c r="L309" s="200"/>
      <c r="M309" s="200"/>
      <c r="N309" s="200">
        <v>1.9079999999999999</v>
      </c>
      <c r="O309" s="226">
        <f t="shared" si="72"/>
        <v>1.8234848975387692</v>
      </c>
      <c r="P309" s="226">
        <f t="shared" si="72"/>
        <v>1.7427134022809097</v>
      </c>
      <c r="Q309" s="226">
        <f t="shared" si="72"/>
        <v>1.665519690669625</v>
      </c>
      <c r="R309" s="226">
        <f t="shared" si="72"/>
        <v>1.5917452843236395</v>
      </c>
      <c r="S309" s="226">
        <f t="shared" si="72"/>
        <v>1.5212387246817143</v>
      </c>
      <c r="T309" s="226">
        <f t="shared" si="72"/>
        <v>1.4538552620588281</v>
      </c>
      <c r="U309" s="226">
        <f t="shared" si="72"/>
        <v>1.3894565584756513</v>
      </c>
      <c r="V309" s="226">
        <f t="shared" si="72"/>
        <v>1.3279104036512286</v>
      </c>
      <c r="W309" s="226">
        <f t="shared" si="72"/>
        <v>1.2690904435757999</v>
      </c>
      <c r="X309" s="226">
        <f t="shared" si="72"/>
        <v>1.2128759211065245</v>
      </c>
      <c r="Y309" s="226">
        <f t="shared" si="72"/>
        <v>1.1591514280535489</v>
      </c>
      <c r="Z309" s="226">
        <f t="shared" si="72"/>
        <v>1.1078066682474548</v>
      </c>
      <c r="AA309" s="226">
        <f t="shared" si="72"/>
        <v>1.0587362311016644</v>
      </c>
      <c r="AB309" s="226">
        <f t="shared" si="72"/>
        <v>1.0118393752049273</v>
      </c>
      <c r="AC309" s="226">
        <f t="shared" si="72"/>
        <v>0.96701982149960652</v>
      </c>
      <c r="AD309" s="226">
        <f t="shared" si="72"/>
        <v>0.92418555562115778</v>
      </c>
      <c r="AE309" s="226">
        <f t="shared" si="70"/>
        <v>0.8832486389930071</v>
      </c>
      <c r="AF309" s="226">
        <f t="shared" si="70"/>
        <v>0.84412502828900471</v>
      </c>
      <c r="AG309" s="226">
        <f t="shared" si="70"/>
        <v>0.80673440289281262</v>
      </c>
      <c r="AH309" s="227">
        <v>0.77100000000000002</v>
      </c>
      <c r="AI309" s="226">
        <f t="shared" si="73"/>
        <v>0.73684845702431401</v>
      </c>
      <c r="AJ309" s="226">
        <f t="shared" si="73"/>
        <v>0.70420966098458149</v>
      </c>
      <c r="AK309" s="226">
        <f t="shared" si="73"/>
        <v>0.67301660456304035</v>
      </c>
      <c r="AL309" s="226">
        <f t="shared" si="73"/>
        <v>0.64320524853958394</v>
      </c>
      <c r="AM309" s="226">
        <f t="shared" si="73"/>
        <v>0.61471439031949782</v>
      </c>
      <c r="AN309" s="226">
        <f t="shared" si="73"/>
        <v>0.58748553828477801</v>
      </c>
      <c r="AO309" s="226">
        <f t="shared" si="73"/>
        <v>0.56146279171107294</v>
      </c>
      <c r="AP309" s="226">
        <f t="shared" si="73"/>
        <v>0.53659272600371977</v>
      </c>
      <c r="AQ309" s="226">
        <f t="shared" si="73"/>
        <v>0.51282428301726513</v>
      </c>
      <c r="AR309" s="226">
        <f t="shared" si="73"/>
        <v>0.49010866623329691</v>
      </c>
      <c r="AS309" s="226">
        <f t="shared" si="73"/>
        <v>0.46839924058138693</v>
      </c>
      <c r="AT309" s="226">
        <f t="shared" si="73"/>
        <v>0.44765143669747781</v>
      </c>
      <c r="AU309" s="226">
        <f t="shared" si="73"/>
        <v>0.42782265942315684</v>
      </c>
      <c r="AV309" s="226">
        <f t="shared" si="73"/>
        <v>0.4088722003579659</v>
      </c>
      <c r="AW309" s="226">
        <f t="shared" si="73"/>
        <v>0.39076115428521835</v>
      </c>
      <c r="AX309" s="226">
        <f t="shared" si="73"/>
        <v>0.37345233929974453</v>
      </c>
      <c r="AY309" s="226">
        <f t="shared" si="71"/>
        <v>0.35691022047358928</v>
      </c>
      <c r="AZ309" s="226">
        <f t="shared" si="71"/>
        <v>0.34110083690294679</v>
      </c>
      <c r="BA309" s="226">
        <f t="shared" si="71"/>
        <v>0.32599173198656101</v>
      </c>
      <c r="BB309" s="226">
        <f t="shared" si="74"/>
        <v>0.31155188679245288</v>
      </c>
      <c r="BC309" s="226">
        <f t="shared" si="74"/>
        <v>0.29775165637617723</v>
      </c>
      <c r="BD309" s="226">
        <f t="shared" si="74"/>
        <v>0.28456270891987023</v>
      </c>
      <c r="BE309" s="226">
        <f t="shared" si="74"/>
        <v>0.27195796756714058</v>
      </c>
    </row>
    <row r="310" spans="5:57" s="10" customFormat="1" x14ac:dyDescent="0.35">
      <c r="E310" s="10" t="s">
        <v>626</v>
      </c>
      <c r="F310" s="10" t="s">
        <v>615</v>
      </c>
      <c r="G310" s="43" t="s">
        <v>616</v>
      </c>
      <c r="I310" s="20"/>
      <c r="J310" s="200"/>
      <c r="K310" s="200"/>
      <c r="L310" s="200"/>
      <c r="M310" s="200"/>
      <c r="N310" s="200">
        <v>1.7834000000000001</v>
      </c>
      <c r="O310" s="226">
        <f t="shared" si="72"/>
        <v>1.7042797426203367</v>
      </c>
      <c r="P310" s="226">
        <f t="shared" si="72"/>
        <v>1.628669642876551</v>
      </c>
      <c r="Q310" s="226">
        <f t="shared" si="72"/>
        <v>1.5564139731833599</v>
      </c>
      <c r="R310" s="226">
        <f t="shared" si="72"/>
        <v>1.4873639147850355</v>
      </c>
      <c r="S310" s="226">
        <f t="shared" si="72"/>
        <v>1.4213772512462806</v>
      </c>
      <c r="T310" s="226">
        <f t="shared" si="72"/>
        <v>1.3583180755413327</v>
      </c>
      <c r="U310" s="226">
        <f t="shared" si="72"/>
        <v>1.2980565101380135</v>
      </c>
      <c r="V310" s="226">
        <f t="shared" si="72"/>
        <v>1.2404684395002052</v>
      </c>
      <c r="W310" s="226">
        <f t="shared" si="72"/>
        <v>1.1854352544578113</v>
      </c>
      <c r="X310" s="226">
        <f t="shared" si="72"/>
        <v>1.1328436079177031</v>
      </c>
      <c r="Y310" s="226">
        <f t="shared" si="72"/>
        <v>1.0825851814125136</v>
      </c>
      <c r="Z310" s="226">
        <f t="shared" si="72"/>
        <v>1.0345564620064536</v>
      </c>
      <c r="AA310" s="226">
        <f t="shared" si="72"/>
        <v>0.98865852909866814</v>
      </c>
      <c r="AB310" s="226">
        <f t="shared" si="72"/>
        <v>0.94479685068502794</v>
      </c>
      <c r="AC310" s="226">
        <f t="shared" si="72"/>
        <v>0.90288108865873284</v>
      </c>
      <c r="AD310" s="226">
        <f t="shared" si="72"/>
        <v>0.86282491274872408</v>
      </c>
      <c r="AE310" s="226">
        <f t="shared" si="70"/>
        <v>0.82454582271268917</v>
      </c>
      <c r="AF310" s="226">
        <f t="shared" si="70"/>
        <v>0.78796497841844548</v>
      </c>
      <c r="AG310" s="226">
        <f t="shared" si="70"/>
        <v>0.75300703746373632</v>
      </c>
      <c r="AH310" s="227">
        <v>0.71960000000000002</v>
      </c>
      <c r="AI310" s="226">
        <f t="shared" si="73"/>
        <v>0.68767506044050375</v>
      </c>
      <c r="AJ310" s="226">
        <f t="shared" si="73"/>
        <v>0.65716646574742976</v>
      </c>
      <c r="AK310" s="226">
        <f t="shared" si="73"/>
        <v>0.62801138000602552</v>
      </c>
      <c r="AL310" s="226">
        <f t="shared" si="73"/>
        <v>0.60014975500690348</v>
      </c>
      <c r="AM310" s="226">
        <f t="shared" si="73"/>
        <v>0.57352420656993586</v>
      </c>
      <c r="AN310" s="226">
        <f t="shared" si="73"/>
        <v>0.54807989635502019</v>
      </c>
      <c r="AO310" s="226">
        <f t="shared" si="73"/>
        <v>0.52376441891629166</v>
      </c>
      <c r="AP310" s="226">
        <f t="shared" si="73"/>
        <v>0.500527693767157</v>
      </c>
      <c r="AQ310" s="226">
        <f t="shared" si="73"/>
        <v>0.47832186223384604</v>
      </c>
      <c r="AR310" s="226">
        <f t="shared" si="73"/>
        <v>0.45710118888503942</v>
      </c>
      <c r="AS310" s="226">
        <f t="shared" si="73"/>
        <v>0.43682196733455469</v>
      </c>
      <c r="AT310" s="226">
        <f t="shared" si="73"/>
        <v>0.41744243022308175</v>
      </c>
      <c r="AU310" s="226">
        <f t="shared" si="73"/>
        <v>0.39892266319356379</v>
      </c>
      <c r="AV310" s="226">
        <f t="shared" si="73"/>
        <v>0.38122452268304707</v>
      </c>
      <c r="AW310" s="226">
        <f t="shared" si="73"/>
        <v>0.36431155736168225</v>
      </c>
      <c r="AX310" s="226">
        <f t="shared" si="73"/>
        <v>0.34814893305707179</v>
      </c>
      <c r="AY310" s="226">
        <f t="shared" si="71"/>
        <v>0.33270336100933673</v>
      </c>
      <c r="AZ310" s="226">
        <f t="shared" si="71"/>
        <v>0.31794302930913609</v>
      </c>
      <c r="BA310" s="226">
        <f t="shared" si="71"/>
        <v>0.30383753737742775</v>
      </c>
      <c r="BB310" s="226">
        <f t="shared" si="74"/>
        <v>0.29035783335202392</v>
      </c>
      <c r="BC310" s="226">
        <f t="shared" si="74"/>
        <v>0.27747615425198269</v>
      </c>
      <c r="BD310" s="226">
        <f t="shared" si="74"/>
        <v>0.26516596879659632</v>
      </c>
      <c r="BE310" s="226">
        <f t="shared" si="74"/>
        <v>0.25340192276120632</v>
      </c>
    </row>
    <row r="311" spans="5:57" s="10" customFormat="1" x14ac:dyDescent="0.35">
      <c r="E311" s="10" t="s">
        <v>627</v>
      </c>
      <c r="F311" s="10" t="s">
        <v>615</v>
      </c>
      <c r="G311" s="43" t="s">
        <v>616</v>
      </c>
      <c r="I311" s="20"/>
      <c r="J311" s="200"/>
      <c r="K311" s="200"/>
      <c r="L311" s="200"/>
      <c r="M311" s="200"/>
      <c r="N311" s="200">
        <v>1.667</v>
      </c>
      <c r="O311" s="226">
        <f t="shared" si="72"/>
        <v>1.5929214271544767</v>
      </c>
      <c r="P311" s="226">
        <f t="shared" si="72"/>
        <v>1.5221347768973335</v>
      </c>
      <c r="Q311" s="226">
        <f t="shared" si="72"/>
        <v>1.4544937619296709</v>
      </c>
      <c r="R311" s="226">
        <f t="shared" si="72"/>
        <v>1.389858595705036</v>
      </c>
      <c r="S311" s="226">
        <f t="shared" si="72"/>
        <v>1.3280957035473202</v>
      </c>
      <c r="T311" s="226">
        <f t="shared" si="72"/>
        <v>1.2690774466060746</v>
      </c>
      <c r="U311" s="226">
        <f t="shared" si="72"/>
        <v>1.2126818580787688</v>
      </c>
      <c r="V311" s="226">
        <f t="shared" si="72"/>
        <v>1.1587923911548741</v>
      </c>
      <c r="W311" s="226">
        <f t="shared" si="72"/>
        <v>1.1072976781608703</v>
      </c>
      <c r="X311" s="226">
        <f t="shared" si="72"/>
        <v>1.0580913004084296</v>
      </c>
      <c r="Y311" s="226">
        <f t="shared" si="72"/>
        <v>1.011071568270145</v>
      </c>
      <c r="Z311" s="226">
        <f t="shared" si="72"/>
        <v>0.96614131102831091</v>
      </c>
      <c r="AA311" s="226">
        <f t="shared" si="72"/>
        <v>0.92320767606245602</v>
      </c>
      <c r="AB311" s="226">
        <f t="shared" si="72"/>
        <v>0.88218193696063307</v>
      </c>
      <c r="AC311" s="226">
        <f t="shared" si="72"/>
        <v>0.84297931015790772</v>
      </c>
      <c r="AD311" s="226">
        <f t="shared" si="72"/>
        <v>0.80551877972311381</v>
      </c>
      <c r="AE311" s="226">
        <f t="shared" si="70"/>
        <v>0.76972292993177871</v>
      </c>
      <c r="AF311" s="226">
        <f t="shared" si="70"/>
        <v>0.73551778527921674</v>
      </c>
      <c r="AG311" s="226">
        <f t="shared" si="70"/>
        <v>0.70283265760316127</v>
      </c>
      <c r="AH311" s="227">
        <v>0.67159999999999997</v>
      </c>
      <c r="AI311" s="226">
        <f t="shared" si="73"/>
        <v>0.64175526723272136</v>
      </c>
      <c r="AJ311" s="226">
        <f t="shared" si="73"/>
        <v>0.61323678234208101</v>
      </c>
      <c r="AK311" s="226">
        <f t="shared" si="73"/>
        <v>0.58598560918534304</v>
      </c>
      <c r="AL311" s="226">
        <f t="shared" si="73"/>
        <v>0.55994543063917346</v>
      </c>
      <c r="AM311" s="226">
        <f t="shared" si="73"/>
        <v>0.53506243221498517</v>
      </c>
      <c r="AN311" s="226">
        <f t="shared" si="73"/>
        <v>0.5112851908462146</v>
      </c>
      <c r="AO311" s="226">
        <f t="shared" si="73"/>
        <v>0.48856456861769715</v>
      </c>
      <c r="AP311" s="226">
        <f t="shared" si="73"/>
        <v>0.46685361121752456</v>
      </c>
      <c r="AQ311" s="226">
        <f t="shared" si="73"/>
        <v>0.44610745090152398</v>
      </c>
      <c r="AR311" s="226">
        <f t="shared" si="73"/>
        <v>0.42628321376982675</v>
      </c>
      <c r="AS311" s="226">
        <f t="shared" si="73"/>
        <v>0.40733993116390482</v>
      </c>
      <c r="AT311" s="226">
        <f t="shared" si="73"/>
        <v>0.38923845500096793</v>
      </c>
      <c r="AU311" s="226">
        <f t="shared" si="73"/>
        <v>0.37194137687075307</v>
      </c>
      <c r="AV311" s="226">
        <f t="shared" si="73"/>
        <v>0.35541295072751111</v>
      </c>
      <c r="AW311" s="226">
        <f t="shared" si="73"/>
        <v>0.33961901901742697</v>
      </c>
      <c r="AX311" s="226">
        <f t="shared" si="73"/>
        <v>0.32452694208880811</v>
      </c>
      <c r="AY311" s="226">
        <f t="shared" si="71"/>
        <v>0.31010553073916164</v>
      </c>
      <c r="AZ311" s="226">
        <f t="shared" si="71"/>
        <v>0.29632498175976113</v>
      </c>
      <c r="BA311" s="226">
        <f t="shared" si="71"/>
        <v>0.28315681634450091</v>
      </c>
      <c r="BB311" s="226">
        <f t="shared" si="74"/>
        <v>0.27057382123575313</v>
      </c>
      <c r="BC311" s="226">
        <f t="shared" si="74"/>
        <v>0.25854999248560057</v>
      </c>
      <c r="BD311" s="226">
        <f t="shared" si="74"/>
        <v>0.247060481716222</v>
      </c>
      <c r="BE311" s="226">
        <f t="shared" si="74"/>
        <v>0.23608154476837243</v>
      </c>
    </row>
    <row r="312" spans="5:57" s="10" customFormat="1" x14ac:dyDescent="0.35">
      <c r="E312" s="10" t="s">
        <v>628</v>
      </c>
      <c r="F312" s="10" t="s">
        <v>615</v>
      </c>
      <c r="G312" s="43" t="s">
        <v>616</v>
      </c>
      <c r="I312" s="20"/>
      <c r="J312" s="200"/>
      <c r="K312" s="200"/>
      <c r="L312" s="200"/>
      <c r="M312" s="200"/>
      <c r="N312" s="200">
        <v>1.6476999999999999</v>
      </c>
      <c r="O312" s="226">
        <f t="shared" si="72"/>
        <v>1.5753491828245954</v>
      </c>
      <c r="P312" s="226">
        <f t="shared" si="72"/>
        <v>1.5061753036512233</v>
      </c>
      <c r="Q312" s="226">
        <f t="shared" si="72"/>
        <v>1.4400388625341638</v>
      </c>
      <c r="R312" s="226">
        <f t="shared" si="72"/>
        <v>1.376806484996574</v>
      </c>
      <c r="S312" s="226">
        <f t="shared" si="72"/>
        <v>1.3163506530599967</v>
      </c>
      <c r="T312" s="226">
        <f t="shared" si="72"/>
        <v>1.2585494480844137</v>
      </c>
      <c r="U312" s="226">
        <f t="shared" si="72"/>
        <v>1.2032863049002409</v>
      </c>
      <c r="V312" s="226">
        <f t="shared" si="72"/>
        <v>1.1504497767364334</v>
      </c>
      <c r="W312" s="226">
        <f t="shared" si="72"/>
        <v>1.0999333104706432</v>
      </c>
      <c r="X312" s="226">
        <f t="shared" si="72"/>
        <v>1.0516350317481822</v>
      </c>
      <c r="Y312" s="226">
        <f t="shared" si="72"/>
        <v>1.0054575395364547</v>
      </c>
      <c r="Z312" s="226">
        <f t="shared" si="72"/>
        <v>0.96130770970054147</v>
      </c>
      <c r="AA312" s="226">
        <f t="shared" si="72"/>
        <v>0.9190965072038183</v>
      </c>
      <c r="AB312" s="226">
        <f t="shared" si="72"/>
        <v>0.87873880655487957</v>
      </c>
      <c r="AC312" s="226">
        <f t="shared" si="72"/>
        <v>0.840153220138672</v>
      </c>
      <c r="AD312" s="226">
        <f t="shared" si="72"/>
        <v>0.80326193408564017</v>
      </c>
      <c r="AE312" s="226">
        <f t="shared" si="70"/>
        <v>0.76799055134788941</v>
      </c>
      <c r="AF312" s="226">
        <f t="shared" si="70"/>
        <v>0.73426794166590281</v>
      </c>
      <c r="AG312" s="226">
        <f t="shared" si="70"/>
        <v>0.70202609812324923</v>
      </c>
      <c r="AH312" s="227">
        <v>0.67120000000000002</v>
      </c>
      <c r="AI312" s="226">
        <f t="shared" si="73"/>
        <v>0.64172748164827853</v>
      </c>
      <c r="AJ312" s="226">
        <f t="shared" si="73"/>
        <v>0.61354910712550903</v>
      </c>
      <c r="AK312" s="226">
        <f t="shared" si="73"/>
        <v>0.58660805033254282</v>
      </c>
      <c r="AL312" s="226">
        <f t="shared" si="73"/>
        <v>0.56084998041494238</v>
      </c>
      <c r="AM312" s="226">
        <f t="shared" si="73"/>
        <v>0.53622295219631599</v>
      </c>
      <c r="AN312" s="226">
        <f t="shared" si="73"/>
        <v>0.51267730142274592</v>
      </c>
      <c r="AO312" s="226">
        <f t="shared" si="73"/>
        <v>0.49016554460705325</v>
      </c>
      <c r="AP312" s="226">
        <f t="shared" si="73"/>
        <v>0.46864228327091956</v>
      </c>
      <c r="AQ312" s="226">
        <f t="shared" si="73"/>
        <v>0.44806411239175559</v>
      </c>
      <c r="AR312" s="226">
        <f t="shared" si="73"/>
        <v>0.42838953286968495</v>
      </c>
      <c r="AS312" s="226">
        <f t="shared" si="73"/>
        <v>0.40957886783811881</v>
      </c>
      <c r="AT312" s="226">
        <f t="shared" si="73"/>
        <v>0.39159418264914941</v>
      </c>
      <c r="AU312" s="226">
        <f t="shared" si="73"/>
        <v>0.37439920837239965</v>
      </c>
      <c r="AV312" s="226">
        <f t="shared" si="73"/>
        <v>0.35795926865305289</v>
      </c>
      <c r="AW312" s="226">
        <f t="shared" si="73"/>
        <v>0.3422412097815602</v>
      </c>
      <c r="AX312" s="226">
        <f t="shared" si="73"/>
        <v>0.32721333383399998</v>
      </c>
      <c r="AY312" s="226">
        <f t="shared" si="71"/>
        <v>0.31284533474825721</v>
      </c>
      <c r="AZ312" s="226">
        <f t="shared" si="71"/>
        <v>0.29910823720710933</v>
      </c>
      <c r="BA312" s="226">
        <f t="shared" si="71"/>
        <v>0.28597433820496748</v>
      </c>
      <c r="BB312" s="226">
        <f t="shared" si="74"/>
        <v>0.27341715118043336</v>
      </c>
      <c r="BC312" s="226">
        <f t="shared" si="74"/>
        <v>0.26141135260200554</v>
      </c>
      <c r="BD312" s="226">
        <f t="shared" si="74"/>
        <v>0.24993273089921808</v>
      </c>
      <c r="BE312" s="226">
        <f t="shared" si="74"/>
        <v>0.23895813763622184</v>
      </c>
    </row>
    <row r="313" spans="5:57" s="10" customFormat="1" x14ac:dyDescent="0.35">
      <c r="E313" s="10" t="s">
        <v>629</v>
      </c>
      <c r="F313" s="10" t="s">
        <v>615</v>
      </c>
      <c r="G313" s="43" t="s">
        <v>616</v>
      </c>
      <c r="I313" s="20"/>
      <c r="J313" s="200"/>
      <c r="K313" s="200"/>
      <c r="L313" s="200"/>
      <c r="M313" s="200"/>
      <c r="N313" s="200">
        <v>1.6286</v>
      </c>
      <c r="O313" s="226">
        <f t="shared" si="72"/>
        <v>1.5579610596463234</v>
      </c>
      <c r="P313" s="226">
        <f t="shared" si="72"/>
        <v>1.490386014597995</v>
      </c>
      <c r="Q313" s="226">
        <f t="shared" si="72"/>
        <v>1.4257419713773505</v>
      </c>
      <c r="R313" s="226">
        <f t="shared" si="72"/>
        <v>1.3639018006320121</v>
      </c>
      <c r="S313" s="226">
        <f t="shared" si="72"/>
        <v>1.3047438871215633</v>
      </c>
      <c r="T313" s="226">
        <f t="shared" si="72"/>
        <v>1.2481518905483076</v>
      </c>
      <c r="U313" s="226">
        <f t="shared" si="72"/>
        <v>1.1940145167617604</v>
      </c>
      <c r="V313" s="226">
        <f t="shared" si="72"/>
        <v>1.1422252988869244</v>
      </c>
      <c r="W313" s="226">
        <f t="shared" si="72"/>
        <v>1.0926823879459113</v>
      </c>
      <c r="X313" s="226">
        <f t="shared" si="72"/>
        <v>1.0452883525611487</v>
      </c>
      <c r="Y313" s="226">
        <f t="shared" si="72"/>
        <v>0.99994998734626483</v>
      </c>
      <c r="Z313" s="226">
        <f t="shared" si="72"/>
        <v>0.95657812960783151</v>
      </c>
      <c r="AA313" s="226">
        <f t="shared" si="72"/>
        <v>0.91508748399749185</v>
      </c>
      <c r="AB313" s="226">
        <f t="shared" si="72"/>
        <v>0.87539645476963057</v>
      </c>
      <c r="AC313" s="226">
        <f t="shared" si="72"/>
        <v>0.83742698531470483</v>
      </c>
      <c r="AD313" s="226">
        <f t="shared" si="72"/>
        <v>0.80110440465266086</v>
      </c>
      <c r="AE313" s="226">
        <f t="shared" si="70"/>
        <v>0.76635728058454899</v>
      </c>
      <c r="AF313" s="226">
        <f t="shared" si="70"/>
        <v>0.73311727921354453</v>
      </c>
      <c r="AG313" s="226">
        <f t="shared" si="70"/>
        <v>0.70131903055910805</v>
      </c>
      <c r="AH313" s="227">
        <v>0.67090000000000005</v>
      </c>
      <c r="AI313" s="226">
        <f t="shared" si="73"/>
        <v>0.64180036529333073</v>
      </c>
      <c r="AJ313" s="226">
        <f t="shared" si="73"/>
        <v>0.61396289892778766</v>
      </c>
      <c r="AK313" s="226">
        <f t="shared" si="73"/>
        <v>0.58733285557967863</v>
      </c>
      <c r="AL313" s="226">
        <f t="shared" si="73"/>
        <v>0.56185786445045871</v>
      </c>
      <c r="AM313" s="226">
        <f t="shared" si="73"/>
        <v>0.53748782627401259</v>
      </c>
      <c r="AN313" s="226">
        <f t="shared" si="73"/>
        <v>0.51417481479114546</v>
      </c>
      <c r="AO313" s="226">
        <f t="shared" si="73"/>
        <v>0.49187298249752243</v>
      </c>
      <c r="AP313" s="226">
        <f t="shared" si="73"/>
        <v>0.47053847047969882</v>
      </c>
      <c r="AQ313" s="226">
        <f t="shared" si="73"/>
        <v>0.45012932216192547</v>
      </c>
      <c r="AR313" s="226">
        <f t="shared" si="73"/>
        <v>0.43060540079410209</v>
      </c>
      <c r="AS313" s="226">
        <f t="shared" si="73"/>
        <v>0.41192831051861051</v>
      </c>
      <c r="AT313" s="226">
        <f t="shared" si="73"/>
        <v>0.39406132086079709</v>
      </c>
      <c r="AU313" s="226">
        <f t="shared" si="73"/>
        <v>0.3769692944946072</v>
      </c>
      <c r="AV313" s="226">
        <f t="shared" si="73"/>
        <v>0.36061861814131468</v>
      </c>
      <c r="AW313" s="226">
        <f t="shared" si="73"/>
        <v>0.34497713646545219</v>
      </c>
      <c r="AX313" s="226">
        <f t="shared" si="73"/>
        <v>0.33001408883794064</v>
      </c>
      <c r="AY313" s="226">
        <f t="shared" si="71"/>
        <v>0.31570004884205694</v>
      </c>
      <c r="AZ313" s="226">
        <f t="shared" si="71"/>
        <v>0.30200686640327096</v>
      </c>
      <c r="BA313" s="226">
        <f t="shared" si="71"/>
        <v>0.28890761242914503</v>
      </c>
      <c r="BB313" s="226">
        <f t="shared" si="74"/>
        <v>0.27637652585042372</v>
      </c>
      <c r="BC313" s="226">
        <f t="shared" si="74"/>
        <v>0.2643889629591647</v>
      </c>
      <c r="BD313" s="226">
        <f t="shared" si="74"/>
        <v>0.25292134894427898</v>
      </c>
      <c r="BE313" s="226">
        <f t="shared" si="74"/>
        <v>0.24195113152917005</v>
      </c>
    </row>
    <row r="314" spans="5:57" s="10" customFormat="1" x14ac:dyDescent="0.35">
      <c r="E314" s="10" t="s">
        <v>630</v>
      </c>
      <c r="F314" s="10" t="s">
        <v>615</v>
      </c>
      <c r="G314" s="43" t="s">
        <v>616</v>
      </c>
      <c r="I314" s="20"/>
      <c r="J314" s="200"/>
      <c r="K314" s="200"/>
      <c r="L314" s="200"/>
      <c r="M314" s="200"/>
      <c r="N314" s="200">
        <v>1.6096999999999999</v>
      </c>
      <c r="O314" s="226">
        <f t="shared" si="72"/>
        <v>1.5407453805469589</v>
      </c>
      <c r="P314" s="226">
        <f t="shared" si="72"/>
        <v>1.4747445658674245</v>
      </c>
      <c r="Q314" s="226">
        <f t="shared" si="72"/>
        <v>1.4115710240087997</v>
      </c>
      <c r="R314" s="226">
        <f t="shared" si="72"/>
        <v>1.3511036432599235</v>
      </c>
      <c r="S314" s="226">
        <f t="shared" si="72"/>
        <v>1.2932264999645235</v>
      </c>
      <c r="T314" s="226">
        <f t="shared" si="72"/>
        <v>1.2378286362808297</v>
      </c>
      <c r="U314" s="226">
        <f t="shared" si="72"/>
        <v>1.184803847461285</v>
      </c>
      <c r="V314" s="226">
        <f t="shared" si="72"/>
        <v>1.1340504782445415</v>
      </c>
      <c r="W314" s="226">
        <f t="shared" si="72"/>
        <v>1.0854712279694023</v>
      </c>
      <c r="X314" s="226">
        <f t="shared" si="72"/>
        <v>1.0389729640370824</v>
      </c>
      <c r="Y314" s="226">
        <f t="shared" si="72"/>
        <v>0.99446654336417739</v>
      </c>
      <c r="Z314" s="226">
        <f t="shared" si="72"/>
        <v>0.95186664148403943</v>
      </c>
      <c r="AA314" s="226">
        <f t="shared" si="72"/>
        <v>0.91109158896892717</v>
      </c>
      <c r="AB314" s="226">
        <f t="shared" si="72"/>
        <v>0.8720632148593298</v>
      </c>
      <c r="AC314" s="226">
        <f t="shared" si="72"/>
        <v>0.83470669680029974</v>
      </c>
      <c r="AD314" s="226">
        <f t="shared" si="72"/>
        <v>0.79895041759748586</v>
      </c>
      <c r="AE314" s="226">
        <f t="shared" si="70"/>
        <v>0.76472582791786681</v>
      </c>
      <c r="AF314" s="226">
        <f t="shared" si="70"/>
        <v>0.73196731487196498</v>
      </c>
      <c r="AG314" s="226">
        <f t="shared" si="70"/>
        <v>0.70061207622559574</v>
      </c>
      <c r="AH314" s="227">
        <v>0.67059999999999997</v>
      </c>
      <c r="AI314" s="226">
        <f t="shared" si="73"/>
        <v>0.6418735492295401</v>
      </c>
      <c r="AJ314" s="226">
        <f t="shared" si="73"/>
        <v>0.61437765165601976</v>
      </c>
      <c r="AK314" s="226">
        <f t="shared" si="73"/>
        <v>0.588059594148165</v>
      </c>
      <c r="AL314" s="226">
        <f t="shared" si="73"/>
        <v>0.56286892164384961</v>
      </c>
      <c r="AM314" s="226">
        <f t="shared" si="73"/>
        <v>0.53875734042132661</v>
      </c>
      <c r="AN314" s="226">
        <f t="shared" si="73"/>
        <v>0.51567862551402399</v>
      </c>
      <c r="AO314" s="226">
        <f t="shared" si="73"/>
        <v>0.49358853209140685</v>
      </c>
      <c r="AP314" s="226">
        <f t="shared" si="73"/>
        <v>0.47244471063601262</v>
      </c>
      <c r="AQ314" s="226">
        <f t="shared" si="73"/>
        <v>0.45220662575404186</v>
      </c>
      <c r="AR314" s="226">
        <f t="shared" si="73"/>
        <v>0.43283547846385506</v>
      </c>
      <c r="AS314" s="226">
        <f t="shared" si="73"/>
        <v>0.4142941318133922</v>
      </c>
      <c r="AT314" s="226">
        <f t="shared" si="73"/>
        <v>0.39654703968391436</v>
      </c>
      <c r="AU314" s="226">
        <f t="shared" si="73"/>
        <v>0.379560178643575</v>
      </c>
      <c r="AV314" s="226">
        <f t="shared" si="73"/>
        <v>0.36330098272017564</v>
      </c>
      <c r="AW314" s="226">
        <f t="shared" si="73"/>
        <v>0.34773828096805687</v>
      </c>
      <c r="AX314" s="226">
        <f t="shared" si="73"/>
        <v>0.33284223770943289</v>
      </c>
      <c r="AY314" s="226">
        <f t="shared" si="71"/>
        <v>0.31858429533560384</v>
      </c>
      <c r="AZ314" s="226">
        <f t="shared" si="71"/>
        <v>0.30493711955838959</v>
      </c>
      <c r="BA314" s="226">
        <f t="shared" si="71"/>
        <v>0.29187454700682391</v>
      </c>
      <c r="BB314" s="226">
        <f t="shared" si="74"/>
        <v>0.27937153506864643</v>
      </c>
      <c r="BC314" s="226">
        <f t="shared" si="74"/>
        <v>0.26740411388043095</v>
      </c>
      <c r="BD314" s="226">
        <f t="shared" si="74"/>
        <v>0.25594934037431005</v>
      </c>
      <c r="BE314" s="226">
        <f t="shared" si="74"/>
        <v>0.24498525429319715</v>
      </c>
    </row>
    <row r="315" spans="5:57" s="10" customFormat="1" x14ac:dyDescent="0.35">
      <c r="E315" s="10" t="s">
        <v>631</v>
      </c>
      <c r="F315" s="10" t="s">
        <v>615</v>
      </c>
      <c r="G315" s="43" t="s">
        <v>616</v>
      </c>
      <c r="I315" s="20"/>
      <c r="J315" s="200"/>
      <c r="K315" s="200"/>
      <c r="L315" s="200"/>
      <c r="M315" s="200"/>
      <c r="N315" s="200">
        <v>1.591</v>
      </c>
      <c r="O315" s="226">
        <f t="shared" si="72"/>
        <v>1.5237023299124544</v>
      </c>
      <c r="P315" s="226">
        <f t="shared" si="72"/>
        <v>1.4592512823259849</v>
      </c>
      <c r="Q315" s="226">
        <f t="shared" si="72"/>
        <v>1.3975264480250409</v>
      </c>
      <c r="R315" s="226">
        <f t="shared" si="72"/>
        <v>1.3384125109805352</v>
      </c>
      <c r="S315" s="226">
        <f t="shared" si="72"/>
        <v>1.2817990329132745</v>
      </c>
      <c r="T315" s="226">
        <f t="shared" si="72"/>
        <v>1.2275802469701365</v>
      </c>
      <c r="U315" s="226">
        <f t="shared" si="72"/>
        <v>1.1756548601275318</v>
      </c>
      <c r="V315" s="226">
        <f t="shared" si="72"/>
        <v>1.1259258639529988</v>
      </c>
      <c r="W315" s="226">
        <f t="shared" si="72"/>
        <v>1.0783003533713873</v>
      </c>
      <c r="X315" s="226">
        <f t="shared" si="72"/>
        <v>1.0326893530970493</v>
      </c>
      <c r="Y315" s="226">
        <f t="shared" si="72"/>
        <v>0.98900765140776825</v>
      </c>
      <c r="Z315" s="226">
        <f t="shared" si="72"/>
        <v>0.94717364094988121</v>
      </c>
      <c r="AA315" s="226">
        <f t="shared" si="72"/>
        <v>0.90710916627718197</v>
      </c>
      <c r="AB315" s="226">
        <f t="shared" si="72"/>
        <v>0.86873937783877198</v>
      </c>
      <c r="AC315" s="226">
        <f t="shared" si="72"/>
        <v>0.8319925921430753</v>
      </c>
      <c r="AD315" s="226">
        <f t="shared" si="72"/>
        <v>0.79680015783677327</v>
      </c>
      <c r="AE315" s="226">
        <f t="shared" si="70"/>
        <v>0.7630963274484619</v>
      </c>
      <c r="AF315" s="226">
        <f t="shared" si="70"/>
        <v>0.73081813455742206</v>
      </c>
      <c r="AG315" s="226">
        <f t="shared" si="70"/>
        <v>0.69990527615802489</v>
      </c>
      <c r="AH315" s="227">
        <v>0.67030000000000001</v>
      </c>
      <c r="AI315" s="226">
        <f t="shared" si="73"/>
        <v>0.64194699669410316</v>
      </c>
      <c r="AJ315" s="226">
        <f t="shared" si="73"/>
        <v>0.61479329638158864</v>
      </c>
      <c r="AK315" s="226">
        <f t="shared" si="73"/>
        <v>0.58878816977447179</v>
      </c>
      <c r="AL315" s="226">
        <f t="shared" si="73"/>
        <v>0.56388303338167967</v>
      </c>
      <c r="AM315" s="226">
        <f t="shared" si="73"/>
        <v>0.54003135874403996</v>
      </c>
      <c r="AN315" s="226">
        <f t="shared" si="73"/>
        <v>0.51718858550853686</v>
      </c>
      <c r="AO315" s="226">
        <f t="shared" si="73"/>
        <v>0.49531203817943698</v>
      </c>
      <c r="AP315" s="226">
        <f t="shared" si="73"/>
        <v>0.47436084639075715</v>
      </c>
      <c r="AQ315" s="226">
        <f t="shared" si="73"/>
        <v>0.45429586855112541</v>
      </c>
      <c r="AR315" s="226">
        <f t="shared" si="73"/>
        <v>0.43507961871838585</v>
      </c>
      <c r="AS315" s="226">
        <f t="shared" si="73"/>
        <v>0.41667619656733301</v>
      </c>
      <c r="AT315" s="226">
        <f t="shared" si="73"/>
        <v>0.39905122031973922</v>
      </c>
      <c r="AU315" s="226">
        <f t="shared" si="73"/>
        <v>0.38217176251137325</v>
      </c>
      <c r="AV315" s="226">
        <f t="shared" si="73"/>
        <v>0.36600628847600791</v>
      </c>
      <c r="AW315" s="226">
        <f t="shared" si="73"/>
        <v>0.35052459743149161</v>
      </c>
      <c r="AX315" s="226">
        <f t="shared" si="73"/>
        <v>0.33569776605781826</v>
      </c>
      <c r="AY315" s="226">
        <f t="shared" si="71"/>
        <v>0.3214980944617874</v>
      </c>
      <c r="AZ315" s="226">
        <f t="shared" si="71"/>
        <v>0.30789905442730348</v>
      </c>
      <c r="BA315" s="226">
        <f t="shared" si="71"/>
        <v>0.29487523985463476</v>
      </c>
      <c r="BB315" s="226">
        <f t="shared" si="74"/>
        <v>0.28240231929604076</v>
      </c>
      <c r="BC315" s="226">
        <f t="shared" si="74"/>
        <v>0.27045699049909377</v>
      </c>
      <c r="BD315" s="226">
        <f t="shared" si="74"/>
        <v>0.25901693687277166</v>
      </c>
      <c r="BE315" s="226">
        <f t="shared" si="74"/>
        <v>0.24806078579499014</v>
      </c>
    </row>
    <row r="316" spans="5:57" s="10" customFormat="1" x14ac:dyDescent="0.35">
      <c r="E316" s="10" t="s">
        <v>632</v>
      </c>
      <c r="F316" s="10" t="s">
        <v>615</v>
      </c>
      <c r="G316" s="43" t="s">
        <v>616</v>
      </c>
      <c r="I316" s="20"/>
      <c r="J316" s="200"/>
      <c r="K316" s="200"/>
      <c r="L316" s="200"/>
      <c r="M316" s="200"/>
      <c r="N316" s="200">
        <v>1.5726</v>
      </c>
      <c r="O316" s="226">
        <f t="shared" si="72"/>
        <v>1.5069118797399128</v>
      </c>
      <c r="P316" s="226">
        <f t="shared" si="72"/>
        <v>1.4439675780880565</v>
      </c>
      <c r="Q316" s="226">
        <f t="shared" si="72"/>
        <v>1.3836524846624461</v>
      </c>
      <c r="R316" s="226">
        <f t="shared" si="72"/>
        <v>1.3258567764018108</v>
      </c>
      <c r="S316" s="226">
        <f t="shared" si="72"/>
        <v>1.2704752175973255</v>
      </c>
      <c r="T316" s="226">
        <f t="shared" si="72"/>
        <v>1.2174069682770956</v>
      </c>
      <c r="U316" s="226">
        <f t="shared" si="72"/>
        <v>1.1665554005944974</v>
      </c>
      <c r="V316" s="226">
        <f t="shared" si="72"/>
        <v>1.1178279228860493</v>
      </c>
      <c r="W316" s="226">
        <f t="shared" si="72"/>
        <v>1.0711358110784555</v>
      </c>
      <c r="X316" s="226">
        <f t="shared" si="72"/>
        <v>1.0263940471378428</v>
      </c>
      <c r="Y316" s="226">
        <f t="shared" si="72"/>
        <v>0.98352116426703762</v>
      </c>
      <c r="Z316" s="226">
        <f t="shared" si="72"/>
        <v>0.94243909856901265</v>
      </c>
      <c r="AA316" s="226">
        <f t="shared" si="72"/>
        <v>0.90307304690640966</v>
      </c>
      <c r="AB316" s="226">
        <f t="shared" si="72"/>
        <v>0.86535133069832648</v>
      </c>
      <c r="AC316" s="226">
        <f t="shared" si="72"/>
        <v>0.8292052654063653</v>
      </c>
      <c r="AD316" s="226">
        <f t="shared" ref="AD316:AG331" si="75">AC316*(1+($AH316/$N316)^(1/($AH$6-$N$6))-1)</f>
        <v>0.79456903547230018</v>
      </c>
      <c r="AE316" s="226">
        <f t="shared" si="75"/>
        <v>0.76137957447964733</v>
      </c>
      <c r="AF316" s="226">
        <f t="shared" si="75"/>
        <v>0.72957645032093377</v>
      </c>
      <c r="AG316" s="226">
        <f t="shared" si="75"/>
        <v>0.69910175516157413</v>
      </c>
      <c r="AH316" s="227">
        <v>0.66990000000000005</v>
      </c>
      <c r="AI316" s="226">
        <f t="shared" si="73"/>
        <v>0.6419180136320537</v>
      </c>
      <c r="AJ316" s="226">
        <f t="shared" si="73"/>
        <v>0.61510484583567915</v>
      </c>
      <c r="AK316" s="226">
        <f t="shared" si="73"/>
        <v>0.58941167459962651</v>
      </c>
      <c r="AL316" s="226">
        <f t="shared" si="73"/>
        <v>0.56479171722724986</v>
      </c>
      <c r="AM316" s="226">
        <f t="shared" si="73"/>
        <v>0.54120014515353454</v>
      </c>
      <c r="AN316" s="226">
        <f t="shared" si="73"/>
        <v>0.51859400232025077</v>
      </c>
      <c r="AO316" s="226">
        <f t="shared" si="73"/>
        <v>0.49693212696060907</v>
      </c>
      <c r="AP316" s="226">
        <f t="shared" si="73"/>
        <v>0.47617507665100117</v>
      </c>
      <c r="AQ316" s="226">
        <f t="shared" si="73"/>
        <v>0.4562850564933596</v>
      </c>
      <c r="AR316" s="226">
        <f t="shared" si="73"/>
        <v>0.43722585029736799</v>
      </c>
      <c r="AS316" s="226">
        <f t="shared" si="73"/>
        <v>0.41896275463721772</v>
      </c>
      <c r="AT316" s="226">
        <f t="shared" si="73"/>
        <v>0.40146251566283969</v>
      </c>
      <c r="AU316" s="226">
        <f t="shared" si="73"/>
        <v>0.38469326855055574</v>
      </c>
      <c r="AV316" s="226">
        <f t="shared" si="73"/>
        <v>0.36862447948290034</v>
      </c>
      <c r="AW316" s="226">
        <f t="shared" si="73"/>
        <v>0.35322689005196761</v>
      </c>
      <c r="AX316" s="226">
        <f t="shared" ref="AX316:BE331" si="76">AW316*(1+($AH316/$N316)^(1/($AH$6-$N$6))-1)</f>
        <v>0.33847246398505282</v>
      </c>
      <c r="AY316" s="226">
        <f t="shared" si="76"/>
        <v>0.32433433609558432</v>
      </c>
      <c r="AZ316" s="226">
        <f t="shared" si="76"/>
        <v>0.31078676336639555</v>
      </c>
      <c r="BA316" s="226">
        <f t="shared" si="76"/>
        <v>0.29780507807626772</v>
      </c>
      <c r="BB316" s="226">
        <f t="shared" si="74"/>
        <v>0.28536564288439531</v>
      </c>
      <c r="BC316" s="226">
        <f t="shared" si="74"/>
        <v>0.27344580779099126</v>
      </c>
      <c r="BD316" s="226">
        <f t="shared" si="74"/>
        <v>0.2620238688956642</v>
      </c>
      <c r="BE316" s="226">
        <f t="shared" si="74"/>
        <v>0.25107902887847505</v>
      </c>
    </row>
    <row r="317" spans="5:57" s="10" customFormat="1" x14ac:dyDescent="0.35">
      <c r="E317" s="109" t="s">
        <v>633</v>
      </c>
      <c r="F317" s="10" t="s">
        <v>615</v>
      </c>
      <c r="G317" s="43" t="s">
        <v>616</v>
      </c>
      <c r="I317" s="20"/>
      <c r="J317" s="200"/>
      <c r="K317" s="200"/>
      <c r="L317" s="200"/>
      <c r="M317" s="200"/>
      <c r="N317" s="200">
        <v>1.5314000000000001</v>
      </c>
      <c r="O317" s="226">
        <f t="shared" ref="O317:AD332" si="77">N317*(1+($AH317/$N317)^(1/($AH$6-$N$6))-1)</f>
        <v>1.4651441983252242</v>
      </c>
      <c r="P317" s="226">
        <f t="shared" si="77"/>
        <v>1.401754944420833</v>
      </c>
      <c r="Q317" s="226">
        <f t="shared" si="77"/>
        <v>1.3411082175080844</v>
      </c>
      <c r="R317" s="226">
        <f t="shared" si="77"/>
        <v>1.2830853625494663</v>
      </c>
      <c r="S317" s="226">
        <f t="shared" si="77"/>
        <v>1.2275728581006708</v>
      </c>
      <c r="T317" s="226">
        <f t="shared" si="77"/>
        <v>1.1744620942064199</v>
      </c>
      <c r="U317" s="226">
        <f t="shared" si="77"/>
        <v>1.1236491599055956</v>
      </c>
      <c r="V317" s="226">
        <f t="shared" si="77"/>
        <v>1.0750346399299304</v>
      </c>
      <c r="W317" s="226">
        <f t="shared" si="77"/>
        <v>1.0285234201985007</v>
      </c>
      <c r="X317" s="226">
        <f t="shared" si="77"/>
        <v>0.98402450172747158</v>
      </c>
      <c r="Y317" s="226">
        <f t="shared" si="77"/>
        <v>0.9414508225910112</v>
      </c>
      <c r="Z317" s="226">
        <f t="shared" si="77"/>
        <v>0.90071908758503982</v>
      </c>
      <c r="AA317" s="226">
        <f t="shared" si="77"/>
        <v>0.86174960526055278</v>
      </c>
      <c r="AB317" s="226">
        <f t="shared" si="77"/>
        <v>0.82446613200767338</v>
      </c>
      <c r="AC317" s="226">
        <f t="shared" si="77"/>
        <v>0.78879572288538657</v>
      </c>
      <c r="AD317" s="226">
        <f t="shared" si="77"/>
        <v>0.75466858890510347</v>
      </c>
      <c r="AE317" s="226">
        <f t="shared" si="75"/>
        <v>0.72201796048883116</v>
      </c>
      <c r="AF317" s="226">
        <f t="shared" si="75"/>
        <v>0.69077995683480597</v>
      </c>
      <c r="AG317" s="226">
        <f t="shared" si="75"/>
        <v>0.66089346093500378</v>
      </c>
      <c r="AH317" s="227">
        <v>0.63229999999999997</v>
      </c>
      <c r="AI317" s="226">
        <f t="shared" ref="AI317:AX332" si="78">AH317*(1+($AH317/$N317)^(1/($AH$6-$N$6))-1)</f>
        <v>0.60494363105722815</v>
      </c>
      <c r="AJ317" s="226">
        <f t="shared" si="78"/>
        <v>0.5787708314988198</v>
      </c>
      <c r="AK317" s="226">
        <f t="shared" si="78"/>
        <v>0.55373039436486993</v>
      </c>
      <c r="AL317" s="226">
        <f t="shared" si="78"/>
        <v>0.52977332815725975</v>
      </c>
      <c r="AM317" s="226">
        <f t="shared" si="78"/>
        <v>0.50685276098802023</v>
      </c>
      <c r="AN317" s="226">
        <f t="shared" si="78"/>
        <v>0.48492384887470247</v>
      </c>
      <c r="AO317" s="226">
        <f t="shared" si="78"/>
        <v>0.46394368800333557</v>
      </c>
      <c r="AP317" s="226">
        <f t="shared" si="78"/>
        <v>0.44387123078731555</v>
      </c>
      <c r="AQ317" s="226">
        <f t="shared" si="78"/>
        <v>0.42466720555799398</v>
      </c>
      <c r="AR317" s="226">
        <f t="shared" si="78"/>
        <v>0.40629403972984213</v>
      </c>
      <c r="AS317" s="226">
        <f t="shared" si="78"/>
        <v>0.38871578628986309</v>
      </c>
      <c r="AT317" s="226">
        <f t="shared" si="78"/>
        <v>0.37189805346742888</v>
      </c>
      <c r="AU317" s="226">
        <f t="shared" si="78"/>
        <v>0.35580793744694228</v>
      </c>
      <c r="AV317" s="226">
        <f t="shared" si="78"/>
        <v>0.3404139579916754</v>
      </c>
      <c r="AW317" s="226">
        <f t="shared" si="78"/>
        <v>0.32568599685283384</v>
      </c>
      <c r="AX317" s="226">
        <f t="shared" si="78"/>
        <v>0.31159523884334378</v>
      </c>
      <c r="AY317" s="226">
        <f t="shared" si="76"/>
        <v>0.2981141154610733</v>
      </c>
      <c r="AZ317" s="226">
        <f t="shared" si="76"/>
        <v>0.28521625095118686</v>
      </c>
      <c r="BA317" s="226">
        <f t="shared" si="76"/>
        <v>0.27287641070210433</v>
      </c>
      <c r="BB317" s="226">
        <f t="shared" si="76"/>
        <v>0.26107045187410166</v>
      </c>
      <c r="BC317" s="226">
        <f t="shared" si="76"/>
        <v>0.24977527616395762</v>
      </c>
      <c r="BD317" s="226">
        <f t="shared" si="76"/>
        <v>0.23896878461323179</v>
      </c>
      <c r="BE317" s="226">
        <f t="shared" si="76"/>
        <v>0.22862983437175569</v>
      </c>
    </row>
    <row r="318" spans="5:57" s="10" customFormat="1" x14ac:dyDescent="0.35">
      <c r="E318" s="109" t="s">
        <v>634</v>
      </c>
      <c r="F318" s="10" t="s">
        <v>615</v>
      </c>
      <c r="G318" s="43" t="s">
        <v>616</v>
      </c>
      <c r="I318" s="20"/>
      <c r="J318" s="200"/>
      <c r="K318" s="200"/>
      <c r="L318" s="200"/>
      <c r="M318" s="200"/>
      <c r="N318" s="200">
        <v>1.4913000000000001</v>
      </c>
      <c r="O318" s="226">
        <f t="shared" si="77"/>
        <v>1.4245516749408704</v>
      </c>
      <c r="P318" s="226">
        <f t="shared" si="77"/>
        <v>1.3607909036255881</v>
      </c>
      <c r="Q318" s="226">
        <f t="shared" si="77"/>
        <v>1.2998839676819769</v>
      </c>
      <c r="R318" s="226">
        <f t="shared" si="77"/>
        <v>1.2417031337692916</v>
      </c>
      <c r="S318" s="226">
        <f t="shared" si="77"/>
        <v>1.1861263856972923</v>
      </c>
      <c r="T318" s="226">
        <f t="shared" si="77"/>
        <v>1.1330371685352636</v>
      </c>
      <c r="U318" s="226">
        <f t="shared" si="77"/>
        <v>1.0823241441743252</v>
      </c>
      <c r="V318" s="226">
        <f t="shared" si="77"/>
        <v>1.0338809578304025</v>
      </c>
      <c r="W318" s="226">
        <f t="shared" si="77"/>
        <v>0.98760601499817025</v>
      </c>
      <c r="X318" s="226">
        <f t="shared" si="77"/>
        <v>0.94340226838819952</v>
      </c>
      <c r="Y318" s="226">
        <f t="shared" si="77"/>
        <v>0.9011770144004736</v>
      </c>
      <c r="Z318" s="226">
        <f t="shared" si="77"/>
        <v>0.86084169870744154</v>
      </c>
      <c r="AA318" s="226">
        <f t="shared" si="77"/>
        <v>0.82231173053887885</v>
      </c>
      <c r="AB318" s="226">
        <f t="shared" si="77"/>
        <v>0.78550630527907572</v>
      </c>
      <c r="AC318" s="226">
        <f t="shared" si="77"/>
        <v>0.75034823500430636</v>
      </c>
      <c r="AD318" s="226">
        <f t="shared" si="77"/>
        <v>0.71676378660518369</v>
      </c>
      <c r="AE318" s="226">
        <f t="shared" si="75"/>
        <v>0.68468252715441236</v>
      </c>
      <c r="AF318" s="226">
        <f t="shared" si="75"/>
        <v>0.6540371761956455</v>
      </c>
      <c r="AG318" s="226">
        <f t="shared" si="75"/>
        <v>0.62476346464366928</v>
      </c>
      <c r="AH318" s="227">
        <v>0.5968</v>
      </c>
      <c r="AI318" s="226">
        <f t="shared" si="78"/>
        <v>0.57008813760122812</v>
      </c>
      <c r="AJ318" s="226">
        <f t="shared" si="78"/>
        <v>0.54457185763008853</v>
      </c>
      <c r="AK318" s="226">
        <f t="shared" si="78"/>
        <v>0.52019764763133092</v>
      </c>
      <c r="AL318" s="226">
        <f t="shared" si="78"/>
        <v>0.49691439028600093</v>
      </c>
      <c r="AM318" s="226">
        <f t="shared" si="78"/>
        <v>0.4746732562087736</v>
      </c>
      <c r="AN318" s="226">
        <f t="shared" si="78"/>
        <v>0.45342760154351597</v>
      </c>
      <c r="AO318" s="226">
        <f t="shared" si="78"/>
        <v>0.43313287014231699</v>
      </c>
      <c r="AP318" s="226">
        <f t="shared" si="78"/>
        <v>0.41374650012283526</v>
      </c>
      <c r="AQ318" s="226">
        <f t="shared" si="78"/>
        <v>0.39522783460799843</v>
      </c>
      <c r="AR318" s="226">
        <f t="shared" si="78"/>
        <v>0.37753803646085798</v>
      </c>
      <c r="AS318" s="226">
        <f t="shared" si="78"/>
        <v>0.36064000683578262</v>
      </c>
      <c r="AT318" s="226">
        <f t="shared" si="78"/>
        <v>0.34449830737517678</v>
      </c>
      <c r="AU318" s="226">
        <f t="shared" si="78"/>
        <v>0.32907908588855556</v>
      </c>
      <c r="AV318" s="226">
        <f t="shared" si="78"/>
        <v>0.31435000535811197</v>
      </c>
      <c r="AW318" s="226">
        <f t="shared" si="78"/>
        <v>0.30028017612188695</v>
      </c>
      <c r="AX318" s="226">
        <f t="shared" si="78"/>
        <v>0.28684009109231789</v>
      </c>
      <c r="AY318" s="226">
        <f t="shared" si="76"/>
        <v>0.27400156387430652</v>
      </c>
      <c r="AZ318" s="226">
        <f t="shared" si="76"/>
        <v>0.26173766965302842</v>
      </c>
      <c r="BA318" s="226">
        <f t="shared" si="76"/>
        <v>0.25002268872751415</v>
      </c>
      <c r="BB318" s="226">
        <f t="shared" si="76"/>
        <v>0.23883205257158197</v>
      </c>
      <c r="BC318" s="226">
        <f t="shared" si="76"/>
        <v>0.22814229230900096</v>
      </c>
      <c r="BD318" s="226">
        <f t="shared" si="76"/>
        <v>0.217930989494828</v>
      </c>
      <c r="BE318" s="226">
        <f t="shared" si="76"/>
        <v>0.20817672909969723</v>
      </c>
    </row>
    <row r="319" spans="5:57" s="10" customFormat="1" x14ac:dyDescent="0.35">
      <c r="E319" s="109" t="s">
        <v>635</v>
      </c>
      <c r="F319" s="10" t="s">
        <v>615</v>
      </c>
      <c r="G319" s="43" t="s">
        <v>616</v>
      </c>
      <c r="I319" s="20"/>
      <c r="J319" s="200"/>
      <c r="K319" s="200"/>
      <c r="L319" s="200"/>
      <c r="M319" s="200"/>
      <c r="N319" s="200">
        <v>1.4521999999999999</v>
      </c>
      <c r="O319" s="226">
        <f t="shared" si="77"/>
        <v>1.3850270108375193</v>
      </c>
      <c r="P319" s="226">
        <f t="shared" si="77"/>
        <v>1.3209611766626594</v>
      </c>
      <c r="Q319" s="226">
        <f t="shared" si="77"/>
        <v>1.2598587728587629</v>
      </c>
      <c r="R319" s="226">
        <f t="shared" si="77"/>
        <v>1.2015827229376101</v>
      </c>
      <c r="S319" s="226">
        <f t="shared" si="77"/>
        <v>1.1460022910234715</v>
      </c>
      <c r="T319" s="226">
        <f t="shared" si="77"/>
        <v>1.0929927885616222</v>
      </c>
      <c r="U319" s="226">
        <f t="shared" si="77"/>
        <v>1.0424352945933537</v>
      </c>
      <c r="V319" s="226">
        <f t="shared" si="77"/>
        <v>0.99421638896995013</v>
      </c>
      <c r="W319" s="226">
        <f t="shared" si="77"/>
        <v>0.94822789790712192</v>
      </c>
      <c r="X319" s="226">
        <f t="shared" si="77"/>
        <v>0.90436665130907967</v>
      </c>
      <c r="Y319" s="226">
        <f t="shared" si="77"/>
        <v>0.86253425131782935</v>
      </c>
      <c r="Z319" s="226">
        <f t="shared" si="77"/>
        <v>0.82263685156845534</v>
      </c>
      <c r="AA319" s="226">
        <f t="shared" si="77"/>
        <v>0.78458494665517542</v>
      </c>
      <c r="AB319" s="226">
        <f t="shared" si="77"/>
        <v>0.74829317133585749</v>
      </c>
      <c r="AC319" s="226">
        <f t="shared" si="77"/>
        <v>0.71368010902453549</v>
      </c>
      <c r="AD319" s="226">
        <f t="shared" si="77"/>
        <v>0.68066810914229947</v>
      </c>
      <c r="AE319" s="226">
        <f t="shared" si="75"/>
        <v>0.64918311291680586</v>
      </c>
      <c r="AF319" s="226">
        <f t="shared" si="75"/>
        <v>0.61915448723960842</v>
      </c>
      <c r="AG319" s="226">
        <f t="shared" si="75"/>
        <v>0.59051486620858828</v>
      </c>
      <c r="AH319" s="227">
        <v>0.56320000000000003</v>
      </c>
      <c r="AI319" s="226">
        <f t="shared" si="78"/>
        <v>0.53714861073109144</v>
      </c>
      <c r="AJ319" s="226">
        <f t="shared" si="78"/>
        <v>0.51230225498995308</v>
      </c>
      <c r="AK319" s="226">
        <f t="shared" si="78"/>
        <v>0.48860519272418079</v>
      </c>
      <c r="AL319" s="226">
        <f t="shared" si="78"/>
        <v>0.46600426219423091</v>
      </c>
      <c r="AM319" s="226">
        <f t="shared" si="78"/>
        <v>0.44444876071093464</v>
      </c>
      <c r="AN319" s="226">
        <f t="shared" si="78"/>
        <v>0.42389033088961969</v>
      </c>
      <c r="AO319" s="226">
        <f t="shared" si="78"/>
        <v>0.40428285216566379</v>
      </c>
      <c r="AP319" s="226">
        <f t="shared" si="78"/>
        <v>0.38558233732810637</v>
      </c>
      <c r="AQ319" s="226">
        <f t="shared" si="78"/>
        <v>0.36774683383920342</v>
      </c>
      <c r="AR319" s="226">
        <f t="shared" si="78"/>
        <v>0.3507363297185469</v>
      </c>
      <c r="AS319" s="226">
        <f t="shared" si="78"/>
        <v>0.33451266378060984</v>
      </c>
      <c r="AT319" s="226">
        <f t="shared" si="78"/>
        <v>0.31903944002434526</v>
      </c>
      <c r="AU319" s="226">
        <f t="shared" si="78"/>
        <v>0.30428194598278124</v>
      </c>
      <c r="AV319" s="226">
        <f t="shared" si="78"/>
        <v>0.29020707484943881</v>
      </c>
      <c r="AW319" s="226">
        <f t="shared" si="78"/>
        <v>0.27678325120687125</v>
      </c>
      <c r="AX319" s="226">
        <f t="shared" si="78"/>
        <v>0.26398036019070592</v>
      </c>
      <c r="AY319" s="226">
        <f t="shared" si="76"/>
        <v>0.25176967993027483</v>
      </c>
      <c r="AZ319" s="226">
        <f t="shared" si="76"/>
        <v>0.24012381711427319</v>
      </c>
      <c r="BA319" s="226">
        <f t="shared" si="76"/>
        <v>0.22901664553689366</v>
      </c>
      <c r="BB319" s="226">
        <f t="shared" si="76"/>
        <v>0.21842324748657177</v>
      </c>
      <c r="BC319" s="226">
        <f t="shared" si="76"/>
        <v>0.20831985784585472</v>
      </c>
      <c r="BD319" s="226">
        <f t="shared" si="76"/>
        <v>0.19868381077698741</v>
      </c>
      <c r="BE319" s="226">
        <f t="shared" si="76"/>
        <v>0.1894934888736112</v>
      </c>
    </row>
    <row r="320" spans="5:57" s="10" customFormat="1" x14ac:dyDescent="0.35">
      <c r="E320" s="10" t="s">
        <v>636</v>
      </c>
      <c r="F320" s="10" t="s">
        <v>615</v>
      </c>
      <c r="G320" s="43" t="s">
        <v>616</v>
      </c>
      <c r="I320" s="20"/>
      <c r="J320" s="200"/>
      <c r="K320" s="200"/>
      <c r="L320" s="200"/>
      <c r="M320" s="200"/>
      <c r="N320" s="200">
        <v>1.4140999999999999</v>
      </c>
      <c r="O320" s="226">
        <f t="shared" si="77"/>
        <v>1.3465899372712546</v>
      </c>
      <c r="P320" s="226">
        <f t="shared" si="77"/>
        <v>1.2823028492752999</v>
      </c>
      <c r="Q320" s="226">
        <f t="shared" si="77"/>
        <v>1.2210848690816614</v>
      </c>
      <c r="R320" s="226">
        <f t="shared" si="77"/>
        <v>1.1627894754681796</v>
      </c>
      <c r="S320" s="226">
        <f t="shared" si="77"/>
        <v>1.1072771422320706</v>
      </c>
      <c r="T320" s="226">
        <f t="shared" si="77"/>
        <v>1.0544150042431075</v>
      </c>
      <c r="U320" s="226">
        <f t="shared" si="77"/>
        <v>1.0040765394396407</v>
      </c>
      <c r="V320" s="226">
        <f t="shared" si="77"/>
        <v>0.9561412660063392</v>
      </c>
      <c r="W320" s="226">
        <f t="shared" si="77"/>
        <v>0.91049445400886386</v>
      </c>
      <c r="X320" s="226">
        <f t="shared" si="77"/>
        <v>0.86702685079529118</v>
      </c>
      <c r="Y320" s="226">
        <f t="shared" si="77"/>
        <v>0.82563441950705374</v>
      </c>
      <c r="Z320" s="226">
        <f t="shared" si="77"/>
        <v>0.7862180900735396</v>
      </c>
      <c r="AA320" s="226">
        <f t="shared" si="77"/>
        <v>0.74868352209437339</v>
      </c>
      <c r="AB320" s="226">
        <f t="shared" si="77"/>
        <v>0.71294087904185299</v>
      </c>
      <c r="AC320" s="226">
        <f t="shared" si="77"/>
        <v>0.67890461324311013</v>
      </c>
      <c r="AD320" s="226">
        <f t="shared" si="77"/>
        <v>0.64649326112736383</v>
      </c>
      <c r="AE320" s="226">
        <f t="shared" si="75"/>
        <v>0.61562924824820431</v>
      </c>
      <c r="AF320" s="226">
        <f t="shared" si="75"/>
        <v>0.58623870361424169</v>
      </c>
      <c r="AG320" s="226">
        <f t="shared" si="75"/>
        <v>0.5582512828837306</v>
      </c>
      <c r="AH320" s="227">
        <v>0.53159999999999996</v>
      </c>
      <c r="AI320" s="226">
        <f t="shared" si="78"/>
        <v>0.5062210668647189</v>
      </c>
      <c r="AJ320" s="226">
        <f t="shared" si="78"/>
        <v>0.48205374066526374</v>
      </c>
      <c r="AK320" s="226">
        <f t="shared" si="78"/>
        <v>0.45904017849077944</v>
      </c>
      <c r="AL320" s="226">
        <f t="shared" si="78"/>
        <v>0.43712529888896418</v>
      </c>
      <c r="AM320" s="226">
        <f t="shared" si="78"/>
        <v>0.41625665003222456</v>
      </c>
      <c r="AN320" s="226">
        <f t="shared" si="78"/>
        <v>0.39638428417766486</v>
      </c>
      <c r="AO320" s="226">
        <f t="shared" si="78"/>
        <v>0.37746063812043912</v>
      </c>
      <c r="AP320" s="226">
        <f t="shared" si="78"/>
        <v>0.35944041935433835</v>
      </c>
      <c r="AQ320" s="226">
        <f t="shared" si="78"/>
        <v>0.34228049766714658</v>
      </c>
      <c r="AR320" s="226">
        <f t="shared" si="78"/>
        <v>0.32593980191130528</v>
      </c>
      <c r="AS320" s="226">
        <f t="shared" si="78"/>
        <v>0.31037922170281435</v>
      </c>
      <c r="AT320" s="226">
        <f t="shared" si="78"/>
        <v>0.29556151381309215</v>
      </c>
      <c r="AU320" s="226">
        <f t="shared" si="78"/>
        <v>0.28145121302974957</v>
      </c>
      <c r="AV320" s="226">
        <f t="shared" si="78"/>
        <v>0.26801454727292912</v>
      </c>
      <c r="AW320" s="226">
        <f t="shared" si="78"/>
        <v>0.25521935676404595</v>
      </c>
      <c r="AX320" s="226">
        <f t="shared" si="78"/>
        <v>0.24303501705346625</v>
      </c>
      <c r="AY320" s="226">
        <f t="shared" si="76"/>
        <v>0.23143236572289475</v>
      </c>
      <c r="AZ320" s="226">
        <f t="shared" si="76"/>
        <v>0.22038363258703833</v>
      </c>
      <c r="BA320" s="226">
        <f t="shared" si="76"/>
        <v>0.2098623732274883</v>
      </c>
      <c r="BB320" s="226">
        <f t="shared" si="76"/>
        <v>0.19984340569973844</v>
      </c>
      <c r="BC320" s="226">
        <f t="shared" si="76"/>
        <v>0.19030275026185184</v>
      </c>
      <c r="BD320" s="226">
        <f t="shared" si="76"/>
        <v>0.18121757198052071</v>
      </c>
      <c r="BE320" s="226">
        <f t="shared" si="76"/>
        <v>0.17256612607715047</v>
      </c>
    </row>
    <row r="321" spans="5:57" s="10" customFormat="1" x14ac:dyDescent="0.35">
      <c r="E321" s="10" t="s">
        <v>637</v>
      </c>
      <c r="F321" s="10" t="s">
        <v>615</v>
      </c>
      <c r="G321" s="43" t="s">
        <v>616</v>
      </c>
      <c r="I321" s="20"/>
      <c r="J321" s="200"/>
      <c r="K321" s="200"/>
      <c r="L321" s="200"/>
      <c r="M321" s="200"/>
      <c r="N321" s="200">
        <v>1.3771</v>
      </c>
      <c r="O321" s="226">
        <f t="shared" si="77"/>
        <v>1.3093007282161411</v>
      </c>
      <c r="P321" s="226">
        <f t="shared" si="77"/>
        <v>1.2448394429651568</v>
      </c>
      <c r="Q321" s="226">
        <f t="shared" si="77"/>
        <v>1.1835518039259716</v>
      </c>
      <c r="R321" s="226">
        <f t="shared" si="77"/>
        <v>1.1252815618050993</v>
      </c>
      <c r="S321" s="226">
        <f t="shared" si="77"/>
        <v>1.0698801599881005</v>
      </c>
      <c r="T321" s="226">
        <f t="shared" si="77"/>
        <v>1.0172063558030802</v>
      </c>
      <c r="U321" s="226">
        <f t="shared" si="77"/>
        <v>0.96712586043065873</v>
      </c>
      <c r="V321" s="226">
        <f t="shared" si="77"/>
        <v>0.91951099654238877</v>
      </c>
      <c r="W321" s="226">
        <f t="shared" si="77"/>
        <v>0.87424037279478561</v>
      </c>
      <c r="X321" s="226">
        <f t="shared" si="77"/>
        <v>0.83119857434911304</v>
      </c>
      <c r="Y321" s="226">
        <f t="shared" si="77"/>
        <v>0.79027586862792254</v>
      </c>
      <c r="Z321" s="226">
        <f t="shared" si="77"/>
        <v>0.75136792555818932</v>
      </c>
      <c r="AA321" s="226">
        <f t="shared" si="77"/>
        <v>0.71437555158782129</v>
      </c>
      <c r="AB321" s="226">
        <f t="shared" si="77"/>
        <v>0.67920443679743081</v>
      </c>
      <c r="AC321" s="226">
        <f t="shared" si="77"/>
        <v>0.64576491446264628</v>
      </c>
      <c r="AD321" s="226">
        <f t="shared" si="77"/>
        <v>0.61397173245398073</v>
      </c>
      <c r="AE321" s="226">
        <f t="shared" si="75"/>
        <v>0.58374383589145507</v>
      </c>
      <c r="AF321" s="226">
        <f t="shared" si="75"/>
        <v>0.55500416049986623</v>
      </c>
      <c r="AG321" s="226">
        <f t="shared" si="75"/>
        <v>0.5276794361378716</v>
      </c>
      <c r="AH321" s="227">
        <v>0.50170000000000003</v>
      </c>
      <c r="AI321" s="226">
        <f t="shared" si="78"/>
        <v>0.47699961901534971</v>
      </c>
      <c r="AJ321" s="226">
        <f t="shared" si="78"/>
        <v>0.4535153209902108</v>
      </c>
      <c r="AK321" s="226">
        <f t="shared" si="78"/>
        <v>0.43118723406409121</v>
      </c>
      <c r="AL321" s="226">
        <f t="shared" si="78"/>
        <v>0.40995843406987026</v>
      </c>
      <c r="AM321" s="226">
        <f t="shared" si="78"/>
        <v>0.38977479940892457</v>
      </c>
      <c r="AN321" s="226">
        <f t="shared" si="78"/>
        <v>0.37058487307124049</v>
      </c>
      <c r="AO321" s="226">
        <f t="shared" si="78"/>
        <v>0.35233973144874114</v>
      </c>
      <c r="AP321" s="226">
        <f t="shared" si="78"/>
        <v>0.33499285960737524</v>
      </c>
      <c r="AQ321" s="226">
        <f t="shared" si="78"/>
        <v>0.31850003269998106</v>
      </c>
      <c r="AR321" s="226">
        <f t="shared" si="78"/>
        <v>0.30281920321759492</v>
      </c>
      <c r="AS321" s="226">
        <f t="shared" si="78"/>
        <v>0.28791039379175709</v>
      </c>
      <c r="AT321" s="226">
        <f t="shared" si="78"/>
        <v>0.27373559527452146</v>
      </c>
      <c r="AU321" s="226">
        <f t="shared" si="78"/>
        <v>0.26025866983632984</v>
      </c>
      <c r="AV321" s="226">
        <f t="shared" si="78"/>
        <v>0.24744525883470403</v>
      </c>
      <c r="AW321" s="226">
        <f t="shared" si="78"/>
        <v>0.23526269521887266</v>
      </c>
      <c r="AX321" s="226">
        <f t="shared" si="78"/>
        <v>0.22367992024701333</v>
      </c>
      <c r="AY321" s="226">
        <f t="shared" si="76"/>
        <v>0.21266740430378545</v>
      </c>
      <c r="AZ321" s="226">
        <f t="shared" si="76"/>
        <v>0.20219707161628261</v>
      </c>
      <c r="BA321" s="226">
        <f t="shared" si="76"/>
        <v>0.19224222867647237</v>
      </c>
      <c r="BB321" s="226">
        <f t="shared" si="76"/>
        <v>0.18277749618764011</v>
      </c>
      <c r="BC321" s="226">
        <f t="shared" si="76"/>
        <v>0.17377874436133917</v>
      </c>
      <c r="BD321" s="226">
        <f t="shared" si="76"/>
        <v>0.16522303139988964</v>
      </c>
      <c r="BE321" s="226">
        <f t="shared" si="76"/>
        <v>0.15708854500759123</v>
      </c>
    </row>
    <row r="322" spans="5:57" s="10" customFormat="1" x14ac:dyDescent="0.35">
      <c r="E322" s="10" t="s">
        <v>638</v>
      </c>
      <c r="F322" s="10" t="s">
        <v>615</v>
      </c>
      <c r="G322" s="43" t="s">
        <v>616</v>
      </c>
      <c r="I322" s="20"/>
      <c r="J322" s="200"/>
      <c r="K322" s="200"/>
      <c r="L322" s="200"/>
      <c r="M322" s="200"/>
      <c r="N322" s="200">
        <v>1.3491</v>
      </c>
      <c r="O322" s="226">
        <f t="shared" si="77"/>
        <v>1.2816405798733499</v>
      </c>
      <c r="P322" s="226">
        <f t="shared" si="77"/>
        <v>1.2175543517738467</v>
      </c>
      <c r="Q322" s="226">
        <f t="shared" si="77"/>
        <v>1.1566726450483684</v>
      </c>
      <c r="R322" s="226">
        <f t="shared" si="77"/>
        <v>1.098835223129073</v>
      </c>
      <c r="S322" s="226">
        <f t="shared" si="77"/>
        <v>1.0438898618015024</v>
      </c>
      <c r="T322" s="226">
        <f t="shared" si="77"/>
        <v>0.99169194856066178</v>
      </c>
      <c r="U322" s="226">
        <f t="shared" si="77"/>
        <v>0.94210410200060701</v>
      </c>
      <c r="V322" s="226">
        <f t="shared" si="77"/>
        <v>0.89499581023580133</v>
      </c>
      <c r="W322" s="226">
        <f t="shared" si="77"/>
        <v>0.85024308740258769</v>
      </c>
      <c r="X322" s="226">
        <f t="shared" si="77"/>
        <v>0.80772814733671328</v>
      </c>
      <c r="Y322" s="226">
        <f t="shared" si="77"/>
        <v>0.76733909356804675</v>
      </c>
      <c r="Z322" s="226">
        <f t="shared" si="77"/>
        <v>0.72896962481657568</v>
      </c>
      <c r="AA322" s="226">
        <f t="shared" si="77"/>
        <v>0.69251875521456852</v>
      </c>
      <c r="AB322" s="226">
        <f t="shared" si="77"/>
        <v>0.65789054851854578</v>
      </c>
      <c r="AC322" s="226">
        <f t="shared" si="77"/>
        <v>0.6249938656115227</v>
      </c>
      <c r="AD322" s="226">
        <f t="shared" si="77"/>
        <v>0.59374212463096765</v>
      </c>
      <c r="AE322" s="226">
        <f t="shared" si="75"/>
        <v>0.56405307309114838</v>
      </c>
      <c r="AF322" s="226">
        <f t="shared" si="75"/>
        <v>0.53584857140010711</v>
      </c>
      <c r="AG322" s="226">
        <f t="shared" si="75"/>
        <v>0.50905438720149687</v>
      </c>
      <c r="AH322" s="227">
        <v>0.48359999999999997</v>
      </c>
      <c r="AI322" s="226">
        <f t="shared" si="78"/>
        <v>0.45941841555611296</v>
      </c>
      <c r="AJ322" s="226">
        <f t="shared" si="78"/>
        <v>0.43644598956180586</v>
      </c>
      <c r="AK322" s="226">
        <f t="shared" si="78"/>
        <v>0.41462226013297082</v>
      </c>
      <c r="AL322" s="226">
        <f t="shared" si="78"/>
        <v>0.39388978867779978</v>
      </c>
      <c r="AM322" s="226">
        <f t="shared" si="78"/>
        <v>0.37419400872226416</v>
      </c>
      <c r="AN322" s="226">
        <f t="shared" si="78"/>
        <v>0.35548308229481584</v>
      </c>
      <c r="AO322" s="226">
        <f t="shared" si="78"/>
        <v>0.33770776349232345</v>
      </c>
      <c r="AP322" s="226">
        <f t="shared" si="78"/>
        <v>0.3208212688681592</v>
      </c>
      <c r="AQ322" s="226">
        <f t="shared" si="78"/>
        <v>0.3047791543013057</v>
      </c>
      <c r="AR322" s="226">
        <f t="shared" si="78"/>
        <v>0.28953919802241096</v>
      </c>
      <c r="AS322" s="226">
        <f t="shared" si="78"/>
        <v>0.27506128948892411</v>
      </c>
      <c r="AT322" s="226">
        <f t="shared" si="78"/>
        <v>0.26130732381683797</v>
      </c>
      <c r="AU322" s="226">
        <f t="shared" si="78"/>
        <v>0.24824110149119075</v>
      </c>
      <c r="AV322" s="226">
        <f t="shared" si="78"/>
        <v>0.23582823309137116</v>
      </c>
      <c r="AW322" s="226">
        <f t="shared" si="78"/>
        <v>0.22403604878047029</v>
      </c>
      <c r="AX322" s="226">
        <f t="shared" si="78"/>
        <v>0.21283351232046258</v>
      </c>
      <c r="AY322" s="226">
        <f t="shared" si="76"/>
        <v>0.20219113938690939</v>
      </c>
      <c r="AZ322" s="226">
        <f t="shared" si="76"/>
        <v>0.19208091996819501</v>
      </c>
      <c r="BA322" s="226">
        <f t="shared" si="76"/>
        <v>0.18247624464505521</v>
      </c>
      <c r="BB322" s="226">
        <f t="shared" si="76"/>
        <v>0.17335183455637079</v>
      </c>
      <c r="BC322" s="226">
        <f t="shared" si="76"/>
        <v>0.16468367486690097</v>
      </c>
      <c r="BD322" s="226">
        <f t="shared" si="76"/>
        <v>0.15644895156184804</v>
      </c>
      <c r="BE322" s="226">
        <f t="shared" si="76"/>
        <v>0.14862599140190094</v>
      </c>
    </row>
    <row r="323" spans="5:57" s="10" customFormat="1" x14ac:dyDescent="0.35">
      <c r="E323" s="10" t="s">
        <v>639</v>
      </c>
      <c r="F323" s="10" t="s">
        <v>615</v>
      </c>
      <c r="G323" s="43" t="s">
        <v>616</v>
      </c>
      <c r="I323" s="20"/>
      <c r="J323" s="200"/>
      <c r="K323" s="200"/>
      <c r="L323" s="200"/>
      <c r="M323" s="200"/>
      <c r="N323" s="200">
        <v>1.3216000000000001</v>
      </c>
      <c r="O323" s="226">
        <f t="shared" si="77"/>
        <v>1.254508597308623</v>
      </c>
      <c r="P323" s="226">
        <f t="shared" si="77"/>
        <v>1.1908231088992498</v>
      </c>
      <c r="Q323" s="226">
        <f t="shared" si="77"/>
        <v>1.1303706325574239</v>
      </c>
      <c r="R323" s="226">
        <f t="shared" si="77"/>
        <v>1.0729870434991484</v>
      </c>
      <c r="S323" s="226">
        <f t="shared" si="77"/>
        <v>1.0185165487821148</v>
      </c>
      <c r="T323" s="226">
        <f t="shared" si="77"/>
        <v>0.96681126433737175</v>
      </c>
      <c r="U323" s="226">
        <f t="shared" si="77"/>
        <v>0.91773081347310259</v>
      </c>
      <c r="V323" s="226">
        <f t="shared" si="77"/>
        <v>0.87114194576047466</v>
      </c>
      <c r="W323" s="226">
        <f t="shared" si="77"/>
        <v>0.8269181752668564</v>
      </c>
      <c r="X323" s="226">
        <f t="shared" si="77"/>
        <v>0.78493943715422976</v>
      </c>
      <c r="Y323" s="226">
        <f t="shared" si="77"/>
        <v>0.74509176171048175</v>
      </c>
      <c r="Z323" s="226">
        <f t="shared" si="77"/>
        <v>0.70726696492859198</v>
      </c>
      <c r="AA323" s="226">
        <f t="shared" si="77"/>
        <v>0.67136235479365536</v>
      </c>
      <c r="AB323" s="226">
        <f t="shared" si="77"/>
        <v>0.63728045248032883</v>
      </c>
      <c r="AC323" s="226">
        <f t="shared" si="77"/>
        <v>0.60492872770376949</v>
      </c>
      <c r="AD323" s="226">
        <f t="shared" si="77"/>
        <v>0.57421934750555825</v>
      </c>
      <c r="AE323" s="226">
        <f t="shared" si="75"/>
        <v>0.54506893779257759</v>
      </c>
      <c r="AF323" s="226">
        <f t="shared" si="75"/>
        <v>0.51739835698143732</v>
      </c>
      <c r="AG323" s="226">
        <f t="shared" si="75"/>
        <v>0.49113248113390517</v>
      </c>
      <c r="AH323" s="227">
        <v>0.4662</v>
      </c>
      <c r="AI323" s="226">
        <f t="shared" si="78"/>
        <v>0.44253322341501211</v>
      </c>
      <c r="AJ323" s="226">
        <f t="shared" si="78"/>
        <v>0.4200678975248413</v>
      </c>
      <c r="AK323" s="226">
        <f t="shared" si="78"/>
        <v>0.39874303034070141</v>
      </c>
      <c r="AL323" s="226">
        <f t="shared" si="78"/>
        <v>0.37850072614959368</v>
      </c>
      <c r="AM323" s="226">
        <f t="shared" si="78"/>
        <v>0.35928602833097906</v>
      </c>
      <c r="AN323" s="226">
        <f t="shared" si="78"/>
        <v>0.34104677015290757</v>
      </c>
      <c r="AO323" s="226">
        <f t="shared" si="78"/>
        <v>0.32373343314252451</v>
      </c>
      <c r="AP323" s="226">
        <f t="shared" si="78"/>
        <v>0.30729901264643861</v>
      </c>
      <c r="AQ323" s="226">
        <f t="shared" si="78"/>
        <v>0.29169889021595674</v>
      </c>
      <c r="AR323" s="226">
        <f t="shared" si="78"/>
        <v>0.27689071247071873</v>
      </c>
      <c r="AS323" s="226">
        <f t="shared" si="78"/>
        <v>0.26283427611185423</v>
      </c>
      <c r="AT323" s="226">
        <f t="shared" si="78"/>
        <v>0.24949141877247996</v>
      </c>
      <c r="AU323" s="226">
        <f t="shared" si="78"/>
        <v>0.23682591540920253</v>
      </c>
      <c r="AV323" s="226">
        <f t="shared" si="78"/>
        <v>0.2248033799533363</v>
      </c>
      <c r="AW323" s="226">
        <f t="shared" si="78"/>
        <v>0.21339117195482543</v>
      </c>
      <c r="AX323" s="226">
        <f t="shared" si="78"/>
        <v>0.20255830796541405</v>
      </c>
      <c r="AY323" s="226">
        <f t="shared" si="76"/>
        <v>0.1922753774204749</v>
      </c>
      <c r="AZ323" s="226">
        <f t="shared" si="76"/>
        <v>0.18251446279112138</v>
      </c>
      <c r="BA323" s="226">
        <f t="shared" si="76"/>
        <v>0.1732490637898203</v>
      </c>
      <c r="BB323" s="226">
        <f t="shared" si="76"/>
        <v>0.1644540254237285</v>
      </c>
      <c r="BC323" s="226">
        <f t="shared" si="76"/>
        <v>0.15610546970042241</v>
      </c>
      <c r="BD323" s="226">
        <f t="shared" si="76"/>
        <v>0.14818073080060581</v>
      </c>
      <c r="BE323" s="226">
        <f t="shared" si="76"/>
        <v>0.14065829354179377</v>
      </c>
    </row>
    <row r="324" spans="5:57" s="10" customFormat="1" x14ac:dyDescent="0.35">
      <c r="E324" s="10" t="s">
        <v>640</v>
      </c>
      <c r="F324" s="10" t="s">
        <v>615</v>
      </c>
      <c r="G324" s="43" t="s">
        <v>616</v>
      </c>
      <c r="I324" s="20"/>
      <c r="J324" s="200"/>
      <c r="K324" s="200"/>
      <c r="L324" s="200"/>
      <c r="M324" s="200"/>
      <c r="N324" s="200">
        <v>1.2948</v>
      </c>
      <c r="O324" s="226">
        <f t="shared" si="77"/>
        <v>1.2280594096777875</v>
      </c>
      <c r="P324" s="226">
        <f t="shared" si="77"/>
        <v>1.1647589694919338</v>
      </c>
      <c r="Q324" s="226">
        <f t="shared" si="77"/>
        <v>1.1047213565733489</v>
      </c>
      <c r="R324" s="226">
        <f t="shared" si="77"/>
        <v>1.0477783881772562</v>
      </c>
      <c r="S324" s="226">
        <f t="shared" si="77"/>
        <v>0.99377055055460684</v>
      </c>
      <c r="T324" s="226">
        <f t="shared" si="77"/>
        <v>0.94254655210786242</v>
      </c>
      <c r="U324" s="226">
        <f t="shared" si="77"/>
        <v>0.89396289957940644</v>
      </c>
      <c r="V324" s="226">
        <f t="shared" si="77"/>
        <v>0.84788349608536384</v>
      </c>
      <c r="W324" s="226">
        <f t="shared" si="77"/>
        <v>0.80417925986880645</v>
      </c>
      <c r="X324" s="226">
        <f t="shared" si="77"/>
        <v>0.76272776270436093</v>
      </c>
      <c r="Y324" s="226">
        <f t="shared" si="77"/>
        <v>0.72341288694128592</v>
      </c>
      <c r="Z324" s="226">
        <f t="shared" si="77"/>
        <v>0.68612450022429683</v>
      </c>
      <c r="AA324" s="226">
        <f t="shared" si="77"/>
        <v>0.6507581469809367</v>
      </c>
      <c r="AB324" s="226">
        <f t="shared" si="77"/>
        <v>0.6172147558112604</v>
      </c>
      <c r="AC324" s="226">
        <f t="shared" si="77"/>
        <v>0.58540036196014533</v>
      </c>
      <c r="AD324" s="226">
        <f t="shared" si="77"/>
        <v>0.55522584409479392</v>
      </c>
      <c r="AE324" s="226">
        <f t="shared" si="75"/>
        <v>0.52660667465006472</v>
      </c>
      <c r="AF324" s="226">
        <f t="shared" si="75"/>
        <v>0.4994626830422777</v>
      </c>
      <c r="AG324" s="226">
        <f t="shared" si="75"/>
        <v>0.47371783108818616</v>
      </c>
      <c r="AH324" s="227">
        <v>0.44929999999999998</v>
      </c>
      <c r="AI324" s="226">
        <f t="shared" si="78"/>
        <v>0.42614078835976976</v>
      </c>
      <c r="AJ324" s="226">
        <f t="shared" si="78"/>
        <v>0.40417532050720251</v>
      </c>
      <c r="AK324" s="226">
        <f t="shared" si="78"/>
        <v>0.38334206480414401</v>
      </c>
      <c r="AL324" s="226">
        <f t="shared" si="78"/>
        <v>0.36358266126663674</v>
      </c>
      <c r="AM324" s="226">
        <f t="shared" si="78"/>
        <v>0.34484175808169976</v>
      </c>
      <c r="AN324" s="226">
        <f t="shared" si="78"/>
        <v>0.32706685655086698</v>
      </c>
      <c r="AO324" s="226">
        <f t="shared" si="78"/>
        <v>0.3102081640261255</v>
      </c>
      <c r="AP324" s="226">
        <f t="shared" si="78"/>
        <v>0.29421845442628508</v>
      </c>
      <c r="AQ324" s="226">
        <f t="shared" si="78"/>
        <v>0.27905293594304498</v>
      </c>
      <c r="AR324" s="226">
        <f t="shared" si="78"/>
        <v>0.26466912556616407</v>
      </c>
      <c r="AS324" s="226">
        <f t="shared" si="78"/>
        <v>0.25102673007624315</v>
      </c>
      <c r="AT324" s="226">
        <f t="shared" si="78"/>
        <v>0.2380875331717458</v>
      </c>
      <c r="AU324" s="226">
        <f t="shared" si="78"/>
        <v>0.22581528841406764</v>
      </c>
      <c r="AV324" s="226">
        <f t="shared" si="78"/>
        <v>0.21417561769076246</v>
      </c>
      <c r="AW324" s="226">
        <f t="shared" si="78"/>
        <v>0.20313591491249092</v>
      </c>
      <c r="AX324" s="226">
        <f t="shared" si="78"/>
        <v>0.1926652546739194</v>
      </c>
      <c r="AY324" s="226">
        <f t="shared" si="76"/>
        <v>0.1827343056227016</v>
      </c>
      <c r="AZ324" s="226">
        <f t="shared" si="76"/>
        <v>0.17331524829386416</v>
      </c>
      <c r="BA324" s="226">
        <f t="shared" si="76"/>
        <v>0.16438169717942691</v>
      </c>
      <c r="BB324" s="226">
        <f t="shared" si="76"/>
        <v>0.15590862681495199</v>
      </c>
      <c r="BC324" s="226">
        <f t="shared" si="76"/>
        <v>0.14787230167596879</v>
      </c>
      <c r="BD324" s="226">
        <f t="shared" si="76"/>
        <v>0.14025020968789462</v>
      </c>
      <c r="BE324" s="226">
        <f t="shared" si="76"/>
        <v>0.1330209991631926</v>
      </c>
    </row>
    <row r="325" spans="5:57" s="10" customFormat="1" x14ac:dyDescent="0.35">
      <c r="E325" s="10" t="s">
        <v>641</v>
      </c>
      <c r="F325" s="10" t="s">
        <v>615</v>
      </c>
      <c r="G325" s="43" t="s">
        <v>616</v>
      </c>
      <c r="I325" s="20"/>
      <c r="J325" s="200"/>
      <c r="K325" s="200"/>
      <c r="L325" s="200"/>
      <c r="M325" s="200"/>
      <c r="N325" s="200">
        <v>1.2684</v>
      </c>
      <c r="O325" s="226">
        <f t="shared" si="77"/>
        <v>1.2020508250564308</v>
      </c>
      <c r="P325" s="226">
        <f t="shared" si="77"/>
        <v>1.1391723320867597</v>
      </c>
      <c r="Q325" s="226">
        <f t="shared" si="77"/>
        <v>1.0795829719854526</v>
      </c>
      <c r="R325" s="226">
        <f t="shared" si="77"/>
        <v>1.0231106923620206</v>
      </c>
      <c r="S325" s="226">
        <f t="shared" si="77"/>
        <v>0.96959244077406426</v>
      </c>
      <c r="T325" s="226">
        <f t="shared" si="77"/>
        <v>0.91887369394587082</v>
      </c>
      <c r="U325" s="226">
        <f t="shared" si="77"/>
        <v>0.87080801161328003</v>
      </c>
      <c r="V325" s="226">
        <f t="shared" si="77"/>
        <v>0.82525661370663306</v>
      </c>
      <c r="W325" s="226">
        <f t="shared" si="77"/>
        <v>0.78208797965100485</v>
      </c>
      <c r="X325" s="226">
        <f t="shared" si="77"/>
        <v>0.7411774686267798</v>
      </c>
      <c r="Y325" s="226">
        <f t="shared" si="77"/>
        <v>0.70240695969414824</v>
      </c>
      <c r="Z325" s="226">
        <f t="shared" si="77"/>
        <v>0.66566451074245514</v>
      </c>
      <c r="AA325" s="226">
        <f t="shared" si="77"/>
        <v>0.63084403527968591</v>
      </c>
      <c r="AB325" s="226">
        <f t="shared" si="77"/>
        <v>0.59784499612888253</v>
      </c>
      <c r="AC325" s="226">
        <f t="shared" si="77"/>
        <v>0.56657211514710026</v>
      </c>
      <c r="AD325" s="226">
        <f t="shared" si="77"/>
        <v>0.5369350981287756</v>
      </c>
      <c r="AE325" s="226">
        <f t="shared" si="75"/>
        <v>0.50884837409921979</v>
      </c>
      <c r="AF325" s="226">
        <f t="shared" si="75"/>
        <v>0.48223084824549872</v>
      </c>
      <c r="AG325" s="226">
        <f t="shared" si="75"/>
        <v>0.45700566777133733</v>
      </c>
      <c r="AH325" s="227">
        <v>0.43309999999999998</v>
      </c>
      <c r="AI325" s="226">
        <f t="shared" si="78"/>
        <v>0.41044482208446875</v>
      </c>
      <c r="AJ325" s="226">
        <f t="shared" si="78"/>
        <v>0.38897472171773545</v>
      </c>
      <c r="AK325" s="226">
        <f t="shared" si="78"/>
        <v>0.36862770826781732</v>
      </c>
      <c r="AL325" s="226">
        <f t="shared" si="78"/>
        <v>0.34934503379217213</v>
      </c>
      <c r="AM325" s="226">
        <f t="shared" si="78"/>
        <v>0.33107102341473293</v>
      </c>
      <c r="AN325" s="226">
        <f t="shared" si="78"/>
        <v>0.31375291457580945</v>
      </c>
      <c r="AO325" s="226">
        <f t="shared" si="78"/>
        <v>0.29734070469072188</v>
      </c>
      <c r="AP325" s="226">
        <f t="shared" si="78"/>
        <v>0.28178700677731222</v>
      </c>
      <c r="AQ325" s="226">
        <f t="shared" si="78"/>
        <v>0.26704691263548586</v>
      </c>
      <c r="AR325" s="226">
        <f t="shared" si="78"/>
        <v>0.25307786318374204</v>
      </c>
      <c r="AS325" s="226">
        <f t="shared" si="78"/>
        <v>0.2398395255783157</v>
      </c>
      <c r="AT325" s="226">
        <f t="shared" si="78"/>
        <v>0.22729367676013668</v>
      </c>
      <c r="AU325" s="226">
        <f t="shared" si="78"/>
        <v>0.21540409309337119</v>
      </c>
      <c r="AV325" s="226">
        <f t="shared" si="78"/>
        <v>0.20413644577689932</v>
      </c>
      <c r="AW325" s="226">
        <f t="shared" si="78"/>
        <v>0.1934582017267496</v>
      </c>
      <c r="AX325" s="226">
        <f t="shared" si="78"/>
        <v>0.18333852964330874</v>
      </c>
      <c r="AY325" s="226">
        <f t="shared" si="76"/>
        <v>0.17374821099209412</v>
      </c>
      <c r="AZ325" s="226">
        <f t="shared" si="76"/>
        <v>0.16465955564106399</v>
      </c>
      <c r="BA325" s="226">
        <f t="shared" si="76"/>
        <v>0.15604632191088477</v>
      </c>
      <c r="BB325" s="226">
        <f t="shared" si="76"/>
        <v>0.14788364080731667</v>
      </c>
      <c r="BC325" s="226">
        <f t="shared" si="76"/>
        <v>0.14014794421695353</v>
      </c>
      <c r="BD325" s="226">
        <f t="shared" si="76"/>
        <v>0.13281689685899689</v>
      </c>
      <c r="BE325" s="226">
        <f t="shared" si="76"/>
        <v>0.12586933179658791</v>
      </c>
    </row>
    <row r="326" spans="5:57" s="10" customFormat="1" x14ac:dyDescent="0.35">
      <c r="E326" s="10" t="s">
        <v>642</v>
      </c>
      <c r="F326" s="10" t="s">
        <v>615</v>
      </c>
      <c r="G326" s="43" t="s">
        <v>616</v>
      </c>
      <c r="I326" s="20"/>
      <c r="J326" s="200"/>
      <c r="K326" s="200"/>
      <c r="L326" s="200"/>
      <c r="M326" s="200"/>
      <c r="N326" s="200">
        <v>1.2425999999999999</v>
      </c>
      <c r="O326" s="226">
        <f t="shared" si="77"/>
        <v>1.1766508308442605</v>
      </c>
      <c r="P326" s="226">
        <f t="shared" si="77"/>
        <v>1.1142018169374606</v>
      </c>
      <c r="Q326" s="226">
        <f t="shared" si="77"/>
        <v>1.0550671926828004</v>
      </c>
      <c r="R326" s="226">
        <f t="shared" si="77"/>
        <v>0.99907105171957067</v>
      </c>
      <c r="S326" s="226">
        <f t="shared" si="77"/>
        <v>0.94604682365868498</v>
      </c>
      <c r="T326" s="226">
        <f t="shared" si="77"/>
        <v>0.89583677858970323</v>
      </c>
      <c r="U326" s="226">
        <f t="shared" si="77"/>
        <v>0.84829155788541777</v>
      </c>
      <c r="V326" s="226">
        <f t="shared" si="77"/>
        <v>0.80326972990829626</v>
      </c>
      <c r="W326" s="226">
        <f t="shared" si="77"/>
        <v>0.76063736929715231</v>
      </c>
      <c r="X326" s="226">
        <f t="shared" si="77"/>
        <v>0.72026765858255826</v>
      </c>
      <c r="Y326" s="226">
        <f t="shared" si="77"/>
        <v>0.68204051094593376</v>
      </c>
      <c r="Z326" s="226">
        <f t="shared" si="77"/>
        <v>0.64584221300014233</v>
      </c>
      <c r="AA326" s="226">
        <f t="shared" si="77"/>
        <v>0.61156508652898223</v>
      </c>
      <c r="AB326" s="226">
        <f t="shared" si="77"/>
        <v>0.57910716817935703</v>
      </c>
      <c r="AC326" s="226">
        <f t="shared" si="77"/>
        <v>0.54837190615331344</v>
      </c>
      <c r="AD326" s="226">
        <f t="shared" si="77"/>
        <v>0.51926787299770405</v>
      </c>
      <c r="AE326" s="226">
        <f t="shared" si="75"/>
        <v>0.49170849363711605</v>
      </c>
      <c r="AF326" s="226">
        <f t="shared" si="75"/>
        <v>0.46561178784105295</v>
      </c>
      <c r="AG326" s="226">
        <f t="shared" si="75"/>
        <v>0.44090012635929221</v>
      </c>
      <c r="AH326" s="227">
        <v>0.41749999999999998</v>
      </c>
      <c r="AI326" s="226">
        <f t="shared" si="78"/>
        <v>0.39534180096368804</v>
      </c>
      <c r="AJ326" s="226">
        <f t="shared" si="78"/>
        <v>0.37435961578254451</v>
      </c>
      <c r="AK326" s="226">
        <f t="shared" si="78"/>
        <v>0.35449102924921061</v>
      </c>
      <c r="AL326" s="226">
        <f t="shared" si="78"/>
        <v>0.33567693875174692</v>
      </c>
      <c r="AM326" s="226">
        <f t="shared" si="78"/>
        <v>0.31786137846249873</v>
      </c>
      <c r="AN326" s="226">
        <f t="shared" si="78"/>
        <v>0.30099135285787948</v>
      </c>
      <c r="AO326" s="226">
        <f t="shared" si="78"/>
        <v>0.28501667907384665</v>
      </c>
      <c r="AP326" s="226">
        <f t="shared" si="78"/>
        <v>0.2698898376281294</v>
      </c>
      <c r="AQ326" s="226">
        <f t="shared" si="78"/>
        <v>0.25556583106515451</v>
      </c>
      <c r="AR326" s="226">
        <f t="shared" si="78"/>
        <v>0.24200205010318523</v>
      </c>
      <c r="AS326" s="226">
        <f t="shared" si="78"/>
        <v>0.22915814688550398</v>
      </c>
      <c r="AT326" s="226">
        <f t="shared" si="78"/>
        <v>0.2169959149586024</v>
      </c>
      <c r="AU326" s="226">
        <f t="shared" si="78"/>
        <v>0.20547917562035251</v>
      </c>
      <c r="AV326" s="226">
        <f t="shared" si="78"/>
        <v>0.19457367030008169</v>
      </c>
      <c r="AW326" s="226">
        <f t="shared" si="78"/>
        <v>0.18424695865041713</v>
      </c>
      <c r="AX326" s="226">
        <f t="shared" si="78"/>
        <v>0.17446832204775584</v>
      </c>
      <c r="AY326" s="226">
        <f t="shared" si="76"/>
        <v>0.16520867221430541</v>
      </c>
      <c r="AZ326" s="226">
        <f t="shared" si="76"/>
        <v>0.15644046468987571</v>
      </c>
      <c r="BA326" s="226">
        <f t="shared" si="76"/>
        <v>0.14813761689602806</v>
      </c>
      <c r="BB326" s="226">
        <f t="shared" si="76"/>
        <v>0.14027543054884933</v>
      </c>
      <c r="BC326" s="226">
        <f t="shared" si="76"/>
        <v>0.1328305181895541</v>
      </c>
      <c r="BD326" s="226">
        <f t="shared" si="76"/>
        <v>0.12578073361436704</v>
      </c>
      <c r="BE326" s="226">
        <f t="shared" si="76"/>
        <v>0.11910510599673714</v>
      </c>
    </row>
    <row r="327" spans="5:57" s="10" customFormat="1" x14ac:dyDescent="0.35">
      <c r="E327" s="109" t="s">
        <v>643</v>
      </c>
      <c r="F327" s="10" t="s">
        <v>615</v>
      </c>
      <c r="G327" s="43" t="s">
        <v>616</v>
      </c>
      <c r="I327" s="20"/>
      <c r="J327" s="200"/>
      <c r="K327" s="200"/>
      <c r="L327" s="200"/>
      <c r="M327" s="200"/>
      <c r="N327" s="200">
        <v>1.2298</v>
      </c>
      <c r="O327" s="226">
        <f t="shared" si="77"/>
        <v>1.1645161718022705</v>
      </c>
      <c r="P327" s="226">
        <f t="shared" si="77"/>
        <v>1.1026979300609978</v>
      </c>
      <c r="Q327" s="226">
        <f t="shared" si="77"/>
        <v>1.0441613044144746</v>
      </c>
      <c r="R327" s="226">
        <f t="shared" si="77"/>
        <v>0.9887320905519672</v>
      </c>
      <c r="S327" s="226">
        <f t="shared" si="77"/>
        <v>0.93624533178373126</v>
      </c>
      <c r="T327" s="226">
        <f t="shared" si="77"/>
        <v>0.88654482813184043</v>
      </c>
      <c r="U327" s="226">
        <f t="shared" si="77"/>
        <v>0.83948267148088529</v>
      </c>
      <c r="V327" s="226">
        <f t="shared" si="77"/>
        <v>0.79491880540515825</v>
      </c>
      <c r="W327" s="226">
        <f t="shared" si="77"/>
        <v>0.75272060836237509</v>
      </c>
      <c r="X327" s="226">
        <f t="shared" si="77"/>
        <v>0.71276249901352184</v>
      </c>
      <c r="Y327" s="226">
        <f t="shared" si="77"/>
        <v>0.67492556249426416</v>
      </c>
      <c r="Z327" s="226">
        <f t="shared" si="77"/>
        <v>0.63909719652570707</v>
      </c>
      <c r="AA327" s="226">
        <f t="shared" si="77"/>
        <v>0.60517077631133498</v>
      </c>
      <c r="AB327" s="226">
        <f t="shared" si="77"/>
        <v>0.57304533722286877</v>
      </c>
      <c r="AC327" s="226">
        <f t="shared" si="77"/>
        <v>0.54262527433071739</v>
      </c>
      <c r="AD327" s="226">
        <f t="shared" si="77"/>
        <v>0.51382005788482998</v>
      </c>
      <c r="AE327" s="226">
        <f t="shared" si="75"/>
        <v>0.48654396389922205</v>
      </c>
      <c r="AF327" s="226">
        <f t="shared" si="75"/>
        <v>0.46071581903839987</v>
      </c>
      <c r="AG327" s="226">
        <f t="shared" si="75"/>
        <v>0.43625875904646694</v>
      </c>
      <c r="AH327" s="227">
        <v>0.41310000000000002</v>
      </c>
      <c r="AI327" s="226">
        <f t="shared" si="78"/>
        <v>0.39117062170395023</v>
      </c>
      <c r="AJ327" s="226">
        <f t="shared" si="78"/>
        <v>0.37040536258594753</v>
      </c>
      <c r="AK327" s="226">
        <f t="shared" si="78"/>
        <v>0.35074242547863033</v>
      </c>
      <c r="AL327" s="226">
        <f t="shared" si="78"/>
        <v>0.33212329371200011</v>
      </c>
      <c r="AM327" s="226">
        <f t="shared" si="78"/>
        <v>0.31449255696849854</v>
      </c>
      <c r="AN327" s="226">
        <f t="shared" si="78"/>
        <v>0.29779774638255274</v>
      </c>
      <c r="AO327" s="226">
        <f t="shared" si="78"/>
        <v>0.28198917839384757</v>
      </c>
      <c r="AP327" s="226">
        <f t="shared" si="78"/>
        <v>0.26701980688963323</v>
      </c>
      <c r="AQ327" s="226">
        <f t="shared" si="78"/>
        <v>0.25284508319604587</v>
      </c>
      <c r="AR327" s="226">
        <f t="shared" si="78"/>
        <v>0.23942282350177749</v>
      </c>
      <c r="AS327" s="226">
        <f t="shared" si="78"/>
        <v>0.2267130833195484</v>
      </c>
      <c r="AT327" s="226">
        <f t="shared" si="78"/>
        <v>0.21467803861178217</v>
      </c>
      <c r="AU327" s="226">
        <f t="shared" si="78"/>
        <v>0.20328187322671376</v>
      </c>
      <c r="AV327" s="226">
        <f t="shared" si="78"/>
        <v>0.19249067230994241</v>
      </c>
      <c r="AW327" s="226">
        <f t="shared" si="78"/>
        <v>0.182272321374223</v>
      </c>
      <c r="AX327" s="226">
        <f t="shared" si="78"/>
        <v>0.17259641072712908</v>
      </c>
      <c r="AY327" s="226">
        <f t="shared" si="76"/>
        <v>0.16343414497216516</v>
      </c>
      <c r="AZ327" s="226">
        <f t="shared" si="76"/>
        <v>0.15475825731400478</v>
      </c>
      <c r="BA327" s="226">
        <f t="shared" si="76"/>
        <v>0.14654292841282776</v>
      </c>
      <c r="BB327" s="226">
        <f t="shared" si="76"/>
        <v>0.13876370954626799</v>
      </c>
      <c r="BC327" s="226">
        <f t="shared" si="76"/>
        <v>0.13139744985030263</v>
      </c>
      <c r="BD327" s="226">
        <f t="shared" si="76"/>
        <v>0.12442222742255264</v>
      </c>
      <c r="BE327" s="226">
        <f t="shared" si="76"/>
        <v>0.11781728408295861</v>
      </c>
    </row>
    <row r="328" spans="5:57" s="10" customFormat="1" x14ac:dyDescent="0.35">
      <c r="E328" s="109" t="s">
        <v>644</v>
      </c>
      <c r="F328" s="10" t="s">
        <v>615</v>
      </c>
      <c r="G328" s="43" t="s">
        <v>616</v>
      </c>
      <c r="I328" s="20"/>
      <c r="J328" s="200"/>
      <c r="K328" s="200"/>
      <c r="L328" s="200"/>
      <c r="M328" s="200"/>
      <c r="N328" s="200">
        <v>1.2171000000000001</v>
      </c>
      <c r="O328" s="226">
        <f t="shared" si="77"/>
        <v>1.1524855627346338</v>
      </c>
      <c r="P328" s="226">
        <f t="shared" si="77"/>
        <v>1.0913014315272085</v>
      </c>
      <c r="Q328" s="226">
        <f t="shared" si="77"/>
        <v>1.0333654953797931</v>
      </c>
      <c r="R328" s="226">
        <f t="shared" si="77"/>
        <v>0.97850531135759944</v>
      </c>
      <c r="S328" s="226">
        <f t="shared" si="77"/>
        <v>0.92655759132264481</v>
      </c>
      <c r="T328" s="226">
        <f t="shared" si="77"/>
        <v>0.87736771591613261</v>
      </c>
      <c r="U328" s="226">
        <f t="shared" si="77"/>
        <v>0.83078927434294991</v>
      </c>
      <c r="V328" s="226">
        <f t="shared" si="77"/>
        <v>0.78668362858847474</v>
      </c>
      <c r="W328" s="226">
        <f t="shared" si="77"/>
        <v>0.74491950077061198</v>
      </c>
      <c r="X328" s="226">
        <f t="shared" si="77"/>
        <v>0.70537258239883427</v>
      </c>
      <c r="Y328" s="226">
        <f t="shared" si="77"/>
        <v>0.66792516437720995</v>
      </c>
      <c r="Z328" s="226">
        <f t="shared" si="77"/>
        <v>0.63246578665014508</v>
      </c>
      <c r="AA328" s="226">
        <f t="shared" si="77"/>
        <v>0.59888890644802828</v>
      </c>
      <c r="AB328" s="226">
        <f t="shared" si="77"/>
        <v>0.56709458414533342</v>
      </c>
      <c r="AC328" s="226">
        <f t="shared" si="77"/>
        <v>0.53698818579615293</v>
      </c>
      <c r="AD328" s="226">
        <f t="shared" si="77"/>
        <v>0.50848010146177747</v>
      </c>
      <c r="AE328" s="226">
        <f t="shared" si="75"/>
        <v>0.48148547849194007</v>
      </c>
      <c r="AF328" s="226">
        <f t="shared" si="75"/>
        <v>0.45592396896585152</v>
      </c>
      <c r="AG328" s="226">
        <f t="shared" si="75"/>
        <v>0.43171949054130065</v>
      </c>
      <c r="AH328" s="227">
        <v>0.4088</v>
      </c>
      <c r="AI328" s="226">
        <f t="shared" si="78"/>
        <v>0.38709727881514933</v>
      </c>
      <c r="AJ328" s="226">
        <f t="shared" si="78"/>
        <v>0.36654673010296834</v>
      </c>
      <c r="AK328" s="226">
        <f t="shared" si="78"/>
        <v>0.34708718635384056</v>
      </c>
      <c r="AL328" s="226">
        <f t="shared" si="78"/>
        <v>0.32866072737078844</v>
      </c>
      <c r="AM328" s="226">
        <f t="shared" si="78"/>
        <v>0.31121250787338522</v>
      </c>
      <c r="AN328" s="226">
        <f t="shared" si="78"/>
        <v>0.29469059425397665</v>
      </c>
      <c r="AO328" s="226">
        <f t="shared" si="78"/>
        <v>0.27904581000032691</v>
      </c>
      <c r="AP328" s="226">
        <f t="shared" si="78"/>
        <v>0.26423158932459817</v>
      </c>
      <c r="AQ328" s="226">
        <f t="shared" si="78"/>
        <v>0.25020383856299905</v>
      </c>
      <c r="AR328" s="226">
        <f t="shared" si="78"/>
        <v>0.23692080493356618</v>
      </c>
      <c r="AS328" s="226">
        <f t="shared" si="78"/>
        <v>0.22434295226144393</v>
      </c>
      <c r="AT328" s="226">
        <f t="shared" si="78"/>
        <v>0.2124328433017659</v>
      </c>
      <c r="AU328" s="226">
        <f t="shared" si="78"/>
        <v>0.20115502830987916</v>
      </c>
      <c r="AV328" s="226">
        <f t="shared" si="78"/>
        <v>0.19047593952724695</v>
      </c>
      <c r="AW328" s="226">
        <f t="shared" si="78"/>
        <v>0.18036379126897317</v>
      </c>
      <c r="AX328" s="226">
        <f t="shared" si="78"/>
        <v>0.17078848531556531</v>
      </c>
      <c r="AY328" s="226">
        <f t="shared" si="76"/>
        <v>0.16172152132733958</v>
      </c>
      <c r="AZ328" s="226">
        <f t="shared" si="76"/>
        <v>0.15313591201482213</v>
      </c>
      <c r="BA328" s="226">
        <f t="shared" si="76"/>
        <v>0.14500610281265602</v>
      </c>
      <c r="BB328" s="226">
        <f t="shared" si="76"/>
        <v>0.13730789581792788</v>
      </c>
      <c r="BC328" s="226">
        <f t="shared" si="76"/>
        <v>0.13001837776652128</v>
      </c>
      <c r="BD328" s="226">
        <f t="shared" si="76"/>
        <v>0.12311585183312256</v>
      </c>
      <c r="BE328" s="226">
        <f t="shared" si="76"/>
        <v>0.11657977305188566</v>
      </c>
    </row>
    <row r="329" spans="5:57" s="10" customFormat="1" x14ac:dyDescent="0.35">
      <c r="E329" s="109" t="s">
        <v>645</v>
      </c>
      <c r="F329" s="10" t="s">
        <v>615</v>
      </c>
      <c r="G329" s="43" t="s">
        <v>616</v>
      </c>
      <c r="I329" s="20"/>
      <c r="J329" s="200"/>
      <c r="K329" s="200"/>
      <c r="L329" s="200"/>
      <c r="M329" s="200"/>
      <c r="N329" s="200">
        <v>1.2045999999999999</v>
      </c>
      <c r="O329" s="226">
        <f t="shared" si="77"/>
        <v>1.1406348648899145</v>
      </c>
      <c r="P329" s="226">
        <f t="shared" si="77"/>
        <v>1.0800663249231561</v>
      </c>
      <c r="Q329" s="226">
        <f t="shared" si="77"/>
        <v>1.0227140184300771</v>
      </c>
      <c r="R329" s="226">
        <f t="shared" si="77"/>
        <v>0.96840716107671654</v>
      </c>
      <c r="S329" s="226">
        <f t="shared" si="77"/>
        <v>0.91698403730131695</v>
      </c>
      <c r="T329" s="226">
        <f t="shared" si="77"/>
        <v>0.86829151875593236</v>
      </c>
      <c r="U329" s="226">
        <f t="shared" si="77"/>
        <v>0.82218460831913642</v>
      </c>
      <c r="V329" s="226">
        <f t="shared" si="77"/>
        <v>0.77852600832198704</v>
      </c>
      <c r="W329" s="226">
        <f t="shared" si="77"/>
        <v>0.73718571170150615</v>
      </c>
      <c r="X329" s="226">
        <f t="shared" si="77"/>
        <v>0.69804061486420643</v>
      </c>
      <c r="Y329" s="226">
        <f t="shared" si="77"/>
        <v>0.66097415110684632</v>
      </c>
      <c r="Z329" s="226">
        <f t="shared" si="77"/>
        <v>0.62587594350280895</v>
      </c>
      <c r="AA329" s="226">
        <f t="shared" si="77"/>
        <v>0.59264147622046681</v>
      </c>
      <c r="AB329" s="226">
        <f t="shared" si="77"/>
        <v>0.56117178329477979</v>
      </c>
      <c r="AC329" s="226">
        <f t="shared" si="77"/>
        <v>0.53137315392534756</v>
      </c>
      <c r="AD329" s="226">
        <f t="shared" si="77"/>
        <v>0.50315685342334937</v>
      </c>
      <c r="AE329" s="226">
        <f t="shared" si="75"/>
        <v>0.47643885897640437</v>
      </c>
      <c r="AF329" s="226">
        <f t="shared" si="75"/>
        <v>0.45113960944450948</v>
      </c>
      <c r="AG329" s="226">
        <f t="shared" si="75"/>
        <v>0.42718376844199479</v>
      </c>
      <c r="AH329" s="227">
        <v>0.40450000000000003</v>
      </c>
      <c r="AI329" s="226">
        <f t="shared" si="78"/>
        <v>0.38302075614143327</v>
      </c>
      <c r="AJ329" s="226">
        <f t="shared" si="78"/>
        <v>0.36268207573585981</v>
      </c>
      <c r="AK329" s="226">
        <f t="shared" si="78"/>
        <v>0.34342339403533645</v>
      </c>
      <c r="AL329" s="226">
        <f t="shared" si="78"/>
        <v>0.3251873623240345</v>
      </c>
      <c r="AM329" s="226">
        <f t="shared" si="78"/>
        <v>0.30791967714459806</v>
      </c>
      <c r="AN329" s="226">
        <f t="shared" si="78"/>
        <v>0.29156891859270695</v>
      </c>
      <c r="AO329" s="226">
        <f t="shared" si="78"/>
        <v>0.27608639719831546</v>
      </c>
      <c r="AP329" s="226">
        <f t="shared" si="78"/>
        <v>0.26142600893760909</v>
      </c>
      <c r="AQ329" s="226">
        <f t="shared" si="78"/>
        <v>0.24754409794393109</v>
      </c>
      <c r="AR329" s="226">
        <f t="shared" si="78"/>
        <v>0.23439932650885908</v>
      </c>
      <c r="AS329" s="226">
        <f t="shared" si="78"/>
        <v>0.22195255198631869</v>
      </c>
      <c r="AT329" s="226">
        <f t="shared" si="78"/>
        <v>0.21016671023317815</v>
      </c>
      <c r="AU329" s="226">
        <f t="shared" si="78"/>
        <v>0.19900670523923211</v>
      </c>
      <c r="AV329" s="226">
        <f t="shared" si="78"/>
        <v>0.1884393046179135</v>
      </c>
      <c r="AW329" s="226">
        <f t="shared" si="78"/>
        <v>0.17843304064652435</v>
      </c>
      <c r="AX329" s="226">
        <f t="shared" si="78"/>
        <v>0.16895811656130247</v>
      </c>
      <c r="AY329" s="226">
        <f t="shared" si="76"/>
        <v>0.15998631782828798</v>
      </c>
      <c r="AZ329" s="226">
        <f t="shared" si="76"/>
        <v>0.15149092812577139</v>
      </c>
      <c r="BA329" s="226">
        <f t="shared" si="76"/>
        <v>0.14344664978813468</v>
      </c>
      <c r="BB329" s="226">
        <f t="shared" si="76"/>
        <v>0.13582952847418223</v>
      </c>
      <c r="BC329" s="226">
        <f t="shared" si="76"/>
        <v>0.1286168818356381</v>
      </c>
      <c r="BD329" s="226">
        <f t="shared" si="76"/>
        <v>0.12178723197339797</v>
      </c>
      <c r="BE329" s="226">
        <f t="shared" si="76"/>
        <v>0.11532024148040303</v>
      </c>
    </row>
    <row r="330" spans="5:57" s="10" customFormat="1" x14ac:dyDescent="0.35">
      <c r="E330" s="10" t="s">
        <v>646</v>
      </c>
      <c r="F330" s="10" t="s">
        <v>615</v>
      </c>
      <c r="G330" s="43" t="s">
        <v>616</v>
      </c>
      <c r="I330" s="20"/>
      <c r="J330" s="200"/>
      <c r="K330" s="200"/>
      <c r="L330" s="200"/>
      <c r="M330" s="200"/>
      <c r="N330" s="200">
        <v>1.1920999999999999</v>
      </c>
      <c r="O330" s="226">
        <f t="shared" si="77"/>
        <v>1.1287982646396157</v>
      </c>
      <c r="P330" s="226">
        <f t="shared" si="77"/>
        <v>1.0688579164947638</v>
      </c>
      <c r="Q330" s="226">
        <f t="shared" si="77"/>
        <v>1.0121004624491272</v>
      </c>
      <c r="R330" s="226">
        <f t="shared" si="77"/>
        <v>0.9583568875543389</v>
      </c>
      <c r="S330" s="226">
        <f t="shared" si="77"/>
        <v>0.90746715172952019</v>
      </c>
      <c r="T330" s="226">
        <f t="shared" si="77"/>
        <v>0.8592797131865928</v>
      </c>
      <c r="U330" s="226">
        <f t="shared" si="77"/>
        <v>0.81365107716219498</v>
      </c>
      <c r="V330" s="226">
        <f t="shared" si="77"/>
        <v>0.7704453686123981</v>
      </c>
      <c r="W330" s="226">
        <f t="shared" si="77"/>
        <v>0.72953392759777203</v>
      </c>
      <c r="X330" s="226">
        <f t="shared" si="77"/>
        <v>0.69079492615392002</v>
      </c>
      <c r="Y330" s="226">
        <f t="shared" si="77"/>
        <v>0.65411300550658202</v>
      </c>
      <c r="Z330" s="226">
        <f t="shared" si="77"/>
        <v>0.6193789325509883</v>
      </c>
      <c r="AA330" s="226">
        <f t="shared" si="77"/>
        <v>0.58648927457251332</v>
      </c>
      <c r="AB330" s="226">
        <f t="shared" si="77"/>
        <v>0.55534609123999679</v>
      </c>
      <c r="AC330" s="226">
        <f t="shared" si="77"/>
        <v>0.52585664295453571</v>
      </c>
      <c r="AD330" s="226">
        <f t="shared" si="77"/>
        <v>0.4979331146852562</v>
      </c>
      <c r="AE330" s="226">
        <f t="shared" si="75"/>
        <v>0.47149235446968873</v>
      </c>
      <c r="AF330" s="226">
        <f t="shared" si="75"/>
        <v>0.44645562580004294</v>
      </c>
      <c r="AG330" s="226">
        <f t="shared" si="75"/>
        <v>0.42274837315802544</v>
      </c>
      <c r="AH330" s="227">
        <v>0.40029999999999999</v>
      </c>
      <c r="AI330" s="226">
        <f t="shared" si="78"/>
        <v>0.37904365853136329</v>
      </c>
      <c r="AJ330" s="226">
        <f t="shared" si="78"/>
        <v>0.35891605064411874</v>
      </c>
      <c r="AK330" s="226">
        <f t="shared" si="78"/>
        <v>0.33985723942486845</v>
      </c>
      <c r="AL330" s="226">
        <f t="shared" si="78"/>
        <v>0.32181047067192509</v>
      </c>
      <c r="AM330" s="226">
        <f t="shared" si="78"/>
        <v>0.30472200389004866</v>
      </c>
      <c r="AN330" s="226">
        <f t="shared" si="78"/>
        <v>0.28854095225953624</v>
      </c>
      <c r="AO330" s="226">
        <f t="shared" si="78"/>
        <v>0.2732191311031178</v>
      </c>
      <c r="AP330" s="226">
        <f t="shared" si="78"/>
        <v>0.25871091439941535</v>
      </c>
      <c r="AQ330" s="226">
        <f t="shared" si="78"/>
        <v>0.24497309891568511</v>
      </c>
      <c r="AR330" s="226">
        <f t="shared" si="78"/>
        <v>0.23196477555525064</v>
      </c>
      <c r="AS330" s="226">
        <f t="shared" si="78"/>
        <v>0.21964720753651948</v>
      </c>
      <c r="AT330" s="226">
        <f t="shared" si="78"/>
        <v>0.20798371504081931</v>
      </c>
      <c r="AU330" s="226">
        <f t="shared" si="78"/>
        <v>0.19693956598555254</v>
      </c>
      <c r="AV330" s="226">
        <f t="shared" si="78"/>
        <v>0.18648187259740862</v>
      </c>
      <c r="AW330" s="226">
        <f t="shared" si="78"/>
        <v>0.17657949347764512</v>
      </c>
      <c r="AX330" s="226">
        <f t="shared" si="78"/>
        <v>0.16720294086780316</v>
      </c>
      <c r="AY330" s="226">
        <f t="shared" si="76"/>
        <v>0.15832429283970847</v>
      </c>
      <c r="AZ330" s="226">
        <f t="shared" si="76"/>
        <v>0.14991711014827386</v>
      </c>
      <c r="BA330" s="226">
        <f t="shared" si="76"/>
        <v>0.14195635749950311</v>
      </c>
      <c r="BB330" s="226">
        <f t="shared" si="76"/>
        <v>0.13441832899924505</v>
      </c>
      <c r="BC330" s="226">
        <f t="shared" si="76"/>
        <v>0.12728057756069519</v>
      </c>
      <c r="BD330" s="226">
        <f t="shared" si="76"/>
        <v>0.1205218480604318</v>
      </c>
      <c r="BE330" s="226">
        <f t="shared" si="76"/>
        <v>0.11412201404393495</v>
      </c>
    </row>
    <row r="331" spans="5:57" s="10" customFormat="1" x14ac:dyDescent="0.35">
      <c r="E331" s="10" t="s">
        <v>647</v>
      </c>
      <c r="F331" s="10" t="s">
        <v>615</v>
      </c>
      <c r="G331" s="43" t="s">
        <v>616</v>
      </c>
      <c r="I331" s="20"/>
      <c r="J331" s="200"/>
      <c r="K331" s="200"/>
      <c r="L331" s="200"/>
      <c r="M331" s="200"/>
      <c r="N331" s="200">
        <v>1.1798</v>
      </c>
      <c r="O331" s="226">
        <f t="shared" si="77"/>
        <v>1.1171415743707638</v>
      </c>
      <c r="P331" s="226">
        <f t="shared" si="77"/>
        <v>1.0578108977687648</v>
      </c>
      <c r="Q331" s="226">
        <f t="shared" si="77"/>
        <v>1.0016312355653068</v>
      </c>
      <c r="R331" s="226">
        <f t="shared" si="77"/>
        <v>0.94843523939511798</v>
      </c>
      <c r="S331" s="226">
        <f t="shared" si="77"/>
        <v>0.89806444865788637</v>
      </c>
      <c r="T331" s="226">
        <f t="shared" si="77"/>
        <v>0.85036881849473056</v>
      </c>
      <c r="U331" s="226">
        <f t="shared" si="77"/>
        <v>0.80520627283353918</v>
      </c>
      <c r="V331" s="226">
        <f t="shared" si="77"/>
        <v>0.76244228117178736</v>
      </c>
      <c r="W331" s="226">
        <f t="shared" si="77"/>
        <v>0.72194945783614772</v>
      </c>
      <c r="X331" s="226">
        <f t="shared" si="77"/>
        <v>0.68360718252516817</v>
      </c>
      <c r="Y331" s="226">
        <f t="shared" si="77"/>
        <v>0.64730124100468589</v>
      </c>
      <c r="Z331" s="226">
        <f t="shared" si="77"/>
        <v>0.61292348488567894</v>
      </c>
      <c r="AA331" s="226">
        <f t="shared" si="77"/>
        <v>0.58037150947109883</v>
      </c>
      <c r="AB331" s="226">
        <f t="shared" si="77"/>
        <v>0.54954834871205294</v>
      </c>
      <c r="AC331" s="226">
        <f t="shared" si="77"/>
        <v>0.5203621863646688</v>
      </c>
      <c r="AD331" s="226">
        <f t="shared" si="77"/>
        <v>0.49272608248723421</v>
      </c>
      <c r="AE331" s="226">
        <f t="shared" si="75"/>
        <v>0.46655771446289851</v>
      </c>
      <c r="AF331" s="226">
        <f t="shared" si="75"/>
        <v>0.44177913177649408</v>
      </c>
      <c r="AG331" s="226">
        <f t="shared" si="75"/>
        <v>0.418316523815004</v>
      </c>
      <c r="AH331" s="227">
        <v>0.39610000000000001</v>
      </c>
      <c r="AI331" s="226">
        <f t="shared" si="78"/>
        <v>0.37506338159710079</v>
      </c>
      <c r="AJ331" s="226">
        <f t="shared" si="78"/>
        <v>0.3551440045823086</v>
      </c>
      <c r="AK331" s="226">
        <f t="shared" si="78"/>
        <v>0.33628253297797761</v>
      </c>
      <c r="AL331" s="226">
        <f t="shared" si="78"/>
        <v>0.3184227821023955</v>
      </c>
      <c r="AM331" s="226">
        <f t="shared" si="78"/>
        <v>0.30151155120646617</v>
      </c>
      <c r="AN331" s="226">
        <f t="shared" si="78"/>
        <v>0.28549846499895132</v>
      </c>
      <c r="AO331" s="226">
        <f t="shared" si="78"/>
        <v>0.27033582358820551</v>
      </c>
      <c r="AP331" s="226">
        <f t="shared" si="78"/>
        <v>0.25597846039340988</v>
      </c>
      <c r="AQ331" s="226">
        <f t="shared" si="78"/>
        <v>0.24238360760204961</v>
      </c>
      <c r="AR331" s="226">
        <f t="shared" si="78"/>
        <v>0.22951076877285906</v>
      </c>
      <c r="AS331" s="226">
        <f t="shared" si="78"/>
        <v>0.21732159820474325</v>
      </c>
      <c r="AT331" s="226">
        <f t="shared" si="78"/>
        <v>0.2057797867123389</v>
      </c>
      <c r="AU331" s="226">
        <f t="shared" si="78"/>
        <v>0.19485095346796258</v>
      </c>
      <c r="AV331" s="226">
        <f t="shared" si="78"/>
        <v>0.18450254358776416</v>
      </c>
      <c r="AW331" s="226">
        <f t="shared" si="78"/>
        <v>0.17470373115701418</v>
      </c>
      <c r="AX331" s="226">
        <f t="shared" si="78"/>
        <v>0.16542532740565644</v>
      </c>
      <c r="AY331" s="226">
        <f t="shared" si="76"/>
        <v>0.15663969376059847</v>
      </c>
      <c r="AZ331" s="226">
        <f t="shared" si="76"/>
        <v>0.14832065951573933</v>
      </c>
      <c r="BA331" s="226">
        <f t="shared" si="76"/>
        <v>0.14044344387448979</v>
      </c>
      <c r="BB331" s="226">
        <f t="shared" si="76"/>
        <v>0.13298458213256442</v>
      </c>
      <c r="BC331" s="226">
        <f t="shared" si="76"/>
        <v>0.1259218557811588</v>
      </c>
      <c r="BD331" s="226">
        <f t="shared" si="76"/>
        <v>0.11923422632230209</v>
      </c>
      <c r="BE331" s="226">
        <f t="shared" si="76"/>
        <v>0.1129017725992342</v>
      </c>
    </row>
    <row r="332" spans="5:57" s="10" customFormat="1" x14ac:dyDescent="0.35">
      <c r="E332" s="10" t="s">
        <v>648</v>
      </c>
      <c r="F332" s="10" t="s">
        <v>615</v>
      </c>
      <c r="G332" s="43" t="s">
        <v>616</v>
      </c>
      <c r="I332" s="20"/>
      <c r="J332" s="200"/>
      <c r="K332" s="200"/>
      <c r="L332" s="200"/>
      <c r="M332" s="200"/>
      <c r="N332" s="200">
        <v>1.1662999999999999</v>
      </c>
      <c r="O332" s="226">
        <f t="shared" si="77"/>
        <v>1.1038959280788783</v>
      </c>
      <c r="P332" s="226">
        <f t="shared" si="77"/>
        <v>1.0448308497205934</v>
      </c>
      <c r="Q332" s="226">
        <f t="shared" si="77"/>
        <v>0.98892610866651598</v>
      </c>
      <c r="R332" s="226">
        <f t="shared" si="77"/>
        <v>0.93601260784348572</v>
      </c>
      <c r="S332" s="226">
        <f t="shared" si="77"/>
        <v>0.88593029788983624</v>
      </c>
      <c r="T332" s="226">
        <f t="shared" si="77"/>
        <v>0.83852769304835639</v>
      </c>
      <c r="U332" s="226">
        <f t="shared" si="77"/>
        <v>0.79366141296189341</v>
      </c>
      <c r="V332" s="226">
        <f t="shared" si="77"/>
        <v>0.75119574898564978</v>
      </c>
      <c r="W332" s="226">
        <f t="shared" si="77"/>
        <v>0.71100225370438319</v>
      </c>
      <c r="X332" s="226">
        <f t="shared" si="77"/>
        <v>0.67295935241290772</v>
      </c>
      <c r="Y332" s="226">
        <f t="shared" si="77"/>
        <v>0.63695197538472759</v>
      </c>
      <c r="Z332" s="226">
        <f t="shared" si="77"/>
        <v>0.60287120981651277</v>
      </c>
      <c r="AA332" s="226">
        <f t="shared" si="77"/>
        <v>0.57061397039564055</v>
      </c>
      <c r="AB332" s="226">
        <f t="shared" si="77"/>
        <v>0.54008268749435762</v>
      </c>
      <c r="AC332" s="226">
        <f t="shared" si="77"/>
        <v>0.51118501204743094</v>
      </c>
      <c r="AD332" s="226">
        <f t="shared" ref="AD332:AG347" si="79">AC332*(1+($AH332/$N332)^(1/($AH$6-$N$6))-1)</f>
        <v>0.48383353622062197</v>
      </c>
      <c r="AE332" s="226">
        <f t="shared" si="79"/>
        <v>0.45794552902507857</v>
      </c>
      <c r="AF332" s="226">
        <f t="shared" si="79"/>
        <v>0.43344268607794911</v>
      </c>
      <c r="AG332" s="226">
        <f t="shared" si="79"/>
        <v>0.41025089275231036</v>
      </c>
      <c r="AH332" s="227">
        <v>0.38829999999999998</v>
      </c>
      <c r="AI332" s="226">
        <f t="shared" si="78"/>
        <v>0.36752361216927759</v>
      </c>
      <c r="AJ332" s="226">
        <f t="shared" si="78"/>
        <v>0.34785888617551786</v>
      </c>
      <c r="AK332" s="226">
        <f t="shared" si="78"/>
        <v>0.3292463414174811</v>
      </c>
      <c r="AL332" s="226">
        <f t="shared" si="78"/>
        <v>0.31162967986420781</v>
      </c>
      <c r="AM332" s="226">
        <f t="shared" si="78"/>
        <v>0.29495561576834728</v>
      </c>
      <c r="AN332" s="226">
        <f t="shared" si="78"/>
        <v>0.27917371449084866</v>
      </c>
      <c r="AO332" s="226">
        <f t="shared" si="78"/>
        <v>0.26423623994950118</v>
      </c>
      <c r="AP332" s="226">
        <f t="shared" si="78"/>
        <v>0.25009801022989608</v>
      </c>
      <c r="AQ332" s="226">
        <f t="shared" si="78"/>
        <v>0.23671626092207149</v>
      </c>
      <c r="AR332" s="226">
        <f t="shared" si="78"/>
        <v>0.2240505157694693</v>
      </c>
      <c r="AS332" s="226">
        <f t="shared" si="78"/>
        <v>0.21206246423895198</v>
      </c>
      <c r="AT332" s="226">
        <f t="shared" si="78"/>
        <v>0.20071584564156036</v>
      </c>
      <c r="AU332" s="226">
        <f t="shared" si="78"/>
        <v>0.1899763394535087</v>
      </c>
      <c r="AV332" s="226">
        <f t="shared" si="78"/>
        <v>0.17981146150566665</v>
      </c>
      <c r="AW332" s="226">
        <f t="shared" si="78"/>
        <v>0.1701904657275293</v>
      </c>
      <c r="AX332" s="226">
        <f t="shared" ref="AX332:BE347" si="80">AW332*(1+($AH332/$N332)^(1/($AH$6-$N$6))-1)</f>
        <v>0.16108425114847597</v>
      </c>
      <c r="AY332" s="226">
        <f t="shared" si="80"/>
        <v>0.15246527387502187</v>
      </c>
      <c r="AZ332" s="226">
        <f t="shared" si="80"/>
        <v>0.14430746377781672</v>
      </c>
      <c r="BA332" s="226">
        <f t="shared" si="80"/>
        <v>0.1365861456363904</v>
      </c>
      <c r="BB332" s="226">
        <f t="shared" si="80"/>
        <v>0.12927796450312959</v>
      </c>
      <c r="BC332" s="226">
        <f t="shared" si="80"/>
        <v>0.12236081506073097</v>
      </c>
      <c r="BD332" s="226">
        <f t="shared" si="80"/>
        <v>0.11581377475945608</v>
      </c>
      <c r="BE332" s="226">
        <f t="shared" si="80"/>
        <v>0.10961704053194543</v>
      </c>
    </row>
    <row r="333" spans="5:57" s="10" customFormat="1" x14ac:dyDescent="0.35">
      <c r="E333" s="10" t="s">
        <v>649</v>
      </c>
      <c r="F333" s="10" t="s">
        <v>615</v>
      </c>
      <c r="G333" s="43" t="s">
        <v>616</v>
      </c>
      <c r="I333" s="20"/>
      <c r="J333" s="200"/>
      <c r="K333" s="200"/>
      <c r="L333" s="200"/>
      <c r="M333" s="200"/>
      <c r="N333" s="200">
        <v>1.1529</v>
      </c>
      <c r="O333" s="226">
        <f t="shared" ref="O333:AD348" si="81">N333*(1+($AH333/$N333)^(1/($AH$6-$N$6))-1)</f>
        <v>1.0907506900810353</v>
      </c>
      <c r="P333" s="226">
        <f t="shared" si="81"/>
        <v>1.0319516592178462</v>
      </c>
      <c r="Q333" s="226">
        <f t="shared" si="81"/>
        <v>0.97632230412189702</v>
      </c>
      <c r="R333" s="226">
        <f t="shared" si="81"/>
        <v>0.92369175727510244</v>
      </c>
      <c r="S333" s="226">
        <f t="shared" si="81"/>
        <v>0.87389836210424332</v>
      </c>
      <c r="T333" s="226">
        <f t="shared" si="81"/>
        <v>0.82678917644712457</v>
      </c>
      <c r="U333" s="226">
        <f t="shared" si="81"/>
        <v>0.78221950278535168</v>
      </c>
      <c r="V333" s="226">
        <f t="shared" si="81"/>
        <v>0.74005244380082114</v>
      </c>
      <c r="W333" s="226">
        <f t="shared" si="81"/>
        <v>0.7001584818907991</v>
      </c>
      <c r="X333" s="226">
        <f t="shared" si="81"/>
        <v>0.66241508135005567</v>
      </c>
      <c r="Y333" s="226">
        <f t="shared" si="81"/>
        <v>0.62670631199814242</v>
      </c>
      <c r="Z333" s="226">
        <f t="shared" si="81"/>
        <v>0.59292249309577105</v>
      </c>
      <c r="AA333" s="226">
        <f t="shared" si="81"/>
        <v>0.56095985645657054</v>
      </c>
      <c r="AB333" s="226">
        <f t="shared" si="81"/>
        <v>0.5307202277194577</v>
      </c>
      <c r="AC333" s="226">
        <f t="shared" si="81"/>
        <v>0.50211072480263919</v>
      </c>
      <c r="AD333" s="226">
        <f t="shared" si="81"/>
        <v>0.47504347261303453</v>
      </c>
      <c r="AE333" s="226">
        <f t="shared" si="79"/>
        <v>0.44943533313484157</v>
      </c>
      <c r="AF333" s="226">
        <f t="shared" si="79"/>
        <v>0.4252076500682006</v>
      </c>
      <c r="AG333" s="226">
        <f t="shared" si="79"/>
        <v>0.40228600723360675</v>
      </c>
      <c r="AH333" s="227">
        <v>0.38059999999999999</v>
      </c>
      <c r="AI333" s="226">
        <f t="shared" ref="AI333:AX348" si="82">AH333*(1+($AH333/$N333)^(1/($AH$6-$N$6))-1)</f>
        <v>0.36008301903447137</v>
      </c>
      <c r="AJ333" s="226">
        <f t="shared" si="82"/>
        <v>0.34067204570935228</v>
      </c>
      <c r="AK333" s="226">
        <f t="shared" si="82"/>
        <v>0.32230745853828952</v>
      </c>
      <c r="AL333" s="226">
        <f t="shared" si="82"/>
        <v>0.30493285004675513</v>
      </c>
      <c r="AM333" s="226">
        <f t="shared" si="82"/>
        <v>0.28849485351450693</v>
      </c>
      <c r="AN333" s="226">
        <f t="shared" si="82"/>
        <v>0.27294297905783299</v>
      </c>
      <c r="AO333" s="226">
        <f t="shared" si="82"/>
        <v>0.25822945854810037</v>
      </c>
      <c r="AP333" s="226">
        <f t="shared" si="82"/>
        <v>0.24430909889027025</v>
      </c>
      <c r="AQ333" s="226">
        <f t="shared" si="82"/>
        <v>0.23113914321071921</v>
      </c>
      <c r="AR333" s="226">
        <f t="shared" si="82"/>
        <v>0.21867913952800003</v>
      </c>
      <c r="AS333" s="226">
        <f t="shared" si="82"/>
        <v>0.20689081650315988</v>
      </c>
      <c r="AT333" s="226">
        <f t="shared" si="82"/>
        <v>0.19573796588797857</v>
      </c>
      <c r="AU333" s="226">
        <f t="shared" si="82"/>
        <v>0.18518633131006226</v>
      </c>
      <c r="AV333" s="226">
        <f t="shared" si="82"/>
        <v>0.17520350305319252</v>
      </c>
      <c r="AW333" s="226">
        <f t="shared" si="82"/>
        <v>0.16575881850974458</v>
      </c>
      <c r="AX333" s="226">
        <f t="shared" si="82"/>
        <v>0.15682326799941104</v>
      </c>
      <c r="AY333" s="226">
        <f t="shared" si="80"/>
        <v>0.14836940566494991</v>
      </c>
      <c r="AZ333" s="226">
        <f t="shared" si="80"/>
        <v>0.14037126517126999</v>
      </c>
      <c r="BA333" s="226">
        <f t="shared" si="80"/>
        <v>0.13280427994892077</v>
      </c>
      <c r="BB333" s="226">
        <f t="shared" si="80"/>
        <v>0.12564520773701129</v>
      </c>
      <c r="BC333" s="226">
        <f t="shared" si="80"/>
        <v>0.11887205919378967</v>
      </c>
      <c r="BD333" s="226">
        <f t="shared" si="80"/>
        <v>0.11246403035560738</v>
      </c>
      <c r="BE333" s="226">
        <f t="shared" si="80"/>
        <v>0.10640143873681435</v>
      </c>
    </row>
    <row r="334" spans="5:57" s="10" customFormat="1" x14ac:dyDescent="0.35">
      <c r="E334" s="10" t="s">
        <v>650</v>
      </c>
      <c r="F334" s="10" t="s">
        <v>615</v>
      </c>
      <c r="G334" s="43" t="s">
        <v>616</v>
      </c>
      <c r="I334" s="20"/>
      <c r="J334" s="200"/>
      <c r="K334" s="200"/>
      <c r="L334" s="200"/>
      <c r="M334" s="200"/>
      <c r="N334" s="200">
        <v>1.1395999999999999</v>
      </c>
      <c r="O334" s="226">
        <f t="shared" si="81"/>
        <v>1.0777203438283669</v>
      </c>
      <c r="P334" s="226">
        <f t="shared" si="81"/>
        <v>1.0192007191133146</v>
      </c>
      <c r="Q334" s="226">
        <f t="shared" si="81"/>
        <v>0.96385867798606539</v>
      </c>
      <c r="R334" s="226">
        <f t="shared" si="81"/>
        <v>0.91152167939724249</v>
      </c>
      <c r="S334" s="226">
        <f t="shared" si="81"/>
        <v>0.86202655118199945</v>
      </c>
      <c r="T334" s="226">
        <f t="shared" si="81"/>
        <v>0.81521898133471904</v>
      </c>
      <c r="U334" s="226">
        <f t="shared" si="81"/>
        <v>0.77095303690721695</v>
      </c>
      <c r="V334" s="226">
        <f t="shared" si="81"/>
        <v>0.72909070903051021</v>
      </c>
      <c r="W334" s="226">
        <f t="shared" si="81"/>
        <v>0.68950148264165434</v>
      </c>
      <c r="X334" s="226">
        <f t="shared" si="81"/>
        <v>0.6520619295741773</v>
      </c>
      <c r="Y334" s="226">
        <f t="shared" si="81"/>
        <v>0.61665532374348075</v>
      </c>
      <c r="Z334" s="226">
        <f t="shared" si="81"/>
        <v>0.58317127722746309</v>
      </c>
      <c r="AA334" s="226">
        <f t="shared" si="81"/>
        <v>0.55150539610776539</v>
      </c>
      <c r="AB334" s="226">
        <f t="shared" si="81"/>
        <v>0.52155895499864913</v>
      </c>
      <c r="AC334" s="226">
        <f t="shared" si="81"/>
        <v>0.49323858924877839</v>
      </c>
      <c r="AD334" s="226">
        <f t="shared" si="81"/>
        <v>0.46645600385627595</v>
      </c>
      <c r="AE334" s="226">
        <f t="shared" si="79"/>
        <v>0.44112769818953296</v>
      </c>
      <c r="AF334" s="226">
        <f t="shared" si="79"/>
        <v>0.41717470565552783</v>
      </c>
      <c r="AG334" s="226">
        <f t="shared" si="79"/>
        <v>0.39452234750401299</v>
      </c>
      <c r="AH334" s="227">
        <v>0.37309999999999999</v>
      </c>
      <c r="AI334" s="226">
        <f t="shared" si="82"/>
        <v>0.35284087423864835</v>
      </c>
      <c r="AJ334" s="226">
        <f t="shared" si="82"/>
        <v>0.33368180791609131</v>
      </c>
      <c r="AK334" s="226">
        <f t="shared" si="82"/>
        <v>0.31556306840698578</v>
      </c>
      <c r="AL334" s="226">
        <f t="shared" si="82"/>
        <v>0.29842816653484661</v>
      </c>
      <c r="AM334" s="226">
        <f t="shared" si="82"/>
        <v>0.28222368045454899</v>
      </c>
      <c r="AN334" s="226">
        <f t="shared" si="82"/>
        <v>0.26689908909791477</v>
      </c>
      <c r="AO334" s="226">
        <f t="shared" si="82"/>
        <v>0.25240661466311215</v>
      </c>
      <c r="AP334" s="226">
        <f t="shared" si="82"/>
        <v>0.2387010736567948</v>
      </c>
      <c r="AQ334" s="226">
        <f t="shared" si="82"/>
        <v>0.22573973602457109</v>
      </c>
      <c r="AR334" s="226">
        <f t="shared" si="82"/>
        <v>0.2134821919306121</v>
      </c>
      <c r="AS334" s="226">
        <f t="shared" si="82"/>
        <v>0.20189022577105362</v>
      </c>
      <c r="AT334" s="226">
        <f t="shared" si="82"/>
        <v>0.19092769702840165</v>
      </c>
      <c r="AU334" s="226">
        <f t="shared" si="82"/>
        <v>0.1805604275954785</v>
      </c>
      <c r="AV334" s="226">
        <f t="shared" si="82"/>
        <v>0.17075609521761673</v>
      </c>
      <c r="AW334" s="226">
        <f t="shared" si="82"/>
        <v>0.16148413272088386</v>
      </c>
      <c r="AX334" s="226">
        <f t="shared" si="82"/>
        <v>0.15271563271215916</v>
      </c>
      <c r="AY334" s="226">
        <f t="shared" si="80"/>
        <v>0.14442325745394416</v>
      </c>
      <c r="AZ334" s="226">
        <f t="shared" si="80"/>
        <v>0.13658115363292159</v>
      </c>
      <c r="BA334" s="226">
        <f t="shared" si="80"/>
        <v>0.12916487175653496</v>
      </c>
      <c r="BB334" s="226">
        <f t="shared" si="80"/>
        <v>0.12215128992628972</v>
      </c>
      <c r="BC334" s="226">
        <f t="shared" si="80"/>
        <v>0.1155185417501224</v>
      </c>
      <c r="BD334" s="226">
        <f t="shared" si="80"/>
        <v>0.10924594816908868</v>
      </c>
      <c r="BE334" s="226">
        <f t="shared" si="80"/>
        <v>0.10331395298582503</v>
      </c>
    </row>
    <row r="335" spans="5:57" s="10" customFormat="1" x14ac:dyDescent="0.35">
      <c r="E335" s="10" t="s">
        <v>651</v>
      </c>
      <c r="F335" s="10" t="s">
        <v>615</v>
      </c>
      <c r="G335" s="43" t="s">
        <v>616</v>
      </c>
      <c r="I335" s="20"/>
      <c r="J335" s="200"/>
      <c r="K335" s="200"/>
      <c r="L335" s="200"/>
      <c r="M335" s="200"/>
      <c r="N335" s="200">
        <v>1.1266</v>
      </c>
      <c r="O335" s="226">
        <f t="shared" si="81"/>
        <v>1.0649848864706086</v>
      </c>
      <c r="P335" s="226">
        <f t="shared" si="81"/>
        <v>1.0067395778544428</v>
      </c>
      <c r="Q335" s="226">
        <f t="shared" si="81"/>
        <v>0.95167977545427151</v>
      </c>
      <c r="R335" s="226">
        <f t="shared" si="81"/>
        <v>0.89963126009101879</v>
      </c>
      <c r="S335" s="226">
        <f t="shared" si="81"/>
        <v>0.8504293408427519</v>
      </c>
      <c r="T335" s="226">
        <f t="shared" si="81"/>
        <v>0.80391833393280021</v>
      </c>
      <c r="U335" s="226">
        <f t="shared" si="81"/>
        <v>0.75995107011811125</v>
      </c>
      <c r="V335" s="226">
        <f t="shared" si="81"/>
        <v>0.71838842901913214</v>
      </c>
      <c r="W335" s="226">
        <f t="shared" si="81"/>
        <v>0.67909889891775199</v>
      </c>
      <c r="X335" s="226">
        <f t="shared" si="81"/>
        <v>0.64195816063042555</v>
      </c>
      <c r="Y335" s="226">
        <f t="shared" si="81"/>
        <v>0.6068486941397786</v>
      </c>
      <c r="Z335" s="226">
        <f t="shared" si="81"/>
        <v>0.57365940674000471</v>
      </c>
      <c r="AA335" s="226">
        <f t="shared" si="81"/>
        <v>0.54228528151943955</v>
      </c>
      <c r="AB335" s="226">
        <f t="shared" si="81"/>
        <v>0.51262704506804757</v>
      </c>
      <c r="AC335" s="226">
        <f t="shared" si="81"/>
        <v>0.48459085335838653</v>
      </c>
      <c r="AD335" s="226">
        <f t="shared" si="81"/>
        <v>0.45808799480612167</v>
      </c>
      <c r="AE335" s="226">
        <f t="shared" si="79"/>
        <v>0.43303460957051859</v>
      </c>
      <c r="AF335" s="226">
        <f t="shared" si="79"/>
        <v>0.40935142420673098</v>
      </c>
      <c r="AG335" s="226">
        <f t="shared" si="79"/>
        <v>0.38696350083027459</v>
      </c>
      <c r="AH335" s="227">
        <v>0.36580000000000001</v>
      </c>
      <c r="AI335" s="226">
        <f t="shared" si="82"/>
        <v>0.34579395656927808</v>
      </c>
      <c r="AJ335" s="226">
        <f t="shared" si="82"/>
        <v>0.32688206779616119</v>
      </c>
      <c r="AK335" s="226">
        <f t="shared" si="82"/>
        <v>0.30900449304204913</v>
      </c>
      <c r="AL335" s="226">
        <f t="shared" si="82"/>
        <v>0.2921046644250796</v>
      </c>
      <c r="AM335" s="226">
        <f t="shared" si="82"/>
        <v>0.27612910782911293</v>
      </c>
      <c r="AN335" s="226">
        <f t="shared" si="82"/>
        <v>0.26102727370195128</v>
      </c>
      <c r="AO335" s="226">
        <f t="shared" si="82"/>
        <v>0.24675137710740733</v>
      </c>
      <c r="AP335" s="226">
        <f t="shared" si="82"/>
        <v>0.23325624652511853</v>
      </c>
      <c r="AQ335" s="226">
        <f t="shared" si="82"/>
        <v>0.22049918091968193</v>
      </c>
      <c r="AR335" s="226">
        <f t="shared" si="82"/>
        <v>0.20843981462685041</v>
      </c>
      <c r="AS335" s="226">
        <f t="shared" si="82"/>
        <v>0.19703998962926594</v>
      </c>
      <c r="AT335" s="226">
        <f t="shared" si="82"/>
        <v>0.18626363481758718</v>
      </c>
      <c r="AU335" s="226">
        <f t="shared" si="82"/>
        <v>0.17607665185497159</v>
      </c>
      <c r="AV335" s="226">
        <f t="shared" si="82"/>
        <v>0.16644680728376693</v>
      </c>
      <c r="AW335" s="226">
        <f t="shared" si="82"/>
        <v>0.15734363053301775</v>
      </c>
      <c r="AX335" s="226">
        <f t="shared" si="82"/>
        <v>0.14873831750406472</v>
      </c>
      <c r="AY335" s="226">
        <f t="shared" si="80"/>
        <v>0.1406036394291636</v>
      </c>
      <c r="AZ335" s="226">
        <f t="shared" si="80"/>
        <v>0.13291385671473654</v>
      </c>
      <c r="BA335" s="226">
        <f t="shared" si="80"/>
        <v>0.12564463749663984</v>
      </c>
      <c r="BB335" s="226">
        <f t="shared" si="80"/>
        <v>0.11877298064974239</v>
      </c>
      <c r="BC335" s="226">
        <f t="shared" si="80"/>
        <v>0.11227714300820317</v>
      </c>
      <c r="BD335" s="226">
        <f t="shared" si="80"/>
        <v>0.10613657056615973</v>
      </c>
      <c r="BE335" s="226">
        <f t="shared" si="80"/>
        <v>0.10033183344113382</v>
      </c>
    </row>
    <row r="336" spans="5:57" s="10" customFormat="1" x14ac:dyDescent="0.35">
      <c r="E336" s="10" t="s">
        <v>652</v>
      </c>
      <c r="F336" s="10" t="s">
        <v>615</v>
      </c>
      <c r="G336" s="43" t="s">
        <v>616</v>
      </c>
      <c r="I336" s="20"/>
      <c r="J336" s="200"/>
      <c r="K336" s="200"/>
      <c r="L336" s="200"/>
      <c r="M336" s="200"/>
      <c r="N336" s="200">
        <v>1.1135999999999999</v>
      </c>
      <c r="O336" s="226">
        <f t="shared" si="81"/>
        <v>1.0522605178269306</v>
      </c>
      <c r="P336" s="226">
        <f t="shared" si="81"/>
        <v>0.99429974620815398</v>
      </c>
      <c r="Q336" s="226">
        <f t="shared" si="81"/>
        <v>0.93953157850231483</v>
      </c>
      <c r="R336" s="226">
        <f t="shared" si="81"/>
        <v>0.88778015922198217</v>
      </c>
      <c r="S336" s="226">
        <f t="shared" si="81"/>
        <v>0.83887931937805127</v>
      </c>
      <c r="T336" s="226">
        <f t="shared" si="81"/>
        <v>0.79267204292659066</v>
      </c>
      <c r="U336" s="226">
        <f t="shared" si="81"/>
        <v>0.74900996260494368</v>
      </c>
      <c r="V336" s="226">
        <f t="shared" si="81"/>
        <v>0.70775288353826149</v>
      </c>
      <c r="W336" s="226">
        <f t="shared" si="81"/>
        <v>0.66876833308681249</v>
      </c>
      <c r="X336" s="226">
        <f t="shared" si="81"/>
        <v>0.63193113548866975</v>
      </c>
      <c r="Y336" s="226">
        <f t="shared" si="81"/>
        <v>0.59712300993199341</v>
      </c>
      <c r="Z336" s="226">
        <f t="shared" si="81"/>
        <v>0.56423219076635678</v>
      </c>
      <c r="AA336" s="226">
        <f t="shared" si="81"/>
        <v>0.53315306863364775</v>
      </c>
      <c r="AB336" s="226">
        <f t="shared" si="81"/>
        <v>0.50378585136625298</v>
      </c>
      <c r="AC336" s="226">
        <f t="shared" si="81"/>
        <v>0.47603624356369834</v>
      </c>
      <c r="AD336" s="226">
        <f t="shared" si="81"/>
        <v>0.44981514381889737</v>
      </c>
      <c r="AE336" s="226">
        <f t="shared" si="79"/>
        <v>0.42503835862182854</v>
      </c>
      <c r="AF336" s="226">
        <f t="shared" si="79"/>
        <v>0.40162633202201325</v>
      </c>
      <c r="AG336" s="226">
        <f t="shared" si="79"/>
        <v>0.37950389018176583</v>
      </c>
      <c r="AH336" s="227">
        <v>0.35859999999999997</v>
      </c>
      <c r="AI336" s="226">
        <f t="shared" si="82"/>
        <v>0.3388475410315529</v>
      </c>
      <c r="AJ336" s="226">
        <f t="shared" si="82"/>
        <v>0.32018308996968747</v>
      </c>
      <c r="AK336" s="226">
        <f t="shared" si="82"/>
        <v>0.3025467169997576</v>
      </c>
      <c r="AL336" s="226">
        <f t="shared" si="82"/>
        <v>0.28588179337015335</v>
      </c>
      <c r="AM336" s="226">
        <f t="shared" si="82"/>
        <v>0.2701348095626519</v>
      </c>
      <c r="AN336" s="226">
        <f t="shared" si="82"/>
        <v>0.25525520347833636</v>
      </c>
      <c r="AO336" s="226">
        <f t="shared" si="82"/>
        <v>0.24119519808740372</v>
      </c>
      <c r="AP336" s="226">
        <f t="shared" si="82"/>
        <v>0.22790964802157018</v>
      </c>
      <c r="AQ336" s="226">
        <f t="shared" si="82"/>
        <v>0.2153558946164969</v>
      </c>
      <c r="AR336" s="226">
        <f t="shared" si="82"/>
        <v>0.20349362893879036</v>
      </c>
      <c r="AS336" s="226">
        <f t="shared" si="82"/>
        <v>0.19228476235777014</v>
      </c>
      <c r="AT336" s="226">
        <f t="shared" si="82"/>
        <v>0.18169330424642199</v>
      </c>
      <c r="AU336" s="226">
        <f t="shared" si="82"/>
        <v>0.17168524641884525</v>
      </c>
      <c r="AV336" s="226">
        <f t="shared" si="82"/>
        <v>0.16222845393313426</v>
      </c>
      <c r="AW336" s="226">
        <f t="shared" si="82"/>
        <v>0.15329256190907167</v>
      </c>
      <c r="AX336" s="226">
        <f t="shared" si="82"/>
        <v>0.14484887802932525</v>
      </c>
      <c r="AY336" s="226">
        <f t="shared" si="80"/>
        <v>0.13687029041108811</v>
      </c>
      <c r="AZ336" s="226">
        <f t="shared" si="80"/>
        <v>0.1293311805523473</v>
      </c>
      <c r="BA336" s="226">
        <f t="shared" si="80"/>
        <v>0.12220734107325901</v>
      </c>
      <c r="BB336" s="226">
        <f t="shared" si="80"/>
        <v>0.11547589798850562</v>
      </c>
      <c r="BC336" s="226">
        <f t="shared" si="80"/>
        <v>0.1091152372610585</v>
      </c>
      <c r="BD336" s="226">
        <f t="shared" si="80"/>
        <v>0.10310493540151744</v>
      </c>
      <c r="BE336" s="226">
        <f t="shared" si="80"/>
        <v>9.7425693890187653E-2</v>
      </c>
    </row>
    <row r="337" spans="5:57" s="10" customFormat="1" x14ac:dyDescent="0.35">
      <c r="E337" s="10" t="s">
        <v>653</v>
      </c>
      <c r="F337" s="10" t="s">
        <v>615</v>
      </c>
      <c r="G337" s="43" t="s">
        <v>616</v>
      </c>
      <c r="I337" s="20"/>
      <c r="J337" s="200"/>
      <c r="K337" s="200"/>
      <c r="L337" s="200"/>
      <c r="M337" s="200"/>
      <c r="N337" s="200">
        <v>1.0993999999999999</v>
      </c>
      <c r="O337" s="226">
        <f t="shared" si="81"/>
        <v>1.0386917478397883</v>
      </c>
      <c r="P337" s="226">
        <f t="shared" si="81"/>
        <v>0.98133577135753547</v>
      </c>
      <c r="Q337" s="226">
        <f t="shared" si="81"/>
        <v>0.9271469597681149</v>
      </c>
      <c r="R337" s="226">
        <f t="shared" si="81"/>
        <v>0.87595042400026313</v>
      </c>
      <c r="S337" s="226">
        <f t="shared" si="81"/>
        <v>0.82758093225926599</v>
      </c>
      <c r="T337" s="226">
        <f t="shared" si="81"/>
        <v>0.78188237675755734</v>
      </c>
      <c r="U337" s="226">
        <f t="shared" si="81"/>
        <v>0.73870726989215496</v>
      </c>
      <c r="V337" s="226">
        <f t="shared" si="81"/>
        <v>0.69791626824289676</v>
      </c>
      <c r="W337" s="226">
        <f t="shared" si="81"/>
        <v>0.65937772285522744</v>
      </c>
      <c r="X337" s="226">
        <f t="shared" si="81"/>
        <v>0.62296725435611766</v>
      </c>
      <c r="Y337" s="226">
        <f t="shared" si="81"/>
        <v>0.58856735153184458</v>
      </c>
      <c r="Z337" s="226">
        <f t="shared" si="81"/>
        <v>0.55606699207208188</v>
      </c>
      <c r="AA337" s="226">
        <f t="shared" si="81"/>
        <v>0.52536128425628936</v>
      </c>
      <c r="AB337" s="226">
        <f t="shared" si="81"/>
        <v>0.49635112842597884</v>
      </c>
      <c r="AC337" s="226">
        <f t="shared" si="81"/>
        <v>0.46894289715029219</v>
      </c>
      <c r="AD337" s="226">
        <f t="shared" si="81"/>
        <v>0.443048133052657</v>
      </c>
      <c r="AE337" s="226">
        <f t="shared" si="79"/>
        <v>0.41858326332328494</v>
      </c>
      <c r="AF337" s="226">
        <f t="shared" si="79"/>
        <v>0.39546932999612994</v>
      </c>
      <c r="AG337" s="226">
        <f t="shared" si="79"/>
        <v>0.37363173511980197</v>
      </c>
      <c r="AH337" s="227">
        <v>0.35299999999999998</v>
      </c>
      <c r="AI337" s="226">
        <f t="shared" si="82"/>
        <v>0.33350753773644287</v>
      </c>
      <c r="AJ337" s="226">
        <f t="shared" si="82"/>
        <v>0.31509143832018377</v>
      </c>
      <c r="AK337" s="226">
        <f t="shared" si="82"/>
        <v>0.29769226559773021</v>
      </c>
      <c r="AL337" s="226">
        <f t="shared" si="82"/>
        <v>0.28125386544669173</v>
      </c>
      <c r="AM337" s="226">
        <f t="shared" si="82"/>
        <v>0.26572318454386112</v>
      </c>
      <c r="AN337" s="226">
        <f t="shared" si="82"/>
        <v>0.25105009914082022</v>
      </c>
      <c r="AO337" s="226">
        <f t="shared" si="82"/>
        <v>0.23718725329446128</v>
      </c>
      <c r="AP337" s="226">
        <f t="shared" si="82"/>
        <v>0.224089906030328</v>
      </c>
      <c r="AQ337" s="226">
        <f t="shared" si="82"/>
        <v>0.21171578694551149</v>
      </c>
      <c r="AR337" s="226">
        <f t="shared" si="82"/>
        <v>0.20002495978507331</v>
      </c>
      <c r="AS337" s="226">
        <f t="shared" si="82"/>
        <v>0.18897969355170202</v>
      </c>
      <c r="AT337" s="226">
        <f t="shared" si="82"/>
        <v>0.17854434073262232</v>
      </c>
      <c r="AU337" s="226">
        <f t="shared" si="82"/>
        <v>0.16868522225074606</v>
      </c>
      <c r="AV337" s="226">
        <f t="shared" si="82"/>
        <v>0.15937051876875621</v>
      </c>
      <c r="AW337" s="226">
        <f t="shared" si="82"/>
        <v>0.15057016799531853</v>
      </c>
      <c r="AX337" s="226">
        <f t="shared" si="82"/>
        <v>0.1422557676619865</v>
      </c>
      <c r="AY337" s="226">
        <f t="shared" si="80"/>
        <v>0.13440048385766745</v>
      </c>
      <c r="AZ337" s="226">
        <f t="shared" si="80"/>
        <v>0.12697896442480797</v>
      </c>
      <c r="BA337" s="226">
        <f t="shared" si="80"/>
        <v>0.11996725713779344</v>
      </c>
      <c r="BB337" s="226">
        <f t="shared" si="80"/>
        <v>0.11334273239949062</v>
      </c>
      <c r="BC337" s="226">
        <f t="shared" si="80"/>
        <v>0.10708401020644381</v>
      </c>
      <c r="BD337" s="226">
        <f t="shared" si="80"/>
        <v>0.10117089114701189</v>
      </c>
      <c r="BE337" s="226">
        <f t="shared" si="80"/>
        <v>9.5584291209749636E-2</v>
      </c>
    </row>
    <row r="338" spans="5:57" s="10" customFormat="1" x14ac:dyDescent="0.35">
      <c r="E338" s="10" t="s">
        <v>654</v>
      </c>
      <c r="F338" s="10" t="s">
        <v>615</v>
      </c>
      <c r="G338" s="43" t="s">
        <v>616</v>
      </c>
      <c r="I338" s="20"/>
      <c r="J338" s="200"/>
      <c r="K338" s="200"/>
      <c r="L338" s="200"/>
      <c r="M338" s="200"/>
      <c r="N338" s="200">
        <v>1.0853999999999999</v>
      </c>
      <c r="O338" s="226">
        <f t="shared" si="81"/>
        <v>1.025302029647075</v>
      </c>
      <c r="P338" s="226">
        <f t="shared" si="81"/>
        <v>0.96853164916013579</v>
      </c>
      <c r="Q338" s="226">
        <f t="shared" si="81"/>
        <v>0.91490461181252625</v>
      </c>
      <c r="R338" s="226">
        <f t="shared" si="81"/>
        <v>0.86424687251230181</v>
      </c>
      <c r="S338" s="226">
        <f t="shared" si="81"/>
        <v>0.81639402294361518</v>
      </c>
      <c r="T338" s="226">
        <f t="shared" si="81"/>
        <v>0.77119075798399606</v>
      </c>
      <c r="U338" s="226">
        <f t="shared" si="81"/>
        <v>0.72849037166579822</v>
      </c>
      <c r="V338" s="226">
        <f t="shared" si="81"/>
        <v>0.68815428104596921</v>
      </c>
      <c r="W338" s="226">
        <f t="shared" si="81"/>
        <v>0.6500515764388759</v>
      </c>
      <c r="X338" s="226">
        <f t="shared" si="81"/>
        <v>0.61405859655247852</v>
      </c>
      <c r="Y338" s="226">
        <f t="shared" si="81"/>
        <v>0.58005852714896866</v>
      </c>
      <c r="Z338" s="226">
        <f t="shared" si="81"/>
        <v>0.54794102192733607</v>
      </c>
      <c r="AA338" s="226">
        <f t="shared" si="81"/>
        <v>0.51760184439744805</v>
      </c>
      <c r="AB338" s="226">
        <f t="shared" si="81"/>
        <v>0.48894252958335449</v>
      </c>
      <c r="AC338" s="226">
        <f t="shared" si="81"/>
        <v>0.46187006445788498</v>
      </c>
      <c r="AD338" s="226">
        <f t="shared" si="81"/>
        <v>0.43629658607139749</v>
      </c>
      <c r="AE338" s="226">
        <f t="shared" si="79"/>
        <v>0.41213909639496371</v>
      </c>
      <c r="AF338" s="226">
        <f t="shared" si="79"/>
        <v>0.38931919295252237</v>
      </c>
      <c r="AG338" s="226">
        <f t="shared" si="79"/>
        <v>0.36776281436777447</v>
      </c>
      <c r="AH338" s="227">
        <v>0.34739999999999999</v>
      </c>
      <c r="AI338" s="226">
        <f t="shared" si="82"/>
        <v>0.32816466288869894</v>
      </c>
      <c r="AJ338" s="226">
        <f t="shared" si="82"/>
        <v>0.30999437527015955</v>
      </c>
      <c r="AK338" s="226">
        <f t="shared" si="82"/>
        <v>0.29283016596984673</v>
      </c>
      <c r="AL338" s="226">
        <f t="shared" si="82"/>
        <v>0.27661632901305849</v>
      </c>
      <c r="AM338" s="226">
        <f t="shared" si="82"/>
        <v>0.26130024283269943</v>
      </c>
      <c r="AN338" s="226">
        <f t="shared" si="82"/>
        <v>0.24683219948741503</v>
      </c>
      <c r="AO338" s="226">
        <f t="shared" si="82"/>
        <v>0.23316524333581937</v>
      </c>
      <c r="AP338" s="226">
        <f t="shared" si="82"/>
        <v>0.22025501864323727</v>
      </c>
      <c r="AQ338" s="226">
        <f t="shared" si="82"/>
        <v>0.20805962562637323</v>
      </c>
      <c r="AR338" s="226">
        <f t="shared" si="82"/>
        <v>0.19653948446870376</v>
      </c>
      <c r="AS338" s="226">
        <f t="shared" si="82"/>
        <v>0.18565720686525863</v>
      </c>
      <c r="AT338" s="226">
        <f t="shared" si="82"/>
        <v>0.17537747467989362</v>
      </c>
      <c r="AU338" s="226">
        <f t="shared" si="82"/>
        <v>0.16566692532123958</v>
      </c>
      <c r="AV338" s="226">
        <f t="shared" si="82"/>
        <v>0.15649404346531909</v>
      </c>
      <c r="AW338" s="226">
        <f t="shared" si="82"/>
        <v>0.14782905877341923</v>
      </c>
      <c r="AX338" s="226">
        <f t="shared" si="82"/>
        <v>0.13964384927326651</v>
      </c>
      <c r="AY338" s="226">
        <f t="shared" si="80"/>
        <v>0.13191185008993031</v>
      </c>
      <c r="AZ338" s="226">
        <f t="shared" si="80"/>
        <v>0.12460796723024345</v>
      </c>
      <c r="BA338" s="226">
        <f t="shared" si="80"/>
        <v>0.11770849614092944</v>
      </c>
      <c r="BB338" s="226">
        <f t="shared" si="80"/>
        <v>0.11119104477611927</v>
      </c>
      <c r="BC338" s="226">
        <f t="shared" si="80"/>
        <v>0.10503446092457516</v>
      </c>
      <c r="BD338" s="226">
        <f t="shared" si="80"/>
        <v>9.9218763560764048E-2</v>
      </c>
      <c r="BE338" s="226">
        <f t="shared" si="80"/>
        <v>9.3725077996982334E-2</v>
      </c>
    </row>
    <row r="339" spans="5:57" s="10" customFormat="1" x14ac:dyDescent="0.35">
      <c r="E339" s="10" t="s">
        <v>655</v>
      </c>
      <c r="F339" s="10" t="s">
        <v>615</v>
      </c>
      <c r="G339" s="43" t="s">
        <v>616</v>
      </c>
      <c r="I339" s="20"/>
      <c r="J339" s="200"/>
      <c r="K339" s="200"/>
      <c r="L339" s="200"/>
      <c r="M339" s="200"/>
      <c r="N339" s="200">
        <v>1.0714999999999999</v>
      </c>
      <c r="O339" s="226">
        <f t="shared" si="81"/>
        <v>1.0120311307865608</v>
      </c>
      <c r="P339" s="226">
        <f t="shared" si="81"/>
        <v>0.95586281818117125</v>
      </c>
      <c r="Q339" s="226">
        <f t="shared" si="81"/>
        <v>0.90281187938471252</v>
      </c>
      <c r="R339" s="226">
        <f t="shared" si="81"/>
        <v>0.85270529834927744</v>
      </c>
      <c r="S339" s="226">
        <f t="shared" si="81"/>
        <v>0.80537966151760243</v>
      </c>
      <c r="T339" s="226">
        <f t="shared" si="81"/>
        <v>0.76068062487928767</v>
      </c>
      <c r="U339" s="226">
        <f t="shared" si="81"/>
        <v>0.71846241060570526</v>
      </c>
      <c r="V339" s="226">
        <f t="shared" si="81"/>
        <v>0.67858733162196017</v>
      </c>
      <c r="W339" s="226">
        <f t="shared" si="81"/>
        <v>0.64092534256538247</v>
      </c>
      <c r="X339" s="226">
        <f t="shared" si="81"/>
        <v>0.60535361566608292</v>
      </c>
      <c r="Y339" s="226">
        <f t="shared" si="81"/>
        <v>0.57175614016638265</v>
      </c>
      <c r="Z339" s="226">
        <f t="shared" si="81"/>
        <v>0.5400233439726958</v>
      </c>
      <c r="AA339" s="226">
        <f t="shared" si="81"/>
        <v>0.51005173630595169</v>
      </c>
      <c r="AB339" s="226">
        <f t="shared" si="81"/>
        <v>0.48174357018512459</v>
      </c>
      <c r="AC339" s="226">
        <f t="shared" si="81"/>
        <v>0.45500652364312327</v>
      </c>
      <c r="AD339" s="226">
        <f t="shared" si="81"/>
        <v>0.42975339863538226</v>
      </c>
      <c r="AE339" s="226">
        <f t="shared" si="79"/>
        <v>0.40590183665920071</v>
      </c>
      <c r="AF339" s="226">
        <f t="shared" si="79"/>
        <v>0.38337405015637221</v>
      </c>
      <c r="AG339" s="226">
        <f t="shared" si="79"/>
        <v>0.36209656882312369</v>
      </c>
      <c r="AH339" s="227">
        <v>0.34200000000000003</v>
      </c>
      <c r="AI339" s="226">
        <f t="shared" si="82"/>
        <v>0.32301880236024622</v>
      </c>
      <c r="AJ339" s="226">
        <f t="shared" si="82"/>
        <v>0.3050910721586193</v>
      </c>
      <c r="AK339" s="226">
        <f t="shared" si="82"/>
        <v>0.2881583413435107</v>
      </c>
      <c r="AL339" s="226">
        <f t="shared" si="82"/>
        <v>0.27216538687396447</v>
      </c>
      <c r="AM339" s="226">
        <f t="shared" si="82"/>
        <v>0.25706005061971071</v>
      </c>
      <c r="AN339" s="226">
        <f t="shared" si="82"/>
        <v>0.24279306925685151</v>
      </c>
      <c r="AO339" s="226">
        <f t="shared" si="82"/>
        <v>0.22931791360443418</v>
      </c>
      <c r="AP339" s="226">
        <f t="shared" si="82"/>
        <v>0.21659063687793784</v>
      </c>
      <c r="AQ339" s="226">
        <f t="shared" si="82"/>
        <v>0.2045697313647791</v>
      </c>
      <c r="AR339" s="226">
        <f t="shared" si="82"/>
        <v>0.19321599305441006</v>
      </c>
      <c r="AS339" s="226">
        <f t="shared" si="82"/>
        <v>0.18249239378152393</v>
      </c>
      <c r="AT339" s="226">
        <f t="shared" si="82"/>
        <v>0.17236396046538685</v>
      </c>
      <c r="AU339" s="226">
        <f t="shared" si="82"/>
        <v>0.16279766105145638</v>
      </c>
      <c r="AV339" s="226">
        <f t="shared" si="82"/>
        <v>0.15376229678330625</v>
      </c>
      <c r="AW339" s="226">
        <f t="shared" si="82"/>
        <v>0.14522840045352139</v>
      </c>
      <c r="AX339" s="226">
        <f t="shared" si="82"/>
        <v>0.13716814030172725</v>
      </c>
      <c r="AY339" s="226">
        <f t="shared" si="80"/>
        <v>0.12955522924633378</v>
      </c>
      <c r="AZ339" s="226">
        <f t="shared" si="80"/>
        <v>0.12236483915397041</v>
      </c>
      <c r="BA339" s="226">
        <f t="shared" si="80"/>
        <v>0.11557351986701661</v>
      </c>
      <c r="BB339" s="226">
        <f t="shared" si="80"/>
        <v>0.10915912272515153</v>
      </c>
      <c r="BC339" s="226">
        <f t="shared" si="80"/>
        <v>0.1031007283315017</v>
      </c>
      <c r="BD339" s="226">
        <f t="shared" si="80"/>
        <v>9.7378578327809315E-2</v>
      </c>
      <c r="BE339" s="226">
        <f t="shared" si="80"/>
        <v>9.1974010956118096E-2</v>
      </c>
    </row>
    <row r="340" spans="5:57" s="10" customFormat="1" x14ac:dyDescent="0.35">
      <c r="E340" s="10" t="s">
        <v>656</v>
      </c>
      <c r="F340" s="10" t="s">
        <v>615</v>
      </c>
      <c r="G340" s="43" t="s">
        <v>616</v>
      </c>
      <c r="I340" s="20"/>
      <c r="J340" s="200"/>
      <c r="K340" s="200"/>
      <c r="L340" s="200"/>
      <c r="M340" s="200"/>
      <c r="N340" s="200">
        <v>1.0579000000000001</v>
      </c>
      <c r="O340" s="226">
        <f t="shared" si="81"/>
        <v>0.99902899233213205</v>
      </c>
      <c r="P340" s="226">
        <f t="shared" si="81"/>
        <v>0.94343409350614915</v>
      </c>
      <c r="Q340" s="226">
        <f t="shared" si="81"/>
        <v>0.89093299155612682</v>
      </c>
      <c r="R340" s="226">
        <f t="shared" si="81"/>
        <v>0.84135351998276708</v>
      </c>
      <c r="S340" s="226">
        <f t="shared" si="81"/>
        <v>0.79453309316899146</v>
      </c>
      <c r="T340" s="226">
        <f t="shared" si="81"/>
        <v>0.75031817321405569</v>
      </c>
      <c r="U340" s="226">
        <f t="shared" si="81"/>
        <v>0.70856376643777685</v>
      </c>
      <c r="V340" s="226">
        <f t="shared" si="81"/>
        <v>0.66913294790376443</v>
      </c>
      <c r="W340" s="226">
        <f t="shared" si="81"/>
        <v>0.63189641240242633</v>
      </c>
      <c r="X340" s="226">
        <f t="shared" si="81"/>
        <v>0.59673205042129251</v>
      </c>
      <c r="Y340" s="226">
        <f t="shared" si="81"/>
        <v>0.56352454771213811</v>
      </c>
      <c r="Z340" s="226">
        <f t="shared" si="81"/>
        <v>0.5321650071417694</v>
      </c>
      <c r="AA340" s="226">
        <f t="shared" si="81"/>
        <v>0.50255059158641058</v>
      </c>
      <c r="AB340" s="226">
        <f t="shared" si="81"/>
        <v>0.4745841866986375</v>
      </c>
      <c r="AC340" s="226">
        <f t="shared" si="81"/>
        <v>0.44817408244097195</v>
      </c>
      <c r="AD340" s="226">
        <f t="shared" si="81"/>
        <v>0.42323367234179232</v>
      </c>
      <c r="AE340" s="226">
        <f t="shared" si="79"/>
        <v>0.39968116948733201</v>
      </c>
      <c r="AF340" s="226">
        <f t="shared" si="79"/>
        <v>0.3774393383184208</v>
      </c>
      <c r="AG340" s="226">
        <f t="shared" si="79"/>
        <v>0.35643524135245164</v>
      </c>
      <c r="AH340" s="227">
        <v>0.33660000000000001</v>
      </c>
      <c r="AI340" s="226">
        <f t="shared" si="82"/>
        <v>0.31786856869174368</v>
      </c>
      <c r="AJ340" s="226">
        <f t="shared" si="82"/>
        <v>0.30017952157497851</v>
      </c>
      <c r="AK340" s="226">
        <f t="shared" si="82"/>
        <v>0.283474851080246</v>
      </c>
      <c r="AL340" s="226">
        <f t="shared" si="82"/>
        <v>0.26769977769751335</v>
      </c>
      <c r="AM340" s="226">
        <f t="shared" si="82"/>
        <v>0.25280257033810616</v>
      </c>
      <c r="AN340" s="226">
        <f t="shared" si="82"/>
        <v>0.23873437669330855</v>
      </c>
      <c r="AO340" s="226">
        <f t="shared" si="82"/>
        <v>0.2254490630333261</v>
      </c>
      <c r="AP340" s="226">
        <f t="shared" si="82"/>
        <v>0.21290306292126579</v>
      </c>
      <c r="AQ340" s="226">
        <f t="shared" si="82"/>
        <v>0.20105523434602199</v>
      </c>
      <c r="AR340" s="226">
        <f t="shared" si="82"/>
        <v>0.1898667248055648</v>
      </c>
      <c r="AS340" s="226">
        <f t="shared" si="82"/>
        <v>0.17930084389819984</v>
      </c>
      <c r="AT340" s="226">
        <f t="shared" si="82"/>
        <v>0.16932294300398854</v>
      </c>
      <c r="AU340" s="226">
        <f t="shared" si="82"/>
        <v>0.15990030166176925</v>
      </c>
      <c r="AV340" s="226">
        <f t="shared" si="82"/>
        <v>0.15100202026917597</v>
      </c>
      <c r="AW340" s="226">
        <f t="shared" si="82"/>
        <v>0.1425989187537868</v>
      </c>
      <c r="AX340" s="226">
        <f t="shared" si="82"/>
        <v>0.13466344088311485</v>
      </c>
      <c r="AY340" s="226">
        <f t="shared" si="80"/>
        <v>0.12716956389964634</v>
      </c>
      <c r="AZ340" s="226">
        <f t="shared" si="80"/>
        <v>0.12009271318459246</v>
      </c>
      <c r="BA340" s="226">
        <f t="shared" si="80"/>
        <v>0.11340968167051248</v>
      </c>
      <c r="BB340" s="226">
        <f t="shared" si="80"/>
        <v>0.10709855373853856</v>
      </c>
      <c r="BC340" s="226">
        <f t="shared" si="80"/>
        <v>0.10113863335063888</v>
      </c>
      <c r="BD340" s="226">
        <f t="shared" si="80"/>
        <v>9.5510376181243722E-2</v>
      </c>
      <c r="BE340" s="226">
        <f t="shared" si="80"/>
        <v>9.0195325525674247E-2</v>
      </c>
    </row>
    <row r="341" spans="5:57" s="10" customFormat="1" x14ac:dyDescent="0.35">
      <c r="E341" s="10" t="s">
        <v>657</v>
      </c>
      <c r="F341" s="10" t="s">
        <v>615</v>
      </c>
      <c r="G341" s="43" t="s">
        <v>616</v>
      </c>
      <c r="I341" s="20"/>
      <c r="J341" s="200"/>
      <c r="K341" s="200"/>
      <c r="L341" s="200"/>
      <c r="M341" s="200"/>
      <c r="N341" s="200">
        <v>1.0444</v>
      </c>
      <c r="O341" s="226">
        <f t="shared" si="81"/>
        <v>0.98614583587586158</v>
      </c>
      <c r="P341" s="226">
        <f t="shared" si="81"/>
        <v>0.93114095137428354</v>
      </c>
      <c r="Q341" s="226">
        <f t="shared" si="81"/>
        <v>0.87920410935583859</v>
      </c>
      <c r="R341" s="226">
        <f t="shared" si="81"/>
        <v>0.83016418166048045</v>
      </c>
      <c r="S341" s="226">
        <f t="shared" si="81"/>
        <v>0.78385958525256139</v>
      </c>
      <c r="T341" s="226">
        <f t="shared" si="81"/>
        <v>0.7401377498163475</v>
      </c>
      <c r="U341" s="226">
        <f t="shared" si="81"/>
        <v>0.698854615047799</v>
      </c>
      <c r="V341" s="226">
        <f t="shared" si="81"/>
        <v>0.65987415598622667</v>
      </c>
      <c r="W341" s="226">
        <f t="shared" si="81"/>
        <v>0.62306793482182699</v>
      </c>
      <c r="X341" s="226">
        <f t="shared" si="81"/>
        <v>0.58831467770233381</v>
      </c>
      <c r="Y341" s="226">
        <f t="shared" si="81"/>
        <v>0.55549987514439492</v>
      </c>
      <c r="Z341" s="226">
        <f t="shared" si="81"/>
        <v>0.52451540473305824</v>
      </c>
      <c r="AA341" s="226">
        <f t="shared" si="81"/>
        <v>0.49525917486618876</v>
      </c>
      <c r="AB341" s="226">
        <f t="shared" si="81"/>
        <v>0.46763478836998007</v>
      </c>
      <c r="AC341" s="226">
        <f t="shared" si="81"/>
        <v>0.441551224877198</v>
      </c>
      <c r="AD341" s="226">
        <f t="shared" si="81"/>
        <v>0.41692254092161524</v>
      </c>
      <c r="AE341" s="226">
        <f t="shared" si="79"/>
        <v>0.39366758676046948</v>
      </c>
      <c r="AF341" s="226">
        <f t="shared" si="79"/>
        <v>0.37170973899189624</v>
      </c>
      <c r="AG341" s="226">
        <f t="shared" si="79"/>
        <v>0.35097664808632884</v>
      </c>
      <c r="AH341" s="227">
        <v>0.33139999999999997</v>
      </c>
      <c r="AI341" s="226">
        <f t="shared" si="82"/>
        <v>0.31291529108508281</v>
      </c>
      <c r="AJ341" s="226">
        <f t="shared" si="82"/>
        <v>0.29546161555480421</v>
      </c>
      <c r="AK341" s="226">
        <f t="shared" si="82"/>
        <v>0.27898146480326008</v>
      </c>
      <c r="AL341" s="226">
        <f t="shared" si="82"/>
        <v>0.26342053791869319</v>
      </c>
      <c r="AM341" s="226">
        <f t="shared" si="82"/>
        <v>0.24872756276589311</v>
      </c>
      <c r="AN341" s="226">
        <f t="shared" si="82"/>
        <v>0.23485412704819753</v>
      </c>
      <c r="AO341" s="226">
        <f t="shared" si="82"/>
        <v>0.2217545187924555</v>
      </c>
      <c r="AP341" s="226">
        <f t="shared" si="82"/>
        <v>0.20938557573136296</v>
      </c>
      <c r="AQ341" s="226">
        <f t="shared" si="82"/>
        <v>0.19770654308689528</v>
      </c>
      <c r="AR341" s="226">
        <f t="shared" si="82"/>
        <v>0.18667893928624416</v>
      </c>
      <c r="AS341" s="226">
        <f t="shared" si="82"/>
        <v>0.17626642916780205</v>
      </c>
      <c r="AT341" s="226">
        <f t="shared" si="82"/>
        <v>0.16643470425941737</v>
      </c>
      <c r="AU341" s="226">
        <f t="shared" si="82"/>
        <v>0.15715136973444557</v>
      </c>
      <c r="AV341" s="226">
        <f t="shared" si="82"/>
        <v>0.14838583767312466</v>
      </c>
      <c r="AW341" s="226">
        <f t="shared" si="82"/>
        <v>0.14010922627757891</v>
      </c>
      <c r="AX341" s="226">
        <f t="shared" si="82"/>
        <v>0.13229426470837158</v>
      </c>
      <c r="AY341" s="226">
        <f t="shared" si="80"/>
        <v>0.12491520322904977</v>
      </c>
      <c r="AZ341" s="226">
        <f t="shared" si="80"/>
        <v>0.11794772836261433</v>
      </c>
      <c r="BA341" s="226">
        <f t="shared" si="80"/>
        <v>0.11136888278036133</v>
      </c>
      <c r="BB341" s="226">
        <f t="shared" si="80"/>
        <v>0.1051569896591347</v>
      </c>
      <c r="BC341" s="226">
        <f t="shared" si="80"/>
        <v>9.9291581257752504E-2</v>
      </c>
      <c r="BD341" s="226">
        <f t="shared" si="80"/>
        <v>9.3753331477271509E-2</v>
      </c>
      <c r="BE341" s="226">
        <f t="shared" si="80"/>
        <v>8.8523992182880734E-2</v>
      </c>
    </row>
    <row r="342" spans="5:57" s="10" customFormat="1" x14ac:dyDescent="0.35">
      <c r="E342" s="10" t="s">
        <v>658</v>
      </c>
      <c r="F342" s="10" t="s">
        <v>615</v>
      </c>
      <c r="G342" s="43" t="s">
        <v>616</v>
      </c>
      <c r="I342" s="20"/>
      <c r="J342" s="200"/>
      <c r="K342" s="200"/>
      <c r="L342" s="200"/>
      <c r="M342" s="200"/>
      <c r="N342" s="200">
        <v>1.0417000000000001</v>
      </c>
      <c r="O342" s="226">
        <f t="shared" si="81"/>
        <v>0.98049327602584913</v>
      </c>
      <c r="P342" s="226">
        <f t="shared" si="81"/>
        <v>0.92288284950744159</v>
      </c>
      <c r="Q342" s="226">
        <f t="shared" si="81"/>
        <v>0.86865741432429877</v>
      </c>
      <c r="R342" s="226">
        <f t="shared" si="81"/>
        <v>0.81761807997981661</v>
      </c>
      <c r="S342" s="226">
        <f t="shared" si="81"/>
        <v>0.76957764210173285</v>
      </c>
      <c r="T342" s="226">
        <f t="shared" si="81"/>
        <v>0.72435989580548765</v>
      </c>
      <c r="U342" s="226">
        <f t="shared" si="81"/>
        <v>0.68179898940200179</v>
      </c>
      <c r="V342" s="226">
        <f t="shared" si="81"/>
        <v>0.64173881607937211</v>
      </c>
      <c r="W342" s="226">
        <f t="shared" si="81"/>
        <v>0.60403244132726641</v>
      </c>
      <c r="X342" s="226">
        <f t="shared" si="81"/>
        <v>0.56854156400390032</v>
      </c>
      <c r="Y342" s="226">
        <f t="shared" si="81"/>
        <v>0.53513600906887226</v>
      </c>
      <c r="Z342" s="226">
        <f t="shared" si="81"/>
        <v>0.50369325012127963</v>
      </c>
      <c r="AA342" s="226">
        <f t="shared" si="81"/>
        <v>0.47409795999186027</v>
      </c>
      <c r="AB342" s="226">
        <f t="shared" si="81"/>
        <v>0.44624158774079964</v>
      </c>
      <c r="AC342" s="226">
        <f t="shared" si="81"/>
        <v>0.42002196050969859</v>
      </c>
      <c r="AD342" s="226">
        <f t="shared" si="81"/>
        <v>0.39534290876735545</v>
      </c>
      <c r="AE342" s="226">
        <f t="shared" si="79"/>
        <v>0.3721139135748226</v>
      </c>
      <c r="AF342" s="226">
        <f t="shared" si="79"/>
        <v>0.35024977457595996</v>
      </c>
      <c r="AG342" s="226">
        <f t="shared" si="79"/>
        <v>0.32967029749572635</v>
      </c>
      <c r="AH342" s="227">
        <v>0.31030000000000002</v>
      </c>
      <c r="AI342" s="226">
        <f t="shared" si="82"/>
        <v>0.29206783483807336</v>
      </c>
      <c r="AJ342" s="226">
        <f t="shared" si="82"/>
        <v>0.27490692925233673</v>
      </c>
      <c r="AK342" s="226">
        <f t="shared" si="82"/>
        <v>0.2587543396993664</v>
      </c>
      <c r="AL342" s="226">
        <f t="shared" si="82"/>
        <v>0.24355082098275624</v>
      </c>
      <c r="AM342" s="226">
        <f t="shared" si="82"/>
        <v>0.22924060895091464</v>
      </c>
      <c r="AN342" s="226">
        <f t="shared" si="82"/>
        <v>0.21577121596279436</v>
      </c>
      <c r="AO342" s="226">
        <f t="shared" si="82"/>
        <v>0.20309323837135571</v>
      </c>
      <c r="AP342" s="226">
        <f t="shared" si="82"/>
        <v>0.19116017531864188</v>
      </c>
      <c r="AQ342" s="226">
        <f t="shared" si="82"/>
        <v>0.17992825817783512</v>
      </c>
      <c r="AR342" s="226">
        <f t="shared" si="82"/>
        <v>0.16935629001671337</v>
      </c>
      <c r="AS342" s="226">
        <f t="shared" si="82"/>
        <v>0.15940549449368446</v>
      </c>
      <c r="AT342" s="226">
        <f t="shared" si="82"/>
        <v>0.15003937363217157</v>
      </c>
      <c r="AU342" s="226">
        <f t="shared" si="82"/>
        <v>0.14122357395168889</v>
      </c>
      <c r="AV342" s="226">
        <f t="shared" si="82"/>
        <v>0.13292576046459653</v>
      </c>
      <c r="AW342" s="226">
        <f t="shared" si="82"/>
        <v>0.12511549807637473</v>
      </c>
      <c r="AX342" s="226">
        <f t="shared" si="82"/>
        <v>0.11776413995441153</v>
      </c>
      <c r="AY342" s="226">
        <f t="shared" si="80"/>
        <v>0.11084472245585825</v>
      </c>
      <c r="AZ342" s="226">
        <f t="shared" si="80"/>
        <v>0.10433186622916429</v>
      </c>
      <c r="BA342" s="226">
        <f t="shared" si="80"/>
        <v>9.8201683126546938E-2</v>
      </c>
      <c r="BB342" s="226">
        <f t="shared" si="80"/>
        <v>9.2431688585965593E-2</v>
      </c>
      <c r="BC342" s="226">
        <f t="shared" si="80"/>
        <v>8.7000719161231144E-2</v>
      </c>
      <c r="BD342" s="226">
        <f t="shared" si="80"/>
        <v>8.1888854897763638E-2</v>
      </c>
      <c r="BE342" s="226">
        <f t="shared" si="80"/>
        <v>7.7077346269284502E-2</v>
      </c>
    </row>
    <row r="343" spans="5:57" s="10" customFormat="1" x14ac:dyDescent="0.35">
      <c r="E343" s="10" t="s">
        <v>659</v>
      </c>
      <c r="F343" s="10" t="s">
        <v>615</v>
      </c>
      <c r="G343" s="43" t="s">
        <v>616</v>
      </c>
      <c r="I343" s="20"/>
      <c r="J343" s="200"/>
      <c r="K343" s="200"/>
      <c r="L343" s="200"/>
      <c r="M343" s="200"/>
      <c r="N343" s="200">
        <v>1.0390999999999999</v>
      </c>
      <c r="O343" s="226">
        <f t="shared" si="81"/>
        <v>0.97496552243987245</v>
      </c>
      <c r="P343" s="226">
        <f t="shared" si="81"/>
        <v>0.91478950047777252</v>
      </c>
      <c r="Q343" s="226">
        <f t="shared" si="81"/>
        <v>0.85832761356541376</v>
      </c>
      <c r="R343" s="226">
        <f t="shared" si="81"/>
        <v>0.80535062090691234</v>
      </c>
      <c r="S343" s="226">
        <f t="shared" si="81"/>
        <v>0.75564343071868301</v>
      </c>
      <c r="T343" s="226">
        <f t="shared" si="81"/>
        <v>0.70900422693571197</v>
      </c>
      <c r="U343" s="226">
        <f t="shared" si="81"/>
        <v>0.66524364981854911</v>
      </c>
      <c r="V343" s="226">
        <f t="shared" si="81"/>
        <v>0.62418402713420207</v>
      </c>
      <c r="W343" s="226">
        <f t="shared" si="81"/>
        <v>0.58565865278945328</v>
      </c>
      <c r="X343" s="226">
        <f t="shared" si="81"/>
        <v>0.54951110998777908</v>
      </c>
      <c r="Y343" s="226">
        <f t="shared" si="81"/>
        <v>0.515594636161822</v>
      </c>
      <c r="Z343" s="226">
        <f t="shared" si="81"/>
        <v>0.48377152710298021</v>
      </c>
      <c r="AA343" s="226">
        <f t="shared" si="81"/>
        <v>0.45391257786882111</v>
      </c>
      <c r="AB343" s="226">
        <f t="shared" si="81"/>
        <v>0.42589655819834904</v>
      </c>
      <c r="AC343" s="226">
        <f t="shared" si="81"/>
        <v>0.39960972030526121</v>
      </c>
      <c r="AD343" s="226">
        <f t="shared" si="81"/>
        <v>0.37494533705078464</v>
      </c>
      <c r="AE343" s="226">
        <f t="shared" si="79"/>
        <v>0.35180326862103006</v>
      </c>
      <c r="AF343" s="226">
        <f t="shared" si="79"/>
        <v>0.33008955594953071</v>
      </c>
      <c r="AG343" s="226">
        <f t="shared" si="79"/>
        <v>0.30971603923422164</v>
      </c>
      <c r="AH343" s="227">
        <v>0.29060000000000002</v>
      </c>
      <c r="AI343" s="226">
        <f t="shared" si="82"/>
        <v>0.27266382525361077</v>
      </c>
      <c r="AJ343" s="226">
        <f t="shared" si="82"/>
        <v>0.25583469236728007</v>
      </c>
      <c r="AK343" s="226">
        <f t="shared" si="82"/>
        <v>0.24004427341171136</v>
      </c>
      <c r="AL343" s="226">
        <f t="shared" si="82"/>
        <v>0.22522845773799322</v>
      </c>
      <c r="AM343" s="226">
        <f t="shared" si="82"/>
        <v>0.21132709168207997</v>
      </c>
      <c r="AN343" s="226">
        <f t="shared" si="82"/>
        <v>0.1982837343350187</v>
      </c>
      <c r="AO343" s="226">
        <f t="shared" si="82"/>
        <v>0.18604542838732593</v>
      </c>
      <c r="AP343" s="226">
        <f t="shared" si="82"/>
        <v>0.17456248511711972</v>
      </c>
      <c r="AQ343" s="226">
        <f t="shared" si="82"/>
        <v>0.16378828264903772</v>
      </c>
      <c r="AR343" s="226">
        <f t="shared" si="82"/>
        <v>0.15367907666485281</v>
      </c>
      <c r="AS343" s="226">
        <f t="shared" si="82"/>
        <v>0.14419382279725285</v>
      </c>
      <c r="AT343" s="226">
        <f t="shared" si="82"/>
        <v>0.13529400998568569</v>
      </c>
      <c r="AU343" s="226">
        <f t="shared" si="82"/>
        <v>0.12694350411767816</v>
      </c>
      <c r="AV343" s="226">
        <f t="shared" si="82"/>
        <v>0.11910840132079703</v>
      </c>
      <c r="AW343" s="226">
        <f t="shared" si="82"/>
        <v>0.11175689030960338</v>
      </c>
      <c r="AX343" s="226">
        <f t="shared" si="82"/>
        <v>0.10485912322871521</v>
      </c>
      <c r="AY343" s="226">
        <f t="shared" si="80"/>
        <v>9.8387094467588587E-2</v>
      </c>
      <c r="AZ343" s="226">
        <f t="shared" si="80"/>
        <v>9.2314526954993356E-2</v>
      </c>
      <c r="BA343" s="226">
        <f t="shared" si="80"/>
        <v>8.6616765471528037E-2</v>
      </c>
      <c r="BB343" s="226">
        <f t="shared" si="80"/>
        <v>8.1270676547012075E-2</v>
      </c>
      <c r="BC343" s="226">
        <f t="shared" si="80"/>
        <v>7.6254554536329053E-2</v>
      </c>
      <c r="BD343" s="226">
        <f t="shared" si="80"/>
        <v>7.1548033492379759E-2</v>
      </c>
      <c r="BE343" s="226">
        <f t="shared" si="80"/>
        <v>6.7132004478340418E-2</v>
      </c>
    </row>
    <row r="344" spans="5:57" s="10" customFormat="1" x14ac:dyDescent="0.35">
      <c r="E344" s="10" t="s">
        <v>660</v>
      </c>
      <c r="F344" s="10" t="s">
        <v>615</v>
      </c>
      <c r="G344" s="43" t="s">
        <v>616</v>
      </c>
      <c r="I344" s="20"/>
      <c r="J344" s="200"/>
      <c r="K344" s="200"/>
      <c r="L344" s="200"/>
      <c r="M344" s="200"/>
      <c r="N344" s="200">
        <v>1.0364</v>
      </c>
      <c r="O344" s="226">
        <f t="shared" si="81"/>
        <v>0.96938309124561062</v>
      </c>
      <c r="P344" s="226">
        <f t="shared" si="81"/>
        <v>0.90669970821390955</v>
      </c>
      <c r="Q344" s="226">
        <f t="shared" si="81"/>
        <v>0.8480696313970405</v>
      </c>
      <c r="R344" s="226">
        <f t="shared" si="81"/>
        <v>0.79323076116864977</v>
      </c>
      <c r="S344" s="226">
        <f t="shared" si="81"/>
        <v>0.74193794609491925</v>
      </c>
      <c r="T344" s="226">
        <f t="shared" si="81"/>
        <v>0.6939618870107217</v>
      </c>
      <c r="U344" s="226">
        <f t="shared" si="81"/>
        <v>0.64908811196168525</v>
      </c>
      <c r="V344" s="226">
        <f t="shared" si="81"/>
        <v>0.60711601742975241</v>
      </c>
      <c r="W344" s="226">
        <f t="shared" si="81"/>
        <v>0.56785797155613416</v>
      </c>
      <c r="X344" s="226">
        <f t="shared" si="81"/>
        <v>0.53113847535270875</v>
      </c>
      <c r="Y344" s="226">
        <f t="shared" si="81"/>
        <v>0.49679337815215108</v>
      </c>
      <c r="Z344" s="226">
        <f t="shared" si="81"/>
        <v>0.46466914378954244</v>
      </c>
      <c r="AA344" s="226">
        <f t="shared" si="81"/>
        <v>0.43462216423500366</v>
      </c>
      <c r="AB344" s="226">
        <f t="shared" si="81"/>
        <v>0.40651811760901707</v>
      </c>
      <c r="AC344" s="226">
        <f t="shared" si="81"/>
        <v>0.38023136771051297</v>
      </c>
      <c r="AD344" s="226">
        <f t="shared" si="81"/>
        <v>0.35564440237337275</v>
      </c>
      <c r="AE344" s="226">
        <f t="shared" si="79"/>
        <v>0.33264730814058069</v>
      </c>
      <c r="AF344" s="226">
        <f t="shared" si="79"/>
        <v>0.31113727890761028</v>
      </c>
      <c r="AG344" s="226">
        <f t="shared" si="79"/>
        <v>0.2910181563384861</v>
      </c>
      <c r="AH344" s="227">
        <v>0.2722</v>
      </c>
      <c r="AI344" s="226">
        <f t="shared" si="82"/>
        <v>0.25459868529241142</v>
      </c>
      <c r="AJ344" s="226">
        <f t="shared" si="82"/>
        <v>0.23813552737922244</v>
      </c>
      <c r="AK344" s="226">
        <f t="shared" si="82"/>
        <v>0.22273692943484599</v>
      </c>
      <c r="AL344" s="226">
        <f t="shared" si="82"/>
        <v>0.20833405363769436</v>
      </c>
      <c r="AM344" s="226">
        <f t="shared" si="82"/>
        <v>0.19486251343789754</v>
      </c>
      <c r="AN344" s="226">
        <f t="shared" si="82"/>
        <v>0.18226208572396607</v>
      </c>
      <c r="AO344" s="226">
        <f t="shared" si="82"/>
        <v>0.17047644160166991</v>
      </c>
      <c r="AP344" s="226">
        <f t="shared" si="82"/>
        <v>0.15945289458160805</v>
      </c>
      <c r="AQ344" s="226">
        <f t="shared" si="82"/>
        <v>0.14914216504976813</v>
      </c>
      <c r="AR344" s="226">
        <f t="shared" si="82"/>
        <v>0.13949815996816606</v>
      </c>
      <c r="AS344" s="226">
        <f t="shared" si="82"/>
        <v>0.13047776682074055</v>
      </c>
      <c r="AT344" s="226">
        <f t="shared" si="82"/>
        <v>0.12204066088335917</v>
      </c>
      <c r="AU344" s="226">
        <f t="shared" si="82"/>
        <v>0.11414912495635661</v>
      </c>
      <c r="AV344" s="226">
        <f t="shared" si="82"/>
        <v>0.10676788075373837</v>
      </c>
      <c r="AW344" s="226">
        <f t="shared" si="82"/>
        <v>9.9863931195292979E-2</v>
      </c>
      <c r="AX344" s="226">
        <f t="shared" si="82"/>
        <v>9.3406412896595972E-2</v>
      </c>
      <c r="AY344" s="226">
        <f t="shared" si="80"/>
        <v>8.7366458197477875E-2</v>
      </c>
      <c r="AZ344" s="226">
        <f t="shared" si="80"/>
        <v>8.1717066112168585E-2</v>
      </c>
      <c r="BA344" s="226">
        <f t="shared" si="80"/>
        <v>7.643298162421451E-2</v>
      </c>
      <c r="BB344" s="226">
        <f t="shared" si="80"/>
        <v>7.1490582786568904E-2</v>
      </c>
      <c r="BC344" s="226">
        <f t="shared" si="80"/>
        <v>6.6867775122148213E-2</v>
      </c>
      <c r="BD344" s="226">
        <f t="shared" si="80"/>
        <v>6.254389285278307E-2</v>
      </c>
      <c r="BE344" s="226">
        <f t="shared" si="80"/>
        <v>5.8499606515018433E-2</v>
      </c>
    </row>
    <row r="345" spans="5:57" s="10" customFormat="1" x14ac:dyDescent="0.35">
      <c r="E345" s="10" t="s">
        <v>661</v>
      </c>
      <c r="F345" s="10" t="s">
        <v>615</v>
      </c>
      <c r="G345" s="43" t="s">
        <v>616</v>
      </c>
      <c r="I345" s="20"/>
      <c r="J345" s="200"/>
      <c r="K345" s="200"/>
      <c r="L345" s="200"/>
      <c r="M345" s="200"/>
      <c r="N345" s="200">
        <v>1.0338000000000001</v>
      </c>
      <c r="O345" s="226">
        <f t="shared" si="81"/>
        <v>0.96390269208298329</v>
      </c>
      <c r="P345" s="226">
        <f t="shared" si="81"/>
        <v>0.89873128245775047</v>
      </c>
      <c r="Q345" s="226">
        <f t="shared" si="81"/>
        <v>0.8379662435869778</v>
      </c>
      <c r="R345" s="226">
        <f t="shared" si="81"/>
        <v>0.7813096518360928</v>
      </c>
      <c r="S345" s="226">
        <f t="shared" si="81"/>
        <v>0.72848372678973516</v>
      </c>
      <c r="T345" s="226">
        <f t="shared" si="81"/>
        <v>0.67922946932798434</v>
      </c>
      <c r="U345" s="226">
        <f t="shared" si="81"/>
        <v>0.63330539178500689</v>
      </c>
      <c r="V345" s="226">
        <f t="shared" si="81"/>
        <v>0.5904863339642451</v>
      </c>
      <c r="W345" s="226">
        <f t="shared" si="81"/>
        <v>0.55056235920521124</v>
      </c>
      <c r="X345" s="226">
        <f t="shared" si="81"/>
        <v>0.51333772508943853</v>
      </c>
      <c r="Y345" s="226">
        <f t="shared" si="81"/>
        <v>0.47862992373908314</v>
      </c>
      <c r="Z345" s="226">
        <f t="shared" si="81"/>
        <v>0.44626878700287792</v>
      </c>
      <c r="AA345" s="226">
        <f t="shared" si="81"/>
        <v>0.41609565214227262</v>
      </c>
      <c r="AB345" s="226">
        <f t="shared" si="81"/>
        <v>0.38796258392722105</v>
      </c>
      <c r="AC345" s="226">
        <f t="shared" si="81"/>
        <v>0.36173164932764429</v>
      </c>
      <c r="AD345" s="226">
        <f t="shared" si="81"/>
        <v>0.33727424124447086</v>
      </c>
      <c r="AE345" s="226">
        <f t="shared" si="79"/>
        <v>0.3144704479645879</v>
      </c>
      <c r="AF345" s="226">
        <f t="shared" si="79"/>
        <v>0.2932084652482182</v>
      </c>
      <c r="AG345" s="226">
        <f t="shared" si="79"/>
        <v>0.27338404816625783</v>
      </c>
      <c r="AH345" s="227">
        <v>0.25490000000000002</v>
      </c>
      <c r="AI345" s="226">
        <f t="shared" si="82"/>
        <v>0.23766569569738097</v>
      </c>
      <c r="AJ345" s="226">
        <f t="shared" si="82"/>
        <v>0.22159663754931377</v>
      </c>
      <c r="AK345" s="226">
        <f t="shared" si="82"/>
        <v>0.20661404090764232</v>
      </c>
      <c r="AL345" s="226">
        <f t="shared" si="82"/>
        <v>0.19264444791354232</v>
      </c>
      <c r="AM345" s="226">
        <f t="shared" si="82"/>
        <v>0.17961936734252609</v>
      </c>
      <c r="AN345" s="226">
        <f t="shared" si="82"/>
        <v>0.16747493880025457</v>
      </c>
      <c r="AO345" s="226">
        <f t="shared" si="82"/>
        <v>0.15615161962274932</v>
      </c>
      <c r="AP345" s="226">
        <f t="shared" si="82"/>
        <v>0.14559389294591416</v>
      </c>
      <c r="AQ345" s="226">
        <f t="shared" si="82"/>
        <v>0.13574999551306666</v>
      </c>
      <c r="AR345" s="226">
        <f t="shared" si="82"/>
        <v>0.12657166388595265</v>
      </c>
      <c r="AS345" s="226">
        <f t="shared" si="82"/>
        <v>0.11801389781494705</v>
      </c>
      <c r="AT345" s="226">
        <f t="shared" si="82"/>
        <v>0.1100347396082739</v>
      </c>
      <c r="AU345" s="226">
        <f t="shared" si="82"/>
        <v>0.10259506841851931</v>
      </c>
      <c r="AV345" s="226">
        <f t="shared" si="82"/>
        <v>9.5658408437849313E-2</v>
      </c>
      <c r="AW345" s="226">
        <f t="shared" si="82"/>
        <v>8.9190750061536567E-2</v>
      </c>
      <c r="AX345" s="226">
        <f t="shared" si="82"/>
        <v>8.3160383142982783E-2</v>
      </c>
      <c r="AY345" s="226">
        <f t="shared" si="80"/>
        <v>7.7537741522705983E-2</v>
      </c>
      <c r="AZ345" s="226">
        <f t="shared" si="80"/>
        <v>7.2295258069037346E-2</v>
      </c>
      <c r="BA345" s="226">
        <f t="shared" si="80"/>
        <v>6.7407229519809556E-2</v>
      </c>
      <c r="BB345" s="226">
        <f t="shared" si="80"/>
        <v>6.2849690462371793E-2</v>
      </c>
      <c r="BC345" s="226">
        <f t="shared" si="80"/>
        <v>5.8600295834070774E-2</v>
      </c>
      <c r="BD345" s="226">
        <f t="shared" si="80"/>
        <v>5.4638211367111673E-2</v>
      </c>
      <c r="BE345" s="226">
        <f t="shared" si="80"/>
        <v>5.0944011440663566E-2</v>
      </c>
    </row>
    <row r="346" spans="5:57" s="10" customFormat="1" x14ac:dyDescent="0.35">
      <c r="E346" s="10" t="s">
        <v>662</v>
      </c>
      <c r="F346" s="10" t="s">
        <v>615</v>
      </c>
      <c r="G346" s="43" t="s">
        <v>616</v>
      </c>
      <c r="I346" s="20"/>
      <c r="J346" s="200"/>
      <c r="K346" s="200"/>
      <c r="L346" s="200"/>
      <c r="M346" s="200"/>
      <c r="N346" s="200">
        <v>1.0310999999999999</v>
      </c>
      <c r="O346" s="226">
        <f t="shared" si="81"/>
        <v>0.95835931506206151</v>
      </c>
      <c r="P346" s="226">
        <f t="shared" si="81"/>
        <v>0.89075024417246029</v>
      </c>
      <c r="Q346" s="226">
        <f t="shared" si="81"/>
        <v>0.82791076898116889</v>
      </c>
      <c r="R346" s="226">
        <f t="shared" si="81"/>
        <v>0.76950441033197337</v>
      </c>
      <c r="S346" s="226">
        <f t="shared" si="81"/>
        <v>0.71521842655706103</v>
      </c>
      <c r="T346" s="226">
        <f t="shared" si="81"/>
        <v>0.66476213887594837</v>
      </c>
      <c r="U346" s="226">
        <f t="shared" si="81"/>
        <v>0.61786537493196103</v>
      </c>
      <c r="V346" s="226">
        <f t="shared" si="81"/>
        <v>0.57427702213205123</v>
      </c>
      <c r="W346" s="226">
        <f t="shared" si="81"/>
        <v>0.53376368304369415</v>
      </c>
      <c r="X346" s="226">
        <f t="shared" si="81"/>
        <v>0.49610842564907193</v>
      </c>
      <c r="Y346" s="226">
        <f t="shared" si="81"/>
        <v>0.46110962176468073</v>
      </c>
      <c r="Z346" s="226">
        <f t="shared" si="81"/>
        <v>0.42857986740658105</v>
      </c>
      <c r="AA346" s="226">
        <f t="shared" si="81"/>
        <v>0.39834497932029889</v>
      </c>
      <c r="AB346" s="226">
        <f t="shared" si="81"/>
        <v>0.37024306230221388</v>
      </c>
      <c r="AC346" s="226">
        <f t="shared" si="81"/>
        <v>0.34412364231832981</v>
      </c>
      <c r="AD346" s="226">
        <f t="shared" si="81"/>
        <v>0.31984686077864072</v>
      </c>
      <c r="AE346" s="226">
        <f t="shared" si="79"/>
        <v>0.29728272565276764</v>
      </c>
      <c r="AF346" s="226">
        <f t="shared" si="79"/>
        <v>0.27631041541690349</v>
      </c>
      <c r="AG346" s="226">
        <f t="shared" si="79"/>
        <v>0.25681763210499209</v>
      </c>
      <c r="AH346" s="227">
        <v>0.2387</v>
      </c>
      <c r="AI346" s="226">
        <f t="shared" si="82"/>
        <v>0.22186050674552818</v>
      </c>
      <c r="AJ346" s="226">
        <f t="shared" si="82"/>
        <v>0.20620898388513847</v>
      </c>
      <c r="AK346" s="226">
        <f t="shared" si="82"/>
        <v>0.19166162404791487</v>
      </c>
      <c r="AL346" s="226">
        <f t="shared" si="82"/>
        <v>0.17814053219497822</v>
      </c>
      <c r="AM346" s="226">
        <f t="shared" si="82"/>
        <v>0.16557330852407182</v>
      </c>
      <c r="AN346" s="226">
        <f t="shared" si="82"/>
        <v>0.15389266079884481</v>
      </c>
      <c r="AO346" s="226">
        <f t="shared" si="82"/>
        <v>0.1430360440270188</v>
      </c>
      <c r="AP346" s="226">
        <f t="shared" si="82"/>
        <v>0.13294532555806482</v>
      </c>
      <c r="AQ346" s="226">
        <f t="shared" si="82"/>
        <v>0.12356647380712811</v>
      </c>
      <c r="AR346" s="226">
        <f t="shared" si="82"/>
        <v>0.11484926893844775</v>
      </c>
      <c r="AS346" s="226">
        <f t="shared" si="82"/>
        <v>0.10674703395910125</v>
      </c>
      <c r="AT346" s="226">
        <f t="shared" si="82"/>
        <v>9.9216384783193584E-2</v>
      </c>
      <c r="AU346" s="226">
        <f t="shared" si="82"/>
        <v>9.2216997928188688E-2</v>
      </c>
      <c r="AV346" s="226">
        <f t="shared" si="82"/>
        <v>8.5711394599494201E-2</v>
      </c>
      <c r="AW346" s="226">
        <f t="shared" si="82"/>
        <v>7.9664740007162588E-2</v>
      </c>
      <c r="AX346" s="226">
        <f t="shared" si="82"/>
        <v>7.4044656840133408E-2</v>
      </c>
      <c r="AY346" s="226">
        <f t="shared" si="80"/>
        <v>6.8821051899249003E-2</v>
      </c>
      <c r="AZ346" s="226">
        <f t="shared" si="80"/>
        <v>6.3965954960735982E-2</v>
      </c>
      <c r="BA346" s="226">
        <f t="shared" si="80"/>
        <v>5.9453369007333542E-2</v>
      </c>
      <c r="BB346" s="226">
        <f t="shared" si="80"/>
        <v>5.5259131025118972E-2</v>
      </c>
      <c r="BC346" s="226">
        <f t="shared" si="80"/>
        <v>5.1360782620655354E-2</v>
      </c>
      <c r="BD346" s="226">
        <f t="shared" si="80"/>
        <v>4.7737449765670355E-2</v>
      </c>
      <c r="BE346" s="226">
        <f t="shared" si="80"/>
        <v>4.4369731025349059E-2</v>
      </c>
    </row>
    <row r="347" spans="5:57" s="10" customFormat="1" x14ac:dyDescent="0.35">
      <c r="E347" s="10" t="s">
        <v>663</v>
      </c>
      <c r="F347" s="10" t="s">
        <v>615</v>
      </c>
      <c r="G347" s="43" t="s">
        <v>616</v>
      </c>
      <c r="I347" s="20"/>
      <c r="J347" s="200"/>
      <c r="K347" s="200"/>
      <c r="L347" s="200"/>
      <c r="M347" s="200"/>
      <c r="N347" s="200">
        <v>1.0417000000000001</v>
      </c>
      <c r="O347" s="226">
        <f t="shared" si="81"/>
        <v>0.97087988233485667</v>
      </c>
      <c r="P347" s="226">
        <f t="shared" si="81"/>
        <v>0.90487448010228</v>
      </c>
      <c r="Q347" s="226">
        <f t="shared" si="81"/>
        <v>0.84335646421188071</v>
      </c>
      <c r="R347" s="226">
        <f t="shared" si="81"/>
        <v>0.78602075908646574</v>
      </c>
      <c r="S347" s="226">
        <f t="shared" si="81"/>
        <v>0.73258302975388545</v>
      </c>
      <c r="T347" s="226">
        <f t="shared" si="81"/>
        <v>0.68277827179414896</v>
      </c>
      <c r="U347" s="226">
        <f t="shared" si="81"/>
        <v>0.63635949714917928</v>
      </c>
      <c r="V347" s="226">
        <f t="shared" si="81"/>
        <v>0.59309650927797219</v>
      </c>
      <c r="W347" s="226">
        <f t="shared" si="81"/>
        <v>0.55277476158300065</v>
      </c>
      <c r="X347" s="226">
        <f t="shared" si="81"/>
        <v>0.51519429344665646</v>
      </c>
      <c r="Y347" s="226">
        <f t="shared" si="81"/>
        <v>0.48016873860140097</v>
      </c>
      <c r="Z347" s="226">
        <f t="shared" si="81"/>
        <v>0.44752440091600715</v>
      </c>
      <c r="AA347" s="226">
        <f t="shared" si="81"/>
        <v>0.41709939301460131</v>
      </c>
      <c r="AB347" s="226">
        <f t="shared" si="81"/>
        <v>0.38874283345680732</v>
      </c>
      <c r="AC347" s="226">
        <f t="shared" si="81"/>
        <v>0.36231409849770935</v>
      </c>
      <c r="AD347" s="226">
        <f t="shared" si="81"/>
        <v>0.33768212471701609</v>
      </c>
      <c r="AE347" s="226">
        <f t="shared" si="79"/>
        <v>0.31472475905907743</v>
      </c>
      <c r="AF347" s="226">
        <f t="shared" si="79"/>
        <v>0.29332815306051951</v>
      </c>
      <c r="AG347" s="226">
        <f t="shared" si="79"/>
        <v>0.27338619826139771</v>
      </c>
      <c r="AH347" s="227">
        <v>0.25480000000000003</v>
      </c>
      <c r="AI347" s="226">
        <f t="shared" si="82"/>
        <v>0.2374773869817812</v>
      </c>
      <c r="AJ347" s="226">
        <f t="shared" si="82"/>
        <v>0.22133245419032441</v>
      </c>
      <c r="AK347" s="226">
        <f t="shared" si="82"/>
        <v>0.20628513687355976</v>
      </c>
      <c r="AL347" s="226">
        <f t="shared" si="82"/>
        <v>0.19226081349259047</v>
      </c>
      <c r="AM347" s="226">
        <f t="shared" si="82"/>
        <v>0.17918993566409719</v>
      </c>
      <c r="AN347" s="226">
        <f t="shared" si="82"/>
        <v>0.16700768326115886</v>
      </c>
      <c r="AO347" s="226">
        <f t="shared" si="82"/>
        <v>0.15565364296209169</v>
      </c>
      <c r="AP347" s="226">
        <f t="shared" si="82"/>
        <v>0.14507150865318935</v>
      </c>
      <c r="AQ347" s="226">
        <f t="shared" si="82"/>
        <v>0.13520880219962428</v>
      </c>
      <c r="AR347" s="226">
        <f t="shared" si="82"/>
        <v>0.12601661319977739</v>
      </c>
      <c r="AS347" s="226">
        <f t="shared" si="82"/>
        <v>0.11744935643240569</v>
      </c>
      <c r="AT347" s="226">
        <f t="shared" si="82"/>
        <v>0.10946454579379732</v>
      </c>
      <c r="AU347" s="226">
        <f t="shared" si="82"/>
        <v>0.10202258360384031</v>
      </c>
      <c r="AV347" s="226">
        <f t="shared" si="82"/>
        <v>9.5086564236147211E-2</v>
      </c>
      <c r="AW347" s="226">
        <f t="shared" si="82"/>
        <v>8.8622091098412584E-2</v>
      </c>
      <c r="AX347" s="226">
        <f t="shared" si="82"/>
        <v>8.2597106055386144E-2</v>
      </c>
      <c r="AY347" s="226">
        <f t="shared" si="80"/>
        <v>7.6981730448548502E-2</v>
      </c>
      <c r="AZ347" s="226">
        <f t="shared" si="80"/>
        <v>7.1748116924086031E-2</v>
      </c>
      <c r="BA347" s="226">
        <f t="shared" si="80"/>
        <v>6.6870311334361304E-2</v>
      </c>
      <c r="BB347" s="226">
        <f t="shared" si="80"/>
        <v>6.2324124028031037E-2</v>
      </c>
      <c r="BC347" s="226">
        <f t="shared" si="80"/>
        <v>5.808700989052297E-2</v>
      </c>
      <c r="BD347" s="226">
        <f t="shared" si="80"/>
        <v>5.4137956539977529E-2</v>
      </c>
      <c r="BE347" s="226">
        <f t="shared" si="80"/>
        <v>5.0457380124203671E-2</v>
      </c>
    </row>
    <row r="348" spans="5:57" s="10" customFormat="1" x14ac:dyDescent="0.35">
      <c r="E348" s="10" t="s">
        <v>664</v>
      </c>
      <c r="F348" s="10" t="s">
        <v>615</v>
      </c>
      <c r="G348" s="43" t="s">
        <v>616</v>
      </c>
      <c r="I348" s="20"/>
      <c r="J348" s="200"/>
      <c r="K348" s="200"/>
      <c r="L348" s="200"/>
      <c r="M348" s="200"/>
      <c r="N348" s="200">
        <v>1.0523</v>
      </c>
      <c r="O348" s="226">
        <f t="shared" si="81"/>
        <v>0.98345173819576159</v>
      </c>
      <c r="P348" s="226">
        <f t="shared" si="81"/>
        <v>0.91910797430415736</v>
      </c>
      <c r="Q348" s="226">
        <f t="shared" si="81"/>
        <v>0.85897399498147764</v>
      </c>
      <c r="R348" s="226">
        <f t="shared" si="81"/>
        <v>0.80277436893423126</v>
      </c>
      <c r="S348" s="226">
        <f t="shared" si="81"/>
        <v>0.75025168536289588</v>
      </c>
      <c r="T348" s="226">
        <f t="shared" si="81"/>
        <v>0.70116537494482523</v>
      </c>
      <c r="U348" s="226">
        <f t="shared" si="81"/>
        <v>0.65529060795606886</v>
      </c>
      <c r="V348" s="226">
        <f t="shared" si="81"/>
        <v>0.61241726448517841</v>
      </c>
      <c r="W348" s="226">
        <f t="shared" si="81"/>
        <v>0.57234897202227708</v>
      </c>
      <c r="X348" s="226">
        <f t="shared" si="81"/>
        <v>0.53490220601526728</v>
      </c>
      <c r="Y348" s="226">
        <f t="shared" si="81"/>
        <v>0.49990544927346003</v>
      </c>
      <c r="Z348" s="226">
        <f t="shared" si="81"/>
        <v>0.46719840636844756</v>
      </c>
      <c r="AA348" s="226">
        <f t="shared" si="81"/>
        <v>0.43663126943394426</v>
      </c>
      <c r="AB348" s="226">
        <f t="shared" si="81"/>
        <v>0.40806403200174324</v>
      </c>
      <c r="AC348" s="226">
        <f t="shared" si="81"/>
        <v>0.38136584773095628</v>
      </c>
      <c r="AD348" s="226">
        <f t="shared" ref="AD348:AG363" si="83">AC348*(1+($AH348/$N348)^(1/($AH$6-$N$6))-1)</f>
        <v>0.35641443109332804</v>
      </c>
      <c r="AE348" s="226">
        <f t="shared" si="83"/>
        <v>0.33309549726958754</v>
      </c>
      <c r="AF348" s="226">
        <f t="shared" si="83"/>
        <v>0.31130223869139734</v>
      </c>
      <c r="AG348" s="226">
        <f t="shared" si="83"/>
        <v>0.29093483583130914</v>
      </c>
      <c r="AH348" s="227">
        <v>0.27189999999999998</v>
      </c>
      <c r="AI348" s="226">
        <f t="shared" si="82"/>
        <v>0.254110546056664</v>
      </c>
      <c r="AJ348" s="226">
        <f t="shared" si="82"/>
        <v>0.23748499307545409</v>
      </c>
      <c r="AK348" s="226">
        <f t="shared" si="82"/>
        <v>0.2219471911388993</v>
      </c>
      <c r="AL348" s="226">
        <f t="shared" si="82"/>
        <v>0.20742597254890949</v>
      </c>
      <c r="AM348" s="226">
        <f t="shared" si="82"/>
        <v>0.193854825857808</v>
      </c>
      <c r="AN348" s="226">
        <f t="shared" si="82"/>
        <v>0.18117159122635934</v>
      </c>
      <c r="AO348" s="226">
        <f t="shared" si="82"/>
        <v>0.16931817571344207</v>
      </c>
      <c r="AP348" s="226">
        <f t="shared" si="82"/>
        <v>0.15824028719330988</v>
      </c>
      <c r="AQ348" s="226">
        <f t="shared" si="82"/>
        <v>0.147887185681704</v>
      </c>
      <c r="AR348" s="226">
        <f t="shared" si="82"/>
        <v>0.13821145093181711</v>
      </c>
      <c r="AS348" s="226">
        <f t="shared" si="82"/>
        <v>0.12916876523563028</v>
      </c>
      <c r="AT348" s="226">
        <f t="shared" si="82"/>
        <v>0.12071771043578909</v>
      </c>
      <c r="AU348" s="226">
        <f t="shared" si="82"/>
        <v>0.11281957821827369</v>
      </c>
      <c r="AV348" s="226">
        <f t="shared" si="82"/>
        <v>0.10543819281694759</v>
      </c>
      <c r="AW348" s="226">
        <f t="shared" si="82"/>
        <v>9.8539745317919772E-2</v>
      </c>
      <c r="AX348" s="226">
        <f t="shared" ref="AX348:BE363" si="84">AW348*(1+($AH348/$N348)^(1/($AH$6-$N$6))-1)</f>
        <v>9.2092638804785576E-2</v>
      </c>
      <c r="AY348" s="226">
        <f t="shared" si="84"/>
        <v>8.6067343635465948E-2</v>
      </c>
      <c r="AZ348" s="226">
        <f t="shared" si="84"/>
        <v>8.0436262187770502E-2</v>
      </c>
      <c r="BA348" s="226">
        <f t="shared" si="84"/>
        <v>7.5173602454179339E-2</v>
      </c>
      <c r="BB348" s="226">
        <f t="shared" si="84"/>
        <v>7.025525990687051E-2</v>
      </c>
      <c r="BC348" s="226">
        <f t="shared" si="84"/>
        <v>6.5658707091900415E-2</v>
      </c>
      <c r="BD348" s="226">
        <f t="shared" si="84"/>
        <v>6.1362890446845807E-2</v>
      </c>
      <c r="BE348" s="226">
        <f t="shared" si="84"/>
        <v>5.7348133869302105E-2</v>
      </c>
    </row>
    <row r="349" spans="5:57" s="10" customFormat="1" x14ac:dyDescent="0.35">
      <c r="E349" s="10" t="s">
        <v>665</v>
      </c>
      <c r="F349" s="10" t="s">
        <v>615</v>
      </c>
      <c r="G349" s="43" t="s">
        <v>616</v>
      </c>
      <c r="I349" s="20"/>
      <c r="J349" s="200"/>
      <c r="K349" s="200"/>
      <c r="L349" s="200"/>
      <c r="M349" s="200"/>
      <c r="N349" s="200">
        <v>1.0630999999999999</v>
      </c>
      <c r="O349" s="226">
        <f t="shared" ref="O349:AD364" si="85">N349*(1+($AH349/$N349)^(1/($AH$6-$N$6))-1)</f>
        <v>0.99627740905551654</v>
      </c>
      <c r="P349" s="226">
        <f t="shared" si="85"/>
        <v>0.93365504260593835</v>
      </c>
      <c r="Q349" s="226">
        <f t="shared" si="85"/>
        <v>0.87496888984955534</v>
      </c>
      <c r="R349" s="226">
        <f t="shared" si="85"/>
        <v>0.81997153474131945</v>
      </c>
      <c r="S349" s="226">
        <f t="shared" si="85"/>
        <v>0.76843111290693</v>
      </c>
      <c r="T349" s="226">
        <f t="shared" si="85"/>
        <v>0.72013033412149696</v>
      </c>
      <c r="U349" s="226">
        <f t="shared" si="85"/>
        <v>0.67486556623163252</v>
      </c>
      <c r="V349" s="226">
        <f t="shared" si="85"/>
        <v>0.63244597665886082</v>
      </c>
      <c r="W349" s="226">
        <f t="shared" si="85"/>
        <v>0.5926927278649945</v>
      </c>
      <c r="X349" s="226">
        <f t="shared" si="85"/>
        <v>0.55543822338762405</v>
      </c>
      <c r="Y349" s="226">
        <f t="shared" si="85"/>
        <v>0.52052540126706925</v>
      </c>
      <c r="Z349" s="226">
        <f t="shared" si="85"/>
        <v>0.48780707188593631</v>
      </c>
      <c r="AA349" s="226">
        <f t="shared" si="85"/>
        <v>0.45714529742966681</v>
      </c>
      <c r="AB349" s="226">
        <f t="shared" si="85"/>
        <v>0.4284108103519349</v>
      </c>
      <c r="AC349" s="226">
        <f t="shared" si="85"/>
        <v>0.40148246839318974</v>
      </c>
      <c r="AD349" s="226">
        <f t="shared" si="85"/>
        <v>0.37624674385474594</v>
      </c>
      <c r="AE349" s="226">
        <f t="shared" si="83"/>
        <v>0.35259724497524308</v>
      </c>
      <c r="AF349" s="226">
        <f t="shared" si="83"/>
        <v>0.33043426739163623</v>
      </c>
      <c r="AG349" s="226">
        <f t="shared" si="83"/>
        <v>0.30966437379371375</v>
      </c>
      <c r="AH349" s="227">
        <v>0.29020000000000001</v>
      </c>
      <c r="AI349" s="226">
        <f t="shared" ref="AI349:AX364" si="86">AH349*(1+($AH349/$N349)^(1/($AH$6-$N$6))-1)</f>
        <v>0.27195908579429118</v>
      </c>
      <c r="AJ349" s="226">
        <f t="shared" si="86"/>
        <v>0.25486472896645979</v>
      </c>
      <c r="AK349" s="226">
        <f t="shared" si="86"/>
        <v>0.23884486109899447</v>
      </c>
      <c r="AL349" s="226">
        <f t="shared" si="86"/>
        <v>0.22383194373241555</v>
      </c>
      <c r="AM349" s="226">
        <f t="shared" si="86"/>
        <v>0.20976268362862491</v>
      </c>
      <c r="AN349" s="226">
        <f t="shared" si="86"/>
        <v>0.19657776593176413</v>
      </c>
      <c r="AO349" s="226">
        <f t="shared" si="86"/>
        <v>0.18422160410160829</v>
      </c>
      <c r="AP349" s="226">
        <f t="shared" si="86"/>
        <v>0.1726421055652351</v>
      </c>
      <c r="AQ349" s="226">
        <f t="shared" si="86"/>
        <v>0.16179045209897602</v>
      </c>
      <c r="AR349" s="226">
        <f t="shared" si="86"/>
        <v>0.15162089401475731</v>
      </c>
      <c r="AS349" s="226">
        <f t="shared" si="86"/>
        <v>0.14209055728313752</v>
      </c>
      <c r="AT349" s="226">
        <f t="shared" si="86"/>
        <v>0.13315926277988779</v>
      </c>
      <c r="AU349" s="226">
        <f t="shared" si="86"/>
        <v>0.12478935689407328</v>
      </c>
      <c r="AV349" s="226">
        <f t="shared" si="86"/>
        <v>0.11694555278349308</v>
      </c>
      <c r="AW349" s="226">
        <f t="shared" si="86"/>
        <v>0.10959478160822467</v>
      </c>
      <c r="AX349" s="226">
        <f t="shared" si="86"/>
        <v>0.10270605311508536</v>
      </c>
      <c r="AY349" s="226">
        <f t="shared" si="84"/>
        <v>9.6250324985246466E-2</v>
      </c>
      <c r="AZ349" s="226">
        <f t="shared" si="84"/>
        <v>9.0200380394180046E-2</v>
      </c>
      <c r="BA349" s="226">
        <f t="shared" si="84"/>
        <v>8.4530713267741239E-2</v>
      </c>
      <c r="BB349" s="226">
        <f t="shared" si="84"/>
        <v>7.9217420750634954E-2</v>
      </c>
      <c r="BC349" s="226">
        <f t="shared" si="84"/>
        <v>7.4238102433922787E-2</v>
      </c>
      <c r="BD349" s="226">
        <f t="shared" si="84"/>
        <v>6.9571765916721512E-2</v>
      </c>
      <c r="BE349" s="226">
        <f t="shared" si="84"/>
        <v>6.5198738303949025E-2</v>
      </c>
    </row>
    <row r="350" spans="5:57" s="10" customFormat="1" x14ac:dyDescent="0.35">
      <c r="E350" s="10" t="s">
        <v>666</v>
      </c>
      <c r="F350" s="10" t="s">
        <v>615</v>
      </c>
      <c r="G350" s="43" t="s">
        <v>616</v>
      </c>
      <c r="I350" s="20"/>
      <c r="J350" s="200"/>
      <c r="K350" s="200"/>
      <c r="L350" s="200"/>
      <c r="M350" s="200"/>
      <c r="N350" s="200">
        <v>1.0739000000000001</v>
      </c>
      <c r="O350" s="226">
        <f t="shared" si="85"/>
        <v>1.0091662331396414</v>
      </c>
      <c r="P350" s="226">
        <f t="shared" si="85"/>
        <v>0.94833456197900445</v>
      </c>
      <c r="Q350" s="226">
        <f t="shared" si="85"/>
        <v>0.89116977155087396</v>
      </c>
      <c r="R350" s="226">
        <f t="shared" si="85"/>
        <v>0.83745082544362615</v>
      </c>
      <c r="S350" s="226">
        <f t="shared" si="85"/>
        <v>0.78697001113011211</v>
      </c>
      <c r="T350" s="226">
        <f t="shared" si="85"/>
        <v>0.73953213681538021</v>
      </c>
      <c r="U350" s="226">
        <f t="shared" si="85"/>
        <v>0.69495377669772518</v>
      </c>
      <c r="V350" s="226">
        <f t="shared" si="85"/>
        <v>0.65306256172475163</v>
      </c>
      <c r="W350" s="226">
        <f t="shared" si="85"/>
        <v>0.61369651310205053</v>
      </c>
      <c r="X350" s="226">
        <f t="shared" si="85"/>
        <v>0.57670341597739905</v>
      </c>
      <c r="Y350" s="226">
        <f t="shared" si="85"/>
        <v>0.54194023087873677</v>
      </c>
      <c r="Z350" s="226">
        <f t="shared" si="85"/>
        <v>0.50927254063015392</v>
      </c>
      <c r="AA350" s="226">
        <f t="shared" si="85"/>
        <v>0.47857403060730735</v>
      </c>
      <c r="AB350" s="226">
        <f t="shared" si="85"/>
        <v>0.44972600032259219</v>
      </c>
      <c r="AC350" s="226">
        <f t="shared" si="85"/>
        <v>0.42261690445153877</v>
      </c>
      <c r="AD350" s="226">
        <f t="shared" si="85"/>
        <v>0.39714192152574268</v>
      </c>
      <c r="AE350" s="226">
        <f t="shared" si="83"/>
        <v>0.37320254862461377</v>
      </c>
      <c r="AF350" s="226">
        <f t="shared" si="83"/>
        <v>0.35070622049875716</v>
      </c>
      <c r="AG350" s="226">
        <f t="shared" si="83"/>
        <v>0.32956595165226854</v>
      </c>
      <c r="AH350" s="227">
        <v>0.30969999999999998</v>
      </c>
      <c r="AI350" s="226">
        <f t="shared" si="86"/>
        <v>0.29103155079928006</v>
      </c>
      <c r="AJ350" s="226">
        <f t="shared" si="86"/>
        <v>0.27348841963394882</v>
      </c>
      <c r="AK350" s="226">
        <f t="shared" si="86"/>
        <v>0.25700277330226806</v>
      </c>
      <c r="AL350" s="226">
        <f t="shared" si="86"/>
        <v>0.24151086752946366</v>
      </c>
      <c r="AM350" s="226">
        <f t="shared" si="86"/>
        <v>0.22695280049073074</v>
      </c>
      <c r="AN350" s="226">
        <f t="shared" si="86"/>
        <v>0.21327228119165964</v>
      </c>
      <c r="AO350" s="226">
        <f t="shared" si="86"/>
        <v>0.2004164118104903</v>
      </c>
      <c r="AP350" s="226">
        <f t="shared" si="86"/>
        <v>0.18833548316058815</v>
      </c>
      <c r="AQ350" s="226">
        <f t="shared" si="86"/>
        <v>0.17698278248226565</v>
      </c>
      <c r="AR350" s="226">
        <f t="shared" si="86"/>
        <v>0.1663144128207473</v>
      </c>
      <c r="AS350" s="226">
        <f t="shared" si="86"/>
        <v>0.15628912329187522</v>
      </c>
      <c r="AT350" s="226">
        <f t="shared" si="86"/>
        <v>0.14686814957925196</v>
      </c>
      <c r="AU350" s="226">
        <f t="shared" si="86"/>
        <v>0.13801506404607794</v>
      </c>
      <c r="AV350" s="226">
        <f t="shared" si="86"/>
        <v>0.12969563488211827</v>
      </c>
      <c r="AW350" s="226">
        <f t="shared" si="86"/>
        <v>0.12187769374116916</v>
      </c>
      <c r="AX350" s="226">
        <f t="shared" si="86"/>
        <v>0.11453101135722368</v>
      </c>
      <c r="AY350" s="226">
        <f t="shared" si="84"/>
        <v>0.10762718065838803</v>
      </c>
      <c r="AZ350" s="226">
        <f t="shared" si="84"/>
        <v>0.1011395069265901</v>
      </c>
      <c r="BA350" s="226">
        <f t="shared" si="84"/>
        <v>9.5042904578366325E-2</v>
      </c>
      <c r="BB350" s="226">
        <f t="shared" si="84"/>
        <v>8.9313800167613658E-2</v>
      </c>
      <c r="BC350" s="226">
        <f t="shared" si="84"/>
        <v>8.3930041235252204E-2</v>
      </c>
      <c r="BD350" s="226">
        <f t="shared" si="84"/>
        <v>7.8870810653351553E-2</v>
      </c>
      <c r="BE350" s="226">
        <f t="shared" si="84"/>
        <v>7.4116546132519487E-2</v>
      </c>
    </row>
    <row r="351" spans="5:57" s="10" customFormat="1" x14ac:dyDescent="0.35">
      <c r="E351" s="10" t="s">
        <v>667</v>
      </c>
      <c r="F351" s="10" t="s">
        <v>615</v>
      </c>
      <c r="G351" s="43" t="s">
        <v>616</v>
      </c>
      <c r="I351" s="20"/>
      <c r="J351" s="200"/>
      <c r="K351" s="200"/>
      <c r="L351" s="200"/>
      <c r="M351" s="200"/>
      <c r="N351" s="200">
        <v>1.0849</v>
      </c>
      <c r="O351" s="226">
        <f t="shared" si="85"/>
        <v>1.0223164903874788</v>
      </c>
      <c r="P351" s="226">
        <f t="shared" si="85"/>
        <v>0.96334317127677394</v>
      </c>
      <c r="Q351" s="226">
        <f t="shared" si="85"/>
        <v>0.90777178532437586</v>
      </c>
      <c r="R351" s="226">
        <f t="shared" si="85"/>
        <v>0.85540608871379087</v>
      </c>
      <c r="S351" s="226">
        <f t="shared" si="85"/>
        <v>0.8060611581435736</v>
      </c>
      <c r="T351" s="226">
        <f t="shared" si="85"/>
        <v>0.75956273779242756</v>
      </c>
      <c r="U351" s="226">
        <f t="shared" si="85"/>
        <v>0.7157466239552579</v>
      </c>
      <c r="V351" s="226">
        <f t="shared" si="85"/>
        <v>0.67445808517709083</v>
      </c>
      <c r="W351" s="226">
        <f t="shared" si="85"/>
        <v>0.63555131583713032</v>
      </c>
      <c r="X351" s="226">
        <f t="shared" si="85"/>
        <v>0.59888892125334969</v>
      </c>
      <c r="Y351" s="226">
        <f t="shared" si="85"/>
        <v>0.564341432489324</v>
      </c>
      <c r="Z351" s="226">
        <f t="shared" si="85"/>
        <v>0.53178684914990138</v>
      </c>
      <c r="AA351" s="226">
        <f t="shared" si="85"/>
        <v>0.50111020855115018</v>
      </c>
      <c r="AB351" s="226">
        <f t="shared" si="85"/>
        <v>0.47220317974315551</v>
      </c>
      <c r="AC351" s="226">
        <f t="shared" si="85"/>
        <v>0.44496368095200528</v>
      </c>
      <c r="AD351" s="226">
        <f t="shared" si="85"/>
        <v>0.41929551909000634</v>
      </c>
      <c r="AE351" s="226">
        <f t="shared" si="83"/>
        <v>0.39510805006110367</v>
      </c>
      <c r="AF351" s="226">
        <f t="shared" si="83"/>
        <v>0.37231585866191147</v>
      </c>
      <c r="AG351" s="226">
        <f t="shared" si="83"/>
        <v>0.35083845694796378</v>
      </c>
      <c r="AH351" s="227">
        <v>0.3306</v>
      </c>
      <c r="AI351" s="226">
        <f t="shared" si="86"/>
        <v>0.3115290180865522</v>
      </c>
      <c r="AJ351" s="226">
        <f t="shared" si="86"/>
        <v>0.29355816427698539</v>
      </c>
      <c r="AK351" s="226">
        <f t="shared" si="86"/>
        <v>0.27662397661373272</v>
      </c>
      <c r="AL351" s="226">
        <f t="shared" si="86"/>
        <v>0.26066665400385219</v>
      </c>
      <c r="AM351" s="226">
        <f t="shared" si="86"/>
        <v>0.24562984503849702</v>
      </c>
      <c r="AN351" s="226">
        <f t="shared" si="86"/>
        <v>0.2314604489945401</v>
      </c>
      <c r="AO351" s="226">
        <f t="shared" si="86"/>
        <v>0.21810842831561275</v>
      </c>
      <c r="AP351" s="226">
        <f t="shared" si="86"/>
        <v>0.20552663191035692</v>
      </c>
      <c r="AQ351" s="226">
        <f t="shared" si="86"/>
        <v>0.19367062864388909</v>
      </c>
      <c r="AR351" s="226">
        <f t="shared" si="86"/>
        <v>0.18249855043447083</v>
      </c>
      <c r="AS351" s="226">
        <f t="shared" si="86"/>
        <v>0.17197094440130012</v>
      </c>
      <c r="AT351" s="226">
        <f t="shared" si="86"/>
        <v>0.16205063354130092</v>
      </c>
      <c r="AU351" s="226">
        <f t="shared" si="86"/>
        <v>0.15270258544290738</v>
      </c>
      <c r="AV351" s="226">
        <f t="shared" si="86"/>
        <v>0.14389378857322074</v>
      </c>
      <c r="AW351" s="226">
        <f t="shared" si="86"/>
        <v>0.13559313570166184</v>
      </c>
      <c r="AX351" s="226">
        <f t="shared" si="86"/>
        <v>0.12777131404844325</v>
      </c>
      <c r="AY351" s="226">
        <f t="shared" si="84"/>
        <v>0.1204007017699335</v>
      </c>
      <c r="AZ351" s="226">
        <f t="shared" si="84"/>
        <v>0.11345527041536356</v>
      </c>
      <c r="BA351" s="226">
        <f t="shared" si="84"/>
        <v>0.10691049301041278</v>
      </c>
      <c r="BB351" s="226">
        <f t="shared" si="84"/>
        <v>0.10074325744308256</v>
      </c>
      <c r="BC351" s="226">
        <f t="shared" si="84"/>
        <v>9.4931784845989867E-2</v>
      </c>
      <c r="BD351" s="226">
        <f t="shared" si="84"/>
        <v>8.9455552686857412E-2</v>
      </c>
      <c r="BE351" s="226">
        <f t="shared" si="84"/>
        <v>8.4295222295603531E-2</v>
      </c>
    </row>
    <row r="352" spans="5:57" s="10" customFormat="1" x14ac:dyDescent="0.35">
      <c r="E352" s="10" t="s">
        <v>668</v>
      </c>
      <c r="F352" s="10" t="s">
        <v>615</v>
      </c>
      <c r="G352" s="43" t="s">
        <v>616</v>
      </c>
      <c r="I352" s="20"/>
      <c r="J352" s="200"/>
      <c r="K352" s="200"/>
      <c r="L352" s="200"/>
      <c r="M352" s="200"/>
      <c r="N352" s="200">
        <v>1.0831999999999999</v>
      </c>
      <c r="O352" s="226">
        <f t="shared" si="85"/>
        <v>1.0258313335446174</v>
      </c>
      <c r="P352" s="226">
        <f t="shared" si="85"/>
        <v>0.97150103848036207</v>
      </c>
      <c r="Q352" s="226">
        <f t="shared" si="85"/>
        <v>0.92004819594192266</v>
      </c>
      <c r="R352" s="226">
        <f t="shared" si="85"/>
        <v>0.8713204096828121</v>
      </c>
      <c r="S352" s="226">
        <f t="shared" si="85"/>
        <v>0.82517335469863518</v>
      </c>
      <c r="T352" s="226">
        <f t="shared" si="85"/>
        <v>0.78147034975626528</v>
      </c>
      <c r="U352" s="226">
        <f t="shared" si="85"/>
        <v>0.7400819525628215</v>
      </c>
      <c r="V352" s="226">
        <f t="shared" si="85"/>
        <v>0.70088557637539106</v>
      </c>
      <c r="W352" s="226">
        <f t="shared" si="85"/>
        <v>0.66376512691594836</v>
      </c>
      <c r="X352" s="226">
        <f t="shared" si="85"/>
        <v>0.62861065851606313</v>
      </c>
      <c r="Y352" s="226">
        <f t="shared" si="85"/>
        <v>0.59531804847294423</v>
      </c>
      <c r="Z352" s="226">
        <f t="shared" si="85"/>
        <v>0.56378868865230758</v>
      </c>
      <c r="AA352" s="226">
        <f t="shared" si="85"/>
        <v>0.53392919342463796</v>
      </c>
      <c r="AB352" s="226">
        <f t="shared" si="85"/>
        <v>0.50565112306979176</v>
      </c>
      <c r="AC352" s="226">
        <f t="shared" si="85"/>
        <v>0.47887072183070345</v>
      </c>
      <c r="AD352" s="226">
        <f t="shared" si="85"/>
        <v>0.45350866984034721</v>
      </c>
      <c r="AE352" s="226">
        <f t="shared" si="83"/>
        <v>0.42948984818719449</v>
      </c>
      <c r="AF352" s="226">
        <f t="shared" si="83"/>
        <v>0.40674311642332445</v>
      </c>
      <c r="AG352" s="226">
        <f t="shared" si="83"/>
        <v>0.38520110185619694</v>
      </c>
      <c r="AH352" s="227">
        <v>0.36480000000000001</v>
      </c>
      <c r="AI352" s="226">
        <f t="shared" si="86"/>
        <v>0.34547938559552849</v>
      </c>
      <c r="AJ352" s="226">
        <f t="shared" si="86"/>
        <v>0.32718203363888121</v>
      </c>
      <c r="AK352" s="226">
        <f t="shared" si="86"/>
        <v>0.30985374988886022</v>
      </c>
      <c r="AL352" s="226">
        <f t="shared" si="86"/>
        <v>0.29344321035108001</v>
      </c>
      <c r="AM352" s="226">
        <f t="shared" si="86"/>
        <v>0.27790180926335128</v>
      </c>
      <c r="AN352" s="226">
        <f t="shared" si="86"/>
        <v>0.26318351513209526</v>
      </c>
      <c r="AO352" s="226">
        <f t="shared" si="86"/>
        <v>0.24924473439338746</v>
      </c>
      <c r="AP352" s="226">
        <f t="shared" si="86"/>
        <v>0.23604418229481411</v>
      </c>
      <c r="AQ352" s="226">
        <f t="shared" si="86"/>
        <v>0.22354276061571082</v>
      </c>
      <c r="AR352" s="226">
        <f t="shared" si="86"/>
        <v>0.21170344186360768</v>
      </c>
      <c r="AS352" s="226">
        <f t="shared" si="86"/>
        <v>0.20049115960388669</v>
      </c>
      <c r="AT352" s="226">
        <f t="shared" si="86"/>
        <v>0.18987270459782296</v>
      </c>
      <c r="AU352" s="226">
        <f t="shared" si="86"/>
        <v>0.17981662644138474</v>
      </c>
      <c r="AV352" s="226">
        <f t="shared" si="86"/>
        <v>0.17029314041346016</v>
      </c>
      <c r="AW352" s="226">
        <f t="shared" si="86"/>
        <v>0.16127403925760769</v>
      </c>
      <c r="AX352" s="226">
        <f t="shared" si="86"/>
        <v>0.15273260963604016</v>
      </c>
      <c r="AY352" s="226">
        <f t="shared" si="84"/>
        <v>0.14464355300839049</v>
      </c>
      <c r="AZ352" s="226">
        <f t="shared" si="84"/>
        <v>0.13698291070091284</v>
      </c>
      <c r="BA352" s="226">
        <f t="shared" si="84"/>
        <v>0.12972799294418452</v>
      </c>
      <c r="BB352" s="226">
        <f t="shared" si="84"/>
        <v>0.12285731166912808</v>
      </c>
      <c r="BC352" s="226">
        <f t="shared" si="84"/>
        <v>0.11635051686230462</v>
      </c>
      <c r="BD352" s="226">
        <f t="shared" si="84"/>
        <v>0.11018833629197143</v>
      </c>
      <c r="BE352" s="226">
        <f t="shared" si="84"/>
        <v>0.10435251842638094</v>
      </c>
    </row>
    <row r="353" spans="4:57" s="10" customFormat="1" x14ac:dyDescent="0.35">
      <c r="E353" s="10" t="s">
        <v>669</v>
      </c>
      <c r="F353" s="10" t="s">
        <v>615</v>
      </c>
      <c r="G353" s="43" t="s">
        <v>616</v>
      </c>
      <c r="I353" s="20"/>
      <c r="J353" s="200"/>
      <c r="K353" s="200"/>
      <c r="L353" s="200"/>
      <c r="M353" s="200"/>
      <c r="N353" s="200">
        <v>1.0814999999999999</v>
      </c>
      <c r="O353" s="226">
        <f t="shared" si="85"/>
        <v>1.0293510024958494</v>
      </c>
      <c r="P353" s="226">
        <f t="shared" si="85"/>
        <v>0.97971658468720313</v>
      </c>
      <c r="Q353" s="226">
        <f t="shared" si="85"/>
        <v>0.93247549570927635</v>
      </c>
      <c r="R353" s="226">
        <f t="shared" si="85"/>
        <v>0.88751233130943852</v>
      </c>
      <c r="S353" s="226">
        <f t="shared" si="85"/>
        <v>0.84471725192861669</v>
      </c>
      <c r="T353" s="226">
        <f t="shared" si="85"/>
        <v>0.80398571437657018</v>
      </c>
      <c r="U353" s="226">
        <f t="shared" si="85"/>
        <v>0.76521821644555177</v>
      </c>
      <c r="V353" s="226">
        <f t="shared" si="85"/>
        <v>0.72832005383847864</v>
      </c>
      <c r="W353" s="226">
        <f t="shared" si="85"/>
        <v>0.69320108881781695</v>
      </c>
      <c r="X353" s="226">
        <f t="shared" si="85"/>
        <v>0.65977553001001776</v>
      </c>
      <c r="Y353" s="226">
        <f t="shared" si="85"/>
        <v>0.62796172282759333</v>
      </c>
      <c r="Z353" s="226">
        <f t="shared" si="85"/>
        <v>0.59768194999685986</v>
      </c>
      <c r="AA353" s="226">
        <f t="shared" si="85"/>
        <v>0.56886224170406086</v>
      </c>
      <c r="AB353" s="226">
        <f t="shared" si="85"/>
        <v>0.54143219489608063</v>
      </c>
      <c r="AC353" s="226">
        <f t="shared" si="85"/>
        <v>0.51532480129432157</v>
      </c>
      <c r="AD353" s="226">
        <f t="shared" si="85"/>
        <v>0.49047628370160362</v>
      </c>
      <c r="AE353" s="226">
        <f t="shared" si="83"/>
        <v>0.46682594020220469</v>
      </c>
      <c r="AF353" s="226">
        <f t="shared" si="83"/>
        <v>0.44431599587443998</v>
      </c>
      <c r="AG353" s="226">
        <f t="shared" si="83"/>
        <v>0.42289146165353353</v>
      </c>
      <c r="AH353" s="227">
        <v>0.40250000000000002</v>
      </c>
      <c r="AI353" s="226">
        <f t="shared" si="86"/>
        <v>0.38309179704538088</v>
      </c>
      <c r="AJ353" s="226">
        <f t="shared" si="86"/>
        <v>0.36461944090300441</v>
      </c>
      <c r="AK353" s="226">
        <f t="shared" si="86"/>
        <v>0.34703780584649441</v>
      </c>
      <c r="AL353" s="226">
        <f t="shared" si="86"/>
        <v>0.33030394207309199</v>
      </c>
      <c r="AM353" s="226">
        <f t="shared" si="86"/>
        <v>0.31437697078249488</v>
      </c>
      <c r="AN353" s="226">
        <f t="shared" si="86"/>
        <v>0.29921798431490476</v>
      </c>
      <c r="AO353" s="226">
        <f t="shared" si="86"/>
        <v>0.28478995110433153</v>
      </c>
      <c r="AP353" s="226">
        <f t="shared" si="86"/>
        <v>0.27105762521496773</v>
      </c>
      <c r="AQ353" s="226">
        <f t="shared" si="86"/>
        <v>0.25798746023964059</v>
      </c>
      <c r="AR353" s="226">
        <f t="shared" si="86"/>
        <v>0.24554752735000659</v>
      </c>
      <c r="AS353" s="226">
        <f t="shared" si="86"/>
        <v>0.23370743729829524</v>
      </c>
      <c r="AT353" s="226">
        <f t="shared" si="86"/>
        <v>0.2224382661800611</v>
      </c>
      <c r="AU353" s="226">
        <f t="shared" si="86"/>
        <v>0.21171248477659224</v>
      </c>
      <c r="AV353" s="226">
        <f t="shared" si="86"/>
        <v>0.20150389130436661</v>
      </c>
      <c r="AW353" s="226">
        <f t="shared" si="86"/>
        <v>0.1917875474072718</v>
      </c>
      <c r="AX353" s="226">
        <f t="shared" si="86"/>
        <v>0.18253971723522466</v>
      </c>
      <c r="AY353" s="226">
        <f t="shared" si="84"/>
        <v>0.17373780946036746</v>
      </c>
      <c r="AZ353" s="226">
        <f t="shared" si="84"/>
        <v>0.16536032208919291</v>
      </c>
      <c r="BA353" s="226">
        <f t="shared" si="84"/>
        <v>0.15738678993578112</v>
      </c>
      <c r="BB353" s="226">
        <f t="shared" si="84"/>
        <v>0.14979773462783169</v>
      </c>
      <c r="BC353" s="226">
        <f t="shared" si="84"/>
        <v>0.1425746170233618</v>
      </c>
      <c r="BD353" s="226">
        <f t="shared" si="84"/>
        <v>0.13569979192183013</v>
      </c>
      <c r="BE353" s="226">
        <f t="shared" si="84"/>
        <v>0.12915646495905134</v>
      </c>
    </row>
    <row r="354" spans="4:57" s="10" customFormat="1" x14ac:dyDescent="0.35">
      <c r="E354" s="10" t="s">
        <v>670</v>
      </c>
      <c r="F354" s="10" t="s">
        <v>615</v>
      </c>
      <c r="G354" s="43" t="s">
        <v>616</v>
      </c>
      <c r="I354" s="20"/>
      <c r="J354" s="200"/>
      <c r="K354" s="200"/>
      <c r="L354" s="200"/>
      <c r="M354" s="200"/>
      <c r="N354" s="200">
        <v>1.0797000000000001</v>
      </c>
      <c r="O354" s="226">
        <f t="shared" si="85"/>
        <v>1.0328015333022393</v>
      </c>
      <c r="P354" s="226">
        <f t="shared" si="85"/>
        <v>0.98794017522594846</v>
      </c>
      <c r="Q354" s="226">
        <f t="shared" si="85"/>
        <v>0.9450274407559901</v>
      </c>
      <c r="R354" s="226">
        <f t="shared" si="85"/>
        <v>0.90397868836295048</v>
      </c>
      <c r="S354" s="226">
        <f t="shared" si="85"/>
        <v>0.86471295305529527</v>
      </c>
      <c r="T354" s="226">
        <f t="shared" si="85"/>
        <v>0.82715278668316772</v>
      </c>
      <c r="U354" s="226">
        <f t="shared" si="85"/>
        <v>0.7912241051788419</v>
      </c>
      <c r="V354" s="226">
        <f t="shared" si="85"/>
        <v>0.75685604243252769</v>
      </c>
      <c r="W354" s="226">
        <f t="shared" si="85"/>
        <v>0.72398081051530916</v>
      </c>
      <c r="X354" s="226">
        <f t="shared" si="85"/>
        <v>0.69253356597351967</v>
      </c>
      <c r="Y354" s="226">
        <f t="shared" si="85"/>
        <v>0.66245228193083128</v>
      </c>
      <c r="Z354" s="226">
        <f t="shared" si="85"/>
        <v>0.63367762574579034</v>
      </c>
      <c r="AA354" s="226">
        <f t="shared" si="85"/>
        <v>0.60615284198349062</v>
      </c>
      <c r="AB354" s="226">
        <f t="shared" si="85"/>
        <v>0.57982364047055579</v>
      </c>
      <c r="AC354" s="226">
        <f t="shared" si="85"/>
        <v>0.55463808921262969</v>
      </c>
      <c r="AD354" s="226">
        <f t="shared" si="85"/>
        <v>0.53054651196316394</v>
      </c>
      <c r="AE354" s="226">
        <f t="shared" si="83"/>
        <v>0.50750139024146568</v>
      </c>
      <c r="AF354" s="226">
        <f t="shared" si="83"/>
        <v>0.48545726960674618</v>
      </c>
      <c r="AG354" s="226">
        <f t="shared" si="83"/>
        <v>0.46437067000330279</v>
      </c>
      <c r="AH354" s="227">
        <v>0.44419999999999998</v>
      </c>
      <c r="AI354" s="226">
        <f t="shared" si="86"/>
        <v>0.42490547475488993</v>
      </c>
      <c r="AJ354" s="226">
        <f t="shared" si="86"/>
        <v>0.40644903754317518</v>
      </c>
      <c r="AK354" s="226">
        <f t="shared" si="86"/>
        <v>0.38879428469372118</v>
      </c>
      <c r="AL354" s="226">
        <f t="shared" si="86"/>
        <v>0.3719063937860726</v>
      </c>
      <c r="AM354" s="226">
        <f t="shared" si="86"/>
        <v>0.35575205496634449</v>
      </c>
      <c r="AN354" s="226">
        <f t="shared" si="86"/>
        <v>0.34029940524651581</v>
      </c>
      <c r="AO354" s="226">
        <f t="shared" si="86"/>
        <v>0.32551796565753599</v>
      </c>
      <c r="AP354" s="226">
        <f t="shared" si="86"/>
        <v>0.31137858113228567</v>
      </c>
      <c r="AQ354" s="226">
        <f t="shared" si="86"/>
        <v>0.29785336299981507</v>
      </c>
      <c r="AR354" s="226">
        <f t="shared" si="86"/>
        <v>0.28491563397743586</v>
      </c>
      <c r="AS354" s="226">
        <f t="shared" si="86"/>
        <v>0.27253987555216758</v>
      </c>
      <c r="AT354" s="226">
        <f t="shared" si="86"/>
        <v>0.26070167764775415</v>
      </c>
      <c r="AU354" s="226">
        <f t="shared" si="86"/>
        <v>0.2493776904779722</v>
      </c>
      <c r="AV354" s="226">
        <f t="shared" si="86"/>
        <v>0.23854557849126695</v>
      </c>
      <c r="AW354" s="226">
        <f t="shared" si="86"/>
        <v>0.22818397631587495</v>
      </c>
      <c r="AX354" s="226">
        <f t="shared" si="86"/>
        <v>0.21827244661853987</v>
      </c>
      <c r="AY354" s="226">
        <f t="shared" si="84"/>
        <v>0.20879143979370116</v>
      </c>
      <c r="AZ354" s="226">
        <f t="shared" si="84"/>
        <v>0.19972225540364613</v>
      </c>
      <c r="BA354" s="226">
        <f t="shared" si="84"/>
        <v>0.19104700529356966</v>
      </c>
      <c r="BB354" s="226">
        <f t="shared" si="84"/>
        <v>0.18274857830878927</v>
      </c>
      <c r="BC354" s="226">
        <f t="shared" si="84"/>
        <v>0.17481060654452338</v>
      </c>
      <c r="BD354" s="226">
        <f t="shared" si="84"/>
        <v>0.16721743306166362</v>
      </c>
      <c r="BE354" s="226">
        <f t="shared" si="84"/>
        <v>0.15995408100486314</v>
      </c>
    </row>
    <row r="355" spans="4:57" s="10" customFormat="1" x14ac:dyDescent="0.35">
      <c r="E355" s="10" t="s">
        <v>671</v>
      </c>
      <c r="F355" s="10" t="s">
        <v>615</v>
      </c>
      <c r="G355" s="43" t="s">
        <v>616</v>
      </c>
      <c r="I355" s="20"/>
      <c r="J355" s="200"/>
      <c r="K355" s="200"/>
      <c r="L355" s="200"/>
      <c r="M355" s="200"/>
      <c r="N355" s="200">
        <v>1.0780000000000001</v>
      </c>
      <c r="O355" s="226">
        <f t="shared" si="85"/>
        <v>1.0363500868951347</v>
      </c>
      <c r="P355" s="226">
        <f t="shared" si="85"/>
        <v>0.996309371621107</v>
      </c>
      <c r="Q355" s="226">
        <f t="shared" si="85"/>
        <v>0.95781568075507539</v>
      </c>
      <c r="R355" s="226">
        <f t="shared" si="85"/>
        <v>0.92080924302416045</v>
      </c>
      <c r="S355" s="226">
        <f t="shared" si="85"/>
        <v>0.88523259649529862</v>
      </c>
      <c r="T355" s="226">
        <f t="shared" si="85"/>
        <v>0.85103049935093544</v>
      </c>
      <c r="U355" s="226">
        <f t="shared" si="85"/>
        <v>0.81814984411201475</v>
      </c>
      <c r="V355" s="226">
        <f t="shared" si="85"/>
        <v>0.78653957517507178</v>
      </c>
      <c r="W355" s="226">
        <f t="shared" si="85"/>
        <v>0.75615060953538771</v>
      </c>
      <c r="X355" s="226">
        <f t="shared" si="85"/>
        <v>0.72693576057310583</v>
      </c>
      <c r="Y355" s="226">
        <f t="shared" si="85"/>
        <v>0.69884966478396948</v>
      </c>
      <c r="Z355" s="226">
        <f t="shared" si="85"/>
        <v>0.67184871134091151</v>
      </c>
      <c r="AA355" s="226">
        <f t="shared" si="85"/>
        <v>0.6458909743771224</v>
      </c>
      <c r="AB355" s="226">
        <f t="shared" si="85"/>
        <v>0.62093614788544904</v>
      </c>
      <c r="AC355" s="226">
        <f t="shared" si="85"/>
        <v>0.5969454831330383</v>
      </c>
      <c r="AD355" s="226">
        <f t="shared" si="85"/>
        <v>0.57388172849404673</v>
      </c>
      <c r="AE355" s="226">
        <f t="shared" si="83"/>
        <v>0.55170907160699023</v>
      </c>
      <c r="AF355" s="226">
        <f t="shared" si="83"/>
        <v>0.53039308376691874</v>
      </c>
      <c r="AG355" s="226">
        <f t="shared" si="83"/>
        <v>0.50990066646607113</v>
      </c>
      <c r="AH355" s="227">
        <v>0.49020000000000002</v>
      </c>
      <c r="AI355" s="226">
        <f t="shared" si="86"/>
        <v>0.47126049405936465</v>
      </c>
      <c r="AJ355" s="226">
        <f t="shared" si="86"/>
        <v>0.4530527402306741</v>
      </c>
      <c r="AK355" s="226">
        <f t="shared" si="86"/>
        <v>0.43554846633222449</v>
      </c>
      <c r="AL355" s="226">
        <f t="shared" si="86"/>
        <v>0.41872049251432608</v>
      </c>
      <c r="AM355" s="226">
        <f t="shared" si="86"/>
        <v>0.40254268905565438</v>
      </c>
      <c r="AN355" s="226">
        <f t="shared" si="86"/>
        <v>0.38698993579019353</v>
      </c>
      <c r="AO355" s="226">
        <f t="shared" si="86"/>
        <v>0.3720380831017715</v>
      </c>
      <c r="AP355" s="226">
        <f t="shared" si="86"/>
        <v>0.35766391442562173</v>
      </c>
      <c r="AQ355" s="226">
        <f t="shared" si="86"/>
        <v>0.34384511019874503</v>
      </c>
      <c r="AR355" s="226">
        <f t="shared" si="86"/>
        <v>0.33056021320309514</v>
      </c>
      <c r="AS355" s="226">
        <f t="shared" si="86"/>
        <v>0.31778859524777542</v>
      </c>
      <c r="AT355" s="226">
        <f t="shared" si="86"/>
        <v>0.30551042513851101</v>
      </c>
      <c r="AU355" s="226">
        <f t="shared" si="86"/>
        <v>0.29370663788466184</v>
      </c>
      <c r="AV355" s="226">
        <f t="shared" si="86"/>
        <v>0.28235890509596212</v>
      </c>
      <c r="AW355" s="226">
        <f t="shared" si="86"/>
        <v>0.27144960652301992</v>
      </c>
      <c r="AX355" s="226">
        <f t="shared" si="86"/>
        <v>0.26096180269738573</v>
      </c>
      <c r="AY355" s="226">
        <f t="shared" si="84"/>
        <v>0.2508792086287075</v>
      </c>
      <c r="AZ355" s="226">
        <f t="shared" si="84"/>
        <v>0.24118616851812955</v>
      </c>
      <c r="BA355" s="226">
        <f t="shared" si="84"/>
        <v>0.23186763144867176</v>
      </c>
      <c r="BB355" s="226">
        <f t="shared" si="84"/>
        <v>0.22290912801484233</v>
      </c>
      <c r="BC355" s="226">
        <f t="shared" si="84"/>
        <v>0.21429674785519534</v>
      </c>
      <c r="BD355" s="226">
        <f t="shared" si="84"/>
        <v>0.20601711805294662</v>
      </c>
      <c r="BE355" s="226">
        <f t="shared" si="84"/>
        <v>0.1980573823711099</v>
      </c>
    </row>
    <row r="356" spans="4:57" s="10" customFormat="1" x14ac:dyDescent="0.35">
      <c r="E356" s="10" t="s">
        <v>672</v>
      </c>
      <c r="F356" s="10" t="s">
        <v>615</v>
      </c>
      <c r="G356" s="43" t="s">
        <v>616</v>
      </c>
      <c r="I356" s="20"/>
      <c r="J356" s="200"/>
      <c r="K356" s="200"/>
      <c r="L356" s="200"/>
      <c r="M356" s="200"/>
      <c r="N356" s="200">
        <v>1.0763</v>
      </c>
      <c r="O356" s="226">
        <f t="shared" si="85"/>
        <v>1.0399022606768624</v>
      </c>
      <c r="P356" s="226">
        <f t="shared" si="85"/>
        <v>1.0047354006883296</v>
      </c>
      <c r="Q356" s="226">
        <f t="shared" si="85"/>
        <v>0.97075779481359026</v>
      </c>
      <c r="R356" s="226">
        <f t="shared" si="85"/>
        <v>0.93792922549134849</v>
      </c>
      <c r="S356" s="226">
        <f t="shared" si="85"/>
        <v>0.90621083521634493</v>
      </c>
      <c r="T356" s="226">
        <f t="shared" si="85"/>
        <v>0.87556508054570736</v>
      </c>
      <c r="U356" s="226">
        <f t="shared" si="85"/>
        <v>0.84595568766068963</v>
      </c>
      <c r="V356" s="226">
        <f t="shared" si="85"/>
        <v>0.81734760943120033</v>
      </c>
      <c r="W356" s="226">
        <f t="shared" si="85"/>
        <v>0.78970698393229999</v>
      </c>
      <c r="X356" s="226">
        <f t="shared" si="85"/>
        <v>0.76300109436356545</v>
      </c>
      <c r="Y356" s="226">
        <f t="shared" si="85"/>
        <v>0.73719833032387982</v>
      </c>
      <c r="Z356" s="226">
        <f t="shared" si="85"/>
        <v>0.71226815039581071</v>
      </c>
      <c r="AA356" s="226">
        <f t="shared" si="85"/>
        <v>0.6881810459952904</v>
      </c>
      <c r="AB356" s="226">
        <f t="shared" si="85"/>
        <v>0.66490850644380783</v>
      </c>
      <c r="AC356" s="226">
        <f t="shared" si="85"/>
        <v>0.64242298522177088</v>
      </c>
      <c r="AD356" s="226">
        <f t="shared" si="85"/>
        <v>0.62069786736309407</v>
      </c>
      <c r="AE356" s="226">
        <f t="shared" si="83"/>
        <v>0.59970743795241932</v>
      </c>
      <c r="AF356" s="226">
        <f t="shared" si="83"/>
        <v>0.57942685168768016</v>
      </c>
      <c r="AG356" s="226">
        <f t="shared" si="83"/>
        <v>0.55983210347198342</v>
      </c>
      <c r="AH356" s="227">
        <v>0.54090000000000005</v>
      </c>
      <c r="AI356" s="226">
        <f t="shared" si="86"/>
        <v>0.52260813230522618</v>
      </c>
      <c r="AJ356" s="226">
        <f t="shared" si="86"/>
        <v>0.50493484923563836</v>
      </c>
      <c r="AK356" s="226">
        <f t="shared" si="86"/>
        <v>0.48785923182632263</v>
      </c>
      <c r="AL356" s="226">
        <f t="shared" si="86"/>
        <v>0.47136106853876286</v>
      </c>
      <c r="AM356" s="226">
        <f t="shared" si="86"/>
        <v>0.45542083133747191</v>
      </c>
      <c r="AN356" s="226">
        <f t="shared" si="86"/>
        <v>0.44001965257565095</v>
      </c>
      <c r="AO356" s="226">
        <f t="shared" si="86"/>
        <v>0.42513930266251698</v>
      </c>
      <c r="AP356" s="226">
        <f t="shared" si="86"/>
        <v>0.41076216848586478</v>
      </c>
      <c r="AQ356" s="226">
        <f t="shared" si="86"/>
        <v>0.39687123256432322</v>
      </c>
      <c r="AR356" s="226">
        <f t="shared" si="86"/>
        <v>0.38345005290462936</v>
      </c>
      <c r="AS356" s="226">
        <f t="shared" si="86"/>
        <v>0.3704827435400786</v>
      </c>
      <c r="AT356" s="226">
        <f t="shared" si="86"/>
        <v>0.35795395572711514</v>
      </c>
      <c r="AU356" s="226">
        <f t="shared" si="86"/>
        <v>0.34584885977780599</v>
      </c>
      <c r="AV356" s="226">
        <f t="shared" si="86"/>
        <v>0.33415312750669485</v>
      </c>
      <c r="AW356" s="226">
        <f t="shared" si="86"/>
        <v>0.32285291527125881</v>
      </c>
      <c r="AX356" s="226">
        <f t="shared" si="86"/>
        <v>0.3119348475858939</v>
      </c>
      <c r="AY356" s="226">
        <f t="shared" si="84"/>
        <v>0.30138600129003401</v>
      </c>
      <c r="AZ356" s="226">
        <f t="shared" si="84"/>
        <v>0.2911938902516642</v>
      </c>
      <c r="BA356" s="226">
        <f t="shared" si="84"/>
        <v>0.28134645058812208</v>
      </c>
      <c r="BB356" s="226">
        <f t="shared" si="84"/>
        <v>0.27183202638669457</v>
      </c>
      <c r="BC356" s="226">
        <f t="shared" si="84"/>
        <v>0.26263935590810761</v>
      </c>
      <c r="BD356" s="226">
        <f t="shared" si="84"/>
        <v>0.2537575582565792</v>
      </c>
      <c r="BE356" s="226">
        <f t="shared" si="84"/>
        <v>0.24517612050065721</v>
      </c>
    </row>
    <row r="357" spans="4:57" s="10" customFormat="1" x14ac:dyDescent="0.35">
      <c r="E357" s="10" t="s">
        <v>673</v>
      </c>
      <c r="F357" s="10" t="s">
        <v>615</v>
      </c>
      <c r="G357" s="43" t="s">
        <v>616</v>
      </c>
      <c r="I357" s="20"/>
      <c r="J357" s="200"/>
      <c r="K357" s="200"/>
      <c r="L357" s="200"/>
      <c r="M357" s="200"/>
      <c r="N357" s="200">
        <v>1.1266</v>
      </c>
      <c r="O357" s="226">
        <f t="shared" si="85"/>
        <v>1.0903849426933589</v>
      </c>
      <c r="P357" s="226">
        <f t="shared" si="85"/>
        <v>1.055334034486419</v>
      </c>
      <c r="Q357" s="226">
        <f t="shared" si="85"/>
        <v>1.0214098532893887</v>
      </c>
      <c r="R357" s="226">
        <f t="shared" si="85"/>
        <v>0.9885761799621714</v>
      </c>
      <c r="S357" s="226">
        <f t="shared" si="85"/>
        <v>0.95679795964501335</v>
      </c>
      <c r="T357" s="226">
        <f t="shared" si="85"/>
        <v>0.9260412643321948</v>
      </c>
      <c r="U357" s="226">
        <f t="shared" si="85"/>
        <v>0.89627325664880697</v>
      </c>
      <c r="V357" s="226">
        <f t="shared" si="85"/>
        <v>0.86746215479194</v>
      </c>
      <c r="W357" s="226">
        <f t="shared" si="85"/>
        <v>0.83957719859885249</v>
      </c>
      <c r="X357" s="226">
        <f t="shared" si="85"/>
        <v>0.81258861670589444</v>
      </c>
      <c r="Y357" s="226">
        <f t="shared" si="85"/>
        <v>0.78646759476312134</v>
      </c>
      <c r="Z357" s="226">
        <f t="shared" si="85"/>
        <v>0.76118624467066387</v>
      </c>
      <c r="AA357" s="226">
        <f t="shared" si="85"/>
        <v>0.73671757480400757</v>
      </c>
      <c r="AB357" s="226">
        <f t="shared" si="85"/>
        <v>0.7130354611963946</v>
      </c>
      <c r="AC357" s="226">
        <f t="shared" si="85"/>
        <v>0.69011461964757992</v>
      </c>
      <c r="AD357" s="226">
        <f t="shared" si="85"/>
        <v>0.6679305787291635</v>
      </c>
      <c r="AE357" s="226">
        <f t="shared" si="83"/>
        <v>0.64645965365767888</v>
      </c>
      <c r="AF357" s="226">
        <f t="shared" si="83"/>
        <v>0.62567892100754208</v>
      </c>
      <c r="AG357" s="226">
        <f t="shared" si="83"/>
        <v>0.60556619423686442</v>
      </c>
      <c r="AH357" s="227">
        <v>0.58609999999999995</v>
      </c>
      <c r="AI357" s="226">
        <f t="shared" si="86"/>
        <v>0.56725955522153171</v>
      </c>
      <c r="AJ357" s="226">
        <f t="shared" si="86"/>
        <v>0.5490247449072343</v>
      </c>
      <c r="AK357" s="226">
        <f t="shared" si="86"/>
        <v>0.53137610066830343</v>
      </c>
      <c r="AL357" s="226">
        <f t="shared" si="86"/>
        <v>0.51429477993593875</v>
      </c>
      <c r="AM357" s="226">
        <f t="shared" si="86"/>
        <v>0.49776254584408153</v>
      </c>
      <c r="AN357" s="226">
        <f t="shared" si="86"/>
        <v>0.48176174775883129</v>
      </c>
      <c r="AO357" s="226">
        <f t="shared" si="86"/>
        <v>0.46627530243375265</v>
      </c>
      <c r="AP357" s="226">
        <f t="shared" si="86"/>
        <v>0.45128667577095333</v>
      </c>
      <c r="AQ357" s="226">
        <f t="shared" si="86"/>
        <v>0.43677986516846035</v>
      </c>
      <c r="AR357" s="226">
        <f t="shared" si="86"/>
        <v>0.42273938243504766</v>
      </c>
      <c r="AS357" s="226">
        <f t="shared" si="86"/>
        <v>0.4091502372542743</v>
      </c>
      <c r="AT357" s="226">
        <f t="shared" si="86"/>
        <v>0.39599792118007821</v>
      </c>
      <c r="AU357" s="226">
        <f t="shared" si="86"/>
        <v>0.38326839214683905</v>
      </c>
      <c r="AV357" s="226">
        <f t="shared" si="86"/>
        <v>0.37094805947737169</v>
      </c>
      <c r="AW357" s="226">
        <f t="shared" si="86"/>
        <v>0.35902376937284453</v>
      </c>
      <c r="AX357" s="226">
        <f t="shared" si="86"/>
        <v>0.34748279086913086</v>
      </c>
      <c r="AY357" s="226">
        <f t="shared" si="84"/>
        <v>0.33631280224459942</v>
      </c>
      <c r="AZ357" s="226">
        <f t="shared" si="84"/>
        <v>0.3255018778648327</v>
      </c>
      <c r="BA357" s="226">
        <f t="shared" si="84"/>
        <v>0.31503847545022751</v>
      </c>
      <c r="BB357" s="226">
        <f t="shared" si="84"/>
        <v>0.30491142375288433</v>
      </c>
      <c r="BC357" s="226">
        <f t="shared" si="84"/>
        <v>0.29510991062962832</v>
      </c>
      <c r="BD357" s="226">
        <f t="shared" si="84"/>
        <v>0.28562347149842854</v>
      </c>
      <c r="BE357" s="226">
        <f t="shared" si="84"/>
        <v>0.2764419781658905</v>
      </c>
    </row>
    <row r="358" spans="4:57" s="10" customFormat="1" x14ac:dyDescent="0.35">
      <c r="E358" s="10" t="s">
        <v>674</v>
      </c>
      <c r="F358" s="10" t="s">
        <v>615</v>
      </c>
      <c r="G358" s="43" t="s">
        <v>616</v>
      </c>
      <c r="I358" s="20"/>
      <c r="J358" s="200"/>
      <c r="K358" s="200"/>
      <c r="L358" s="200"/>
      <c r="M358" s="200"/>
      <c r="N358" s="200">
        <v>1.1792</v>
      </c>
      <c r="O358" s="226">
        <f t="shared" si="85"/>
        <v>1.1432736725689059</v>
      </c>
      <c r="P358" s="226">
        <f t="shared" si="85"/>
        <v>1.1084419016190585</v>
      </c>
      <c r="Q358" s="226">
        <f t="shared" si="85"/>
        <v>1.0746713396313456</v>
      </c>
      <c r="R358" s="226">
        <f t="shared" si="85"/>
        <v>1.0419296550753685</v>
      </c>
      <c r="S358" s="226">
        <f t="shared" si="85"/>
        <v>1.0101855014556222</v>
      </c>
      <c r="T358" s="226">
        <f t="shared" si="85"/>
        <v>0.97940848730073871</v>
      </c>
      <c r="U358" s="226">
        <f t="shared" si="85"/>
        <v>0.94956914706705575</v>
      </c>
      <c r="V358" s="226">
        <f t="shared" si="85"/>
        <v>0.9206389129286604</v>
      </c>
      <c r="W358" s="226">
        <f t="shared" si="85"/>
        <v>0.89259008742689505</v>
      </c>
      <c r="X358" s="226">
        <f t="shared" si="85"/>
        <v>0.86539581695314372</v>
      </c>
      <c r="Y358" s="226">
        <f t="shared" si="85"/>
        <v>0.83903006603950914</v>
      </c>
      <c r="Z358" s="226">
        <f t="shared" si="85"/>
        <v>0.813467592432769</v>
      </c>
      <c r="AA358" s="226">
        <f t="shared" si="85"/>
        <v>0.7886839229277457</v>
      </c>
      <c r="AB358" s="226">
        <f t="shared" si="85"/>
        <v>0.76465532993695362</v>
      </c>
      <c r="AC358" s="226">
        <f t="shared" si="85"/>
        <v>0.7413588087740921</v>
      </c>
      <c r="AD358" s="226">
        <f t="shared" si="85"/>
        <v>0.71877205562963487</v>
      </c>
      <c r="AE358" s="226">
        <f t="shared" si="83"/>
        <v>0.69687344621743097</v>
      </c>
      <c r="AF358" s="226">
        <f t="shared" si="83"/>
        <v>0.6756420150718726</v>
      </c>
      <c r="AG358" s="226">
        <f t="shared" si="83"/>
        <v>0.65505743547581052</v>
      </c>
      <c r="AH358" s="227">
        <v>0.6351</v>
      </c>
      <c r="AI358" s="226">
        <f t="shared" si="86"/>
        <v>0.61575060163544104</v>
      </c>
      <c r="AJ358" s="226">
        <f t="shared" si="86"/>
        <v>0.59699071550056304</v>
      </c>
      <c r="AK358" s="226">
        <f t="shared" si="86"/>
        <v>0.57880238110572213</v>
      </c>
      <c r="AL358" s="226">
        <f t="shared" si="86"/>
        <v>0.56116818515804479</v>
      </c>
      <c r="AM358" s="226">
        <f t="shared" si="86"/>
        <v>0.54407124489015057</v>
      </c>
      <c r="AN358" s="226">
        <f t="shared" si="86"/>
        <v>0.52749519189679361</v>
      </c>
      <c r="AO358" s="226">
        <f t="shared" si="86"/>
        <v>0.51142415646394757</v>
      </c>
      <c r="AP358" s="226">
        <f t="shared" si="86"/>
        <v>0.49584275237533249</v>
      </c>
      <c r="AQ358" s="226">
        <f t="shared" si="86"/>
        <v>0.48073606218183595</v>
      </c>
      <c r="AR358" s="226">
        <f t="shared" si="86"/>
        <v>0.4660896229197265</v>
      </c>
      <c r="AS358" s="226">
        <f t="shared" si="86"/>
        <v>0.45188941226398588</v>
      </c>
      <c r="AT358" s="226">
        <f t="shared" si="86"/>
        <v>0.43812183510350367</v>
      </c>
      <c r="AU358" s="226">
        <f t="shared" si="86"/>
        <v>0.42477371052528085</v>
      </c>
      <c r="AV358" s="226">
        <f t="shared" si="86"/>
        <v>0.4118322591951824</v>
      </c>
      <c r="AW358" s="226">
        <f t="shared" si="86"/>
        <v>0.39928509112315613</v>
      </c>
      <c r="AX358" s="226">
        <f t="shared" si="86"/>
        <v>0.38712019380120499</v>
      </c>
      <c r="AY358" s="226">
        <f t="shared" si="84"/>
        <v>0.37532592070275628</v>
      </c>
      <c r="AZ358" s="226">
        <f t="shared" si="84"/>
        <v>0.363890980132417</v>
      </c>
      <c r="BA358" s="226">
        <f t="shared" si="84"/>
        <v>0.35280442441544024</v>
      </c>
      <c r="BB358" s="226">
        <f t="shared" si="84"/>
        <v>0.34205563941655304</v>
      </c>
      <c r="BC358" s="226">
        <f t="shared" si="84"/>
        <v>0.33163433437811057</v>
      </c>
      <c r="BD358" s="226">
        <f t="shared" si="84"/>
        <v>0.32153053206784854</v>
      </c>
      <c r="BE358" s="226">
        <f t="shared" si="84"/>
        <v>0.31173455922680082</v>
      </c>
    </row>
    <row r="359" spans="4:57" s="10" customFormat="1" x14ac:dyDescent="0.35">
      <c r="E359" s="10" t="s">
        <v>675</v>
      </c>
      <c r="F359" s="10" t="s">
        <v>615</v>
      </c>
      <c r="G359" s="43" t="s">
        <v>616</v>
      </c>
      <c r="I359" s="20"/>
      <c r="J359" s="200"/>
      <c r="K359" s="200"/>
      <c r="L359" s="200"/>
      <c r="M359" s="200"/>
      <c r="N359" s="200">
        <v>1.2343</v>
      </c>
      <c r="O359" s="226">
        <f t="shared" si="85"/>
        <v>1.1987687856180813</v>
      </c>
      <c r="P359" s="226">
        <f t="shared" si="85"/>
        <v>1.1642603916165029</v>
      </c>
      <c r="Q359" s="226">
        <f t="shared" si="85"/>
        <v>1.1307453745453673</v>
      </c>
      <c r="R359" s="226">
        <f t="shared" si="85"/>
        <v>1.098195138529541</v>
      </c>
      <c r="S359" s="226">
        <f t="shared" si="85"/>
        <v>1.0665819108699168</v>
      </c>
      <c r="T359" s="226">
        <f t="shared" si="85"/>
        <v>1.035878718347033</v>
      </c>
      <c r="U359" s="226">
        <f t="shared" si="85"/>
        <v>1.0060593642068276</v>
      </c>
      <c r="V359" s="226">
        <f t="shared" si="85"/>
        <v>0.97709840580889384</v>
      </c>
      <c r="W359" s="226">
        <f t="shared" si="85"/>
        <v>0.94897113291816482</v>
      </c>
      <c r="X359" s="226">
        <f t="shared" si="85"/>
        <v>0.92165354662150467</v>
      </c>
      <c r="Y359" s="226">
        <f t="shared" si="85"/>
        <v>0.89512233885121839</v>
      </c>
      <c r="Z359" s="226">
        <f t="shared" si="85"/>
        <v>0.86935487249800836</v>
      </c>
      <c r="AA359" s="226">
        <f t="shared" si="85"/>
        <v>0.8443291620964104</v>
      </c>
      <c r="AB359" s="226">
        <f t="shared" si="85"/>
        <v>0.82002385506622866</v>
      </c>
      <c r="AC359" s="226">
        <f t="shared" si="85"/>
        <v>0.79641821349396458</v>
      </c>
      <c r="AD359" s="226">
        <f t="shared" si="85"/>
        <v>0.77349209643869543</v>
      </c>
      <c r="AE359" s="226">
        <f t="shared" si="83"/>
        <v>0.75122594274730514</v>
      </c>
      <c r="AF359" s="226">
        <f t="shared" si="83"/>
        <v>0.72960075436440519</v>
      </c>
      <c r="AG359" s="226">
        <f t="shared" si="83"/>
        <v>0.70859808012270442</v>
      </c>
      <c r="AH359" s="227">
        <v>0.68820000000000003</v>
      </c>
      <c r="AI359" s="226">
        <f t="shared" si="86"/>
        <v>0.66838910982934752</v>
      </c>
      <c r="AJ359" s="226">
        <f t="shared" si="86"/>
        <v>0.64914850644938615</v>
      </c>
      <c r="AK359" s="226">
        <f t="shared" si="86"/>
        <v>0.63046177328212094</v>
      </c>
      <c r="AL359" s="226">
        <f t="shared" si="86"/>
        <v>0.61231296632587717</v>
      </c>
      <c r="AM359" s="226">
        <f t="shared" si="86"/>
        <v>0.59468660055146794</v>
      </c>
      <c r="AN359" s="226">
        <f t="shared" si="86"/>
        <v>0.57756763668996858</v>
      </c>
      <c r="AO359" s="226">
        <f t="shared" si="86"/>
        <v>0.56094146840082537</v>
      </c>
      <c r="AP359" s="226">
        <f t="shared" si="86"/>
        <v>0.54479390980935005</v>
      </c>
      <c r="AQ359" s="226">
        <f t="shared" si="86"/>
        <v>0.52911118340296615</v>
      </c>
      <c r="AR359" s="226">
        <f t="shared" si="86"/>
        <v>0.51387990827588081</v>
      </c>
      <c r="AS359" s="226">
        <f t="shared" si="86"/>
        <v>0.49908708871215157</v>
      </c>
      <c r="AT359" s="226">
        <f t="shared" si="86"/>
        <v>0.4847201030974071</v>
      </c>
      <c r="AU359" s="226">
        <f t="shared" si="86"/>
        <v>0.47076669314976088</v>
      </c>
      <c r="AV359" s="226">
        <f t="shared" si="86"/>
        <v>0.45721495346072977</v>
      </c>
      <c r="AW359" s="226">
        <f t="shared" si="86"/>
        <v>0.44405332133723291</v>
      </c>
      <c r="AX359" s="226">
        <f t="shared" si="86"/>
        <v>0.43127056693600446</v>
      </c>
      <c r="AY359" s="226">
        <f t="shared" si="84"/>
        <v>0.41885578368200238</v>
      </c>
      <c r="AZ359" s="226">
        <f t="shared" si="84"/>
        <v>0.40679837896263771</v>
      </c>
      <c r="BA359" s="226">
        <f t="shared" si="84"/>
        <v>0.39508806508988514</v>
      </c>
      <c r="BB359" s="226">
        <f t="shared" si="84"/>
        <v>0.38371485052256266</v>
      </c>
      <c r="BC359" s="226">
        <f t="shared" si="84"/>
        <v>0.37266903134129142</v>
      </c>
      <c r="BD359" s="226">
        <f t="shared" si="84"/>
        <v>0.36194118296886219</v>
      </c>
      <c r="BE359" s="226">
        <f t="shared" si="84"/>
        <v>0.35152215212894328</v>
      </c>
    </row>
    <row r="360" spans="4:57" s="10" customFormat="1" x14ac:dyDescent="0.35">
      <c r="E360" s="10" t="s">
        <v>676</v>
      </c>
      <c r="F360" s="10" t="s">
        <v>615</v>
      </c>
      <c r="G360" s="43" t="s">
        <v>616</v>
      </c>
      <c r="I360" s="20"/>
      <c r="J360" s="200"/>
      <c r="K360" s="200"/>
      <c r="L360" s="200"/>
      <c r="M360" s="200"/>
      <c r="N360" s="200">
        <v>1.292</v>
      </c>
      <c r="O360" s="226">
        <f t="shared" si="85"/>
        <v>1.2569777641968367</v>
      </c>
      <c r="P360" s="226">
        <f t="shared" si="85"/>
        <v>1.2229048759173982</v>
      </c>
      <c r="Q360" s="226">
        <f t="shared" si="85"/>
        <v>1.1897556012043817</v>
      </c>
      <c r="R360" s="226">
        <f t="shared" si="85"/>
        <v>1.1575049036707021</v>
      </c>
      <c r="S360" s="226">
        <f t="shared" si="85"/>
        <v>1.1261284255904598</v>
      </c>
      <c r="T360" s="226">
        <f t="shared" si="85"/>
        <v>1.0956024695024766</v>
      </c>
      <c r="U360" s="226">
        <f t="shared" si="85"/>
        <v>1.0659039803125048</v>
      </c>
      <c r="V360" s="226">
        <f t="shared" si="85"/>
        <v>1.0370105278805892</v>
      </c>
      <c r="W360" s="226">
        <f t="shared" si="85"/>
        <v>1.0089002900804369</v>
      </c>
      <c r="X360" s="226">
        <f t="shared" si="85"/>
        <v>0.98155203631799348</v>
      </c>
      <c r="Y360" s="226">
        <f t="shared" si="85"/>
        <v>0.95494511149678307</v>
      </c>
      <c r="Z360" s="226">
        <f t="shared" si="85"/>
        <v>0.92905942041789891</v>
      </c>
      <c r="AA360" s="226">
        <f t="shared" si="85"/>
        <v>0.90387541260286342</v>
      </c>
      <c r="AB360" s="226">
        <f t="shared" si="85"/>
        <v>0.87937406752789515</v>
      </c>
      <c r="AC360" s="226">
        <f t="shared" si="85"/>
        <v>0.85553688025843011</v>
      </c>
      <c r="AD360" s="226">
        <f t="shared" si="85"/>
        <v>0.83234584747304818</v>
      </c>
      <c r="AE360" s="226">
        <f t="shared" si="83"/>
        <v>0.80978345386624873</v>
      </c>
      <c r="AF360" s="226">
        <f t="shared" si="83"/>
        <v>0.78783265891980614</v>
      </c>
      <c r="AG360" s="226">
        <f t="shared" si="83"/>
        <v>0.76647688403271441</v>
      </c>
      <c r="AH360" s="227">
        <v>0.74570000000000003</v>
      </c>
      <c r="AI360" s="226">
        <f t="shared" si="86"/>
        <v>0.72548631483094517</v>
      </c>
      <c r="AJ360" s="226">
        <f t="shared" si="86"/>
        <v>0.70582056189752618</v>
      </c>
      <c r="AK360" s="226">
        <f t="shared" si="86"/>
        <v>0.68668788840410799</v>
      </c>
      <c r="AL360" s="226">
        <f t="shared" si="86"/>
        <v>0.6680738441696924</v>
      </c>
      <c r="AM360" s="226">
        <f t="shared" si="86"/>
        <v>0.64996437071424606</v>
      </c>
      <c r="AN360" s="226">
        <f t="shared" si="86"/>
        <v>0.63234579064086449</v>
      </c>
      <c r="AO360" s="226">
        <f t="shared" si="86"/>
        <v>0.6152047973057545</v>
      </c>
      <c r="AP360" s="226">
        <f t="shared" si="86"/>
        <v>0.59852844476823175</v>
      </c>
      <c r="AQ360" s="226">
        <f t="shared" si="86"/>
        <v>0.58230413801314385</v>
      </c>
      <c r="AR360" s="226">
        <f t="shared" si="86"/>
        <v>0.56651962343833417</v>
      </c>
      <c r="AS360" s="226">
        <f t="shared" si="86"/>
        <v>0.55116297959996219</v>
      </c>
      <c r="AT360" s="226">
        <f t="shared" si="86"/>
        <v>0.53622260820868983</v>
      </c>
      <c r="AU360" s="226">
        <f t="shared" si="86"/>
        <v>0.52168722536993439</v>
      </c>
      <c r="AV360" s="226">
        <f t="shared" si="86"/>
        <v>0.50754585306157229</v>
      </c>
      <c r="AW360" s="226">
        <f t="shared" si="86"/>
        <v>0.49378781084265583</v>
      </c>
      <c r="AX360" s="226">
        <f t="shared" si="86"/>
        <v>0.48040270778688238</v>
      </c>
      <c r="AY360" s="226">
        <f t="shared" si="84"/>
        <v>0.46738043463472267</v>
      </c>
      <c r="AZ360" s="226">
        <f t="shared" si="84"/>
        <v>0.45471115615828134</v>
      </c>
      <c r="BA360" s="226">
        <f t="shared" si="84"/>
        <v>0.44238530373312318</v>
      </c>
      <c r="BB360" s="226">
        <f t="shared" si="84"/>
        <v>0.43039356811145491</v>
      </c>
      <c r="BC360" s="226">
        <f t="shared" si="84"/>
        <v>0.41872689239120398</v>
      </c>
      <c r="BD360" s="226">
        <f t="shared" si="84"/>
        <v>0.40737646517568499</v>
      </c>
      <c r="BE360" s="226">
        <f t="shared" si="84"/>
        <v>0.39633371391868655</v>
      </c>
    </row>
    <row r="361" spans="4:57" s="10" customFormat="1" x14ac:dyDescent="0.35">
      <c r="E361" s="10" t="s">
        <v>677</v>
      </c>
      <c r="F361" s="10" t="s">
        <v>615</v>
      </c>
      <c r="G361" s="43" t="s">
        <v>616</v>
      </c>
      <c r="I361" s="20"/>
      <c r="J361" s="200"/>
      <c r="K361" s="200"/>
      <c r="L361" s="200"/>
      <c r="M361" s="200"/>
      <c r="N361" s="200">
        <v>1.3524</v>
      </c>
      <c r="O361" s="226">
        <f t="shared" si="85"/>
        <v>1.3180235171408852</v>
      </c>
      <c r="P361" s="226">
        <f t="shared" si="85"/>
        <v>1.2845208457086876</v>
      </c>
      <c r="Q361" s="226">
        <f t="shared" si="85"/>
        <v>1.2518697744023579</v>
      </c>
      <c r="R361" s="226">
        <f t="shared" si="85"/>
        <v>1.2200486565070705</v>
      </c>
      <c r="S361" s="226">
        <f t="shared" si="85"/>
        <v>1.1890363955430796</v>
      </c>
      <c r="T361" s="226">
        <f t="shared" si="85"/>
        <v>1.1588124312793628</v>
      </c>
      <c r="U361" s="226">
        <f t="shared" si="85"/>
        <v>1.1293567261027848</v>
      </c>
      <c r="V361" s="226">
        <f t="shared" si="85"/>
        <v>1.1006497517337384</v>
      </c>
      <c r="W361" s="226">
        <f t="shared" si="85"/>
        <v>1.0726724762794615</v>
      </c>
      <c r="X361" s="226">
        <f t="shared" si="85"/>
        <v>1.0454063516164438</v>
      </c>
      <c r="Y361" s="226">
        <f t="shared" si="85"/>
        <v>1.0188333010935566</v>
      </c>
      <c r="Z361" s="226">
        <f t="shared" si="85"/>
        <v>0.99293570754775795</v>
      </c>
      <c r="AA361" s="226">
        <f t="shared" si="85"/>
        <v>0.96769640162442272</v>
      </c>
      <c r="AB361" s="226">
        <f t="shared" si="85"/>
        <v>0.94309865039455798</v>
      </c>
      <c r="AC361" s="226">
        <f t="shared" si="85"/>
        <v>0.91912614626135558</v>
      </c>
      <c r="AD361" s="226">
        <f t="shared" si="85"/>
        <v>0.89576299614872779</v>
      </c>
      <c r="AE361" s="226">
        <f t="shared" si="83"/>
        <v>0.87299371096465794</v>
      </c>
      <c r="AF361" s="226">
        <f t="shared" si="83"/>
        <v>0.8508031953323808</v>
      </c>
      <c r="AG361" s="226">
        <f t="shared" si="83"/>
        <v>0.82917673758258503</v>
      </c>
      <c r="AH361" s="227">
        <v>0.80810000000000004</v>
      </c>
      <c r="AI361" s="226">
        <f t="shared" si="86"/>
        <v>0.78755900931791578</v>
      </c>
      <c r="AJ361" s="226">
        <f t="shared" si="86"/>
        <v>0.76754014745429644</v>
      </c>
      <c r="AK361" s="226">
        <f t="shared" si="86"/>
        <v>0.7480301424833965</v>
      </c>
      <c r="AL361" s="226">
        <f t="shared" si="86"/>
        <v>0.72901605983685569</v>
      </c>
      <c r="AM361" s="226">
        <f t="shared" si="86"/>
        <v>0.71048529372845493</v>
      </c>
      <c r="AN361" s="226">
        <f t="shared" si="86"/>
        <v>0.69242555879684486</v>
      </c>
      <c r="AO361" s="226">
        <f t="shared" si="86"/>
        <v>0.674824881960707</v>
      </c>
      <c r="AP361" s="226">
        <f t="shared" si="86"/>
        <v>0.6576715944809477</v>
      </c>
      <c r="AQ361" s="226">
        <f t="shared" si="86"/>
        <v>0.64095432422466181</v>
      </c>
      <c r="AR361" s="226">
        <f t="shared" si="86"/>
        <v>0.62466198812573792</v>
      </c>
      <c r="AS361" s="226">
        <f t="shared" si="86"/>
        <v>0.6087837848371066</v>
      </c>
      <c r="AT361" s="226">
        <f t="shared" si="86"/>
        <v>0.59330918756975981</v>
      </c>
      <c r="AU361" s="226">
        <f t="shared" si="86"/>
        <v>0.57822793711379472</v>
      </c>
      <c r="AV361" s="226">
        <f t="shared" si="86"/>
        <v>0.56353003503685473</v>
      </c>
      <c r="AW361" s="226">
        <f t="shared" si="86"/>
        <v>0.54920573705545805</v>
      </c>
      <c r="AX361" s="226">
        <f t="shared" si="86"/>
        <v>0.53524554657482026</v>
      </c>
      <c r="AY361" s="226">
        <f t="shared" si="84"/>
        <v>0.52164020839288672</v>
      </c>
      <c r="AZ361" s="226">
        <f t="shared" si="84"/>
        <v>0.50838070256440171</v>
      </c>
      <c r="BA361" s="226">
        <f t="shared" si="84"/>
        <v>0.49545823842094566</v>
      </c>
      <c r="BB361" s="226">
        <f t="shared" si="84"/>
        <v>0.48286424874297695</v>
      </c>
      <c r="BC361" s="226">
        <f t="shared" si="84"/>
        <v>0.47059038408001308</v>
      </c>
      <c r="BD361" s="226">
        <f t="shared" si="84"/>
        <v>0.45862850721518694</v>
      </c>
      <c r="BE361" s="226">
        <f t="shared" si="84"/>
        <v>0.44697068777050764</v>
      </c>
    </row>
    <row r="362" spans="4:57" s="10" customFormat="1" x14ac:dyDescent="0.35">
      <c r="E362" s="10" t="s">
        <v>678</v>
      </c>
      <c r="F362" s="10" t="s">
        <v>615</v>
      </c>
      <c r="G362" s="43" t="s">
        <v>616</v>
      </c>
      <c r="I362" s="20"/>
      <c r="J362" s="200"/>
      <c r="K362" s="200"/>
      <c r="L362" s="200"/>
      <c r="M362" s="200"/>
      <c r="N362" s="200">
        <v>1.3589</v>
      </c>
      <c r="O362" s="226">
        <f t="shared" si="85"/>
        <v>1.3246444431714846</v>
      </c>
      <c r="P362" s="226">
        <f t="shared" si="85"/>
        <v>1.291252410644707</v>
      </c>
      <c r="Q362" s="226">
        <f t="shared" si="85"/>
        <v>1.2587021344413092</v>
      </c>
      <c r="R362" s="226">
        <f t="shared" si="85"/>
        <v>1.2269723953166289</v>
      </c>
      <c r="S362" s="226">
        <f t="shared" si="85"/>
        <v>1.1960425089270577</v>
      </c>
      <c r="T362" s="226">
        <f t="shared" si="85"/>
        <v>1.1658923123460943</v>
      </c>
      <c r="U362" s="226">
        <f t="shared" si="85"/>
        <v>1.1365021509203079</v>
      </c>
      <c r="V362" s="226">
        <f t="shared" si="85"/>
        <v>1.1078528654566382</v>
      </c>
      <c r="W362" s="226">
        <f t="shared" si="85"/>
        <v>1.0799257797326824</v>
      </c>
      <c r="X362" s="226">
        <f t="shared" si="85"/>
        <v>1.0527026883218267</v>
      </c>
      <c r="Y362" s="226">
        <f t="shared" si="85"/>
        <v>1.0261658447252857</v>
      </c>
      <c r="Z362" s="226">
        <f t="shared" si="85"/>
        <v>1.0002979498033131</v>
      </c>
      <c r="AA362" s="226">
        <f t="shared" si="85"/>
        <v>0.97508214049804054</v>
      </c>
      <c r="AB362" s="226">
        <f t="shared" si="85"/>
        <v>0.95050197884059617</v>
      </c>
      <c r="AC362" s="226">
        <f t="shared" si="85"/>
        <v>0.92654144123533422</v>
      </c>
      <c r="AD362" s="226">
        <f t="shared" si="85"/>
        <v>0.90318490801419093</v>
      </c>
      <c r="AE362" s="226">
        <f t="shared" si="83"/>
        <v>0.88041715325435754</v>
      </c>
      <c r="AF362" s="226">
        <f t="shared" si="83"/>
        <v>0.85822333485263225</v>
      </c>
      <c r="AG362" s="226">
        <f t="shared" si="83"/>
        <v>0.83658898484998123</v>
      </c>
      <c r="AH362" s="227">
        <v>0.8155</v>
      </c>
      <c r="AI362" s="226">
        <f t="shared" si="86"/>
        <v>0.79494263257513109</v>
      </c>
      <c r="AJ362" s="226">
        <f t="shared" si="86"/>
        <v>0.77490348140463505</v>
      </c>
      <c r="AK362" s="226">
        <f t="shared" si="86"/>
        <v>0.75536948313848529</v>
      </c>
      <c r="AL362" s="226">
        <f t="shared" si="86"/>
        <v>0.73632790373148205</v>
      </c>
      <c r="AM362" s="226">
        <f t="shared" si="86"/>
        <v>0.71776633014203806</v>
      </c>
      <c r="AN362" s="226">
        <f t="shared" si="86"/>
        <v>0.69967266224022362</v>
      </c>
      <c r="AO362" s="226">
        <f t="shared" si="86"/>
        <v>0.68203510491979624</v>
      </c>
      <c r="AP362" s="226">
        <f t="shared" si="86"/>
        <v>0.6648421604090724</v>
      </c>
      <c r="AQ362" s="226">
        <f t="shared" si="86"/>
        <v>0.64808262077562917</v>
      </c>
      <c r="AR362" s="226">
        <f t="shared" si="86"/>
        <v>0.63174556061994969</v>
      </c>
      <c r="AS362" s="226">
        <f t="shared" si="86"/>
        <v>0.61582032995324931</v>
      </c>
      <c r="AT362" s="226">
        <f t="shared" si="86"/>
        <v>0.60029654725483983</v>
      </c>
      <c r="AU362" s="226">
        <f t="shared" si="86"/>
        <v>0.5851640927045052</v>
      </c>
      <c r="AV362" s="226">
        <f t="shared" si="86"/>
        <v>0.57041310158547809</v>
      </c>
      <c r="AW362" s="226">
        <f t="shared" si="86"/>
        <v>0.55603395785371623</v>
      </c>
      <c r="AX362" s="226">
        <f t="shared" si="86"/>
        <v>0.54201728786928594</v>
      </c>
      <c r="AY362" s="226">
        <f t="shared" si="84"/>
        <v>0.52835395428576681</v>
      </c>
      <c r="AZ362" s="226">
        <f t="shared" si="84"/>
        <v>0.51503505009369455</v>
      </c>
      <c r="BA362" s="226">
        <f t="shared" si="84"/>
        <v>0.5020518928141583</v>
      </c>
      <c r="BB362" s="226">
        <f t="shared" si="84"/>
        <v>0.48939601883876704</v>
      </c>
      <c r="BC362" s="226">
        <f t="shared" si="84"/>
        <v>0.47705917791229663</v>
      </c>
      <c r="BD362" s="226">
        <f t="shared" si="84"/>
        <v>0.46503332775441925</v>
      </c>
      <c r="BE362" s="226">
        <f t="shared" si="84"/>
        <v>0.45331062881701017</v>
      </c>
    </row>
    <row r="363" spans="4:57" s="10" customFormat="1" x14ac:dyDescent="0.35">
      <c r="E363" s="10" t="s">
        <v>679</v>
      </c>
      <c r="F363" s="10" t="s">
        <v>615</v>
      </c>
      <c r="G363" s="43" t="s">
        <v>616</v>
      </c>
      <c r="I363" s="20"/>
      <c r="J363" s="200"/>
      <c r="K363" s="200"/>
      <c r="L363" s="200"/>
      <c r="M363" s="200"/>
      <c r="N363" s="200">
        <v>1.3654999999999999</v>
      </c>
      <c r="O363" s="226">
        <f t="shared" si="85"/>
        <v>1.3313649243766481</v>
      </c>
      <c r="P363" s="226">
        <f t="shared" si="85"/>
        <v>1.2980831650387683</v>
      </c>
      <c r="Q363" s="226">
        <f t="shared" si="85"/>
        <v>1.2656333905942438</v>
      </c>
      <c r="R363" s="226">
        <f t="shared" si="85"/>
        <v>1.2339948028978882</v>
      </c>
      <c r="S363" s="226">
        <f t="shared" si="85"/>
        <v>1.2031471237212183</v>
      </c>
      <c r="T363" s="226">
        <f t="shared" si="85"/>
        <v>1.1730705817554608</v>
      </c>
      <c r="U363" s="226">
        <f t="shared" si="85"/>
        <v>1.1437458999394579</v>
      </c>
      <c r="V363" s="226">
        <f t="shared" si="85"/>
        <v>1.1151542831043557</v>
      </c>
      <c r="W363" s="226">
        <f t="shared" si="85"/>
        <v>1.0872774059271517</v>
      </c>
      <c r="X363" s="226">
        <f t="shared" si="85"/>
        <v>1.060097401185383</v>
      </c>
      <c r="Y363" s="226">
        <f t="shared" si="85"/>
        <v>1.0335968483054256</v>
      </c>
      <c r="Z363" s="226">
        <f t="shared" si="85"/>
        <v>1.0077587621970669</v>
      </c>
      <c r="AA363" s="226">
        <f t="shared" si="85"/>
        <v>0.98256658236719341</v>
      </c>
      <c r="AB363" s="226">
        <f t="shared" si="85"/>
        <v>0.95800416230561702</v>
      </c>
      <c r="AC363" s="226">
        <f t="shared" si="85"/>
        <v>0.93405575913623728</v>
      </c>
      <c r="AD363" s="226">
        <f t="shared" si="85"/>
        <v>0.91070602352690533</v>
      </c>
      <c r="AE363" s="226">
        <f t="shared" si="83"/>
        <v>0.88793998985152423</v>
      </c>
      <c r="AF363" s="226">
        <f t="shared" si="83"/>
        <v>0.86574306659807854</v>
      </c>
      <c r="AG363" s="226">
        <f t="shared" si="83"/>
        <v>0.84410102701644696</v>
      </c>
      <c r="AH363" s="227">
        <v>0.82299999999999995</v>
      </c>
      <c r="AI363" s="226">
        <f t="shared" si="86"/>
        <v>0.80242646119515293</v>
      </c>
      <c r="AJ363" s="226">
        <f t="shared" si="86"/>
        <v>0.78236722433314254</v>
      </c>
      <c r="AK363" s="226">
        <f t="shared" si="86"/>
        <v>0.7628094327785151</v>
      </c>
      <c r="AL363" s="226">
        <f t="shared" si="86"/>
        <v>0.74374055128887706</v>
      </c>
      <c r="AM363" s="226">
        <f t="shared" si="86"/>
        <v>0.72514835798063892</v>
      </c>
      <c r="AN363" s="226">
        <f t="shared" si="86"/>
        <v>0.7070209364956016</v>
      </c>
      <c r="AO363" s="226">
        <f t="shared" si="86"/>
        <v>0.689346668363364</v>
      </c>
      <c r="AP363" s="226">
        <f t="shared" si="86"/>
        <v>0.67211422555465727</v>
      </c>
      <c r="AQ363" s="226">
        <f t="shared" si="86"/>
        <v>0.65531256322083176</v>
      </c>
      <c r="AR363" s="226">
        <f t="shared" si="86"/>
        <v>0.63893091261484447</v>
      </c>
      <c r="AS363" s="226">
        <f t="shared" si="86"/>
        <v>0.6229587741892092</v>
      </c>
      <c r="AT363" s="226">
        <f t="shared" si="86"/>
        <v>0.60738591086648552</v>
      </c>
      <c r="AU363" s="226">
        <f t="shared" si="86"/>
        <v>0.59220234147799344</v>
      </c>
      <c r="AV363" s="226">
        <f t="shared" si="86"/>
        <v>0.57739833436654908</v>
      </c>
      <c r="AW363" s="226">
        <f t="shared" si="86"/>
        <v>0.56296440114911994</v>
      </c>
      <c r="AX363" s="226">
        <f t="shared" si="86"/>
        <v>0.54889129063540321</v>
      </c>
      <c r="AY363" s="226">
        <f t="shared" si="84"/>
        <v>0.53516998289842865</v>
      </c>
      <c r="AZ363" s="226">
        <f t="shared" si="84"/>
        <v>0.521791683493386</v>
      </c>
      <c r="BA363" s="226">
        <f t="shared" si="84"/>
        <v>0.50874781782097089</v>
      </c>
      <c r="BB363" s="226">
        <f t="shared" si="84"/>
        <v>0.49603002563163801</v>
      </c>
      <c r="BC363" s="226">
        <f t="shared" si="84"/>
        <v>0.48363015566723733</v>
      </c>
      <c r="BD363" s="226">
        <f t="shared" si="84"/>
        <v>0.47154026043660052</v>
      </c>
      <c r="BE363" s="226">
        <f t="shared" si="84"/>
        <v>0.459752591121728</v>
      </c>
    </row>
    <row r="364" spans="4:57" s="10" customFormat="1" x14ac:dyDescent="0.35">
      <c r="E364" s="10" t="s">
        <v>680</v>
      </c>
      <c r="F364" s="10" t="s">
        <v>615</v>
      </c>
      <c r="G364" s="43" t="s">
        <v>616</v>
      </c>
      <c r="I364" s="20"/>
      <c r="J364" s="200"/>
      <c r="K364" s="200"/>
      <c r="L364" s="200"/>
      <c r="M364" s="200"/>
      <c r="N364" s="200">
        <v>1.3722000000000001</v>
      </c>
      <c r="O364" s="226">
        <f t="shared" si="85"/>
        <v>1.338184947950924</v>
      </c>
      <c r="P364" s="226">
        <f t="shared" si="85"/>
        <v>1.3050130847707455</v>
      </c>
      <c r="Q364" s="226">
        <f t="shared" si="85"/>
        <v>1.272663508904835</v>
      </c>
      <c r="R364" s="226">
        <f t="shared" si="85"/>
        <v>1.2411158369208986</v>
      </c>
      <c r="S364" s="226">
        <f t="shared" si="85"/>
        <v>1.2103501906653986</v>
      </c>
      <c r="T364" s="226">
        <f t="shared" si="85"/>
        <v>1.1803471847383524</v>
      </c>
      <c r="U364" s="226">
        <f t="shared" si="85"/>
        <v>1.1510879142786121</v>
      </c>
      <c r="V364" s="226">
        <f t="shared" si="85"/>
        <v>1.1225539430519327</v>
      </c>
      <c r="W364" s="226">
        <f t="shared" si="85"/>
        <v>1.0947272918343207</v>
      </c>
      <c r="X364" s="226">
        <f t="shared" si="85"/>
        <v>1.0675904270833452</v>
      </c>
      <c r="Y364" s="226">
        <f t="shared" si="85"/>
        <v>1.0411262498902718</v>
      </c>
      <c r="Z364" s="226">
        <f t="shared" si="85"/>
        <v>1.0153180852060588</v>
      </c>
      <c r="AA364" s="226">
        <f t="shared" si="85"/>
        <v>0.99014967133442755</v>
      </c>
      <c r="AB364" s="226">
        <f t="shared" si="85"/>
        <v>0.96560514968538502</v>
      </c>
      <c r="AC364" s="226">
        <f t="shared" si="85"/>
        <v>0.94166905478274376</v>
      </c>
      <c r="AD364" s="226">
        <f t="shared" ref="AD364:AG366" si="87">AC364*(1+($AH364/$N364)^(1/($AH$6-$N$6))-1)</f>
        <v>0.91832630451934238</v>
      </c>
      <c r="AE364" s="226">
        <f t="shared" si="87"/>
        <v>0.89556219065382636</v>
      </c>
      <c r="AF364" s="226">
        <f t="shared" si="87"/>
        <v>0.87336236954300106</v>
      </c>
      <c r="AG364" s="226">
        <f t="shared" si="87"/>
        <v>0.85171285310391809</v>
      </c>
      <c r="AH364" s="227">
        <v>0.8306</v>
      </c>
      <c r="AI364" s="226">
        <f t="shared" si="86"/>
        <v>0.81001050704564748</v>
      </c>
      <c r="AJ364" s="226">
        <f t="shared" si="86"/>
        <v>0.78993140082391866</v>
      </c>
      <c r="AK364" s="226">
        <f t="shared" si="86"/>
        <v>0.77035002951199238</v>
      </c>
      <c r="AL364" s="226">
        <f t="shared" si="86"/>
        <v>0.75125405490926844</v>
      </c>
      <c r="AM364" s="226">
        <f t="shared" si="86"/>
        <v>0.73263144466308117</v>
      </c>
      <c r="AN364" s="226">
        <f t="shared" si="86"/>
        <v>0.71447046468712683</v>
      </c>
      <c r="AO364" s="226">
        <f t="shared" si="86"/>
        <v>0.69675967176782916</v>
      </c>
      <c r="AP364" s="226">
        <f t="shared" si="86"/>
        <v>0.67948790635398282</v>
      </c>
      <c r="AQ364" s="226">
        <f t="shared" si="86"/>
        <v>0.66264428552513244</v>
      </c>
      <c r="AR364" s="226">
        <f t="shared" si="86"/>
        <v>0.64621819613425635</v>
      </c>
      <c r="AS364" s="226">
        <f t="shared" si="86"/>
        <v>0.63019928812043413</v>
      </c>
      <c r="AT364" s="226">
        <f t="shared" si="86"/>
        <v>0.61457746798728496</v>
      </c>
      <c r="AU364" s="226">
        <f t="shared" si="86"/>
        <v>0.59934289244306627</v>
      </c>
      <c r="AV364" s="226">
        <f t="shared" si="86"/>
        <v>0.58448596219842652</v>
      </c>
      <c r="AW364" s="226">
        <f t="shared" si="86"/>
        <v>0.56999731591790337</v>
      </c>
      <c r="AX364" s="226">
        <f t="shared" ref="AX364:BE366" si="88">AW364*(1+($AH364/$N364)^(1/($AH$6-$N$6))-1)</f>
        <v>0.55586782432135684</v>
      </c>
      <c r="AY364" s="226">
        <f t="shared" si="88"/>
        <v>0.54208858443161945</v>
      </c>
      <c r="AZ364" s="226">
        <f t="shared" si="88"/>
        <v>0.52865091396474029</v>
      </c>
      <c r="BA364" s="226">
        <f t="shared" si="88"/>
        <v>0.51554634585928749</v>
      </c>
      <c r="BB364" s="226">
        <f t="shared" si="88"/>
        <v>0.50276662294126195</v>
      </c>
      <c r="BC364" s="226">
        <f t="shared" si="88"/>
        <v>0.49030369272126106</v>
      </c>
      <c r="BD364" s="226">
        <f t="shared" si="88"/>
        <v>0.47814970232061399</v>
      </c>
      <c r="BE364" s="226">
        <f t="shared" si="88"/>
        <v>0.46629699352329151</v>
      </c>
    </row>
    <row r="365" spans="4:57" s="10" customFormat="1" x14ac:dyDescent="0.35">
      <c r="E365" s="10" t="s">
        <v>681</v>
      </c>
      <c r="F365" s="10" t="s">
        <v>615</v>
      </c>
      <c r="G365" s="43" t="s">
        <v>616</v>
      </c>
      <c r="I365" s="20"/>
      <c r="J365" s="200"/>
      <c r="K365" s="200"/>
      <c r="L365" s="200"/>
      <c r="M365" s="200"/>
      <c r="N365" s="200">
        <v>1.3788</v>
      </c>
      <c r="O365" s="226">
        <f t="shared" ref="O365:AD366" si="89">N365*(1+($AH365/$N365)^(1/($AH$6-$N$6))-1)</f>
        <v>1.3449191712332604</v>
      </c>
      <c r="P365" s="226">
        <f t="shared" si="89"/>
        <v>1.3118708856619961</v>
      </c>
      <c r="Q365" s="226">
        <f t="shared" si="89"/>
        <v>1.2796346854580614</v>
      </c>
      <c r="R365" s="226">
        <f t="shared" si="89"/>
        <v>1.2481906154972366</v>
      </c>
      <c r="S365" s="226">
        <f t="shared" si="89"/>
        <v>1.2175192110064379</v>
      </c>
      <c r="T365" s="226">
        <f t="shared" si="89"/>
        <v>1.1876014855144703</v>
      </c>
      <c r="U365" s="226">
        <f t="shared" si="89"/>
        <v>1.1584189190988616</v>
      </c>
      <c r="V365" s="226">
        <f t="shared" si="89"/>
        <v>1.1299534469215045</v>
      </c>
      <c r="W365" s="226">
        <f t="shared" si="89"/>
        <v>1.1021874480460079</v>
      </c>
      <c r="X365" s="226">
        <f t="shared" si="89"/>
        <v>1.0751037345298369</v>
      </c>
      <c r="Y365" s="226">
        <f t="shared" si="89"/>
        <v>1.0486855407844875</v>
      </c>
      <c r="Z365" s="226">
        <f t="shared" si="89"/>
        <v>1.0229165131971107</v>
      </c>
      <c r="AA365" s="226">
        <f t="shared" si="89"/>
        <v>0.99778070000716179</v>
      </c>
      <c r="AB365" s="226">
        <f t="shared" si="89"/>
        <v>0.97326254143180624</v>
      </c>
      <c r="AC365" s="226">
        <f t="shared" si="89"/>
        <v>0.94934686003397273</v>
      </c>
      <c r="AD365" s="226">
        <f t="shared" si="89"/>
        <v>0.92601885132708783</v>
      </c>
      <c r="AE365" s="226">
        <f t="shared" si="87"/>
        <v>0.90326407461067793</v>
      </c>
      <c r="AF365" s="226">
        <f t="shared" si="87"/>
        <v>0.88106844403116535</v>
      </c>
      <c r="AG365" s="226">
        <f t="shared" si="87"/>
        <v>0.85941821986232458</v>
      </c>
      <c r="AH365" s="227">
        <v>0.83830000000000005</v>
      </c>
      <c r="AI365" s="226">
        <f t="shared" ref="AI365:AX366" si="90">AH365*(1+($AH365/$N365)^(1/($AH$6-$N$6))-1)</f>
        <v>0.81770071166582703</v>
      </c>
      <c r="AJ365" s="226">
        <f t="shared" si="90"/>
        <v>0.79760760331480363</v>
      </c>
      <c r="AK365" s="226">
        <f t="shared" si="90"/>
        <v>0.7780082367417267</v>
      </c>
      <c r="AL365" s="226">
        <f t="shared" si="90"/>
        <v>0.75889047938158782</v>
      </c>
      <c r="AM365" s="226">
        <f t="shared" si="90"/>
        <v>0.74024249679917087</v>
      </c>
      <c r="AN365" s="226">
        <f t="shared" si="90"/>
        <v>0.72205274536320008</v>
      </c>
      <c r="AO365" s="226">
        <f t="shared" si="90"/>
        <v>0.70430996510050436</v>
      </c>
      <c r="AP365" s="226">
        <f t="shared" si="90"/>
        <v>0.68700317272577383</v>
      </c>
      <c r="AQ365" s="226">
        <f t="shared" si="90"/>
        <v>0.67012165484259367</v>
      </c>
      <c r="AR365" s="226">
        <f t="shared" si="90"/>
        <v>0.65365496131154777</v>
      </c>
      <c r="AS365" s="226">
        <f t="shared" si="90"/>
        <v>0.637592898781285</v>
      </c>
      <c r="AT365" s="226">
        <f t="shared" si="90"/>
        <v>0.62192552437854509</v>
      </c>
      <c r="AU365" s="226">
        <f t="shared" si="90"/>
        <v>0.60664313955323745</v>
      </c>
      <c r="AV365" s="226">
        <f t="shared" si="90"/>
        <v>0.59173628407476297</v>
      </c>
      <c r="AW365" s="226">
        <f t="shared" si="90"/>
        <v>0.57719573017586256</v>
      </c>
      <c r="AX365" s="226">
        <f t="shared" si="90"/>
        <v>0.5630124768403667</v>
      </c>
      <c r="AY365" s="226">
        <f t="shared" si="88"/>
        <v>0.54917774423131072</v>
      </c>
      <c r="AZ365" s="226">
        <f t="shared" si="88"/>
        <v>0.53568296825596595</v>
      </c>
      <c r="BA365" s="226">
        <f t="shared" si="88"/>
        <v>0.52251979526442316</v>
      </c>
      <c r="BB365" s="226">
        <f t="shared" si="88"/>
        <v>0.50968007687844563</v>
      </c>
      <c r="BC365" s="226">
        <f t="shared" si="88"/>
        <v>0.49715586494739161</v>
      </c>
      <c r="BD365" s="226">
        <f t="shared" si="88"/>
        <v>0.48493940662808288</v>
      </c>
      <c r="BE365" s="226">
        <f t="shared" si="88"/>
        <v>0.47302313958557463</v>
      </c>
    </row>
    <row r="366" spans="4:57" s="10" customFormat="1" x14ac:dyDescent="0.35">
      <c r="E366" s="10" t="s">
        <v>682</v>
      </c>
      <c r="F366" s="10" t="s">
        <v>615</v>
      </c>
      <c r="G366" s="43" t="s">
        <v>616</v>
      </c>
      <c r="I366" s="20"/>
      <c r="J366" s="200"/>
      <c r="K366" s="200"/>
      <c r="L366" s="200"/>
      <c r="M366" s="200"/>
      <c r="N366" s="200">
        <v>1.3855</v>
      </c>
      <c r="O366" s="226">
        <f t="shared" si="89"/>
        <v>1.351744844173199</v>
      </c>
      <c r="P366" s="226">
        <f t="shared" si="89"/>
        <v>1.3188120705513</v>
      </c>
      <c r="Q366" s="226">
        <f t="shared" si="89"/>
        <v>1.2866816433064605</v>
      </c>
      <c r="R366" s="226">
        <f t="shared" si="89"/>
        <v>1.2553340147468837</v>
      </c>
      <c r="S366" s="226">
        <f t="shared" si="89"/>
        <v>1.224750113424282</v>
      </c>
      <c r="T366" s="226">
        <f t="shared" si="89"/>
        <v>1.1949113325310818</v>
      </c>
      <c r="U366" s="226">
        <f t="shared" si="89"/>
        <v>1.1657995185803081</v>
      </c>
      <c r="V366" s="226">
        <f t="shared" si="89"/>
        <v>1.1373969603612624</v>
      </c>
      <c r="W366" s="226">
        <f t="shared" si="89"/>
        <v>1.1096863781642763</v>
      </c>
      <c r="X366" s="226">
        <f t="shared" si="89"/>
        <v>1.0826509132679836</v>
      </c>
      <c r="Y366" s="226">
        <f t="shared" si="89"/>
        <v>1.0562741176827153</v>
      </c>
      <c r="Z366" s="226">
        <f t="shared" si="89"/>
        <v>1.0305399441437786</v>
      </c>
      <c r="AA366" s="226">
        <f t="shared" si="89"/>
        <v>1.0054327363485307</v>
      </c>
      <c r="AB366" s="226">
        <f t="shared" si="89"/>
        <v>0.9809372194313084</v>
      </c>
      <c r="AC366" s="226">
        <f t="shared" si="89"/>
        <v>0.9570384906704188</v>
      </c>
      <c r="AD366" s="226">
        <f t="shared" si="89"/>
        <v>0.93372201042153657</v>
      </c>
      <c r="AE366" s="226">
        <f t="shared" si="87"/>
        <v>0.9109735932719929</v>
      </c>
      <c r="AF366" s="226">
        <f t="shared" si="87"/>
        <v>0.88877939941057327</v>
      </c>
      <c r="AG366" s="226">
        <f t="shared" si="87"/>
        <v>0.86712592620757478</v>
      </c>
      <c r="AH366" s="227">
        <v>0.84599999999999997</v>
      </c>
      <c r="AI366" s="226">
        <f t="shared" si="90"/>
        <v>0.82538876807688666</v>
      </c>
      <c r="AJ366" s="226">
        <f t="shared" si="90"/>
        <v>0.80527969085990614</v>
      </c>
      <c r="AK366" s="226">
        <f t="shared" si="90"/>
        <v>0.78566053427446103</v>
      </c>
      <c r="AL366" s="226">
        <f t="shared" si="90"/>
        <v>0.76651936230665008</v>
      </c>
      <c r="AM366" s="226">
        <f t="shared" si="90"/>
        <v>0.74784452974156812</v>
      </c>
      <c r="AN366" s="226">
        <f t="shared" si="90"/>
        <v>0.72962467507852424</v>
      </c>
      <c r="AO366" s="226">
        <f t="shared" si="90"/>
        <v>0.71184871361886737</v>
      </c>
      <c r="AP366" s="226">
        <f t="shared" si="90"/>
        <v>0.69450583072221439</v>
      </c>
      <c r="AQ366" s="226">
        <f t="shared" si="90"/>
        <v>0.67758547522697787</v>
      </c>
      <c r="AR366" s="226">
        <f t="shared" si="90"/>
        <v>0.66107735303119042</v>
      </c>
      <c r="AS366" s="226">
        <f t="shared" si="90"/>
        <v>0.64497142082972025</v>
      </c>
      <c r="AT366" s="226">
        <f t="shared" si="90"/>
        <v>0.62925788000406857</v>
      </c>
      <c r="AU366" s="226">
        <f t="shared" si="90"/>
        <v>0.6139271706610302</v>
      </c>
      <c r="AV366" s="226">
        <f t="shared" si="90"/>
        <v>0.59896996581659134</v>
      </c>
      <c r="AW366" s="226">
        <f t="shared" si="90"/>
        <v>0.58437716572152631</v>
      </c>
      <c r="AX366" s="226">
        <f t="shared" si="90"/>
        <v>0.57013989232524021</v>
      </c>
      <c r="AY366" s="226">
        <f t="shared" si="88"/>
        <v>0.55624948387449036</v>
      </c>
      <c r="AZ366" s="226">
        <f t="shared" si="88"/>
        <v>0.54269748964369935</v>
      </c>
      <c r="BA366" s="226">
        <f t="shared" si="88"/>
        <v>0.52947566479365482</v>
      </c>
      <c r="BB366" s="226">
        <f t="shared" si="88"/>
        <v>0.51657596535546724</v>
      </c>
      <c r="BC366" s="226">
        <f t="shared" si="88"/>
        <v>0.50399054333673476</v>
      </c>
      <c r="BD366" s="226">
        <f t="shared" si="88"/>
        <v>0.49171174194693645</v>
      </c>
      <c r="BE366" s="226">
        <f t="shared" si="88"/>
        <v>0.47973209093915115</v>
      </c>
    </row>
    <row r="367" spans="4:57" s="4" customFormat="1" ht="5.25" customHeight="1" x14ac:dyDescent="0.35">
      <c r="E367" s="26"/>
      <c r="G367" s="43"/>
      <c r="I367" s="119"/>
      <c r="J367" s="119"/>
      <c r="K367" s="119"/>
      <c r="L367" s="119"/>
      <c r="M367" s="119"/>
      <c r="N367" s="119"/>
      <c r="O367" s="119"/>
      <c r="P367" s="119"/>
      <c r="Q367" s="119"/>
      <c r="R367" s="119"/>
      <c r="S367" s="119"/>
      <c r="T367" s="119"/>
      <c r="U367" s="119"/>
      <c r="V367" s="119"/>
      <c r="W367" s="119"/>
      <c r="X367" s="119"/>
      <c r="Y367" s="119"/>
      <c r="Z367" s="119"/>
      <c r="AA367" s="119"/>
      <c r="AB367" s="119"/>
      <c r="AC367" s="119"/>
      <c r="AD367" s="119"/>
      <c r="AE367" s="119"/>
      <c r="AF367" s="119"/>
      <c r="AG367" s="119"/>
      <c r="AH367" s="119"/>
      <c r="AI367" s="119"/>
      <c r="AJ367" s="119"/>
      <c r="AK367" s="119"/>
      <c r="AL367" s="119"/>
      <c r="AM367" s="119"/>
      <c r="AN367" s="119"/>
      <c r="AO367" s="21"/>
      <c r="AP367" s="21"/>
      <c r="AQ367" s="21"/>
      <c r="AR367" s="21"/>
      <c r="AS367" s="21"/>
      <c r="AT367" s="21"/>
      <c r="AU367" s="21"/>
      <c r="AV367" s="21"/>
      <c r="AW367" s="21"/>
      <c r="AX367" s="21"/>
      <c r="AY367" s="21"/>
      <c r="AZ367" s="21"/>
      <c r="BA367" s="21"/>
      <c r="BB367" s="21"/>
      <c r="BC367" s="21"/>
      <c r="BD367" s="21"/>
      <c r="BE367" s="21"/>
    </row>
    <row r="368" spans="4:57" s="10" customFormat="1" ht="15" customHeight="1" x14ac:dyDescent="0.35">
      <c r="D368" s="168" t="s">
        <v>683</v>
      </c>
      <c r="E368" s="109"/>
      <c r="G368" s="302"/>
      <c r="I368" s="122"/>
      <c r="J368" s="226"/>
      <c r="K368" s="226"/>
      <c r="L368" s="226"/>
      <c r="M368" s="226"/>
      <c r="N368" s="226"/>
      <c r="O368" s="226"/>
      <c r="P368" s="226"/>
      <c r="Q368" s="226"/>
      <c r="R368" s="226"/>
      <c r="S368" s="226"/>
      <c r="T368" s="226"/>
      <c r="U368" s="226"/>
      <c r="V368" s="226"/>
      <c r="W368" s="226"/>
      <c r="X368" s="226"/>
      <c r="Y368" s="226"/>
      <c r="Z368" s="226"/>
      <c r="AA368" s="226"/>
      <c r="AB368" s="226"/>
      <c r="AC368" s="226"/>
      <c r="AD368" s="226"/>
      <c r="AE368" s="226"/>
      <c r="AF368" s="226"/>
      <c r="AG368" s="226"/>
      <c r="AH368" s="226"/>
      <c r="AI368" s="226"/>
      <c r="AJ368" s="226"/>
      <c r="AK368" s="226"/>
      <c r="AL368" s="226"/>
      <c r="AM368" s="226"/>
      <c r="AN368" s="226"/>
      <c r="AO368" s="226"/>
      <c r="AP368" s="226"/>
      <c r="AQ368" s="226"/>
      <c r="AR368" s="226"/>
      <c r="AS368" s="226"/>
      <c r="AT368" s="170"/>
      <c r="AU368" s="170"/>
      <c r="AV368" s="170"/>
      <c r="AW368" s="170"/>
      <c r="AX368" s="170"/>
      <c r="AY368" s="170"/>
      <c r="AZ368" s="170"/>
      <c r="BA368" s="170"/>
      <c r="BB368" s="170"/>
      <c r="BC368" s="170"/>
      <c r="BD368" s="170"/>
      <c r="BE368" s="170"/>
    </row>
    <row r="369" spans="4:57" s="10" customFormat="1" ht="5.25" customHeight="1" x14ac:dyDescent="0.35">
      <c r="D369" s="169"/>
      <c r="E369" s="109"/>
      <c r="G369" s="302"/>
      <c r="I369" s="122"/>
      <c r="J369" s="226"/>
      <c r="K369" s="226"/>
      <c r="L369" s="226"/>
      <c r="M369" s="226"/>
      <c r="N369" s="226"/>
      <c r="O369" s="226"/>
      <c r="P369" s="226"/>
      <c r="Q369" s="226"/>
      <c r="R369" s="226"/>
      <c r="S369" s="226"/>
      <c r="T369" s="226"/>
      <c r="U369" s="226"/>
      <c r="V369" s="226"/>
      <c r="W369" s="226"/>
      <c r="X369" s="226"/>
      <c r="Y369" s="226"/>
      <c r="Z369" s="226"/>
      <c r="AA369" s="226"/>
      <c r="AB369" s="226"/>
      <c r="AC369" s="226"/>
      <c r="AD369" s="226"/>
      <c r="AE369" s="226"/>
      <c r="AF369" s="226"/>
      <c r="AG369" s="226"/>
      <c r="AH369" s="226"/>
      <c r="AI369" s="226"/>
      <c r="AJ369" s="226"/>
      <c r="AK369" s="226"/>
      <c r="AL369" s="226"/>
      <c r="AM369" s="226"/>
      <c r="AN369" s="226"/>
      <c r="AO369" s="226"/>
      <c r="AP369" s="226"/>
      <c r="AQ369" s="226"/>
      <c r="AR369" s="226"/>
      <c r="AS369" s="226"/>
      <c r="AT369" s="170"/>
      <c r="AU369" s="170"/>
      <c r="AV369" s="170"/>
      <c r="AW369" s="170"/>
      <c r="AX369" s="170"/>
      <c r="AY369" s="170"/>
      <c r="AZ369" s="170"/>
      <c r="BA369" s="170"/>
      <c r="BB369" s="170"/>
      <c r="BC369" s="170"/>
      <c r="BD369" s="170"/>
      <c r="BE369" s="170"/>
    </row>
    <row r="370" spans="4:57" s="10" customFormat="1" x14ac:dyDescent="0.35">
      <c r="E370" s="169" t="s">
        <v>614</v>
      </c>
      <c r="F370" s="10" t="s">
        <v>615</v>
      </c>
      <c r="G370" s="43" t="s">
        <v>616</v>
      </c>
      <c r="I370" s="20"/>
      <c r="J370" s="200"/>
      <c r="K370" s="200"/>
      <c r="L370" s="200"/>
      <c r="M370" s="200"/>
      <c r="N370" s="200">
        <v>1E-4</v>
      </c>
      <c r="O370" s="226">
        <f>N370*(1+($AH370/$N370)^(1/($AH$6-$N$6))-1)</f>
        <v>0</v>
      </c>
      <c r="P370" s="226">
        <f t="shared" ref="P370:AG385" si="91">O370*(1+($AH370/$N370)^(1/($AH$6-$N$6))-1)</f>
        <v>0</v>
      </c>
      <c r="Q370" s="226">
        <f t="shared" si="91"/>
        <v>0</v>
      </c>
      <c r="R370" s="226">
        <f t="shared" si="91"/>
        <v>0</v>
      </c>
      <c r="S370" s="226">
        <f t="shared" si="91"/>
        <v>0</v>
      </c>
      <c r="T370" s="226">
        <f t="shared" si="91"/>
        <v>0</v>
      </c>
      <c r="U370" s="226">
        <f t="shared" si="91"/>
        <v>0</v>
      </c>
      <c r="V370" s="226">
        <f t="shared" si="91"/>
        <v>0</v>
      </c>
      <c r="W370" s="226">
        <f t="shared" si="91"/>
        <v>0</v>
      </c>
      <c r="X370" s="226">
        <f t="shared" si="91"/>
        <v>0</v>
      </c>
      <c r="Y370" s="226">
        <f t="shared" si="91"/>
        <v>0</v>
      </c>
      <c r="Z370" s="226">
        <f t="shared" si="91"/>
        <v>0</v>
      </c>
      <c r="AA370" s="226">
        <f t="shared" si="91"/>
        <v>0</v>
      </c>
      <c r="AB370" s="226">
        <f t="shared" si="91"/>
        <v>0</v>
      </c>
      <c r="AC370" s="226">
        <f t="shared" si="91"/>
        <v>0</v>
      </c>
      <c r="AD370" s="226">
        <f t="shared" si="91"/>
        <v>0</v>
      </c>
      <c r="AE370" s="226">
        <f t="shared" si="91"/>
        <v>0</v>
      </c>
      <c r="AF370" s="226">
        <f t="shared" si="91"/>
        <v>0</v>
      </c>
      <c r="AG370" s="226">
        <f t="shared" si="91"/>
        <v>0</v>
      </c>
      <c r="AH370" s="227">
        <v>0</v>
      </c>
      <c r="AI370" s="226">
        <f>AH370*(1+($AH370/$N370)^(1/($AH$6-$N$6))-1)</f>
        <v>0</v>
      </c>
      <c r="AJ370" s="226">
        <f t="shared" ref="AJ370:BB385" si="92">AI370*(1+($AH370/$N370)^(1/($AH$6-$N$6))-1)</f>
        <v>0</v>
      </c>
      <c r="AK370" s="226">
        <f t="shared" si="92"/>
        <v>0</v>
      </c>
      <c r="AL370" s="226">
        <f t="shared" si="92"/>
        <v>0</v>
      </c>
      <c r="AM370" s="226">
        <f t="shared" si="92"/>
        <v>0</v>
      </c>
      <c r="AN370" s="226">
        <f t="shared" si="92"/>
        <v>0</v>
      </c>
      <c r="AO370" s="226">
        <f t="shared" si="92"/>
        <v>0</v>
      </c>
      <c r="AP370" s="226">
        <f t="shared" si="92"/>
        <v>0</v>
      </c>
      <c r="AQ370" s="226">
        <f t="shared" si="92"/>
        <v>0</v>
      </c>
      <c r="AR370" s="226">
        <f t="shared" si="92"/>
        <v>0</v>
      </c>
      <c r="AS370" s="226">
        <f t="shared" si="92"/>
        <v>0</v>
      </c>
      <c r="AT370" s="226">
        <f t="shared" si="92"/>
        <v>0</v>
      </c>
      <c r="AU370" s="226">
        <f t="shared" si="92"/>
        <v>0</v>
      </c>
      <c r="AV370" s="226">
        <f t="shared" si="92"/>
        <v>0</v>
      </c>
      <c r="AW370" s="226">
        <f t="shared" si="92"/>
        <v>0</v>
      </c>
      <c r="AX370" s="226">
        <f t="shared" si="92"/>
        <v>0</v>
      </c>
      <c r="AY370" s="226">
        <f t="shared" si="92"/>
        <v>0</v>
      </c>
      <c r="AZ370" s="226">
        <f t="shared" si="92"/>
        <v>0</v>
      </c>
      <c r="BA370" s="226">
        <f t="shared" si="92"/>
        <v>0</v>
      </c>
      <c r="BB370" s="226">
        <f t="shared" si="92"/>
        <v>0</v>
      </c>
      <c r="BC370" s="226">
        <f>BB370*(1+($AH370/$N370)^(1/($AH$6-$N$6))-1)</f>
        <v>0</v>
      </c>
      <c r="BD370" s="226">
        <f>BC370*(1+($AH370/$N370)^(1/($AH$6-$N$6))-1)</f>
        <v>0</v>
      </c>
      <c r="BE370" s="226">
        <f>BD370*(1+($AH370/$N370)^(1/($AH$6-$N$6))-1)</f>
        <v>0</v>
      </c>
    </row>
    <row r="371" spans="4:57" s="10" customFormat="1" x14ac:dyDescent="0.35">
      <c r="D371" s="169"/>
      <c r="E371" s="10" t="s">
        <v>617</v>
      </c>
      <c r="F371" s="10" t="s">
        <v>615</v>
      </c>
      <c r="G371" s="43" t="s">
        <v>616</v>
      </c>
      <c r="I371" s="20"/>
      <c r="J371" s="200"/>
      <c r="K371" s="200"/>
      <c r="L371" s="200"/>
      <c r="M371" s="200"/>
      <c r="N371" s="200">
        <v>4.5999999999999999E-2</v>
      </c>
      <c r="O371" s="226">
        <f t="shared" ref="O371:AD386" si="93">N371*(1+($AH371/$N371)^(1/($AH$6-$N$6))-1)</f>
        <v>4.2511469775681592E-2</v>
      </c>
      <c r="P371" s="226">
        <f t="shared" si="93"/>
        <v>3.9287501358449772E-2</v>
      </c>
      <c r="Q371" s="226">
        <f t="shared" si="93"/>
        <v>3.6308031012212763E-2</v>
      </c>
      <c r="R371" s="226">
        <f t="shared" si="93"/>
        <v>3.3554516586743327E-2</v>
      </c>
      <c r="S371" s="226">
        <f t="shared" si="93"/>
        <v>3.1009822124237949E-2</v>
      </c>
      <c r="T371" s="226">
        <f t="shared" si="93"/>
        <v>2.8658111217039216E-2</v>
      </c>
      <c r="U371" s="226">
        <f t="shared" si="93"/>
        <v>2.6484748452854007E-2</v>
      </c>
      <c r="V371" s="226">
        <f t="shared" si="93"/>
        <v>2.4476208334131153E-2</v>
      </c>
      <c r="W371" s="226">
        <f t="shared" si="93"/>
        <v>2.2619991104776142E-2</v>
      </c>
      <c r="X371" s="226">
        <f t="shared" si="93"/>
        <v>2.0904544960366901E-2</v>
      </c>
      <c r="Y371" s="226">
        <f t="shared" si="93"/>
        <v>1.9319194157761184E-2</v>
      </c>
      <c r="Z371" s="226">
        <f t="shared" si="93"/>
        <v>1.7854072576699759E-2</v>
      </c>
      <c r="AA371" s="226">
        <f t="shared" si="93"/>
        <v>1.6500062319939075E-2</v>
      </c>
      <c r="AB371" s="226">
        <f t="shared" si="93"/>
        <v>1.524873696980332E-2</v>
      </c>
      <c r="AC371" s="226">
        <f t="shared" si="93"/>
        <v>1.4092309148024182E-2</v>
      </c>
      <c r="AD371" s="226">
        <f t="shared" si="93"/>
        <v>1.3023582052517201E-2</v>
      </c>
      <c r="AE371" s="226">
        <f t="shared" si="91"/>
        <v>1.2035904669493353E-2</v>
      </c>
      <c r="AF371" s="226">
        <f t="shared" si="91"/>
        <v>1.112313038217721E-2</v>
      </c>
      <c r="AG371" s="226">
        <f t="shared" si="91"/>
        <v>1.0279578718541134E-2</v>
      </c>
      <c r="AH371" s="227">
        <v>9.4999999999999998E-3</v>
      </c>
      <c r="AI371" s="226">
        <f t="shared" ref="AI371:AX386" si="94">AH371*(1+($AH371/$N371)^(1/($AH$6-$N$6))-1)</f>
        <v>8.7795426710646773E-3</v>
      </c>
      <c r="AJ371" s="226">
        <f t="shared" si="94"/>
        <v>8.1137231066363679E-3</v>
      </c>
      <c r="AK371" s="226">
        <f t="shared" si="94"/>
        <v>7.498397709043942E-3</v>
      </c>
      <c r="AL371" s="226">
        <f t="shared" si="94"/>
        <v>6.929737121175253E-3</v>
      </c>
      <c r="AM371" s="226">
        <f t="shared" si="94"/>
        <v>6.4042023952230551E-3</v>
      </c>
      <c r="AN371" s="226">
        <f t="shared" si="94"/>
        <v>5.9185229687363601E-3</v>
      </c>
      <c r="AO371" s="226">
        <f t="shared" si="94"/>
        <v>5.4696763109155014E-3</v>
      </c>
      <c r="AP371" s="226">
        <f t="shared" si="94"/>
        <v>5.0548691124836075E-3</v>
      </c>
      <c r="AQ371" s="226">
        <f t="shared" si="94"/>
        <v>4.6715199020733334E-3</v>
      </c>
      <c r="AR371" s="226">
        <f t="shared" si="94"/>
        <v>4.3172429809453378E-3</v>
      </c>
      <c r="AS371" s="226">
        <f t="shared" si="94"/>
        <v>3.9898335760593746E-3</v>
      </c>
      <c r="AT371" s="226">
        <f t="shared" si="94"/>
        <v>3.6872541191010372E-3</v>
      </c>
      <c r="AU371" s="226">
        <f t="shared" si="94"/>
        <v>3.407621566074374E-3</v>
      </c>
      <c r="AV371" s="226">
        <f t="shared" si="94"/>
        <v>3.1491956785463376E-3</v>
      </c>
      <c r="AW371" s="226">
        <f t="shared" si="94"/>
        <v>2.9103681936136897E-3</v>
      </c>
      <c r="AX371" s="226">
        <f t="shared" si="94"/>
        <v>2.68965281519377E-3</v>
      </c>
      <c r="AY371" s="226">
        <f t="shared" si="92"/>
        <v>2.4856759643518884E-3</v>
      </c>
      <c r="AZ371" s="226">
        <f t="shared" si="92"/>
        <v>2.2971682311018152E-3</v>
      </c>
      <c r="BA371" s="226">
        <f t="shared" si="92"/>
        <v>2.122956474481321E-3</v>
      </c>
      <c r="BB371" s="226">
        <f t="shared" si="92"/>
        <v>1.9619565217391353E-3</v>
      </c>
      <c r="BC371" s="226">
        <f t="shared" ref="BB371:BE386" si="95">BB371*(1+($AH371/$N371)^(1/($AH$6-$N$6))-1)</f>
        <v>1.8131664211981445E-3</v>
      </c>
      <c r="BD371" s="226">
        <f t="shared" si="95"/>
        <v>1.6756602068053409E-3</v>
      </c>
      <c r="BE371" s="226">
        <f t="shared" si="95"/>
        <v>1.5485821355634265E-3</v>
      </c>
    </row>
    <row r="372" spans="4:57" s="10" customFormat="1" x14ac:dyDescent="0.35">
      <c r="D372" s="169"/>
      <c r="E372" s="10" t="s">
        <v>618</v>
      </c>
      <c r="F372" s="10" t="s">
        <v>615</v>
      </c>
      <c r="G372" s="43" t="s">
        <v>616</v>
      </c>
      <c r="I372" s="20"/>
      <c r="J372" s="200"/>
      <c r="K372" s="200"/>
      <c r="L372" s="200"/>
      <c r="M372" s="200"/>
      <c r="N372" s="200">
        <v>4.4299999999999999E-2</v>
      </c>
      <c r="O372" s="226">
        <f t="shared" si="93"/>
        <v>4.0951793940128732E-2</v>
      </c>
      <c r="P372" s="226">
        <f t="shared" si="93"/>
        <v>3.7856646205750889E-2</v>
      </c>
      <c r="Q372" s="226">
        <f t="shared" si="93"/>
        <v>3.4995430579735136E-2</v>
      </c>
      <c r="R372" s="226">
        <f t="shared" si="93"/>
        <v>3.2350466409647699E-2</v>
      </c>
      <c r="S372" s="226">
        <f t="shared" si="93"/>
        <v>2.9905409351578979E-2</v>
      </c>
      <c r="T372" s="226">
        <f t="shared" si="93"/>
        <v>2.7645150371581516E-2</v>
      </c>
      <c r="U372" s="226">
        <f t="shared" si="93"/>
        <v>2.5555722380606761E-2</v>
      </c>
      <c r="V372" s="226">
        <f t="shared" si="93"/>
        <v>2.3624213925998741E-2</v>
      </c>
      <c r="W372" s="226">
        <f t="shared" si="93"/>
        <v>2.1838689406208128E-2</v>
      </c>
      <c r="X372" s="226">
        <f t="shared" si="93"/>
        <v>2.0188115315699945E-2</v>
      </c>
      <c r="Y372" s="226">
        <f t="shared" si="93"/>
        <v>1.8662292064291222E-2</v>
      </c>
      <c r="Z372" s="226">
        <f t="shared" si="93"/>
        <v>1.7251790949601668E-2</v>
      </c>
      <c r="AA372" s="226">
        <f t="shared" si="93"/>
        <v>1.5947895893143688E-2</v>
      </c>
      <c r="AB372" s="226">
        <f t="shared" si="93"/>
        <v>1.4742549580014573E-2</v>
      </c>
      <c r="AC372" s="226">
        <f t="shared" si="93"/>
        <v>1.3628303669365422E-2</v>
      </c>
      <c r="AD372" s="226">
        <f t="shared" si="93"/>
        <v>1.2598272767976367E-2</v>
      </c>
      <c r="AE372" s="226">
        <f t="shared" si="91"/>
        <v>1.1646091882521522E-2</v>
      </c>
      <c r="AF372" s="226">
        <f t="shared" si="91"/>
        <v>1.0765877087603326E-2</v>
      </c>
      <c r="AG372" s="226">
        <f t="shared" si="91"/>
        <v>9.9521891665075544E-3</v>
      </c>
      <c r="AH372" s="227">
        <v>9.1999999999999998E-3</v>
      </c>
      <c r="AI372" s="226">
        <f t="shared" si="94"/>
        <v>8.5046614954669159E-3</v>
      </c>
      <c r="AJ372" s="226">
        <f t="shared" si="94"/>
        <v>7.8618768643997344E-3</v>
      </c>
      <c r="AK372" s="226">
        <f t="shared" si="94"/>
        <v>7.2676740707350636E-3</v>
      </c>
      <c r="AL372" s="226">
        <f t="shared" si="94"/>
        <v>6.7183812859764993E-3</v>
      </c>
      <c r="AM372" s="226">
        <f t="shared" si="94"/>
        <v>6.2106041994249815E-3</v>
      </c>
      <c r="AN372" s="226">
        <f t="shared" si="94"/>
        <v>5.7412050433081271E-3</v>
      </c>
      <c r="AO372" s="226">
        <f t="shared" si="94"/>
        <v>5.3072832031959881E-3</v>
      </c>
      <c r="AP372" s="226">
        <f t="shared" si="94"/>
        <v>4.9061572938868727E-3</v>
      </c>
      <c r="AQ372" s="226">
        <f t="shared" si="94"/>
        <v>4.5353485900025917E-3</v>
      </c>
      <c r="AR372" s="226">
        <f t="shared" si="94"/>
        <v>4.1925657089038268E-3</v>
      </c>
      <c r="AS372" s="226">
        <f t="shared" si="94"/>
        <v>3.8756904512749269E-3</v>
      </c>
      <c r="AT372" s="226">
        <f t="shared" si="94"/>
        <v>3.5827647118811591E-3</v>
      </c>
      <c r="AU372" s="226">
        <f t="shared" si="94"/>
        <v>3.3119783796144902E-3</v>
      </c>
      <c r="AV372" s="226">
        <f t="shared" si="94"/>
        <v>3.0616581520572024E-3</v>
      </c>
      <c r="AW372" s="226">
        <f t="shared" si="94"/>
        <v>2.8302571954438348E-3</v>
      </c>
      <c r="AX372" s="226">
        <f t="shared" si="94"/>
        <v>2.6163455861260175E-3</v>
      </c>
      <c r="AY372" s="226">
        <f t="shared" si="92"/>
        <v>2.4186014744739955E-3</v>
      </c>
      <c r="AZ372" s="226">
        <f t="shared" si="92"/>
        <v>2.2358029166128801E-3</v>
      </c>
      <c r="BA372" s="226">
        <f t="shared" si="92"/>
        <v>2.0668203235184985E-3</v>
      </c>
      <c r="BB372" s="226">
        <f t="shared" si="95"/>
        <v>1.9106094808126355E-3</v>
      </c>
      <c r="BC372" s="226">
        <f t="shared" si="95"/>
        <v>1.7662050961240496E-3</v>
      </c>
      <c r="BD372" s="226">
        <f t="shared" si="95"/>
        <v>1.6327148341417008E-3</v>
      </c>
      <c r="BE372" s="226">
        <f t="shared" si="95"/>
        <v>1.5093138025002797E-3</v>
      </c>
    </row>
    <row r="373" spans="4:57" s="10" customFormat="1" x14ac:dyDescent="0.35">
      <c r="D373" s="169"/>
      <c r="E373" s="10" t="s">
        <v>619</v>
      </c>
      <c r="F373" s="10" t="s">
        <v>615</v>
      </c>
      <c r="G373" s="43" t="s">
        <v>616</v>
      </c>
      <c r="I373" s="20"/>
      <c r="J373" s="200"/>
      <c r="K373" s="200"/>
      <c r="L373" s="200"/>
      <c r="M373" s="200"/>
      <c r="N373" s="200">
        <v>4.2599999999999999E-2</v>
      </c>
      <c r="O373" s="226">
        <f t="shared" si="93"/>
        <v>3.941406646545996E-2</v>
      </c>
      <c r="P373" s="226">
        <f t="shared" si="93"/>
        <v>3.6466399890697075E-2</v>
      </c>
      <c r="Q373" s="226">
        <f t="shared" si="93"/>
        <v>3.3739180963567518E-2</v>
      </c>
      <c r="R373" s="226">
        <f t="shared" si="93"/>
        <v>3.1215923027892757E-2</v>
      </c>
      <c r="S373" s="226">
        <f t="shared" si="93"/>
        <v>2.8881372417888431E-2</v>
      </c>
      <c r="T373" s="226">
        <f t="shared" si="93"/>
        <v>2.6721416246299451E-2</v>
      </c>
      <c r="U373" s="226">
        <f t="shared" si="93"/>
        <v>2.4722997088799721E-2</v>
      </c>
      <c r="V373" s="226">
        <f t="shared" si="93"/>
        <v>2.2874034048904347E-2</v>
      </c>
      <c r="W373" s="226">
        <f t="shared" si="93"/>
        <v>2.1163349726213851E-2</v>
      </c>
      <c r="X373" s="226">
        <f t="shared" si="93"/>
        <v>1.9580602646496865E-2</v>
      </c>
      <c r="Y373" s="226">
        <f t="shared" si="93"/>
        <v>1.8116224745135884E-2</v>
      </c>
      <c r="Z373" s="226">
        <f t="shared" si="93"/>
        <v>1.6761363526009296E-2</v>
      </c>
      <c r="AA373" s="226">
        <f t="shared" si="93"/>
        <v>1.5507828546147105E-2</v>
      </c>
      <c r="AB373" s="226">
        <f t="shared" si="93"/>
        <v>1.434804190264787E-2</v>
      </c>
      <c r="AC373" s="226">
        <f t="shared" si="93"/>
        <v>1.3274992422539149E-2</v>
      </c>
      <c r="AD373" s="226">
        <f t="shared" si="93"/>
        <v>1.2282193278648715E-2</v>
      </c>
      <c r="AE373" s="226">
        <f t="shared" si="91"/>
        <v>1.1363642775264931E-2</v>
      </c>
      <c r="AF373" s="226">
        <f t="shared" si="91"/>
        <v>1.0513788066526662E-2</v>
      </c>
      <c r="AG373" s="226">
        <f t="shared" si="91"/>
        <v>9.7274915882122441E-3</v>
      </c>
      <c r="AH373" s="227">
        <v>8.9999999999999993E-3</v>
      </c>
      <c r="AI373" s="226">
        <f t="shared" si="94"/>
        <v>8.3269154504492862E-3</v>
      </c>
      <c r="AJ373" s="226">
        <f t="shared" si="94"/>
        <v>7.7041689909923385E-3</v>
      </c>
      <c r="AK373" s="226">
        <f t="shared" si="94"/>
        <v>7.1279959782184887E-3</v>
      </c>
      <c r="AL373" s="226">
        <f t="shared" si="94"/>
        <v>6.5949133157519905E-3</v>
      </c>
      <c r="AM373" s="226">
        <f t="shared" si="94"/>
        <v>6.1016983981454428E-3</v>
      </c>
      <c r="AN373" s="226">
        <f t="shared" si="94"/>
        <v>5.6453696294998836E-3</v>
      </c>
      <c r="AO373" s="226">
        <f t="shared" si="94"/>
        <v>5.2231683990421936E-3</v>
      </c>
      <c r="AP373" s="226">
        <f t="shared" si="94"/>
        <v>4.832542404698101E-3</v>
      </c>
      <c r="AQ373" s="226">
        <f t="shared" si="94"/>
        <v>4.4711302238479959E-3</v>
      </c>
      <c r="AR373" s="226">
        <f t="shared" si="94"/>
        <v>4.1367470379922947E-3</v>
      </c>
      <c r="AS373" s="226">
        <f t="shared" si="94"/>
        <v>3.8273714250287067E-3</v>
      </c>
      <c r="AT373" s="226">
        <f t="shared" si="94"/>
        <v>3.541133139297738E-3</v>
      </c>
      <c r="AU373" s="226">
        <f t="shared" si="94"/>
        <v>3.2763018055240356E-3</v>
      </c>
      <c r="AV373" s="226">
        <f t="shared" si="94"/>
        <v>3.0312764583058874E-3</v>
      </c>
      <c r="AW373" s="226">
        <f t="shared" si="94"/>
        <v>2.8045758639167208E-3</v>
      </c>
      <c r="AX373" s="226">
        <f t="shared" si="94"/>
        <v>2.5948295659116998E-3</v>
      </c>
      <c r="AY373" s="226">
        <f t="shared" si="92"/>
        <v>2.4007696004080831E-3</v>
      </c>
      <c r="AZ373" s="226">
        <f t="shared" si="92"/>
        <v>2.2212228309563364E-3</v>
      </c>
      <c r="BA373" s="226">
        <f t="shared" si="92"/>
        <v>2.0551038566645578E-3</v>
      </c>
      <c r="BB373" s="226">
        <f t="shared" si="95"/>
        <v>1.9014084507042249E-3</v>
      </c>
      <c r="BC373" s="226">
        <f t="shared" si="95"/>
        <v>1.759207489531539E-3</v>
      </c>
      <c r="BD373" s="226">
        <f t="shared" si="95"/>
        <v>1.6276413361251416E-3</v>
      </c>
      <c r="BE373" s="226">
        <f t="shared" si="95"/>
        <v>1.5059146432855959E-3</v>
      </c>
    </row>
    <row r="374" spans="4:57" s="10" customFormat="1" x14ac:dyDescent="0.35">
      <c r="D374" s="169"/>
      <c r="E374" s="10" t="s">
        <v>620</v>
      </c>
      <c r="F374" s="10" t="s">
        <v>615</v>
      </c>
      <c r="G374" s="43" t="s">
        <v>616</v>
      </c>
      <c r="I374" s="20"/>
      <c r="J374" s="200"/>
      <c r="K374" s="200"/>
      <c r="L374" s="200"/>
      <c r="M374" s="200"/>
      <c r="N374" s="200">
        <v>4.1000000000000002E-2</v>
      </c>
      <c r="O374" s="226">
        <f t="shared" si="93"/>
        <v>3.7942035541113882E-2</v>
      </c>
      <c r="P374" s="226">
        <f t="shared" si="93"/>
        <v>3.5112147829345096E-2</v>
      </c>
      <c r="Q374" s="226">
        <f t="shared" si="93"/>
        <v>3.2493325874776983E-2</v>
      </c>
      <c r="R374" s="226">
        <f t="shared" si="93"/>
        <v>3.0069827443653257E-2</v>
      </c>
      <c r="S374" s="226">
        <f t="shared" si="93"/>
        <v>2.7827084428835448E-2</v>
      </c>
      <c r="T374" s="226">
        <f t="shared" si="93"/>
        <v>2.5751615278157346E-2</v>
      </c>
      <c r="U374" s="226">
        <f t="shared" si="93"/>
        <v>2.3830943954266763E-2</v>
      </c>
      <c r="V374" s="226">
        <f t="shared" si="93"/>
        <v>2.2053524938806891E-2</v>
      </c>
      <c r="W374" s="226">
        <f t="shared" si="93"/>
        <v>2.0408673830123229E-2</v>
      </c>
      <c r="X374" s="226">
        <f t="shared" si="93"/>
        <v>1.8886503117305765E-2</v>
      </c>
      <c r="Y374" s="226">
        <f t="shared" si="93"/>
        <v>1.7477862744492034E-2</v>
      </c>
      <c r="Z374" s="226">
        <f t="shared" si="93"/>
        <v>1.6174285108151876E-2</v>
      </c>
      <c r="AA374" s="226">
        <f t="shared" si="93"/>
        <v>1.4967934156722134E-2</v>
      </c>
      <c r="AB374" s="226">
        <f t="shared" si="93"/>
        <v>1.3851558286619601E-2</v>
      </c>
      <c r="AC374" s="226">
        <f t="shared" si="93"/>
        <v>1.2818446751481253E-2</v>
      </c>
      <c r="AD374" s="226">
        <f t="shared" si="93"/>
        <v>1.186238932259945E-2</v>
      </c>
      <c r="AE374" s="226">
        <f t="shared" si="91"/>
        <v>1.097763895806337E-2</v>
      </c>
      <c r="AF374" s="226">
        <f t="shared" si="91"/>
        <v>1.0158877256203822E-2</v>
      </c>
      <c r="AG374" s="226">
        <f t="shared" si="91"/>
        <v>9.4011824856755823E-3</v>
      </c>
      <c r="AH374" s="227">
        <v>8.6999999999999994E-3</v>
      </c>
      <c r="AI374" s="226">
        <f t="shared" si="94"/>
        <v>8.0511148587241645E-3</v>
      </c>
      <c r="AJ374" s="226">
        <f t="shared" si="94"/>
        <v>7.4506264906171295E-3</v>
      </c>
      <c r="AK374" s="226">
        <f t="shared" si="94"/>
        <v>6.8949252465990178E-3</v>
      </c>
      <c r="AL374" s="226">
        <f t="shared" si="94"/>
        <v>6.38067070145813E-3</v>
      </c>
      <c r="AM374" s="226">
        <f t="shared" si="94"/>
        <v>5.9047715739236201E-3</v>
      </c>
      <c r="AN374" s="226">
        <f t="shared" si="94"/>
        <v>5.4643671443894868E-3</v>
      </c>
      <c r="AO374" s="226">
        <f t="shared" si="94"/>
        <v>5.056810058588314E-3</v>
      </c>
      <c r="AP374" s="226">
        <f t="shared" si="94"/>
        <v>4.6796504138443898E-3</v>
      </c>
      <c r="AQ374" s="226">
        <f t="shared" si="94"/>
        <v>4.3306210322456616E-3</v>
      </c>
      <c r="AR374" s="226">
        <f t="shared" si="94"/>
        <v>4.0076238322087846E-3</v>
      </c>
      <c r="AS374" s="226">
        <f t="shared" si="94"/>
        <v>3.7087172165141641E-3</v>
      </c>
      <c r="AT374" s="226">
        <f t="shared" si="94"/>
        <v>3.432104400998082E-3</v>
      </c>
      <c r="AU374" s="226">
        <f t="shared" si="94"/>
        <v>3.1761226137434779E-3</v>
      </c>
      <c r="AV374" s="226">
        <f t="shared" si="94"/>
        <v>2.9392330998436718E-3</v>
      </c>
      <c r="AW374" s="226">
        <f t="shared" si="94"/>
        <v>2.7200118716557784E-3</v>
      </c>
      <c r="AX374" s="226">
        <f t="shared" si="94"/>
        <v>2.5171411489418351E-3</v>
      </c>
      <c r="AY374" s="226">
        <f t="shared" si="92"/>
        <v>2.3294014374427153E-3</v>
      </c>
      <c r="AZ374" s="226">
        <f t="shared" si="92"/>
        <v>2.1556641982676409E-3</v>
      </c>
      <c r="BA374" s="226">
        <f t="shared" si="92"/>
        <v>1.9948850640335997E-3</v>
      </c>
      <c r="BB374" s="226">
        <f t="shared" si="95"/>
        <v>1.8460975609756118E-3</v>
      </c>
      <c r="BC374" s="226">
        <f t="shared" si="95"/>
        <v>1.7084072992902515E-3</v>
      </c>
      <c r="BD374" s="226">
        <f t="shared" si="95"/>
        <v>1.5809865967894904E-3</v>
      </c>
      <c r="BE374" s="226">
        <f t="shared" si="95"/>
        <v>1.4630695035466226E-3</v>
      </c>
    </row>
    <row r="375" spans="4:57" s="10" customFormat="1" x14ac:dyDescent="0.35">
      <c r="D375" s="169"/>
      <c r="E375" s="10" t="s">
        <v>621</v>
      </c>
      <c r="F375" s="10" t="s">
        <v>615</v>
      </c>
      <c r="G375" s="43" t="s">
        <v>616</v>
      </c>
      <c r="I375" s="20"/>
      <c r="J375" s="200"/>
      <c r="K375" s="200"/>
      <c r="L375" s="200"/>
      <c r="M375" s="200"/>
      <c r="N375" s="200">
        <v>3.95E-2</v>
      </c>
      <c r="O375" s="226">
        <f t="shared" si="93"/>
        <v>3.6557897020272137E-2</v>
      </c>
      <c r="P375" s="226">
        <f t="shared" si="93"/>
        <v>3.3834932520122089E-2</v>
      </c>
      <c r="Q375" s="226">
        <f t="shared" si="93"/>
        <v>3.1314784272366586E-2</v>
      </c>
      <c r="R375" s="226">
        <f t="shared" si="93"/>
        <v>2.8982345788385194E-2</v>
      </c>
      <c r="S375" s="226">
        <f t="shared" si="93"/>
        <v>2.6823635765511489E-2</v>
      </c>
      <c r="T375" s="226">
        <f t="shared" si="93"/>
        <v>2.482571427911032E-2</v>
      </c>
      <c r="U375" s="226">
        <f t="shared" si="93"/>
        <v>2.2976605216972524E-2</v>
      </c>
      <c r="V375" s="226">
        <f t="shared" si="93"/>
        <v>2.1265224491076685E-2</v>
      </c>
      <c r="W375" s="226">
        <f t="shared" si="93"/>
        <v>1.9681313596398745E-2</v>
      </c>
      <c r="X375" s="226">
        <f t="shared" si="93"/>
        <v>1.8215378118501956E-2</v>
      </c>
      <c r="Y375" s="226">
        <f t="shared" si="93"/>
        <v>1.6858630821304125E-2</v>
      </c>
      <c r="Z375" s="226">
        <f t="shared" si="93"/>
        <v>1.5602938973873976E-2</v>
      </c>
      <c r="AA375" s="226">
        <f t="shared" si="93"/>
        <v>1.4440775600518365E-2</v>
      </c>
      <c r="AB375" s="226">
        <f t="shared" si="93"/>
        <v>1.3365174361939467E-2</v>
      </c>
      <c r="AC375" s="226">
        <f t="shared" si="93"/>
        <v>1.2369687797006694E-2</v>
      </c>
      <c r="AD375" s="226">
        <f t="shared" si="93"/>
        <v>1.1448348674832598E-2</v>
      </c>
      <c r="AE375" s="226">
        <f t="shared" si="91"/>
        <v>1.0595634225486053E-2</v>
      </c>
      <c r="AF375" s="226">
        <f t="shared" si="91"/>
        <v>9.8064330349313944E-3</v>
      </c>
      <c r="AG375" s="226">
        <f t="shared" si="91"/>
        <v>9.0760144057523209E-3</v>
      </c>
      <c r="AH375" s="227">
        <v>8.3999999999999995E-3</v>
      </c>
      <c r="AI375" s="226">
        <f t="shared" si="94"/>
        <v>7.7743375941844543E-3</v>
      </c>
      <c r="AJ375" s="226">
        <f t="shared" si="94"/>
        <v>7.1952767890892536E-3</v>
      </c>
      <c r="AK375" s="226">
        <f t="shared" si="94"/>
        <v>6.6593465288070711E-3</v>
      </c>
      <c r="AL375" s="226">
        <f t="shared" si="94"/>
        <v>6.1633342942388767E-3</v>
      </c>
      <c r="AM375" s="226">
        <f t="shared" si="94"/>
        <v>5.7042668463366201E-3</v>
      </c>
      <c r="AN375" s="226">
        <f t="shared" si="94"/>
        <v>5.2793924036589031E-3</v>
      </c>
      <c r="AO375" s="226">
        <f t="shared" si="94"/>
        <v>4.8861641474068143E-3</v>
      </c>
      <c r="AP375" s="226">
        <f t="shared" si="94"/>
        <v>4.5222249550644087E-3</v>
      </c>
      <c r="AQ375" s="226">
        <f t="shared" si="94"/>
        <v>4.1853932711328973E-3</v>
      </c>
      <c r="AR375" s="226">
        <f t="shared" si="94"/>
        <v>3.8736500302637062E-3</v>
      </c>
      <c r="AS375" s="226">
        <f t="shared" si="94"/>
        <v>3.5851265544039144E-3</v>
      </c>
      <c r="AT375" s="226">
        <f t="shared" si="94"/>
        <v>3.3180933514061106E-3</v>
      </c>
      <c r="AU375" s="226">
        <f t="shared" si="94"/>
        <v>3.0709497479583354E-3</v>
      </c>
      <c r="AV375" s="226">
        <f t="shared" si="94"/>
        <v>2.842214294690924E-3</v>
      </c>
      <c r="AW375" s="226">
        <f t="shared" si="94"/>
        <v>2.6305158859457269E-3</v>
      </c>
      <c r="AX375" s="226">
        <f t="shared" si="94"/>
        <v>2.4345855409770587E-3</v>
      </c>
      <c r="AY375" s="226">
        <f t="shared" si="92"/>
        <v>2.253248797318553E-3</v>
      </c>
      <c r="AZ375" s="226">
        <f t="shared" si="92"/>
        <v>2.0854186707195874E-3</v>
      </c>
      <c r="BA375" s="226">
        <f t="shared" si="92"/>
        <v>1.9300891394511263E-3</v>
      </c>
      <c r="BB375" s="226">
        <f t="shared" si="95"/>
        <v>1.7863291139240491E-3</v>
      </c>
      <c r="BC375" s="226">
        <f t="shared" si="95"/>
        <v>1.6532768554721358E-3</v>
      </c>
      <c r="BD375" s="226">
        <f t="shared" si="95"/>
        <v>1.5301348108442958E-3</v>
      </c>
      <c r="BE375" s="226">
        <f t="shared" si="95"/>
        <v>1.4161648314425152E-3</v>
      </c>
    </row>
    <row r="376" spans="4:57" s="10" customFormat="1" x14ac:dyDescent="0.35">
      <c r="D376" s="169"/>
      <c r="E376" s="10" t="s">
        <v>622</v>
      </c>
      <c r="F376" s="10" t="s">
        <v>615</v>
      </c>
      <c r="G376" s="43" t="s">
        <v>616</v>
      </c>
      <c r="I376" s="20"/>
      <c r="J376" s="200"/>
      <c r="K376" s="200"/>
      <c r="L376" s="200"/>
      <c r="M376" s="200"/>
      <c r="N376" s="200">
        <v>3.7999999999999999E-2</v>
      </c>
      <c r="O376" s="226">
        <f t="shared" si="93"/>
        <v>3.5195335494187623E-2</v>
      </c>
      <c r="P376" s="226">
        <f t="shared" si="93"/>
        <v>3.2597674751274293E-2</v>
      </c>
      <c r="Q376" s="226">
        <f t="shared" si="93"/>
        <v>3.019173945267126E-2</v>
      </c>
      <c r="R376" s="226">
        <f t="shared" si="93"/>
        <v>2.7963378926049096E-2</v>
      </c>
      <c r="S376" s="226">
        <f t="shared" si="93"/>
        <v>2.5899486917194577E-2</v>
      </c>
      <c r="T376" s="226">
        <f t="shared" si="93"/>
        <v>2.3987924504683851E-2</v>
      </c>
      <c r="U376" s="226">
        <f t="shared" si="93"/>
        <v>2.2217448703989281E-2</v>
      </c>
      <c r="V376" s="226">
        <f t="shared" si="93"/>
        <v>2.0577646341100177E-2</v>
      </c>
      <c r="W376" s="226">
        <f t="shared" si="93"/>
        <v>1.905887280673061E-2</v>
      </c>
      <c r="X376" s="226">
        <f t="shared" si="93"/>
        <v>1.7652195330892979E-2</v>
      </c>
      <c r="Y376" s="226">
        <f t="shared" si="93"/>
        <v>1.6349340444202914E-2</v>
      </c>
      <c r="Z376" s="226">
        <f t="shared" si="93"/>
        <v>1.5142645316905581E-2</v>
      </c>
      <c r="AA376" s="226">
        <f t="shared" si="93"/>
        <v>1.4025012689420554E-2</v>
      </c>
      <c r="AB376" s="226">
        <f t="shared" si="93"/>
        <v>1.2989869129326185E-2</v>
      </c>
      <c r="AC376" s="226">
        <f t="shared" si="93"/>
        <v>1.2031126369269105E-2</v>
      </c>
      <c r="AD376" s="226">
        <f t="shared" si="93"/>
        <v>1.1143145498405095E-2</v>
      </c>
      <c r="AE376" s="226">
        <f t="shared" si="91"/>
        <v>1.0320703796760892E-2</v>
      </c>
      <c r="AF376" s="226">
        <f t="shared" si="91"/>
        <v>9.5589640174509362E-3</v>
      </c>
      <c r="AG376" s="226">
        <f t="shared" si="91"/>
        <v>8.8534459360803484E-3</v>
      </c>
      <c r="AH376" s="227">
        <v>8.2000000000000007E-3</v>
      </c>
      <c r="AI376" s="226">
        <f t="shared" si="94"/>
        <v>7.5947829224299618E-3</v>
      </c>
      <c r="AJ376" s="226">
        <f t="shared" si="94"/>
        <v>7.0342350779065595E-3</v>
      </c>
      <c r="AK376" s="226">
        <f t="shared" si="94"/>
        <v>6.5150595661027464E-3</v>
      </c>
      <c r="AL376" s="226">
        <f t="shared" si="94"/>
        <v>6.0342028208842796E-3</v>
      </c>
      <c r="AM376" s="226">
        <f t="shared" si="94"/>
        <v>5.5888366505525153E-3</v>
      </c>
      <c r="AN376" s="226">
        <f t="shared" si="94"/>
        <v>5.1763416036423055E-3</v>
      </c>
      <c r="AO376" s="226">
        <f t="shared" si="94"/>
        <v>4.7942915624397927E-3</v>
      </c>
      <c r="AP376" s="226">
        <f t="shared" si="94"/>
        <v>4.4404394736058282E-3</v>
      </c>
      <c r="AQ376" s="226">
        <f t="shared" si="94"/>
        <v>4.112704131978711E-3</v>
      </c>
      <c r="AR376" s="226">
        <f t="shared" si="94"/>
        <v>3.8091579398242745E-3</v>
      </c>
      <c r="AS376" s="226">
        <f t="shared" si="94"/>
        <v>3.5280155695385233E-3</v>
      </c>
      <c r="AT376" s="226">
        <f t="shared" si="94"/>
        <v>3.2676234631217305E-3</v>
      </c>
      <c r="AU376" s="226">
        <f t="shared" si="94"/>
        <v>3.0264501066644351E-3</v>
      </c>
      <c r="AV376" s="226">
        <f t="shared" si="94"/>
        <v>2.8030770226440713E-3</v>
      </c>
      <c r="AW376" s="226">
        <f t="shared" si="94"/>
        <v>2.5961904270528067E-3</v>
      </c>
      <c r="AX376" s="226">
        <f t="shared" si="94"/>
        <v>2.4045735022874149E-3</v>
      </c>
      <c r="AY376" s="226">
        <f t="shared" si="92"/>
        <v>2.227099240353666E-3</v>
      </c>
      <c r="AZ376" s="226">
        <f t="shared" si="92"/>
        <v>2.0627238142920442E-3</v>
      </c>
      <c r="BA376" s="226">
        <f t="shared" si="92"/>
        <v>1.9104804388383912E-3</v>
      </c>
      <c r="BB376" s="226">
        <f t="shared" si="95"/>
        <v>1.7694736842105256E-3</v>
      </c>
      <c r="BC376" s="226">
        <f t="shared" si="95"/>
        <v>1.638874209576991E-3</v>
      </c>
      <c r="BD376" s="226">
        <f t="shared" si="95"/>
        <v>1.5179138852324673E-3</v>
      </c>
      <c r="BE376" s="226">
        <f t="shared" si="95"/>
        <v>1.4058812747905919E-3</v>
      </c>
    </row>
    <row r="377" spans="4:57" s="10" customFormat="1" x14ac:dyDescent="0.35">
      <c r="D377" s="169"/>
      <c r="E377" s="109" t="s">
        <v>623</v>
      </c>
      <c r="F377" s="10" t="s">
        <v>615</v>
      </c>
      <c r="G377" s="43" t="s">
        <v>616</v>
      </c>
      <c r="I377" s="20"/>
      <c r="J377" s="200"/>
      <c r="K377" s="200"/>
      <c r="L377" s="200"/>
      <c r="M377" s="200"/>
      <c r="N377" s="200">
        <v>3.5999999999999997E-2</v>
      </c>
      <c r="O377" s="226">
        <f t="shared" si="93"/>
        <v>3.3370962296010956E-2</v>
      </c>
      <c r="P377" s="226">
        <f t="shared" si="93"/>
        <v>3.0933920126716249E-2</v>
      </c>
      <c r="Q377" s="226">
        <f t="shared" si="93"/>
        <v>2.8674852283790627E-2</v>
      </c>
      <c r="R377" s="226">
        <f t="shared" si="93"/>
        <v>2.6580761511279468E-2</v>
      </c>
      <c r="S377" s="226">
        <f t="shared" si="93"/>
        <v>2.463959972756018E-2</v>
      </c>
      <c r="T377" s="226">
        <f t="shared" si="93"/>
        <v>2.2840198708255908E-2</v>
      </c>
      <c r="U377" s="226">
        <f t="shared" si="93"/>
        <v>2.1172205831294616E-2</v>
      </c>
      <c r="V377" s="226">
        <f t="shared" si="93"/>
        <v>1.9626024514431E-2</v>
      </c>
      <c r="W377" s="226">
        <f t="shared" si="93"/>
        <v>1.8192759002546216E-2</v>
      </c>
      <c r="X377" s="226">
        <f t="shared" si="93"/>
        <v>1.6864163187066215E-2</v>
      </c>
      <c r="Y377" s="226">
        <f t="shared" si="93"/>
        <v>1.5632593163037851E-2</v>
      </c>
      <c r="Z377" s="226">
        <f t="shared" si="93"/>
        <v>1.4490963250905967E-2</v>
      </c>
      <c r="AA377" s="226">
        <f t="shared" si="93"/>
        <v>1.3432705229968429E-2</v>
      </c>
      <c r="AB377" s="226">
        <f t="shared" si="93"/>
        <v>1.2451730548964047E-2</v>
      </c>
      <c r="AC377" s="226">
        <f t="shared" si="93"/>
        <v>1.1542395296376863E-2</v>
      </c>
      <c r="AD377" s="226">
        <f t="shared" si="93"/>
        <v>1.069946772891796E-2</v>
      </c>
      <c r="AE377" s="226">
        <f t="shared" si="91"/>
        <v>9.9180981713640898E-3</v>
      </c>
      <c r="AF377" s="226">
        <f t="shared" si="91"/>
        <v>9.1937911145757306E-3</v>
      </c>
      <c r="AG377" s="226">
        <f t="shared" si="91"/>
        <v>8.5223793511640909E-3</v>
      </c>
      <c r="AH377" s="227">
        <v>7.9000000000000008E-3</v>
      </c>
      <c r="AI377" s="226">
        <f t="shared" si="94"/>
        <v>7.323072281624628E-3</v>
      </c>
      <c r="AJ377" s="226">
        <f t="shared" si="94"/>
        <v>6.7882769166960674E-3</v>
      </c>
      <c r="AK377" s="226">
        <f t="shared" si="94"/>
        <v>6.2925370289429444E-3</v>
      </c>
      <c r="AL377" s="226">
        <f t="shared" si="94"/>
        <v>5.8330004427529954E-3</v>
      </c>
      <c r="AM377" s="226">
        <f t="shared" si="94"/>
        <v>5.4070232735479286E-3</v>
      </c>
      <c r="AN377" s="226">
        <f t="shared" si="94"/>
        <v>5.0121547165339359E-3</v>
      </c>
      <c r="AO377" s="226">
        <f t="shared" si="94"/>
        <v>4.6461229463118743E-3</v>
      </c>
      <c r="AP377" s="226">
        <f t="shared" si="94"/>
        <v>4.3068220462223585E-3</v>
      </c>
      <c r="AQ377" s="226">
        <f t="shared" si="94"/>
        <v>3.9922998922254198E-3</v>
      </c>
      <c r="AR377" s="226">
        <f t="shared" si="94"/>
        <v>3.7007469216061972E-3</v>
      </c>
      <c r="AS377" s="226">
        <f t="shared" si="94"/>
        <v>3.4304857218888621E-3</v>
      </c>
      <c r="AT377" s="226">
        <f t="shared" si="94"/>
        <v>3.1799613800599208E-3</v>
      </c>
      <c r="AU377" s="226">
        <f t="shared" si="94"/>
        <v>2.9477325365764055E-3</v>
      </c>
      <c r="AV377" s="226">
        <f t="shared" si="94"/>
        <v>2.7324630926893329E-3</v>
      </c>
      <c r="AW377" s="226">
        <f t="shared" si="94"/>
        <v>2.5329145233715898E-3</v>
      </c>
      <c r="AX377" s="226">
        <f t="shared" si="94"/>
        <v>2.3479387516236639E-3</v>
      </c>
      <c r="AY377" s="226">
        <f t="shared" si="92"/>
        <v>2.1764715431604534E-3</v>
      </c>
      <c r="AZ377" s="226">
        <f t="shared" si="92"/>
        <v>2.0175263834763413E-3</v>
      </c>
      <c r="BA377" s="226">
        <f t="shared" si="92"/>
        <v>1.8701888020610095E-3</v>
      </c>
      <c r="BB377" s="226">
        <f t="shared" si="95"/>
        <v>1.733611111111107E-3</v>
      </c>
      <c r="BC377" s="226">
        <f t="shared" si="95"/>
        <v>1.6070075284676227E-3</v>
      </c>
      <c r="BD377" s="226">
        <f t="shared" si="95"/>
        <v>1.4896496567194111E-3</v>
      </c>
      <c r="BE377" s="226">
        <f t="shared" si="95"/>
        <v>1.380862292462476E-3</v>
      </c>
    </row>
    <row r="378" spans="4:57" s="10" customFormat="1" x14ac:dyDescent="0.35">
      <c r="D378" s="168"/>
      <c r="E378" s="109" t="s">
        <v>624</v>
      </c>
      <c r="F378" s="10" t="s">
        <v>615</v>
      </c>
      <c r="G378" s="43" t="s">
        <v>616</v>
      </c>
      <c r="I378" s="20"/>
      <c r="J378" s="200"/>
      <c r="K378" s="200"/>
      <c r="L378" s="200"/>
      <c r="M378" s="200"/>
      <c r="N378" s="200">
        <v>3.4099999999999998E-2</v>
      </c>
      <c r="O378" s="226">
        <f t="shared" si="93"/>
        <v>3.165491825176097E-2</v>
      </c>
      <c r="P378" s="226">
        <f t="shared" si="93"/>
        <v>2.9385156877585625E-2</v>
      </c>
      <c r="Q378" s="226">
        <f t="shared" si="93"/>
        <v>2.7278144832115679E-2</v>
      </c>
      <c r="R378" s="226">
        <f t="shared" si="93"/>
        <v>2.5322212455141286E-2</v>
      </c>
      <c r="S378" s="226">
        <f t="shared" si="93"/>
        <v>2.3506526839331989E-2</v>
      </c>
      <c r="T378" s="226">
        <f t="shared" si="93"/>
        <v>2.1821031832313174E-2</v>
      </c>
      <c r="U378" s="226">
        <f t="shared" si="93"/>
        <v>2.0256392340790248E-2</v>
      </c>
      <c r="V378" s="226">
        <f t="shared" si="93"/>
        <v>1.880394262824963E-2</v>
      </c>
      <c r="W378" s="226">
        <f t="shared" si="93"/>
        <v>1.7455638319884028E-2</v>
      </c>
      <c r="X378" s="226">
        <f t="shared" si="93"/>
        <v>1.620401184892185E-2</v>
      </c>
      <c r="Y378" s="226">
        <f t="shared" si="93"/>
        <v>1.5042131097600801E-2</v>
      </c>
      <c r="Z378" s="226">
        <f t="shared" si="93"/>
        <v>1.3963561003719205E-2</v>
      </c>
      <c r="AA378" s="226">
        <f t="shared" si="93"/>
        <v>1.2962327920123425E-2</v>
      </c>
      <c r="AB378" s="226">
        <f t="shared" si="93"/>
        <v>1.2032886529736827E-2</v>
      </c>
      <c r="AC378" s="226">
        <f t="shared" si="93"/>
        <v>1.1170089132889589E-2</v>
      </c>
      <c r="AD378" s="226">
        <f t="shared" si="93"/>
        <v>1.0369157136847612E-2</v>
      </c>
      <c r="AE378" s="226">
        <f t="shared" si="91"/>
        <v>9.6256545896356311E-3</v>
      </c>
      <c r="AF378" s="226">
        <f t="shared" si="91"/>
        <v>8.9354636115719557E-3</v>
      </c>
      <c r="AG378" s="226">
        <f t="shared" si="91"/>
        <v>8.2947615884426708E-3</v>
      </c>
      <c r="AH378" s="227">
        <v>7.7000000000000002E-3</v>
      </c>
      <c r="AI378" s="226">
        <f t="shared" si="94"/>
        <v>7.1478847665266713E-3</v>
      </c>
      <c r="AJ378" s="226">
        <f t="shared" si="94"/>
        <v>6.6353580046161096E-3</v>
      </c>
      <c r="AK378" s="226">
        <f t="shared" si="94"/>
        <v>6.1595810911228956E-3</v>
      </c>
      <c r="AL378" s="226">
        <f t="shared" si="94"/>
        <v>5.7179189414835159E-3</v>
      </c>
      <c r="AM378" s="226">
        <f t="shared" si="94"/>
        <v>5.3079254153330299E-3</v>
      </c>
      <c r="AN378" s="226">
        <f t="shared" si="94"/>
        <v>4.9273297685868463E-3</v>
      </c>
      <c r="AO378" s="226">
        <f t="shared" si="94"/>
        <v>4.5740240769526373E-3</v>
      </c>
      <c r="AP378" s="226">
        <f t="shared" si="94"/>
        <v>4.246051561217659E-3</v>
      </c>
      <c r="AQ378" s="226">
        <f t="shared" si="94"/>
        <v>3.9415957496512326E-3</v>
      </c>
      <c r="AR378" s="226">
        <f t="shared" si="94"/>
        <v>3.6589704174984829E-3</v>
      </c>
      <c r="AS378" s="226">
        <f t="shared" si="94"/>
        <v>3.3966102478453428E-3</v>
      </c>
      <c r="AT378" s="226">
        <f t="shared" si="94"/>
        <v>3.1530621621301434E-3</v>
      </c>
      <c r="AU378" s="226">
        <f t="shared" si="94"/>
        <v>2.926977272285935E-3</v>
      </c>
      <c r="AV378" s="226">
        <f t="shared" si="94"/>
        <v>2.7171034099405743E-3</v>
      </c>
      <c r="AW378" s="226">
        <f t="shared" si="94"/>
        <v>2.5222781912976498E-3</v>
      </c>
      <c r="AX378" s="226">
        <f t="shared" si="94"/>
        <v>2.3414225792881709E-3</v>
      </c>
      <c r="AY378" s="226">
        <f t="shared" si="92"/>
        <v>2.1735349073370783E-3</v>
      </c>
      <c r="AZ378" s="226">
        <f t="shared" si="92"/>
        <v>2.0176853316452806E-3</v>
      </c>
      <c r="BA378" s="226">
        <f t="shared" si="92"/>
        <v>1.8730106812612486E-3</v>
      </c>
      <c r="BB378" s="226">
        <f t="shared" si="95"/>
        <v>1.7387096774193534E-3</v>
      </c>
      <c r="BC378" s="226">
        <f t="shared" si="95"/>
        <v>1.6140384956673114E-3</v>
      </c>
      <c r="BD378" s="226">
        <f t="shared" si="95"/>
        <v>1.4983066462036362E-3</v>
      </c>
      <c r="BE378" s="226">
        <f t="shared" si="95"/>
        <v>1.3908731496083944E-3</v>
      </c>
    </row>
    <row r="379" spans="4:57" s="10" customFormat="1" x14ac:dyDescent="0.35">
      <c r="D379" s="169"/>
      <c r="E379" s="109" t="s">
        <v>625</v>
      </c>
      <c r="F379" s="10" t="s">
        <v>615</v>
      </c>
      <c r="G379" s="43" t="s">
        <v>616</v>
      </c>
      <c r="I379" s="20"/>
      <c r="J379" s="200"/>
      <c r="K379" s="200"/>
      <c r="L379" s="200"/>
      <c r="M379" s="200"/>
      <c r="N379" s="200">
        <v>3.2300000000000002E-2</v>
      </c>
      <c r="O379" s="226">
        <f t="shared" si="93"/>
        <v>3.0005715156280331E-2</v>
      </c>
      <c r="P379" s="226">
        <f t="shared" si="93"/>
        <v>2.7874394490397247E-2</v>
      </c>
      <c r="Q379" s="226">
        <f t="shared" si="93"/>
        <v>2.5894462576862214E-2</v>
      </c>
      <c r="R379" s="226">
        <f t="shared" si="93"/>
        <v>2.40551661983371E-2</v>
      </c>
      <c r="S379" s="226">
        <f t="shared" si="93"/>
        <v>2.2346515943785936E-2</v>
      </c>
      <c r="T379" s="226">
        <f t="shared" si="93"/>
        <v>2.0759231954938628E-2</v>
      </c>
      <c r="U379" s="226">
        <f t="shared" si="93"/>
        <v>1.9284693526409935E-2</v>
      </c>
      <c r="V379" s="226">
        <f t="shared" si="93"/>
        <v>1.791489228574674E-2</v>
      </c>
      <c r="W379" s="226">
        <f t="shared" si="93"/>
        <v>1.664238869911952E-2</v>
      </c>
      <c r="X379" s="226">
        <f t="shared" si="93"/>
        <v>1.5460271666435883E-2</v>
      </c>
      <c r="Y379" s="226">
        <f t="shared" si="93"/>
        <v>1.4362120986433019E-2</v>
      </c>
      <c r="Z379" s="226">
        <f t="shared" si="93"/>
        <v>1.3341972487893036E-2</v>
      </c>
      <c r="AA379" s="226">
        <f t="shared" si="93"/>
        <v>1.2394285637605177E-2</v>
      </c>
      <c r="AB379" s="226">
        <f t="shared" si="93"/>
        <v>1.1513913449150379E-2</v>
      </c>
      <c r="AC379" s="226">
        <f t="shared" si="93"/>
        <v>1.0696074529079612E-2</v>
      </c>
      <c r="AD379" s="226">
        <f t="shared" si="93"/>
        <v>9.9363271086658853E-3</v>
      </c>
      <c r="AE379" s="226">
        <f t="shared" si="91"/>
        <v>9.2305449201936542E-3</v>
      </c>
      <c r="AF379" s="226">
        <f t="shared" si="91"/>
        <v>8.5748947867672169E-3</v>
      </c>
      <c r="AG379" s="226">
        <f t="shared" si="91"/>
        <v>7.9658158039260137E-3</v>
      </c>
      <c r="AH379" s="227">
        <v>7.4000000000000003E-3</v>
      </c>
      <c r="AI379" s="226">
        <f t="shared" si="94"/>
        <v>6.874374370169487E-3</v>
      </c>
      <c r="AJ379" s="226">
        <f t="shared" si="94"/>
        <v>6.3860841866544777E-3</v>
      </c>
      <c r="AK379" s="226">
        <f t="shared" si="94"/>
        <v>5.9324774943894862E-3</v>
      </c>
      <c r="AL379" s="226">
        <f t="shared" si="94"/>
        <v>5.5110907079781593E-3</v>
      </c>
      <c r="AM379" s="226">
        <f t="shared" si="94"/>
        <v>5.1196352317032798E-3</v>
      </c>
      <c r="AN379" s="226">
        <f t="shared" si="94"/>
        <v>4.7559850299240206E-3</v>
      </c>
      <c r="AO379" s="226">
        <f t="shared" si="94"/>
        <v>4.4181650803539795E-3</v>
      </c>
      <c r="AP379" s="226">
        <f t="shared" si="94"/>
        <v>4.1043406475085422E-3</v>
      </c>
      <c r="AQ379" s="226">
        <f t="shared" si="94"/>
        <v>3.8128073180645349E-3</v>
      </c>
      <c r="AR379" s="226">
        <f t="shared" si="94"/>
        <v>3.5419817440131753E-3</v>
      </c>
      <c r="AS379" s="226">
        <f t="shared" si="94"/>
        <v>3.2903930433314044E-3</v>
      </c>
      <c r="AT379" s="226">
        <f t="shared" si="94"/>
        <v>3.0566748114677546E-3</v>
      </c>
      <c r="AU379" s="226">
        <f t="shared" si="94"/>
        <v>2.8395577002562947E-3</v>
      </c>
      <c r="AV379" s="226">
        <f t="shared" si="94"/>
        <v>2.6378625239539574E-3</v>
      </c>
      <c r="AW379" s="226">
        <f t="shared" si="94"/>
        <v>2.450493854959416E-3</v>
      </c>
      <c r="AX379" s="226">
        <f t="shared" si="94"/>
        <v>2.2764340744311938E-3</v>
      </c>
      <c r="AY379" s="226">
        <f t="shared" si="92"/>
        <v>2.1147378454932832E-3</v>
      </c>
      <c r="AZ379" s="226">
        <f t="shared" si="92"/>
        <v>1.9645269790116849E-3</v>
      </c>
      <c r="BA379" s="226">
        <f t="shared" si="92"/>
        <v>1.8249856640573537E-3</v>
      </c>
      <c r="BB379" s="226">
        <f t="shared" si="95"/>
        <v>1.6953560371517045E-3</v>
      </c>
      <c r="BC379" s="226">
        <f t="shared" si="95"/>
        <v>1.574934066230782E-3</v>
      </c>
      <c r="BD379" s="226">
        <f t="shared" si="95"/>
        <v>1.4630657269734731E-3</v>
      </c>
      <c r="BE379" s="226">
        <f t="shared" si="95"/>
        <v>1.3591434507270043E-3</v>
      </c>
    </row>
    <row r="380" spans="4:57" s="10" customFormat="1" x14ac:dyDescent="0.35">
      <c r="D380" s="169"/>
      <c r="E380" s="10" t="s">
        <v>626</v>
      </c>
      <c r="F380" s="10" t="s">
        <v>615</v>
      </c>
      <c r="G380" s="43" t="s">
        <v>616</v>
      </c>
      <c r="I380" s="20"/>
      <c r="J380" s="200"/>
      <c r="K380" s="200"/>
      <c r="L380" s="200"/>
      <c r="M380" s="200"/>
      <c r="N380" s="200">
        <v>3.0599999999999999E-2</v>
      </c>
      <c r="O380" s="226">
        <f t="shared" si="93"/>
        <v>2.8464396474630373E-2</v>
      </c>
      <c r="P380" s="226">
        <f t="shared" si="93"/>
        <v>2.6477838779900325E-2</v>
      </c>
      <c r="Q380" s="226">
        <f t="shared" si="93"/>
        <v>2.4629924863477978E-2</v>
      </c>
      <c r="R380" s="226">
        <f t="shared" si="93"/>
        <v>2.2910978642300441E-2</v>
      </c>
      <c r="S380" s="226">
        <f t="shared" si="93"/>
        <v>2.1311999336478052E-2</v>
      </c>
      <c r="T380" s="226">
        <f t="shared" si="93"/>
        <v>1.9824614339234336E-2</v>
      </c>
      <c r="U380" s="226">
        <f t="shared" si="93"/>
        <v>1.8441035376098317E-2</v>
      </c>
      <c r="V380" s="226">
        <f t="shared" si="93"/>
        <v>1.7154017723789116E-2</v>
      </c>
      <c r="W380" s="226">
        <f t="shared" si="93"/>
        <v>1.5956822275253916E-2</v>
      </c>
      <c r="X380" s="226">
        <f t="shared" si="93"/>
        <v>1.4843180252223561E-2</v>
      </c>
      <c r="Y380" s="226">
        <f t="shared" si="93"/>
        <v>1.3807260380512925E-2</v>
      </c>
      <c r="Z380" s="226">
        <f t="shared" si="93"/>
        <v>1.284363835618875E-2</v>
      </c>
      <c r="AA380" s="226">
        <f t="shared" si="93"/>
        <v>1.1947268442723088E-2</v>
      </c>
      <c r="AB380" s="226">
        <f t="shared" si="93"/>
        <v>1.1113457050408816E-2</v>
      </c>
      <c r="AC380" s="226">
        <f t="shared" si="93"/>
        <v>1.0337838159693228E-2</v>
      </c>
      <c r="AD380" s="226">
        <f t="shared" si="93"/>
        <v>9.6163504597408904E-3</v>
      </c>
      <c r="AE380" s="226">
        <f t="shared" si="91"/>
        <v>8.9452160825182602E-3</v>
      </c>
      <c r="AF380" s="226">
        <f t="shared" si="91"/>
        <v>8.3209208210470488E-3</v>
      </c>
      <c r="AG380" s="226">
        <f t="shared" si="91"/>
        <v>7.7401957282447736E-3</v>
      </c>
      <c r="AH380" s="227">
        <v>7.1999999999999998E-3</v>
      </c>
      <c r="AI380" s="226">
        <f t="shared" si="94"/>
        <v>6.6975050528542048E-3</v>
      </c>
      <c r="AJ380" s="226">
        <f t="shared" si="94"/>
        <v>6.2300797129177235E-3</v>
      </c>
      <c r="AK380" s="226">
        <f t="shared" si="94"/>
        <v>5.7952764384654066E-3</v>
      </c>
      <c r="AL380" s="226">
        <f t="shared" si="94"/>
        <v>5.3908185040706918E-3</v>
      </c>
      <c r="AM380" s="226">
        <f t="shared" si="94"/>
        <v>5.0145880791713062E-3</v>
      </c>
      <c r="AN380" s="226">
        <f t="shared" si="94"/>
        <v>4.6646151386433733E-3</v>
      </c>
      <c r="AO380" s="226">
        <f t="shared" si="94"/>
        <v>4.3390671473172516E-3</v>
      </c>
      <c r="AP380" s="226">
        <f t="shared" si="94"/>
        <v>4.0362394644209683E-3</v>
      </c>
      <c r="AQ380" s="226">
        <f t="shared" si="94"/>
        <v>3.7545464177068037E-3</v>
      </c>
      <c r="AR380" s="226">
        <f t="shared" si="94"/>
        <v>3.4925130005231909E-3</v>
      </c>
      <c r="AS380" s="226">
        <f t="shared" si="94"/>
        <v>3.2487671483559825E-3</v>
      </c>
      <c r="AT380" s="226">
        <f t="shared" si="94"/>
        <v>3.0220325543973527E-3</v>
      </c>
      <c r="AU380" s="226">
        <f t="shared" si="94"/>
        <v>2.8111219865230791E-3</v>
      </c>
      <c r="AV380" s="226">
        <f t="shared" si="94"/>
        <v>2.6149310706844271E-3</v>
      </c>
      <c r="AW380" s="226">
        <f t="shared" si="94"/>
        <v>2.4324325081631123E-3</v>
      </c>
      <c r="AX380" s="226">
        <f t="shared" si="94"/>
        <v>2.262670696409621E-3</v>
      </c>
      <c r="AY380" s="226">
        <f t="shared" si="92"/>
        <v>2.1047567252984139E-3</v>
      </c>
      <c r="AZ380" s="226">
        <f t="shared" si="92"/>
        <v>1.9578637225993053E-3</v>
      </c>
      <c r="BA380" s="226">
        <f t="shared" si="92"/>
        <v>1.8212225242928877E-3</v>
      </c>
      <c r="BB380" s="226">
        <f t="shared" si="95"/>
        <v>1.6941176470588203E-3</v>
      </c>
      <c r="BC380" s="226">
        <f t="shared" si="95"/>
        <v>1.5758835418480453E-3</v>
      </c>
      <c r="BD380" s="226">
        <f t="shared" si="95"/>
        <v>1.4659011089218146E-3</v>
      </c>
      <c r="BE380" s="226">
        <f t="shared" si="95"/>
        <v>1.3635944561095051E-3</v>
      </c>
    </row>
    <row r="381" spans="4:57" s="10" customFormat="1" x14ac:dyDescent="0.35">
      <c r="D381" s="169"/>
      <c r="E381" s="10" t="s">
        <v>627</v>
      </c>
      <c r="F381" s="10" t="s">
        <v>615</v>
      </c>
      <c r="G381" s="43" t="s">
        <v>616</v>
      </c>
      <c r="I381" s="20"/>
      <c r="J381" s="200"/>
      <c r="K381" s="200"/>
      <c r="L381" s="200"/>
      <c r="M381" s="200"/>
      <c r="N381" s="200">
        <v>2.9000000000000001E-2</v>
      </c>
      <c r="O381" s="226">
        <f t="shared" si="93"/>
        <v>2.7010523408508257E-2</v>
      </c>
      <c r="P381" s="226">
        <f t="shared" si="93"/>
        <v>2.5157530165571464E-2</v>
      </c>
      <c r="Q381" s="226">
        <f t="shared" si="93"/>
        <v>2.3431657153014505E-2</v>
      </c>
      <c r="R381" s="226">
        <f t="shared" si="93"/>
        <v>2.1824183587297871E-2</v>
      </c>
      <c r="S381" s="226">
        <f t="shared" si="93"/>
        <v>2.0326986953665201E-2</v>
      </c>
      <c r="T381" s="226">
        <f t="shared" si="93"/>
        <v>1.8932501963324685E-2</v>
      </c>
      <c r="U381" s="226">
        <f t="shared" si="93"/>
        <v>1.7633682326276205E-2</v>
      </c>
      <c r="V381" s="226">
        <f t="shared" si="93"/>
        <v>1.6423965146623511E-2</v>
      </c>
      <c r="W381" s="226">
        <f t="shared" si="93"/>
        <v>1.5297237760462002E-2</v>
      </c>
      <c r="X381" s="226">
        <f t="shared" si="93"/>
        <v>1.4247806848775012E-2</v>
      </c>
      <c r="Y381" s="226">
        <f t="shared" si="93"/>
        <v>1.3270369669266957E-2</v>
      </c>
      <c r="Z381" s="226">
        <f t="shared" si="93"/>
        <v>1.2359987261768728E-2</v>
      </c>
      <c r="AA381" s="226">
        <f t="shared" si="93"/>
        <v>1.1512059491823037E-2</v>
      </c>
      <c r="AB381" s="226">
        <f t="shared" si="93"/>
        <v>1.0722301806345718E-2</v>
      </c>
      <c r="AC381" s="226">
        <f t="shared" si="93"/>
        <v>9.9867235839100482E-3</v>
      </c>
      <c r="AD381" s="226">
        <f t="shared" si="93"/>
        <v>9.3016079702587535E-3</v>
      </c>
      <c r="AE381" s="226">
        <f t="shared" si="91"/>
        <v>8.6634930971531392E-3</v>
      </c>
      <c r="AF381" s="226">
        <f t="shared" si="91"/>
        <v>8.0691545896587787E-3</v>
      </c>
      <c r="AG381" s="226">
        <f t="shared" si="91"/>
        <v>7.5155892734775961E-3</v>
      </c>
      <c r="AH381" s="227">
        <v>7.0000000000000001E-3</v>
      </c>
      <c r="AI381" s="226">
        <f t="shared" si="94"/>
        <v>6.5197815123985451E-3</v>
      </c>
      <c r="AJ381" s="226">
        <f t="shared" si="94"/>
        <v>6.0725072813448367E-3</v>
      </c>
      <c r="AK381" s="226">
        <f t="shared" si="94"/>
        <v>5.655917243831088E-3</v>
      </c>
      <c r="AL381" s="226">
        <f t="shared" si="94"/>
        <v>5.2679063831408655E-3</v>
      </c>
      <c r="AM381" s="226">
        <f t="shared" si="94"/>
        <v>4.906514092264014E-3</v>
      </c>
      <c r="AN381" s="226">
        <f t="shared" si="94"/>
        <v>4.5699142670094063E-3</v>
      </c>
      <c r="AO381" s="226">
        <f t="shared" si="94"/>
        <v>4.2564060787563252E-3</v>
      </c>
      <c r="AP381" s="226">
        <f t="shared" si="94"/>
        <v>3.9644053802194677E-3</v>
      </c>
      <c r="AQ381" s="226">
        <f t="shared" si="94"/>
        <v>3.6924367008011726E-3</v>
      </c>
      <c r="AR381" s="226">
        <f t="shared" si="94"/>
        <v>3.439125791083623E-3</v>
      </c>
      <c r="AS381" s="226">
        <f t="shared" si="94"/>
        <v>3.2031926787885749E-3</v>
      </c>
      <c r="AT381" s="226">
        <f t="shared" si="94"/>
        <v>2.9834452011165886E-3</v>
      </c>
      <c r="AU381" s="226">
        <f t="shared" si="94"/>
        <v>2.7787729807848705E-3</v>
      </c>
      <c r="AV381" s="226">
        <f t="shared" si="94"/>
        <v>2.588141815324828E-3</v>
      </c>
      <c r="AW381" s="226">
        <f t="shared" si="94"/>
        <v>2.4105884512886319E-3</v>
      </c>
      <c r="AX381" s="226">
        <f t="shared" si="94"/>
        <v>2.2452157169590087E-3</v>
      </c>
      <c r="AY381" s="226">
        <f t="shared" si="92"/>
        <v>2.0911879889679982E-3</v>
      </c>
      <c r="AZ381" s="226">
        <f t="shared" si="92"/>
        <v>1.9477269699176352E-3</v>
      </c>
      <c r="BA381" s="226">
        <f t="shared" si="92"/>
        <v>1.814107755667005E-3</v>
      </c>
      <c r="BB381" s="226">
        <f t="shared" si="95"/>
        <v>1.6896551724137937E-3</v>
      </c>
      <c r="BC381" s="226">
        <f t="shared" si="95"/>
        <v>1.5737403650617182E-3</v>
      </c>
      <c r="BD381" s="226">
        <f t="shared" si="95"/>
        <v>1.4657776196349609E-3</v>
      </c>
      <c r="BE381" s="226">
        <f t="shared" si="95"/>
        <v>1.3652214036833663E-3</v>
      </c>
    </row>
    <row r="382" spans="4:57" s="10" customFormat="1" x14ac:dyDescent="0.35">
      <c r="D382" s="169"/>
      <c r="E382" s="10" t="s">
        <v>628</v>
      </c>
      <c r="F382" s="10" t="s">
        <v>615</v>
      </c>
      <c r="G382" s="43" t="s">
        <v>616</v>
      </c>
      <c r="I382" s="20"/>
      <c r="J382" s="200"/>
      <c r="K382" s="200"/>
      <c r="L382" s="200"/>
      <c r="M382" s="200"/>
      <c r="N382" s="200">
        <v>2.69E-2</v>
      </c>
      <c r="O382" s="226">
        <f t="shared" si="93"/>
        <v>2.5075053181148065E-2</v>
      </c>
      <c r="P382" s="226">
        <f t="shared" si="93"/>
        <v>2.3373914202133965E-2</v>
      </c>
      <c r="Q382" s="226">
        <f t="shared" si="93"/>
        <v>2.1788183705208221E-2</v>
      </c>
      <c r="R382" s="226">
        <f t="shared" si="93"/>
        <v>2.031003216091895E-2</v>
      </c>
      <c r="S382" s="226">
        <f t="shared" si="93"/>
        <v>1.8932161209883652E-2</v>
      </c>
      <c r="T382" s="226">
        <f t="shared" si="93"/>
        <v>1.7647767627208218E-2</v>
      </c>
      <c r="U382" s="226">
        <f t="shared" si="93"/>
        <v>1.6450509731627854E-2</v>
      </c>
      <c r="V382" s="226">
        <f t="shared" si="93"/>
        <v>1.5334476073515324E-2</v>
      </c>
      <c r="W382" s="226">
        <f t="shared" si="93"/>
        <v>1.4294156247153876E-2</v>
      </c>
      <c r="X382" s="226">
        <f t="shared" si="93"/>
        <v>1.3324413683160716E-2</v>
      </c>
      <c r="Y382" s="226">
        <f t="shared" si="93"/>
        <v>1.2420460286723863E-2</v>
      </c>
      <c r="Z382" s="226">
        <f t="shared" si="93"/>
        <v>1.1577832796428936E-2</v>
      </c>
      <c r="AA382" s="226">
        <f t="shared" si="93"/>
        <v>1.07923707469478E-2</v>
      </c>
      <c r="AB382" s="226">
        <f t="shared" si="93"/>
        <v>1.0060195926780027E-2</v>
      </c>
      <c r="AC382" s="226">
        <f t="shared" si="93"/>
        <v>9.3776932296200117E-3</v>
      </c>
      <c r="AD382" s="226">
        <f t="shared" si="93"/>
        <v>8.7414928048034912E-3</v>
      </c>
      <c r="AE382" s="226">
        <f t="shared" si="91"/>
        <v>8.1484534187015126E-3</v>
      </c>
      <c r="AF382" s="226">
        <f t="shared" si="91"/>
        <v>7.5956469449088545E-3</v>
      </c>
      <c r="AG382" s="226">
        <f t="shared" si="91"/>
        <v>7.0803439066473737E-3</v>
      </c>
      <c r="AH382" s="227">
        <v>6.6E-3</v>
      </c>
      <c r="AI382" s="226">
        <f t="shared" si="94"/>
        <v>6.1522435314340972E-3</v>
      </c>
      <c r="AJ382" s="226">
        <f t="shared" si="94"/>
        <v>5.7348637075867719E-3</v>
      </c>
      <c r="AK382" s="226">
        <f t="shared" si="94"/>
        <v>5.3457997194934674E-3</v>
      </c>
      <c r="AL382" s="226">
        <f t="shared" si="94"/>
        <v>4.9831305673630148E-3</v>
      </c>
      <c r="AM382" s="226">
        <f t="shared" si="94"/>
        <v>4.6450655756591864E-3</v>
      </c>
      <c r="AN382" s="226">
        <f t="shared" si="94"/>
        <v>4.3299355516570352E-3</v>
      </c>
      <c r="AO382" s="226">
        <f t="shared" si="94"/>
        <v>4.0361845438194738E-3</v>
      </c>
      <c r="AP382" s="226">
        <f t="shared" si="94"/>
        <v>3.7623621593011578E-3</v>
      </c>
      <c r="AQ382" s="226">
        <f t="shared" si="94"/>
        <v>3.50711640264742E-3</v>
      </c>
      <c r="AR382" s="226">
        <f t="shared" si="94"/>
        <v>3.2691870003293956E-3</v>
      </c>
      <c r="AS382" s="226">
        <f t="shared" si="94"/>
        <v>3.0473991781552975E-3</v>
      </c>
      <c r="AT382" s="226">
        <f t="shared" si="94"/>
        <v>2.8406578608338659E-3</v>
      </c>
      <c r="AU382" s="226">
        <f t="shared" si="94"/>
        <v>2.6479422650503895E-3</v>
      </c>
      <c r="AV382" s="226">
        <f t="shared" si="94"/>
        <v>2.4683008593586685E-3</v>
      </c>
      <c r="AW382" s="226">
        <f t="shared" si="94"/>
        <v>2.300846666003423E-3</v>
      </c>
      <c r="AX382" s="226">
        <f t="shared" si="94"/>
        <v>2.1447528814759497E-3</v>
      </c>
      <c r="AY382" s="226">
        <f t="shared" si="92"/>
        <v>1.9992487941795536E-3</v>
      </c>
      <c r="AZ382" s="226">
        <f t="shared" si="92"/>
        <v>1.8636159790482694E-3</v>
      </c>
      <c r="BA382" s="226">
        <f t="shared" si="92"/>
        <v>1.7371847503298392E-3</v>
      </c>
      <c r="BB382" s="226">
        <f t="shared" si="95"/>
        <v>1.6193308550185926E-3</v>
      </c>
      <c r="BC382" s="226">
        <f t="shared" si="95"/>
        <v>1.5094723906120882E-3</v>
      </c>
      <c r="BD382" s="226">
        <f t="shared" si="95"/>
        <v>1.4070669319729671E-3</v>
      </c>
      <c r="BE382" s="226">
        <f t="shared" si="95"/>
        <v>1.3116088531099255E-3</v>
      </c>
    </row>
    <row r="383" spans="4:57" s="10" customFormat="1" x14ac:dyDescent="0.35">
      <c r="D383" s="169"/>
      <c r="E383" s="10" t="s">
        <v>629</v>
      </c>
      <c r="F383" s="10" t="s">
        <v>615</v>
      </c>
      <c r="G383" s="43" t="s">
        <v>616</v>
      </c>
      <c r="I383" s="20"/>
      <c r="J383" s="200"/>
      <c r="K383" s="200"/>
      <c r="L383" s="200"/>
      <c r="M383" s="200"/>
      <c r="N383" s="200">
        <v>2.5100000000000001E-2</v>
      </c>
      <c r="O383" s="226">
        <f t="shared" si="93"/>
        <v>2.3405052513421374E-2</v>
      </c>
      <c r="P383" s="226">
        <f t="shared" si="93"/>
        <v>2.1824561081912833E-2</v>
      </c>
      <c r="Q383" s="226">
        <f t="shared" si="93"/>
        <v>2.0350796741216821E-2</v>
      </c>
      <c r="R383" s="226">
        <f t="shared" si="93"/>
        <v>1.8976552446938019E-2</v>
      </c>
      <c r="S383" s="226">
        <f t="shared" si="93"/>
        <v>1.7695107830449371E-2</v>
      </c>
      <c r="T383" s="226">
        <f t="shared" si="93"/>
        <v>1.6500196334753834E-2</v>
      </c>
      <c r="U383" s="226">
        <f t="shared" si="93"/>
        <v>1.5385974569588699E-2</v>
      </c>
      <c r="V383" s="226">
        <f t="shared" si="93"/>
        <v>1.4346993735911924E-2</v>
      </c>
      <c r="W383" s="226">
        <f t="shared" si="93"/>
        <v>1.3378172980029723E-2</v>
      </c>
      <c r="X383" s="226">
        <f t="shared" si="93"/>
        <v>1.2474774547060979E-2</v>
      </c>
      <c r="Y383" s="226">
        <f t="shared" si="93"/>
        <v>1.1632380612233248E-2</v>
      </c>
      <c r="Z383" s="226">
        <f t="shared" si="93"/>
        <v>1.0846871676710113E-2</v>
      </c>
      <c r="AA383" s="226">
        <f t="shared" si="93"/>
        <v>1.0114406422300522E-2</v>
      </c>
      <c r="AB383" s="226">
        <f t="shared" si="93"/>
        <v>9.4314029265350641E-3</v>
      </c>
      <c r="AC383" s="226">
        <f t="shared" si="93"/>
        <v>8.7945211462465821E-3</v>
      </c>
      <c r="AD383" s="226">
        <f t="shared" si="93"/>
        <v>8.2006465839958558E-3</v>
      </c>
      <c r="AE383" s="226">
        <f t="shared" si="91"/>
        <v>7.6468750574674345E-3</v>
      </c>
      <c r="AF383" s="226">
        <f t="shared" si="91"/>
        <v>7.1304984973544778E-3</v>
      </c>
      <c r="AG383" s="226">
        <f t="shared" si="91"/>
        <v>6.6489917042810258E-3</v>
      </c>
      <c r="AH383" s="227">
        <v>6.1999999999999998E-3</v>
      </c>
      <c r="AI383" s="226">
        <f t="shared" si="94"/>
        <v>5.7813277124785858E-3</v>
      </c>
      <c r="AJ383" s="226">
        <f t="shared" si="94"/>
        <v>5.3909274385601415E-3</v>
      </c>
      <c r="AK383" s="226">
        <f t="shared" si="94"/>
        <v>5.0268900316949913E-3</v>
      </c>
      <c r="AL383" s="226">
        <f t="shared" si="94"/>
        <v>4.6874352657775183E-3</v>
      </c>
      <c r="AM383" s="226">
        <f t="shared" si="94"/>
        <v>4.3709031294337083E-3</v>
      </c>
      <c r="AN383" s="226">
        <f t="shared" si="94"/>
        <v>4.0757457081862054E-3</v>
      </c>
      <c r="AO383" s="226">
        <f t="shared" si="94"/>
        <v>3.8005196147988017E-3</v>
      </c>
      <c r="AP383" s="226">
        <f t="shared" si="94"/>
        <v>3.5438789307830247E-3</v>
      </c>
      <c r="AQ383" s="226">
        <f t="shared" si="94"/>
        <v>3.3045686245491744E-3</v>
      </c>
      <c r="AR383" s="226">
        <f t="shared" si="94"/>
        <v>3.0814184140150625E-3</v>
      </c>
      <c r="AS383" s="226">
        <f t="shared" si="94"/>
        <v>2.8733370436592087E-3</v>
      </c>
      <c r="AT383" s="226">
        <f t="shared" si="94"/>
        <v>2.67930694803198E-3</v>
      </c>
      <c r="AU383" s="226">
        <f t="shared" si="94"/>
        <v>2.4983792756280176E-3</v>
      </c>
      <c r="AV383" s="226">
        <f t="shared" si="94"/>
        <v>2.3296692487855537E-3</v>
      </c>
      <c r="AW383" s="226">
        <f t="shared" si="94"/>
        <v>2.1723518369214665E-3</v>
      </c>
      <c r="AX383" s="226">
        <f t="shared" si="94"/>
        <v>2.0256577219431994E-3</v>
      </c>
      <c r="AY383" s="226">
        <f t="shared" si="92"/>
        <v>1.8888695361074937E-3</v>
      </c>
      <c r="AZ383" s="226">
        <f t="shared" si="92"/>
        <v>1.7613183539281975E-3</v>
      </c>
      <c r="BA383" s="226">
        <f t="shared" si="92"/>
        <v>1.6423804209777829E-3</v>
      </c>
      <c r="BB383" s="226">
        <f t="shared" si="95"/>
        <v>1.5314741035856619E-3</v>
      </c>
      <c r="BC383" s="226">
        <f t="shared" si="95"/>
        <v>1.4280570445166271E-3</v>
      </c>
      <c r="BD383" s="226">
        <f t="shared" si="95"/>
        <v>1.3316235107200391E-3</v>
      </c>
      <c r="BE383" s="226">
        <f t="shared" si="95"/>
        <v>1.2417019201796432E-3</v>
      </c>
    </row>
    <row r="384" spans="4:57" s="10" customFormat="1" x14ac:dyDescent="0.35">
      <c r="E384" s="10" t="s">
        <v>630</v>
      </c>
      <c r="F384" s="10" t="s">
        <v>615</v>
      </c>
      <c r="G384" s="43" t="s">
        <v>616</v>
      </c>
      <c r="I384" s="20"/>
      <c r="J384" s="200"/>
      <c r="K384" s="200"/>
      <c r="L384" s="200"/>
      <c r="M384" s="200"/>
      <c r="N384" s="200">
        <v>2.3300000000000001E-2</v>
      </c>
      <c r="O384" s="226">
        <f t="shared" si="93"/>
        <v>2.1734994000704728E-2</v>
      </c>
      <c r="P384" s="226">
        <f t="shared" si="93"/>
        <v>2.0275105760114615E-2</v>
      </c>
      <c r="Q384" s="226">
        <f t="shared" si="93"/>
        <v>1.8913274766512663E-2</v>
      </c>
      <c r="R384" s="226">
        <f t="shared" si="93"/>
        <v>1.7642914746087247E-2</v>
      </c>
      <c r="S384" s="226">
        <f t="shared" si="93"/>
        <v>1.6457881809491471E-2</v>
      </c>
      <c r="T384" s="226">
        <f t="shared" si="93"/>
        <v>1.5352444737922945E-2</v>
      </c>
      <c r="U384" s="226">
        <f t="shared" si="93"/>
        <v>1.4321257265017429E-2</v>
      </c>
      <c r="V384" s="226">
        <f t="shared" si="93"/>
        <v>1.3359332220502267E-2</v>
      </c>
      <c r="W384" s="226">
        <f t="shared" si="93"/>
        <v>1.2462017410559578E-2</v>
      </c>
      <c r="X384" s="226">
        <f t="shared" si="93"/>
        <v>1.162497311824851E-2</v>
      </c>
      <c r="Y384" s="226">
        <f t="shared" si="93"/>
        <v>1.0844151115171034E-2</v>
      </c>
      <c r="Z384" s="226">
        <f t="shared" si="93"/>
        <v>1.0115775082874588E-2</v>
      </c>
      <c r="AA384" s="226">
        <f t="shared" si="93"/>
        <v>9.4363223493028996E-3</v>
      </c>
      <c r="AB384" s="226">
        <f t="shared" si="93"/>
        <v>8.8025068519662856E-3</v>
      </c>
      <c r="AC384" s="226">
        <f t="shared" si="93"/>
        <v>8.2112632454356006E-3</v>
      </c>
      <c r="AD384" s="226">
        <f t="shared" si="93"/>
        <v>7.6597320762982835E-3</v>
      </c>
      <c r="AE384" s="226">
        <f t="shared" si="91"/>
        <v>7.1452459538776294E-3</v>
      </c>
      <c r="AF384" s="226">
        <f t="shared" si="91"/>
        <v>6.665316649832189E-3</v>
      </c>
      <c r="AG384" s="226">
        <f t="shared" si="91"/>
        <v>6.2176230642446342E-3</v>
      </c>
      <c r="AH384" s="227">
        <v>5.7999999999999996E-3</v>
      </c>
      <c r="AI384" s="226">
        <f t="shared" si="94"/>
        <v>5.4104276911625497E-3</v>
      </c>
      <c r="AJ384" s="226">
        <f t="shared" si="94"/>
        <v>5.047022034706642E-3</v>
      </c>
      <c r="AK384" s="226">
        <f t="shared" si="94"/>
        <v>4.7080254783593749E-3</v>
      </c>
      <c r="AL384" s="226">
        <f t="shared" si="94"/>
        <v>4.3917985204852371E-3</v>
      </c>
      <c r="AM384" s="226">
        <f t="shared" si="94"/>
        <v>4.0968117809034562E-3</v>
      </c>
      <c r="AN384" s="226">
        <f t="shared" si="94"/>
        <v>3.8216386042898313E-3</v>
      </c>
      <c r="AO384" s="226">
        <f t="shared" si="94"/>
        <v>3.5649481603906041E-3</v>
      </c>
      <c r="AP384" s="226">
        <f t="shared" si="94"/>
        <v>3.3254990076786754E-3</v>
      </c>
      <c r="AQ384" s="226">
        <f t="shared" si="94"/>
        <v>3.1021330893238426E-3</v>
      </c>
      <c r="AR384" s="226">
        <f t="shared" si="94"/>
        <v>2.8937701324395428E-3</v>
      </c>
      <c r="AS384" s="226">
        <f t="shared" si="94"/>
        <v>2.6994024235189695E-3</v>
      </c>
      <c r="AT384" s="226">
        <f t="shared" si="94"/>
        <v>2.5180899347928159E-3</v>
      </c>
      <c r="AU384" s="226">
        <f t="shared" si="94"/>
        <v>2.3489557779380606E-3</v>
      </c>
      <c r="AV384" s="226">
        <f t="shared" si="94"/>
        <v>2.1911819631504057E-3</v>
      </c>
      <c r="AW384" s="226">
        <f t="shared" si="94"/>
        <v>2.0440054430698059E-3</v>
      </c>
      <c r="AX384" s="226">
        <f t="shared" si="94"/>
        <v>1.906714422426182E-3</v>
      </c>
      <c r="AY384" s="226">
        <f t="shared" si="92"/>
        <v>1.7786449155575213E-3</v>
      </c>
      <c r="AZ384" s="226">
        <f t="shared" si="92"/>
        <v>1.6591775351513603E-3</v>
      </c>
      <c r="BA384" s="226">
        <f t="shared" si="92"/>
        <v>1.5477344966789216E-3</v>
      </c>
      <c r="BB384" s="226">
        <f t="shared" si="95"/>
        <v>1.4437768240343396E-3</v>
      </c>
      <c r="BC384" s="226">
        <f t="shared" si="95"/>
        <v>1.346801742864502E-3</v>
      </c>
      <c r="BD384" s="226">
        <f t="shared" si="95"/>
        <v>1.2563402489827735E-3</v>
      </c>
      <c r="BE384" s="226">
        <f t="shared" si="95"/>
        <v>1.1719548401066295E-3</v>
      </c>
    </row>
    <row r="385" spans="5:57" s="10" customFormat="1" x14ac:dyDescent="0.35">
      <c r="E385" s="10" t="s">
        <v>631</v>
      </c>
      <c r="F385" s="10" t="s">
        <v>615</v>
      </c>
      <c r="G385" s="43" t="s">
        <v>616</v>
      </c>
      <c r="I385" s="20"/>
      <c r="J385" s="200"/>
      <c r="K385" s="200"/>
      <c r="L385" s="200"/>
      <c r="M385" s="200"/>
      <c r="N385" s="200">
        <v>2.1700000000000001E-2</v>
      </c>
      <c r="O385" s="226">
        <f t="shared" si="93"/>
        <v>2.0260720322875118E-2</v>
      </c>
      <c r="P385" s="226">
        <f t="shared" si="93"/>
        <v>1.891690267289239E-2</v>
      </c>
      <c r="Q385" s="226">
        <f t="shared" si="93"/>
        <v>1.7662215411544769E-2</v>
      </c>
      <c r="R385" s="226">
        <f t="shared" si="93"/>
        <v>1.649074685417895E-2</v>
      </c>
      <c r="S385" s="226">
        <f t="shared" si="93"/>
        <v>1.5396977416030064E-2</v>
      </c>
      <c r="T385" s="226">
        <f t="shared" si="93"/>
        <v>1.437575360570551E-2</v>
      </c>
      <c r="U385" s="226">
        <f t="shared" si="93"/>
        <v>1.3422263743583544E-2</v>
      </c>
      <c r="V385" s="226">
        <f t="shared" si="93"/>
        <v>1.2532015290719492E-2</v>
      </c>
      <c r="W385" s="226">
        <f t="shared" si="93"/>
        <v>1.1700813681440653E-2</v>
      </c>
      <c r="X385" s="226">
        <f t="shared" si="93"/>
        <v>1.0924742559895846E-2</v>
      </c>
      <c r="Y385" s="226">
        <f t="shared" si="93"/>
        <v>1.0200145327440577E-2</v>
      </c>
      <c r="Z385" s="226">
        <f t="shared" si="93"/>
        <v>9.5236079139149766E-3</v>
      </c>
      <c r="AA385" s="226">
        <f t="shared" si="93"/>
        <v>8.8919426916383177E-3</v>
      </c>
      <c r="AB385" s="226">
        <f t="shared" si="93"/>
        <v>8.3021734563279888E-3</v>
      </c>
      <c r="AC385" s="226">
        <f t="shared" si="93"/>
        <v>7.7515214041778274E-3</v>
      </c>
      <c r="AD385" s="226">
        <f t="shared" si="93"/>
        <v>7.2373920390242947E-3</v>
      </c>
      <c r="AE385" s="226">
        <f t="shared" si="91"/>
        <v>6.7573629479112498E-3</v>
      </c>
      <c r="AF385" s="226">
        <f t="shared" si="91"/>
        <v>6.3091723874557047E-3</v>
      </c>
      <c r="AG385" s="226">
        <f t="shared" si="91"/>
        <v>5.8907086272371578E-3</v>
      </c>
      <c r="AH385" s="227">
        <v>5.4999999999999997E-3</v>
      </c>
      <c r="AI385" s="226">
        <f t="shared" si="94"/>
        <v>5.1352056117886244E-3</v>
      </c>
      <c r="AJ385" s="226">
        <f t="shared" si="94"/>
        <v>4.7946066682446149E-3</v>
      </c>
      <c r="AK385" s="226">
        <f t="shared" si="94"/>
        <v>4.4765983761979834E-3</v>
      </c>
      <c r="AL385" s="226">
        <f t="shared" si="94"/>
        <v>4.1796823823955871E-3</v>
      </c>
      <c r="AM385" s="226">
        <f t="shared" si="94"/>
        <v>3.9024597137403394E-3</v>
      </c>
      <c r="AN385" s="226">
        <f t="shared" si="94"/>
        <v>3.6436241857778946E-3</v>
      </c>
      <c r="AO385" s="226">
        <f t="shared" si="94"/>
        <v>3.4019562483737094E-3</v>
      </c>
      <c r="AP385" s="226">
        <f t="shared" si="94"/>
        <v>3.1763172395832817E-3</v>
      </c>
      <c r="AQ385" s="226">
        <f t="shared" si="94"/>
        <v>2.9656440206416402E-3</v>
      </c>
      <c r="AR385" s="226">
        <f t="shared" si="94"/>
        <v>2.7689439667938783E-3</v>
      </c>
      <c r="AS385" s="226">
        <f t="shared" si="94"/>
        <v>2.5852902903651235E-3</v>
      </c>
      <c r="AT385" s="226">
        <f t="shared" si="94"/>
        <v>2.4138176740337502E-3</v>
      </c>
      <c r="AU385" s="226">
        <f t="shared" si="94"/>
        <v>2.2537181937332144E-3</v>
      </c>
      <c r="AV385" s="226">
        <f t="shared" si="94"/>
        <v>2.1042375119725318E-3</v>
      </c>
      <c r="AW385" s="226">
        <f t="shared" si="94"/>
        <v>1.9646713236395417E-3</v>
      </c>
      <c r="AX385" s="226">
        <f t="shared" si="94"/>
        <v>1.8343620375407199E-3</v>
      </c>
      <c r="AY385" s="226">
        <f t="shared" si="92"/>
        <v>1.7126956780420218E-3</v>
      </c>
      <c r="AZ385" s="226">
        <f t="shared" si="92"/>
        <v>1.5990989922122752E-3</v>
      </c>
      <c r="BA385" s="226">
        <f t="shared" si="92"/>
        <v>1.4930367488389109E-3</v>
      </c>
      <c r="BB385" s="226">
        <f t="shared" si="95"/>
        <v>1.3940092165898579E-3</v>
      </c>
      <c r="BC385" s="226">
        <f t="shared" si="95"/>
        <v>1.3015498094395095E-3</v>
      </c>
      <c r="BD385" s="226">
        <f t="shared" si="95"/>
        <v>1.2152228882647608E-3</v>
      </c>
      <c r="BE385" s="226">
        <f t="shared" si="95"/>
        <v>1.1346217082529419E-3</v>
      </c>
    </row>
    <row r="386" spans="5:57" s="10" customFormat="1" x14ac:dyDescent="0.35">
      <c r="E386" s="10" t="s">
        <v>632</v>
      </c>
      <c r="F386" s="10" t="s">
        <v>615</v>
      </c>
      <c r="G386" s="43" t="s">
        <v>616</v>
      </c>
      <c r="I386" s="20"/>
      <c r="J386" s="200"/>
      <c r="K386" s="200"/>
      <c r="L386" s="200"/>
      <c r="M386" s="200"/>
      <c r="N386" s="200">
        <v>2.01E-2</v>
      </c>
      <c r="O386" s="226">
        <f t="shared" si="93"/>
        <v>1.8786090999958031E-2</v>
      </c>
      <c r="P386" s="226">
        <f t="shared" si="93"/>
        <v>1.7558070400930555E-2</v>
      </c>
      <c r="Q386" s="226">
        <f t="shared" si="93"/>
        <v>1.6410323797788607E-2</v>
      </c>
      <c r="R386" s="226">
        <f t="shared" si="93"/>
        <v>1.5337603791245456E-2</v>
      </c>
      <c r="S386" s="226">
        <f t="shared" si="93"/>
        <v>1.4335005997195943E-2</v>
      </c>
      <c r="T386" s="226">
        <f t="shared" si="93"/>
        <v>1.3397946624291897E-2</v>
      </c>
      <c r="U386" s="226">
        <f t="shared" si="93"/>
        <v>1.2522141517240204E-2</v>
      </c>
      <c r="V386" s="226">
        <f t="shared" si="93"/>
        <v>1.1703586570011294E-2</v>
      </c>
      <c r="W386" s="226">
        <f t="shared" si="93"/>
        <v>1.0938539419408899E-2</v>
      </c>
      <c r="X386" s="226">
        <f t="shared" si="93"/>
        <v>1.0223502335305655E-2</v>
      </c>
      <c r="Y386" s="226">
        <f t="shared" si="93"/>
        <v>9.5552062293201741E-3</v>
      </c>
      <c r="Z386" s="226">
        <f t="shared" si="93"/>
        <v>8.9305957088246096E-3</v>
      </c>
      <c r="AA386" s="226">
        <f t="shared" si="93"/>
        <v>8.3468151079509369E-3</v>
      </c>
      <c r="AB386" s="226">
        <f t="shared" si="93"/>
        <v>7.8011954317308866E-3</v>
      </c>
      <c r="AC386" s="226">
        <f t="shared" si="93"/>
        <v>7.2912421536792697E-3</v>
      </c>
      <c r="AD386" s="226">
        <f t="shared" ref="AD386:AG401" si="96">AC386*(1+($AH386/$N386)^(1/($AH$6-$N$6))-1)</f>
        <v>6.8146238110322757E-3</v>
      </c>
      <c r="AE386" s="226">
        <f t="shared" si="96"/>
        <v>6.3691613454991613E-3</v>
      </c>
      <c r="AF386" s="226">
        <f t="shared" si="96"/>
        <v>5.9528181407941484E-3</v>
      </c>
      <c r="AG386" s="226">
        <f t="shared" si="96"/>
        <v>5.5636907114009881E-3</v>
      </c>
      <c r="AH386" s="227">
        <v>5.1999999999999998E-3</v>
      </c>
      <c r="AI386" s="226">
        <f t="shared" si="94"/>
        <v>4.8600832437702369E-3</v>
      </c>
      <c r="AJ386" s="226">
        <f t="shared" si="94"/>
        <v>4.5423863723800442E-3</v>
      </c>
      <c r="AK386" s="226">
        <f t="shared" si="94"/>
        <v>4.2454569029104858E-3</v>
      </c>
      <c r="AL386" s="226">
        <f t="shared" si="94"/>
        <v>3.9679372992276803E-3</v>
      </c>
      <c r="AM386" s="226">
        <f t="shared" si="94"/>
        <v>3.7085587654437265E-3</v>
      </c>
      <c r="AN386" s="226">
        <f t="shared" si="94"/>
        <v>3.4661354450904406E-3</v>
      </c>
      <c r="AO386" s="226">
        <f t="shared" si="94"/>
        <v>3.2395589994850273E-3</v>
      </c>
      <c r="AP386" s="226">
        <f t="shared" si="94"/>
        <v>3.0277935405004339E-3</v>
      </c>
      <c r="AQ386" s="226">
        <f t="shared" si="94"/>
        <v>2.8298708945734461E-3</v>
      </c>
      <c r="AR386" s="226">
        <f t="shared" si="94"/>
        <v>2.6448861762979801E-3</v>
      </c>
      <c r="AS386" s="226">
        <f t="shared" si="94"/>
        <v>2.4719936513664127E-3</v>
      </c>
      <c r="AT386" s="226">
        <f t="shared" si="94"/>
        <v>2.3104028699446745E-3</v>
      </c>
      <c r="AU386" s="226">
        <f t="shared" si="94"/>
        <v>2.1593750528032265E-3</v>
      </c>
      <c r="AV386" s="226">
        <f t="shared" si="94"/>
        <v>2.0182197136816215E-3</v>
      </c>
      <c r="AW386" s="226">
        <f t="shared" si="94"/>
        <v>1.8862915024443873E-3</v>
      </c>
      <c r="AX386" s="226">
        <f t="shared" ref="AX386:BE401" si="97">AW386*(1+($AH386/$N386)^(1/($AH$6-$N$6))-1)</f>
        <v>1.7629872545954139E-3</v>
      </c>
      <c r="AY386" s="226">
        <f t="shared" si="97"/>
        <v>1.6477432336614738E-3</v>
      </c>
      <c r="AZ386" s="226">
        <f t="shared" si="97"/>
        <v>1.5400325538372913E-3</v>
      </c>
      <c r="BA386" s="226">
        <f t="shared" si="97"/>
        <v>1.4393627711087125E-3</v>
      </c>
      <c r="BB386" s="226">
        <f t="shared" si="95"/>
        <v>1.3452736318407979E-3</v>
      </c>
      <c r="BC386" s="226">
        <f t="shared" si="95"/>
        <v>1.2573349685375756E-3</v>
      </c>
      <c r="BD386" s="226">
        <f t="shared" si="95"/>
        <v>1.175144733153048E-3</v>
      </c>
      <c r="BE386" s="226">
        <f t="shared" si="95"/>
        <v>1.0983271589619184E-3</v>
      </c>
    </row>
    <row r="387" spans="5:57" s="10" customFormat="1" x14ac:dyDescent="0.35">
      <c r="E387" s="109" t="s">
        <v>633</v>
      </c>
      <c r="F387" s="10" t="s">
        <v>615</v>
      </c>
      <c r="G387" s="43" t="s">
        <v>616</v>
      </c>
      <c r="I387" s="20"/>
      <c r="J387" s="200"/>
      <c r="K387" s="200"/>
      <c r="L387" s="200"/>
      <c r="M387" s="200"/>
      <c r="N387" s="200">
        <v>1.9900000000000001E-2</v>
      </c>
      <c r="O387" s="226">
        <f t="shared" ref="O387:AD402" si="98">N387*(1+($AH387/$N387)^(1/($AH$6-$N$6))-1)</f>
        <v>1.8590408434168537E-2</v>
      </c>
      <c r="P387" s="226">
        <f t="shared" si="98"/>
        <v>1.7366999283879633E-2</v>
      </c>
      <c r="Q387" s="226">
        <f t="shared" si="98"/>
        <v>1.6224101003177629E-2</v>
      </c>
      <c r="R387" s="226">
        <f t="shared" si="98"/>
        <v>1.5156415282727417E-2</v>
      </c>
      <c r="S387" s="226">
        <f t="shared" si="98"/>
        <v>1.4158992487626969E-2</v>
      </c>
      <c r="T387" s="226">
        <f t="shared" si="98"/>
        <v>1.3227208711623585E-2</v>
      </c>
      <c r="U387" s="226">
        <f t="shared" si="98"/>
        <v>1.2356744341360535E-2</v>
      </c>
      <c r="V387" s="226">
        <f t="shared" si="98"/>
        <v>1.1543564031281065E-2</v>
      </c>
      <c r="W387" s="226">
        <f t="shared" si="98"/>
        <v>1.0783897996356385E-2</v>
      </c>
      <c r="X387" s="226">
        <f t="shared" si="98"/>
        <v>1.0074224535913412E-2</v>
      </c>
      <c r="Y387" s="226">
        <f t="shared" si="98"/>
        <v>9.4112537075453414E-3</v>
      </c>
      <c r="Z387" s="226">
        <f t="shared" si="98"/>
        <v>8.79191207541964E-3</v>
      </c>
      <c r="AA387" s="226">
        <f t="shared" si="98"/>
        <v>8.2133284622788686E-3</v>
      </c>
      <c r="AB387" s="226">
        <f t="shared" si="98"/>
        <v>7.6728206390826925E-3</v>
      </c>
      <c r="AC387" s="226">
        <f t="shared" si="98"/>
        <v>7.1678828905861964E-3</v>
      </c>
      <c r="AD387" s="226">
        <f t="shared" si="98"/>
        <v>6.6961743992103506E-3</v>
      </c>
      <c r="AE387" s="226">
        <f t="shared" si="96"/>
        <v>6.2555083933539465E-3</v>
      </c>
      <c r="AF387" s="226">
        <f t="shared" si="96"/>
        <v>5.8438420098401644E-3</v>
      </c>
      <c r="AG387" s="226">
        <f t="shared" si="96"/>
        <v>5.4592668235015577E-3</v>
      </c>
      <c r="AH387" s="227">
        <v>5.1000000000000004E-3</v>
      </c>
      <c r="AI387" s="226">
        <f t="shared" ref="AI387:AX402" si="99">AH387*(1+($AH387/$N387)^(1/($AH$6-$N$6))-1)</f>
        <v>4.7643760308673138E-3</v>
      </c>
      <c r="AJ387" s="226">
        <f t="shared" si="99"/>
        <v>4.4508390124515639E-3</v>
      </c>
      <c r="AK387" s="226">
        <f t="shared" si="99"/>
        <v>4.1579354329751711E-3</v>
      </c>
      <c r="AL387" s="226">
        <f t="shared" si="99"/>
        <v>3.8843074342668252E-3</v>
      </c>
      <c r="AM387" s="226">
        <f t="shared" si="99"/>
        <v>3.6286865169295243E-3</v>
      </c>
      <c r="AN387" s="226">
        <f t="shared" si="99"/>
        <v>3.389887659762828E-3</v>
      </c>
      <c r="AO387" s="226">
        <f t="shared" si="99"/>
        <v>3.1668038261778251E-3</v>
      </c>
      <c r="AP387" s="226">
        <f t="shared" si="99"/>
        <v>2.9584008321373585E-3</v>
      </c>
      <c r="AQ387" s="226">
        <f t="shared" si="99"/>
        <v>2.7637125518300285E-3</v>
      </c>
      <c r="AR387" s="226">
        <f t="shared" si="99"/>
        <v>2.5818364388521813E-3</v>
      </c>
      <c r="AS387" s="226">
        <f t="shared" si="99"/>
        <v>2.4119293421347361E-3</v>
      </c>
      <c r="AT387" s="226">
        <f t="shared" si="99"/>
        <v>2.2532035972180988E-3</v>
      </c>
      <c r="AU387" s="226">
        <f t="shared" si="99"/>
        <v>2.1049233747548858E-3</v>
      </c>
      <c r="AV387" s="226">
        <f t="shared" si="99"/>
        <v>1.9664012693126494E-3</v>
      </c>
      <c r="AW387" s="226">
        <f t="shared" si="99"/>
        <v>1.8369951126627937E-3</v>
      </c>
      <c r="AX387" s="226">
        <f t="shared" si="99"/>
        <v>1.7161049967825519E-3</v>
      </c>
      <c r="AY387" s="226">
        <f t="shared" si="97"/>
        <v>1.6031704927691015E-3</v>
      </c>
      <c r="AZ387" s="226">
        <f t="shared" si="97"/>
        <v>1.4976680527731072E-3</v>
      </c>
      <c r="BA387" s="226">
        <f t="shared" si="97"/>
        <v>1.3991085829074342E-3</v>
      </c>
      <c r="BB387" s="226">
        <f t="shared" si="97"/>
        <v>1.3070351758793946E-3</v>
      </c>
      <c r="BC387" s="226">
        <f t="shared" si="97"/>
        <v>1.2210209928353393E-3</v>
      </c>
      <c r="BD387" s="226">
        <f t="shared" si="97"/>
        <v>1.1406672845981373E-3</v>
      </c>
      <c r="BE387" s="226">
        <f t="shared" si="97"/>
        <v>1.0656015431242882E-3</v>
      </c>
    </row>
    <row r="388" spans="5:57" s="10" customFormat="1" x14ac:dyDescent="0.35">
      <c r="E388" s="109" t="s">
        <v>634</v>
      </c>
      <c r="F388" s="10" t="s">
        <v>615</v>
      </c>
      <c r="G388" s="43" t="s">
        <v>616</v>
      </c>
      <c r="I388" s="20"/>
      <c r="J388" s="200"/>
      <c r="K388" s="200"/>
      <c r="L388" s="200"/>
      <c r="M388" s="200"/>
      <c r="N388" s="200">
        <v>1.9699999999999999E-2</v>
      </c>
      <c r="O388" s="226">
        <f t="shared" si="98"/>
        <v>1.8412867317471261E-2</v>
      </c>
      <c r="P388" s="226">
        <f t="shared" si="98"/>
        <v>1.7209831616791946E-2</v>
      </c>
      <c r="Q388" s="226">
        <f t="shared" si="98"/>
        <v>1.608539828000061E-2</v>
      </c>
      <c r="R388" s="226">
        <f t="shared" si="98"/>
        <v>1.5034431689255416E-2</v>
      </c>
      <c r="S388" s="226">
        <f t="shared" si="98"/>
        <v>1.4052131770956613E-2</v>
      </c>
      <c r="T388" s="226">
        <f t="shared" si="98"/>
        <v>1.3134012072398303E-2</v>
      </c>
      <c r="U388" s="226">
        <f t="shared" si="98"/>
        <v>1.2275879270819072E-2</v>
      </c>
      <c r="V388" s="226">
        <f t="shared" si="98"/>
        <v>1.1473814021263322E-2</v>
      </c>
      <c r="W388" s="226">
        <f t="shared" si="98"/>
        <v>1.0724153055779844E-2</v>
      </c>
      <c r="X388" s="226">
        <f t="shared" si="98"/>
        <v>1.0023472452199403E-2</v>
      </c>
      <c r="Y388" s="226">
        <f t="shared" si="98"/>
        <v>9.3685719960749196E-3</v>
      </c>
      <c r="Z388" s="226">
        <f t="shared" si="98"/>
        <v>8.7564605643606283E-3</v>
      </c>
      <c r="AA388" s="226">
        <f t="shared" si="98"/>
        <v>8.1843424640731868E-3</v>
      </c>
      <c r="AB388" s="226">
        <f t="shared" si="98"/>
        <v>7.6496046635393597E-3</v>
      </c>
      <c r="AC388" s="226">
        <f t="shared" si="98"/>
        <v>7.1498048579116558E-3</v>
      </c>
      <c r="AD388" s="226">
        <f t="shared" si="98"/>
        <v>6.6826603144435927E-3</v>
      </c>
      <c r="AE388" s="226">
        <f t="shared" si="96"/>
        <v>6.2460374465776979E-3</v>
      </c>
      <c r="AF388" s="226">
        <f t="shared" si="96"/>
        <v>5.8379420692280274E-3</v>
      </c>
      <c r="AG388" s="226">
        <f t="shared" si="96"/>
        <v>5.4565102907502177E-3</v>
      </c>
      <c r="AH388" s="227">
        <v>5.1000000000000004E-3</v>
      </c>
      <c r="AI388" s="226">
        <f t="shared" si="99"/>
        <v>4.7667829095991597E-3</v>
      </c>
      <c r="AJ388" s="226">
        <f t="shared" si="99"/>
        <v>4.4553371190679657E-3</v>
      </c>
      <c r="AK388" s="226">
        <f t="shared" si="99"/>
        <v>4.1642401638580257E-3</v>
      </c>
      <c r="AL388" s="226">
        <f t="shared" si="99"/>
        <v>3.8921625185382035E-3</v>
      </c>
      <c r="AM388" s="226">
        <f t="shared" si="99"/>
        <v>3.6378615244608485E-3</v>
      </c>
      <c r="AN388" s="226">
        <f t="shared" si="99"/>
        <v>3.4001757141741795E-3</v>
      </c>
      <c r="AO388" s="226">
        <f t="shared" si="99"/>
        <v>3.1780195066587438E-3</v>
      </c>
      <c r="AP388" s="226">
        <f t="shared" si="99"/>
        <v>2.9703782491595394E-3</v>
      </c>
      <c r="AQ388" s="226">
        <f t="shared" si="99"/>
        <v>2.7763035829683853E-3</v>
      </c>
      <c r="AR388" s="226">
        <f t="shared" si="99"/>
        <v>2.5949091119907078E-3</v>
      </c>
      <c r="AS388" s="226">
        <f t="shared" si="99"/>
        <v>2.4253663543138109E-3</v>
      </c>
      <c r="AT388" s="226">
        <f t="shared" si="99"/>
        <v>2.2669009582862534E-3</v>
      </c>
      <c r="AU388" s="226">
        <f t="shared" si="99"/>
        <v>2.1187891658260528E-3</v>
      </c>
      <c r="AV388" s="226">
        <f t="shared" si="99"/>
        <v>1.9803545068046054E-3</v>
      </c>
      <c r="AW388" s="226">
        <f t="shared" si="99"/>
        <v>1.8509647094086007E-3</v>
      </c>
      <c r="AX388" s="226">
        <f t="shared" si="99"/>
        <v>1.7300288123686454E-3</v>
      </c>
      <c r="AY388" s="226">
        <f t="shared" si="97"/>
        <v>1.6169944658652919E-3</v>
      </c>
      <c r="AZ388" s="226">
        <f t="shared" si="97"/>
        <v>1.5113454087849205E-3</v>
      </c>
      <c r="BA388" s="226">
        <f t="shared" si="97"/>
        <v>1.4125991108033557E-3</v>
      </c>
      <c r="BB388" s="226">
        <f t="shared" si="97"/>
        <v>1.3203045685279224E-3</v>
      </c>
      <c r="BC388" s="226">
        <f t="shared" si="97"/>
        <v>1.234040245632273E-3</v>
      </c>
      <c r="BD388" s="226">
        <f t="shared" si="97"/>
        <v>1.1534121475759739E-3</v>
      </c>
      <c r="BE388" s="226">
        <f t="shared" si="97"/>
        <v>1.0780520221155324E-3</v>
      </c>
    </row>
    <row r="389" spans="5:57" s="10" customFormat="1" x14ac:dyDescent="0.35">
      <c r="E389" s="109" t="s">
        <v>635</v>
      </c>
      <c r="F389" s="10" t="s">
        <v>615</v>
      </c>
      <c r="G389" s="43" t="s">
        <v>616</v>
      </c>
      <c r="I389" s="20"/>
      <c r="J389" s="200"/>
      <c r="K389" s="200"/>
      <c r="L389" s="200"/>
      <c r="M389" s="200"/>
      <c r="N389" s="200">
        <v>1.95E-2</v>
      </c>
      <c r="O389" s="226">
        <f t="shared" si="98"/>
        <v>1.821718971035247E-2</v>
      </c>
      <c r="P389" s="226">
        <f t="shared" si="98"/>
        <v>1.7018769279126766E-2</v>
      </c>
      <c r="Q389" s="226">
        <f t="shared" si="98"/>
        <v>1.5899187107413892E-2</v>
      </c>
      <c r="R389" s="226">
        <f t="shared" si="98"/>
        <v>1.4853256809033284E-2</v>
      </c>
      <c r="S389" s="226">
        <f t="shared" si="98"/>
        <v>1.3876133184961226E-2</v>
      </c>
      <c r="T389" s="226">
        <f t="shared" si="98"/>
        <v>1.2963289778284929E-2</v>
      </c>
      <c r="U389" s="226">
        <f t="shared" si="98"/>
        <v>1.2110497905707158E-2</v>
      </c>
      <c r="V389" s="226">
        <f t="shared" si="98"/>
        <v>1.1313807068466339E-2</v>
      </c>
      <c r="W389" s="226">
        <f t="shared" si="98"/>
        <v>1.0569526651927079E-2</v>
      </c>
      <c r="X389" s="226">
        <f t="shared" si="98"/>
        <v>9.8742088290657542E-3</v>
      </c>
      <c r="Y389" s="226">
        <f t="shared" si="98"/>
        <v>9.2246325886527272E-3</v>
      </c>
      <c r="Z389" s="226">
        <f t="shared" si="98"/>
        <v>8.6177888141429002E-3</v>
      </c>
      <c r="AA389" s="226">
        <f t="shared" si="98"/>
        <v>8.0508663441535722E-3</v>
      </c>
      <c r="AB389" s="226">
        <f t="shared" si="98"/>
        <v>7.5212389499557681E-3</v>
      </c>
      <c r="AC389" s="226">
        <f t="shared" si="98"/>
        <v>7.0264531696531511E-3</v>
      </c>
      <c r="AD389" s="226">
        <f t="shared" si="98"/>
        <v>6.5642169426912249E-3</v>
      </c>
      <c r="AE389" s="226">
        <f t="shared" si="96"/>
        <v>6.1323889920469714E-3</v>
      </c>
      <c r="AF389" s="226">
        <f t="shared" si="96"/>
        <v>5.7289689049126588E-3</v>
      </c>
      <c r="AG389" s="226">
        <f t="shared" si="96"/>
        <v>5.3520878659232898E-3</v>
      </c>
      <c r="AH389" s="227">
        <v>5.0000000000000001E-3</v>
      </c>
      <c r="AI389" s="226">
        <f t="shared" si="99"/>
        <v>4.6710742847057623E-3</v>
      </c>
      <c r="AJ389" s="226">
        <f t="shared" si="99"/>
        <v>4.3637869946478889E-3</v>
      </c>
      <c r="AK389" s="226">
        <f t="shared" si="99"/>
        <v>4.0767146429266385E-3</v>
      </c>
      <c r="AL389" s="226">
        <f t="shared" si="99"/>
        <v>3.8085273869316108E-3</v>
      </c>
      <c r="AM389" s="226">
        <f t="shared" si="99"/>
        <v>3.5579828679387754E-3</v>
      </c>
      <c r="AN389" s="226">
        <f t="shared" si="99"/>
        <v>3.3239204559704942E-3</v>
      </c>
      <c r="AO389" s="226">
        <f t="shared" si="99"/>
        <v>3.1052558732582451E-3</v>
      </c>
      <c r="AP389" s="226">
        <f t="shared" si="99"/>
        <v>2.9009761714016247E-3</v>
      </c>
      <c r="AQ389" s="226">
        <f t="shared" si="99"/>
        <v>2.7101350389556605E-3</v>
      </c>
      <c r="AR389" s="226">
        <f t="shared" si="99"/>
        <v>2.5318484177091669E-3</v>
      </c>
      <c r="AS389" s="226">
        <f t="shared" si="99"/>
        <v>2.3652904073468524E-3</v>
      </c>
      <c r="AT389" s="226">
        <f t="shared" si="99"/>
        <v>2.2096894395238196E-3</v>
      </c>
      <c r="AU389" s="226">
        <f t="shared" si="99"/>
        <v>2.0643247036291204E-3</v>
      </c>
      <c r="AV389" s="226">
        <f t="shared" si="99"/>
        <v>1.9285228076809655E-3</v>
      </c>
      <c r="AW389" s="226">
        <f t="shared" si="99"/>
        <v>1.8016546588854228E-3</v>
      </c>
      <c r="AX389" s="226">
        <f t="shared" si="99"/>
        <v>1.6831325494080058E-3</v>
      </c>
      <c r="AY389" s="226">
        <f t="shared" si="97"/>
        <v>1.5724074338581973E-3</v>
      </c>
      <c r="AZ389" s="226">
        <f t="shared" si="97"/>
        <v>1.4689663858750402E-3</v>
      </c>
      <c r="BA389" s="226">
        <f t="shared" si="97"/>
        <v>1.3723302220316122E-3</v>
      </c>
      <c r="BB389" s="226">
        <f t="shared" si="97"/>
        <v>1.2820512820512825E-3</v>
      </c>
      <c r="BC389" s="226">
        <f t="shared" si="97"/>
        <v>1.1977113550527599E-3</v>
      </c>
      <c r="BD389" s="226">
        <f t="shared" si="97"/>
        <v>1.1189197422174079E-3</v>
      </c>
      <c r="BE389" s="226">
        <f t="shared" si="97"/>
        <v>1.0453114469042668E-3</v>
      </c>
    </row>
    <row r="390" spans="5:57" s="10" customFormat="1" x14ac:dyDescent="0.35">
      <c r="E390" s="10" t="s">
        <v>636</v>
      </c>
      <c r="F390" s="10" t="s">
        <v>615</v>
      </c>
      <c r="G390" s="43" t="s">
        <v>616</v>
      </c>
      <c r="I390" s="20"/>
      <c r="J390" s="200"/>
      <c r="K390" s="200"/>
      <c r="L390" s="200"/>
      <c r="M390" s="200"/>
      <c r="N390" s="200">
        <v>1.9199999999999998E-2</v>
      </c>
      <c r="O390" s="226">
        <f t="shared" si="98"/>
        <v>1.7950835516006632E-2</v>
      </c>
      <c r="P390" s="226">
        <f t="shared" si="98"/>
        <v>1.6782942485558599E-2</v>
      </c>
      <c r="Q390" s="226">
        <f t="shared" si="98"/>
        <v>1.5691033335044895E-2</v>
      </c>
      <c r="R390" s="226">
        <f t="shared" si="98"/>
        <v>1.4670164503831663E-2</v>
      </c>
      <c r="S390" s="226">
        <f t="shared" si="98"/>
        <v>1.3715714062554233E-2</v>
      </c>
      <c r="T390" s="226">
        <f t="shared" si="98"/>
        <v>1.2823360787577613E-2</v>
      </c>
      <c r="U390" s="226">
        <f t="shared" si="98"/>
        <v>1.1989064596886199E-2</v>
      </c>
      <c r="V390" s="226">
        <f t="shared" si="98"/>
        <v>1.1209048258827216E-2</v>
      </c>
      <c r="W390" s="226">
        <f t="shared" si="98"/>
        <v>1.0479780290895203E-2</v>
      </c>
      <c r="X390" s="226">
        <f t="shared" si="98"/>
        <v>9.7979589711327062E-3</v>
      </c>
      <c r="Y390" s="226">
        <f t="shared" si="98"/>
        <v>9.1604973897596257E-3</v>
      </c>
      <c r="Z390" s="226">
        <f t="shared" si="98"/>
        <v>8.5645094733532903E-3</v>
      </c>
      <c r="AA390" s="226">
        <f t="shared" si="98"/>
        <v>8.0072969183044539E-3</v>
      </c>
      <c r="AB390" s="226">
        <f t="shared" si="98"/>
        <v>7.486336974391149E-3</v>
      </c>
      <c r="AC390" s="226">
        <f t="shared" si="98"/>
        <v>6.999271023161161E-3</v>
      </c>
      <c r="AD390" s="226">
        <f t="shared" si="98"/>
        <v>6.5438938994123678E-3</v>
      </c>
      <c r="AE390" s="226">
        <f t="shared" si="96"/>
        <v>6.1181439074245144E-3</v>
      </c>
      <c r="AF390" s="226">
        <f t="shared" si="96"/>
        <v>5.7200934867414361E-3</v>
      </c>
      <c r="AG390" s="226">
        <f t="shared" si="96"/>
        <v>5.3479404852435622E-3</v>
      </c>
      <c r="AH390" s="227">
        <v>5.0000000000000001E-3</v>
      </c>
      <c r="AI390" s="226">
        <f t="shared" si="99"/>
        <v>4.6746967489600614E-3</v>
      </c>
      <c r="AJ390" s="226">
        <f t="shared" si="99"/>
        <v>4.3705579389475531E-3</v>
      </c>
      <c r="AK390" s="226">
        <f t="shared" si="99"/>
        <v>4.0862065976679423E-3</v>
      </c>
      <c r="AL390" s="226">
        <f t="shared" si="99"/>
        <v>3.8203553395394965E-3</v>
      </c>
      <c r="AM390" s="226">
        <f t="shared" si="99"/>
        <v>3.5718005371234989E-3</v>
      </c>
      <c r="AN390" s="226">
        <f t="shared" si="99"/>
        <v>3.3394168717650039E-3</v>
      </c>
      <c r="AO390" s="226">
        <f t="shared" si="99"/>
        <v>3.122152238772448E-3</v>
      </c>
      <c r="AP390" s="226">
        <f t="shared" si="99"/>
        <v>2.9190229840695878E-3</v>
      </c>
      <c r="AQ390" s="226">
        <f t="shared" si="99"/>
        <v>2.7291094507539597E-3</v>
      </c>
      <c r="AR390" s="226">
        <f t="shared" si="99"/>
        <v>2.5515518153991427E-3</v>
      </c>
      <c r="AS390" s="226">
        <f t="shared" si="99"/>
        <v>2.3855461952499027E-3</v>
      </c>
      <c r="AT390" s="226">
        <f t="shared" si="99"/>
        <v>2.2303410086857525E-3</v>
      </c>
      <c r="AU390" s="226">
        <f t="shared" si="99"/>
        <v>2.0852335724751182E-3</v>
      </c>
      <c r="AV390" s="226">
        <f t="shared" si="99"/>
        <v>1.9495669204143617E-3</v>
      </c>
      <c r="AW390" s="226">
        <f t="shared" si="99"/>
        <v>1.8227268289482189E-3</v>
      </c>
      <c r="AX390" s="226">
        <f t="shared" si="99"/>
        <v>1.7041390363053039E-3</v>
      </c>
      <c r="AY390" s="226">
        <f t="shared" si="97"/>
        <v>1.5932666425584672E-3</v>
      </c>
      <c r="AZ390" s="226">
        <f t="shared" si="97"/>
        <v>1.4896076788389156E-3</v>
      </c>
      <c r="BA390" s="226">
        <f t="shared" si="97"/>
        <v>1.3926928346988444E-3</v>
      </c>
      <c r="BB390" s="226">
        <f t="shared" si="97"/>
        <v>1.302083333333332E-3</v>
      </c>
      <c r="BC390" s="226">
        <f t="shared" si="97"/>
        <v>1.2173689450416813E-3</v>
      </c>
      <c r="BD390" s="226">
        <f t="shared" si="97"/>
        <v>1.1381661299342575E-3</v>
      </c>
      <c r="BE390" s="226">
        <f t="shared" si="97"/>
        <v>1.0641163014760255E-3</v>
      </c>
    </row>
    <row r="391" spans="5:57" s="10" customFormat="1" x14ac:dyDescent="0.35">
      <c r="E391" s="10" t="s">
        <v>637</v>
      </c>
      <c r="F391" s="10" t="s">
        <v>615</v>
      </c>
      <c r="G391" s="43" t="s">
        <v>616</v>
      </c>
      <c r="I391" s="20"/>
      <c r="J391" s="200"/>
      <c r="K391" s="200"/>
      <c r="L391" s="200"/>
      <c r="M391" s="200"/>
      <c r="N391" s="200">
        <v>1.9E-2</v>
      </c>
      <c r="O391" s="226">
        <f t="shared" si="98"/>
        <v>1.7755206386542776E-2</v>
      </c>
      <c r="P391" s="226">
        <f t="shared" si="98"/>
        <v>1.6591965990985759E-2</v>
      </c>
      <c r="Q391" s="226">
        <f t="shared" si="98"/>
        <v>1.5504935817286888E-2</v>
      </c>
      <c r="R391" s="226">
        <f t="shared" si="98"/>
        <v>1.4489122918212E-2</v>
      </c>
      <c r="S391" s="226">
        <f t="shared" si="98"/>
        <v>1.3539861461728473E-2</v>
      </c>
      <c r="T391" s="226">
        <f t="shared" si="98"/>
        <v>1.2652791299904516E-2</v>
      </c>
      <c r="U391" s="226">
        <f t="shared" si="98"/>
        <v>1.1823837941876712E-2</v>
      </c>
      <c r="V391" s="226">
        <f t="shared" si="98"/>
        <v>1.1049193838897695E-2</v>
      </c>
      <c r="W391" s="226">
        <f t="shared" si="98"/>
        <v>1.0325300895502392E-2</v>
      </c>
      <c r="X391" s="226">
        <f t="shared" si="98"/>
        <v>9.6488341264631527E-3</v>
      </c>
      <c r="Y391" s="226">
        <f t="shared" si="98"/>
        <v>9.0166863844668658E-3</v>
      </c>
      <c r="Z391" s="226">
        <f t="shared" si="98"/>
        <v>8.4259540883652312E-3</v>
      </c>
      <c r="AA391" s="226">
        <f t="shared" si="98"/>
        <v>7.8739238864451878E-3</v>
      </c>
      <c r="AB391" s="226">
        <f t="shared" si="98"/>
        <v>7.3580601934612275E-3</v>
      </c>
      <c r="AC391" s="226">
        <f t="shared" si="98"/>
        <v>6.8759935441846821E-3</v>
      </c>
      <c r="AD391" s="226">
        <f t="shared" si="98"/>
        <v>6.4255097099755144E-3</v>
      </c>
      <c r="AE391" s="226">
        <f t="shared" si="96"/>
        <v>6.0045395283868357E-3</v>
      </c>
      <c r="AF391" s="226">
        <f t="shared" si="96"/>
        <v>5.6111493990875002E-3</v>
      </c>
      <c r="AG391" s="226">
        <f t="shared" si="96"/>
        <v>5.2435324024486338E-3</v>
      </c>
      <c r="AH391" s="227">
        <v>4.8999999999999998E-3</v>
      </c>
      <c r="AI391" s="226">
        <f t="shared" si="99"/>
        <v>4.5789742786347155E-3</v>
      </c>
      <c r="AJ391" s="226">
        <f t="shared" si="99"/>
        <v>4.2789807029384322E-3</v>
      </c>
      <c r="AK391" s="226">
        <f t="shared" si="99"/>
        <v>3.998641342352934E-3</v>
      </c>
      <c r="AL391" s="226">
        <f t="shared" si="99"/>
        <v>3.7366685420651999E-3</v>
      </c>
      <c r="AM391" s="226">
        <f t="shared" si="99"/>
        <v>3.4918590085510274E-3</v>
      </c>
      <c r="AN391" s="226">
        <f t="shared" si="99"/>
        <v>3.2630882826069543E-3</v>
      </c>
      <c r="AO391" s="226">
        <f t="shared" si="99"/>
        <v>3.0493055744839946E-3</v>
      </c>
      <c r="AP391" s="226">
        <f t="shared" si="99"/>
        <v>2.849528937399932E-3</v>
      </c>
      <c r="AQ391" s="226">
        <f t="shared" si="99"/>
        <v>2.6628407572611432E-3</v>
      </c>
      <c r="AR391" s="226">
        <f t="shared" si="99"/>
        <v>2.4883835378773397E-3</v>
      </c>
      <c r="AS391" s="226">
        <f t="shared" si="99"/>
        <v>2.3253559623098762E-3</v>
      </c>
      <c r="AT391" s="226">
        <f t="shared" si="99"/>
        <v>2.1730092122626125E-3</v>
      </c>
      <c r="AU391" s="226">
        <f t="shared" si="99"/>
        <v>2.0306435286095489E-3</v>
      </c>
      <c r="AV391" s="226">
        <f t="shared" si="99"/>
        <v>1.8976049972610537E-3</v>
      </c>
      <c r="AW391" s="226">
        <f t="shared" si="99"/>
        <v>1.7732825456055236E-3</v>
      </c>
      <c r="AX391" s="226">
        <f t="shared" si="99"/>
        <v>1.6571051357305276E-3</v>
      </c>
      <c r="AY391" s="226">
        <f t="shared" si="97"/>
        <v>1.548539141531342E-3</v>
      </c>
      <c r="AZ391" s="226">
        <f t="shared" si="97"/>
        <v>1.447085897659408E-3</v>
      </c>
      <c r="BA391" s="226">
        <f t="shared" si="97"/>
        <v>1.3522794090525426E-3</v>
      </c>
      <c r="BB391" s="226">
        <f t="shared" si="97"/>
        <v>1.2636842105263155E-3</v>
      </c>
      <c r="BC391" s="226">
        <f t="shared" si="97"/>
        <v>1.1808933665952686E-3</v>
      </c>
      <c r="BD391" s="226">
        <f t="shared" si="97"/>
        <v>1.1035266023367532E-3</v>
      </c>
      <c r="BE391" s="226">
        <f t="shared" si="97"/>
        <v>1.0312285567120722E-3</v>
      </c>
    </row>
    <row r="392" spans="5:57" s="10" customFormat="1" x14ac:dyDescent="0.35">
      <c r="E392" s="10" t="s">
        <v>638</v>
      </c>
      <c r="F392" s="10" t="s">
        <v>615</v>
      </c>
      <c r="G392" s="43" t="s">
        <v>616</v>
      </c>
      <c r="I392" s="20"/>
      <c r="J392" s="200"/>
      <c r="K392" s="200"/>
      <c r="L392" s="200"/>
      <c r="M392" s="200"/>
      <c r="N392" s="200">
        <v>1.7999999999999999E-2</v>
      </c>
      <c r="O392" s="226">
        <f t="shared" si="98"/>
        <v>1.6831149313396934E-2</v>
      </c>
      <c r="P392" s="226">
        <f t="shared" si="98"/>
        <v>1.5738199289436781E-2</v>
      </c>
      <c r="Q392" s="226">
        <f t="shared" si="98"/>
        <v>1.4716221231361555E-2</v>
      </c>
      <c r="R392" s="226">
        <f t="shared" si="98"/>
        <v>1.3760606493001579E-2</v>
      </c>
      <c r="S392" s="226">
        <f t="shared" si="98"/>
        <v>1.2867045695922718E-2</v>
      </c>
      <c r="T392" s="226">
        <f t="shared" si="98"/>
        <v>1.2031509296132035E-2</v>
      </c>
      <c r="U392" s="226">
        <f t="shared" si="98"/>
        <v>1.1250229412706751E-2</v>
      </c>
      <c r="V392" s="226">
        <f t="shared" si="98"/>
        <v>1.0519682836402068E-2</v>
      </c>
      <c r="W392" s="226">
        <f t="shared" si="98"/>
        <v>9.8365751416145657E-3</v>
      </c>
      <c r="X392" s="226">
        <f t="shared" si="98"/>
        <v>9.1978258300535187E-3</v>
      </c>
      <c r="Y392" s="226">
        <f t="shared" si="98"/>
        <v>8.6005544391249932E-3</v>
      </c>
      <c r="Z392" s="226">
        <f t="shared" si="98"/>
        <v>8.0420675523839771E-3</v>
      </c>
      <c r="AA392" s="226">
        <f t="shared" si="98"/>
        <v>7.5198466534777408E-3</v>
      </c>
      <c r="AB392" s="226">
        <f t="shared" si="98"/>
        <v>7.0315367688073395E-3</v>
      </c>
      <c r="AC392" s="226">
        <f t="shared" si="98"/>
        <v>6.5749358476909414E-3</v>
      </c>
      <c r="AD392" s="226">
        <f t="shared" si="98"/>
        <v>6.1479848321384601E-3</v>
      </c>
      <c r="AE392" s="226">
        <f t="shared" si="96"/>
        <v>5.7487583714567782E-3</v>
      </c>
      <c r="AF392" s="226">
        <f t="shared" si="96"/>
        <v>5.3754561398127575E-3</v>
      </c>
      <c r="AG392" s="226">
        <f t="shared" si="96"/>
        <v>5.0263947176002683E-3</v>
      </c>
      <c r="AH392" s="227">
        <v>4.7000000000000002E-3</v>
      </c>
      <c r="AI392" s="226">
        <f t="shared" si="99"/>
        <v>4.3948000984980889E-3</v>
      </c>
      <c r="AJ392" s="226">
        <f t="shared" si="99"/>
        <v>4.1094187033529385E-3</v>
      </c>
      <c r="AK392" s="226">
        <f t="shared" si="99"/>
        <v>3.8425688770777405E-3</v>
      </c>
      <c r="AL392" s="226">
        <f t="shared" si="99"/>
        <v>3.5930472509504135E-3</v>
      </c>
      <c r="AM392" s="226">
        <f t="shared" si="99"/>
        <v>3.359728598379822E-3</v>
      </c>
      <c r="AN392" s="226">
        <f t="shared" si="99"/>
        <v>3.1415607606566994E-3</v>
      </c>
      <c r="AO392" s="226">
        <f t="shared" si="99"/>
        <v>2.9375599022067643E-3</v>
      </c>
      <c r="AP392" s="226">
        <f t="shared" si="99"/>
        <v>2.7468060739494304E-3</v>
      </c>
      <c r="AQ392" s="226">
        <f t="shared" si="99"/>
        <v>2.5684390647549159E-3</v>
      </c>
      <c r="AR392" s="226">
        <f t="shared" si="99"/>
        <v>2.4016545222917537E-3</v>
      </c>
      <c r="AS392" s="226">
        <f t="shared" si="99"/>
        <v>2.2457003257715272E-3</v>
      </c>
      <c r="AT392" s="226">
        <f t="shared" si="99"/>
        <v>2.0998731942335949E-3</v>
      </c>
      <c r="AU392" s="226">
        <f t="shared" si="99"/>
        <v>1.9635155150747445E-3</v>
      </c>
      <c r="AV392" s="226">
        <f t="shared" si="99"/>
        <v>1.8360123785219173E-3</v>
      </c>
      <c r="AW392" s="226">
        <f t="shared" si="99"/>
        <v>1.7167888046748577E-3</v>
      </c>
      <c r="AX392" s="226">
        <f t="shared" si="99"/>
        <v>1.605307150613932E-3</v>
      </c>
      <c r="AY392" s="226">
        <f t="shared" si="97"/>
        <v>1.5010646858803817E-3</v>
      </c>
      <c r="AZ392" s="226">
        <f t="shared" si="97"/>
        <v>1.4035913253955539E-3</v>
      </c>
      <c r="BA392" s="226">
        <f t="shared" si="97"/>
        <v>1.3124475095956261E-3</v>
      </c>
      <c r="BB392" s="226">
        <f t="shared" si="97"/>
        <v>1.2272222222222187E-3</v>
      </c>
      <c r="BC392" s="226">
        <f t="shared" si="97"/>
        <v>1.1475311368300532E-3</v>
      </c>
      <c r="BD392" s="226">
        <f t="shared" si="97"/>
        <v>1.073014883653264E-3</v>
      </c>
      <c r="BE392" s="226">
        <f t="shared" si="97"/>
        <v>1.0033374290147404E-3</v>
      </c>
    </row>
    <row r="393" spans="5:57" s="10" customFormat="1" x14ac:dyDescent="0.35">
      <c r="E393" s="10" t="s">
        <v>639</v>
      </c>
      <c r="F393" s="10" t="s">
        <v>615</v>
      </c>
      <c r="G393" s="43" t="s">
        <v>616</v>
      </c>
      <c r="I393" s="20"/>
      <c r="J393" s="200"/>
      <c r="K393" s="200"/>
      <c r="L393" s="200"/>
      <c r="M393" s="200"/>
      <c r="N393" s="200">
        <v>1.7000000000000001E-2</v>
      </c>
      <c r="O393" s="226">
        <f t="shared" si="98"/>
        <v>1.5906956777176486E-2</v>
      </c>
      <c r="P393" s="226">
        <f t="shared" si="98"/>
        <v>1.4884192582997703E-2</v>
      </c>
      <c r="Q393" s="226">
        <f t="shared" si="98"/>
        <v>1.3927188710642077E-2</v>
      </c>
      <c r="R393" s="226">
        <f t="shared" si="98"/>
        <v>1.3031716991044931E-2</v>
      </c>
      <c r="S393" s="226">
        <f t="shared" si="98"/>
        <v>1.2193821112291066E-2</v>
      </c>
      <c r="T393" s="226">
        <f t="shared" si="98"/>
        <v>1.1409799140108005E-2</v>
      </c>
      <c r="U393" s="226">
        <f t="shared" si="98"/>
        <v>1.0676187162233145E-2</v>
      </c>
      <c r="V393" s="226">
        <f t="shared" si="98"/>
        <v>9.9897439843934788E-3</v>
      </c>
      <c r="W393" s="226">
        <f t="shared" si="98"/>
        <v>9.3474368102826992E-3</v>
      </c>
      <c r="X393" s="226">
        <f t="shared" si="98"/>
        <v>8.7464278422679613E-3</v>
      </c>
      <c r="Y393" s="226">
        <f t="shared" si="98"/>
        <v>8.1840617436264394E-3</v>
      </c>
      <c r="Z393" s="226">
        <f t="shared" si="98"/>
        <v>7.6578539069182003E-3</v>
      </c>
      <c r="AA393" s="226">
        <f t="shared" si="98"/>
        <v>7.1654794766635235E-3</v>
      </c>
      <c r="AB393" s="226">
        <f t="shared" si="98"/>
        <v>6.7047630778254031E-3</v>
      </c>
      <c r="AC393" s="226">
        <f t="shared" si="98"/>
        <v>6.273669204716322E-3</v>
      </c>
      <c r="AD393" s="226">
        <f t="shared" si="98"/>
        <v>5.8702932278662185E-3</v>
      </c>
      <c r="AE393" s="226">
        <f t="shared" si="96"/>
        <v>5.4928529791188107E-3</v>
      </c>
      <c r="AF393" s="226">
        <f t="shared" si="96"/>
        <v>5.1396808777781191E-3</v>
      </c>
      <c r="AG393" s="226">
        <f t="shared" si="96"/>
        <v>4.8092165630174728E-3</v>
      </c>
      <c r="AH393" s="227">
        <v>4.4999999999999997E-3</v>
      </c>
      <c r="AI393" s="226">
        <f t="shared" si="99"/>
        <v>4.2106650292525992E-3</v>
      </c>
      <c r="AJ393" s="226">
        <f t="shared" si="99"/>
        <v>3.9399333307935094E-3</v>
      </c>
      <c r="AK393" s="226">
        <f t="shared" si="99"/>
        <v>3.6866087763464317E-3</v>
      </c>
      <c r="AL393" s="226">
        <f t="shared" si="99"/>
        <v>3.4495721446883639E-3</v>
      </c>
      <c r="AM393" s="226">
        <f t="shared" si="99"/>
        <v>3.2277761767829294E-3</v>
      </c>
      <c r="AN393" s="226">
        <f t="shared" si="99"/>
        <v>3.0202409488521193E-3</v>
      </c>
      <c r="AO393" s="226">
        <f t="shared" si="99"/>
        <v>2.8260495429440684E-3</v>
      </c>
      <c r="AP393" s="226">
        <f t="shared" si="99"/>
        <v>2.6443439958688622E-3</v>
      </c>
      <c r="AQ393" s="226">
        <f t="shared" si="99"/>
        <v>2.474321508604244E-3</v>
      </c>
      <c r="AR393" s="226">
        <f t="shared" si="99"/>
        <v>2.3152308994238723E-3</v>
      </c>
      <c r="AS393" s="226">
        <f t="shared" si="99"/>
        <v>2.166369285077587E-3</v>
      </c>
      <c r="AT393" s="226">
        <f t="shared" si="99"/>
        <v>2.0270789753607001E-3</v>
      </c>
      <c r="AU393" s="226">
        <f t="shared" si="99"/>
        <v>1.8967445673521092E-3</v>
      </c>
      <c r="AV393" s="226">
        <f t="shared" si="99"/>
        <v>1.7747902264831951E-3</v>
      </c>
      <c r="AW393" s="226">
        <f t="shared" si="99"/>
        <v>1.6606771424249088E-3</v>
      </c>
      <c r="AX393" s="226">
        <f t="shared" si="99"/>
        <v>1.5539011485528227E-3</v>
      </c>
      <c r="AY393" s="226">
        <f t="shared" si="97"/>
        <v>1.4539904944726265E-3</v>
      </c>
      <c r="AZ393" s="226">
        <f t="shared" si="97"/>
        <v>1.3605037617647963E-3</v>
      </c>
      <c r="BA393" s="226">
        <f t="shared" si="97"/>
        <v>1.2730279137399194E-3</v>
      </c>
      <c r="BB393" s="226">
        <f t="shared" si="97"/>
        <v>1.1911764705882385E-3</v>
      </c>
      <c r="BC393" s="226">
        <f t="shared" si="97"/>
        <v>1.1145878018609852E-3</v>
      </c>
      <c r="BD393" s="226">
        <f t="shared" si="97"/>
        <v>1.0429235287394611E-3</v>
      </c>
      <c r="BE393" s="226">
        <f t="shared" si="97"/>
        <v>9.7586702903288162E-4</v>
      </c>
    </row>
    <row r="394" spans="5:57" s="10" customFormat="1" x14ac:dyDescent="0.35">
      <c r="E394" s="10" t="s">
        <v>640</v>
      </c>
      <c r="F394" s="10" t="s">
        <v>615</v>
      </c>
      <c r="G394" s="43" t="s">
        <v>616</v>
      </c>
      <c r="I394" s="20"/>
      <c r="J394" s="200"/>
      <c r="K394" s="200"/>
      <c r="L394" s="200"/>
      <c r="M394" s="200"/>
      <c r="N394" s="200">
        <v>1.61E-2</v>
      </c>
      <c r="O394" s="226">
        <f t="shared" si="98"/>
        <v>1.5071552996608503E-2</v>
      </c>
      <c r="P394" s="226">
        <f t="shared" si="98"/>
        <v>1.4108801846557686E-2</v>
      </c>
      <c r="Q394" s="226">
        <f t="shared" si="98"/>
        <v>1.320754998441255E-2</v>
      </c>
      <c r="R394" s="226">
        <f t="shared" si="98"/>
        <v>1.2363868915865189E-2</v>
      </c>
      <c r="S394" s="226">
        <f t="shared" si="98"/>
        <v>1.157408109370079E-2</v>
      </c>
      <c r="T394" s="226">
        <f t="shared" si="98"/>
        <v>1.0834743887624594E-2</v>
      </c>
      <c r="U394" s="226">
        <f t="shared" si="98"/>
        <v>1.0142634578075412E-2</v>
      </c>
      <c r="V394" s="226">
        <f t="shared" si="98"/>
        <v>9.4947363086147502E-3</v>
      </c>
      <c r="W394" s="226">
        <f t="shared" si="98"/>
        <v>8.8882249356590174E-3</v>
      </c>
      <c r="X394" s="226">
        <f t="shared" si="98"/>
        <v>8.3204567182336691E-3</v>
      </c>
      <c r="Y394" s="226">
        <f t="shared" si="98"/>
        <v>7.7889567940898144E-3</v>
      </c>
      <c r="Z394" s="226">
        <f t="shared" si="98"/>
        <v>7.2914083919514592E-3</v>
      </c>
      <c r="AA394" s="226">
        <f t="shared" si="98"/>
        <v>6.8256427328703354E-3</v>
      </c>
      <c r="AB394" s="226">
        <f t="shared" si="98"/>
        <v>6.3896295766690033E-3</v>
      </c>
      <c r="AC394" s="226">
        <f t="shared" si="98"/>
        <v>5.9814683722648468E-3</v>
      </c>
      <c r="AD394" s="226">
        <f t="shared" si="98"/>
        <v>5.5993799732998286E-3</v>
      </c>
      <c r="AE394" s="226">
        <f t="shared" si="96"/>
        <v>5.2416988829650105E-3</v>
      </c>
      <c r="AF394" s="226">
        <f t="shared" si="96"/>
        <v>4.9068659942155743E-3</v>
      </c>
      <c r="AG394" s="226">
        <f t="shared" si="96"/>
        <v>4.5934217937314351E-3</v>
      </c>
      <c r="AH394" s="227">
        <v>4.3E-3</v>
      </c>
      <c r="AI394" s="226">
        <f t="shared" si="99"/>
        <v>4.0253216077898489E-3</v>
      </c>
      <c r="AJ394" s="226">
        <f t="shared" si="99"/>
        <v>3.76818931305578E-3</v>
      </c>
      <c r="AK394" s="226">
        <f t="shared" si="99"/>
        <v>3.5274822939735388E-3</v>
      </c>
      <c r="AL394" s="226">
        <f t="shared" si="99"/>
        <v>3.3021513253552997E-3</v>
      </c>
      <c r="AM394" s="226">
        <f t="shared" si="99"/>
        <v>3.0912142051499011E-3</v>
      </c>
      <c r="AN394" s="226">
        <f t="shared" si="99"/>
        <v>2.8937514730922836E-3</v>
      </c>
      <c r="AO394" s="226">
        <f t="shared" si="99"/>
        <v>2.708902402840017E-3</v>
      </c>
      <c r="AP394" s="226">
        <f t="shared" si="99"/>
        <v>2.5358612501269213E-3</v>
      </c>
      <c r="AQ394" s="226">
        <f t="shared" si="99"/>
        <v>2.373873740579738E-3</v>
      </c>
      <c r="AR394" s="226">
        <f t="shared" si="99"/>
        <v>2.2222337818884959E-3</v>
      </c>
      <c r="AS394" s="226">
        <f t="shared" si="99"/>
        <v>2.0802803859991431E-3</v>
      </c>
      <c r="AT394" s="226">
        <f t="shared" si="99"/>
        <v>1.9473947879125018E-3</v>
      </c>
      <c r="AU394" s="226">
        <f t="shared" si="99"/>
        <v>1.8229977485305867E-3</v>
      </c>
      <c r="AV394" s="226">
        <f t="shared" si="99"/>
        <v>1.706547029793585E-3</v>
      </c>
      <c r="AW394" s="226">
        <f t="shared" si="99"/>
        <v>1.5975350311017917E-3</v>
      </c>
      <c r="AX394" s="226">
        <f t="shared" si="99"/>
        <v>1.4954865767198302E-3</v>
      </c>
      <c r="AY394" s="226">
        <f t="shared" si="97"/>
        <v>1.3999568445186054E-3</v>
      </c>
      <c r="AZ394" s="226">
        <f t="shared" si="97"/>
        <v>1.31052942702652E-3</v>
      </c>
      <c r="BA394" s="226">
        <f t="shared" si="97"/>
        <v>1.2268145163382095E-3</v>
      </c>
      <c r="BB394" s="226">
        <f t="shared" si="97"/>
        <v>1.148447204968941E-3</v>
      </c>
      <c r="BC394" s="226">
        <f t="shared" si="97"/>
        <v>1.0750858952482175E-3</v>
      </c>
      <c r="BD394" s="226">
        <f t="shared" si="97"/>
        <v>1.0064108103192428E-3</v>
      </c>
      <c r="BE394" s="226">
        <f t="shared" si="97"/>
        <v>9.4212260025379978E-4</v>
      </c>
    </row>
    <row r="395" spans="5:57" s="10" customFormat="1" x14ac:dyDescent="0.35">
      <c r="E395" s="10" t="s">
        <v>641</v>
      </c>
      <c r="F395" s="10" t="s">
        <v>615</v>
      </c>
      <c r="G395" s="43" t="s">
        <v>616</v>
      </c>
      <c r="I395" s="20"/>
      <c r="J395" s="200"/>
      <c r="K395" s="200"/>
      <c r="L395" s="200"/>
      <c r="M395" s="200"/>
      <c r="N395" s="200">
        <v>1.52E-2</v>
      </c>
      <c r="O395" s="226">
        <f t="shared" si="98"/>
        <v>1.4236085950069404E-2</v>
      </c>
      <c r="P395" s="226">
        <f t="shared" si="98"/>
        <v>1.3333298893273914E-2</v>
      </c>
      <c r="Q395" s="226">
        <f t="shared" si="98"/>
        <v>1.2487762437013992E-2</v>
      </c>
      <c r="R395" s="226">
        <f t="shared" si="98"/>
        <v>1.1695846011669694E-2</v>
      </c>
      <c r="S395" s="226">
        <f t="shared" si="98"/>
        <v>1.0954149281638566E-2</v>
      </c>
      <c r="T395" s="226">
        <f t="shared" si="98"/>
        <v>1.0259487544953792E-2</v>
      </c>
      <c r="U395" s="226">
        <f t="shared" si="98"/>
        <v>9.6088780587913619E-3</v>
      </c>
      <c r="V395" s="226">
        <f t="shared" si="98"/>
        <v>8.9995272321506496E-3</v>
      </c>
      <c r="W395" s="226">
        <f t="shared" si="98"/>
        <v>8.4288186307162408E-3</v>
      </c>
      <c r="X395" s="226">
        <f t="shared" si="98"/>
        <v>7.8943017423962307E-3</v>
      </c>
      <c r="Y395" s="226">
        <f t="shared" si="98"/>
        <v>7.3936814552983806E-3</v>
      </c>
      <c r="Z395" s="226">
        <f t="shared" si="98"/>
        <v>6.9248082029646036E-3</v>
      </c>
      <c r="AA395" s="226">
        <f t="shared" si="98"/>
        <v>6.4856687345493259E-3</v>
      </c>
      <c r="AB395" s="226">
        <f t="shared" si="98"/>
        <v>6.0743774703106625E-3</v>
      </c>
      <c r="AC395" s="226">
        <f t="shared" si="98"/>
        <v>5.6891684052965625E-3</v>
      </c>
      <c r="AD395" s="226">
        <f t="shared" si="98"/>
        <v>5.3283875264619179E-3</v>
      </c>
      <c r="AE395" s="226">
        <f t="shared" si="96"/>
        <v>4.9904857106572087E-3</v>
      </c>
      <c r="AF395" s="226">
        <f t="shared" si="96"/>
        <v>4.6740120729940266E-3</v>
      </c>
      <c r="AG395" s="226">
        <f t="shared" si="96"/>
        <v>4.3776077370266467E-3</v>
      </c>
      <c r="AH395" s="227">
        <v>4.1000000000000003E-3</v>
      </c>
      <c r="AI395" s="226">
        <f t="shared" si="99"/>
        <v>3.8399968681108263E-3</v>
      </c>
      <c r="AJ395" s="226">
        <f t="shared" si="99"/>
        <v>3.5964819383173057E-3</v>
      </c>
      <c r="AK395" s="226">
        <f t="shared" si="99"/>
        <v>3.3684096047208794E-3</v>
      </c>
      <c r="AL395" s="226">
        <f t="shared" si="99"/>
        <v>3.15480056893722E-3</v>
      </c>
      <c r="AM395" s="226">
        <f t="shared" si="99"/>
        <v>2.9547376351788234E-3</v>
      </c>
      <c r="AN395" s="226">
        <f t="shared" si="99"/>
        <v>2.7673617719941148E-3</v>
      </c>
      <c r="AO395" s="226">
        <f t="shared" si="99"/>
        <v>2.5918684237529331E-3</v>
      </c>
      <c r="AP395" s="226">
        <f t="shared" si="99"/>
        <v>2.4275040560406357E-3</v>
      </c>
      <c r="AQ395" s="226">
        <f t="shared" si="99"/>
        <v>2.2735629201274068E-3</v>
      </c>
      <c r="AR395" s="226">
        <f t="shared" si="99"/>
        <v>2.1293840226200354E-3</v>
      </c>
      <c r="AS395" s="226">
        <f t="shared" si="99"/>
        <v>1.9943482872844314E-3</v>
      </c>
      <c r="AT395" s="226">
        <f t="shared" si="99"/>
        <v>1.8678758968522942E-3</v>
      </c>
      <c r="AU395" s="226">
        <f t="shared" si="99"/>
        <v>1.7494238033981732E-3</v>
      </c>
      <c r="AV395" s="226">
        <f t="shared" si="99"/>
        <v>1.6384833965969548E-3</v>
      </c>
      <c r="AW395" s="226">
        <f t="shared" si="99"/>
        <v>1.5345783198497305E-3</v>
      </c>
      <c r="AX395" s="226">
        <f t="shared" si="99"/>
        <v>1.4372624249009117E-3</v>
      </c>
      <c r="AY395" s="226">
        <f t="shared" si="97"/>
        <v>1.3461178561641151E-3</v>
      </c>
      <c r="AZ395" s="226">
        <f t="shared" si="97"/>
        <v>1.2607532565312833E-3</v>
      </c>
      <c r="BA395" s="226">
        <f t="shared" si="97"/>
        <v>1.1808020869611348E-3</v>
      </c>
      <c r="BB395" s="226">
        <f t="shared" si="97"/>
        <v>1.1059210526315815E-3</v>
      </c>
      <c r="BC395" s="226">
        <f t="shared" si="97"/>
        <v>1.0357886288983173E-3</v>
      </c>
      <c r="BD395" s="226">
        <f t="shared" si="97"/>
        <v>9.7010368073032795E-4</v>
      </c>
      <c r="BE395" s="226">
        <f t="shared" si="97"/>
        <v>9.0858416969444972E-4</v>
      </c>
    </row>
    <row r="396" spans="5:57" s="10" customFormat="1" x14ac:dyDescent="0.35">
      <c r="E396" s="10" t="s">
        <v>642</v>
      </c>
      <c r="F396" s="10" t="s">
        <v>615</v>
      </c>
      <c r="G396" s="43" t="s">
        <v>616</v>
      </c>
      <c r="I396" s="20"/>
      <c r="J396" s="200"/>
      <c r="K396" s="200"/>
      <c r="L396" s="200"/>
      <c r="M396" s="200"/>
      <c r="N396" s="200">
        <v>1.44E-2</v>
      </c>
      <c r="O396" s="226">
        <f t="shared" si="98"/>
        <v>1.3489554212643586E-2</v>
      </c>
      <c r="P396" s="226">
        <f t="shared" si="98"/>
        <v>1.2636671726100718E-2</v>
      </c>
      <c r="Q396" s="226">
        <f t="shared" si="98"/>
        <v>1.1837713077542781E-2</v>
      </c>
      <c r="R396" s="226">
        <f t="shared" si="98"/>
        <v>1.1089268910641201E-2</v>
      </c>
      <c r="S396" s="226">
        <f t="shared" si="98"/>
        <v>1.0388145426991497E-2</v>
      </c>
      <c r="T396" s="226">
        <f t="shared" si="98"/>
        <v>9.7313507573769005E-3</v>
      </c>
      <c r="U396" s="226">
        <f t="shared" si="98"/>
        <v>9.1160821947143013E-3</v>
      </c>
      <c r="V396" s="226">
        <f t="shared" si="98"/>
        <v>8.5397142342023263E-3</v>
      </c>
      <c r="W396" s="226">
        <f t="shared" si="98"/>
        <v>7.9997873696358614E-3</v>
      </c>
      <c r="X396" s="226">
        <f t="shared" si="98"/>
        <v>7.4939975980780832E-3</v>
      </c>
      <c r="Y396" s="226">
        <f t="shared" si="98"/>
        <v>7.0201865881038281E-3</v>
      </c>
      <c r="Z396" s="226">
        <f t="shared" si="98"/>
        <v>6.5763324696597224E-3</v>
      </c>
      <c r="AA396" s="226">
        <f t="shared" si="98"/>
        <v>6.1605412062391051E-3</v>
      </c>
      <c r="AB396" s="226">
        <f t="shared" si="98"/>
        <v>5.7710385125546611E-3</v>
      </c>
      <c r="AC396" s="226">
        <f t="shared" si="98"/>
        <v>5.4061622832194522E-3</v>
      </c>
      <c r="AD396" s="226">
        <f t="shared" si="98"/>
        <v>5.0643555001276272E-3</v>
      </c>
      <c r="AE396" s="226">
        <f t="shared" si="96"/>
        <v>4.7441595882688438E-3</v>
      </c>
      <c r="AF396" s="226">
        <f t="shared" si="96"/>
        <v>4.4442081916239891E-3</v>
      </c>
      <c r="AG396" s="226">
        <f t="shared" si="96"/>
        <v>4.1632213425823973E-3</v>
      </c>
      <c r="AH396" s="227">
        <v>3.8999999999999998E-3</v>
      </c>
      <c r="AI396" s="226">
        <f t="shared" si="99"/>
        <v>3.6534209325909711E-3</v>
      </c>
      <c r="AJ396" s="226">
        <f t="shared" si="99"/>
        <v>3.4224319258189442E-3</v>
      </c>
      <c r="AK396" s="226">
        <f t="shared" si="99"/>
        <v>3.2060472918345028E-3</v>
      </c>
      <c r="AL396" s="226">
        <f t="shared" si="99"/>
        <v>3.0033436632986585E-3</v>
      </c>
      <c r="AM396" s="226">
        <f t="shared" si="99"/>
        <v>2.8134560531435306E-3</v>
      </c>
      <c r="AN396" s="226">
        <f t="shared" si="99"/>
        <v>2.6355741634562441E-3</v>
      </c>
      <c r="AO396" s="226">
        <f t="shared" si="99"/>
        <v>2.4689389277351235E-3</v>
      </c>
      <c r="AP396" s="226">
        <f t="shared" si="99"/>
        <v>2.3128392717631304E-3</v>
      </c>
      <c r="AQ396" s="226">
        <f t="shared" si="99"/>
        <v>2.1666090792763792E-3</v>
      </c>
      <c r="AR396" s="226">
        <f t="shared" si="99"/>
        <v>2.0296243494794808E-3</v>
      </c>
      <c r="AS396" s="226">
        <f t="shared" si="99"/>
        <v>1.9013005342781201E-3</v>
      </c>
      <c r="AT396" s="226">
        <f t="shared" si="99"/>
        <v>1.7810900438661749E-3</v>
      </c>
      <c r="AU396" s="226">
        <f t="shared" si="99"/>
        <v>1.668479910023091E-3</v>
      </c>
      <c r="AV396" s="226">
        <f t="shared" si="99"/>
        <v>1.5629895971502209E-3</v>
      </c>
      <c r="AW396" s="226">
        <f t="shared" si="99"/>
        <v>1.4641689517052685E-3</v>
      </c>
      <c r="AX396" s="226">
        <f t="shared" si="99"/>
        <v>1.3715962812845658E-3</v>
      </c>
      <c r="AY396" s="226">
        <f t="shared" si="97"/>
        <v>1.2848765551561453E-3</v>
      </c>
      <c r="AZ396" s="226">
        <f t="shared" si="97"/>
        <v>1.2036397185648305E-3</v>
      </c>
      <c r="BA396" s="226">
        <f t="shared" si="97"/>
        <v>1.1275391136160661E-3</v>
      </c>
      <c r="BB396" s="226">
        <f t="shared" si="97"/>
        <v>1.0562500000000014E-3</v>
      </c>
      <c r="BC396" s="226">
        <f t="shared" si="97"/>
        <v>9.8946816924338934E-4</v>
      </c>
      <c r="BD396" s="226">
        <f t="shared" si="97"/>
        <v>9.2690864657596534E-4</v>
      </c>
      <c r="BE396" s="226">
        <f t="shared" si="97"/>
        <v>8.6830447487184581E-4</v>
      </c>
    </row>
    <row r="397" spans="5:57" s="10" customFormat="1" x14ac:dyDescent="0.35">
      <c r="E397" s="109" t="s">
        <v>643</v>
      </c>
      <c r="F397" s="10" t="s">
        <v>615</v>
      </c>
      <c r="G397" s="43" t="s">
        <v>616</v>
      </c>
      <c r="I397" s="20"/>
      <c r="J397" s="200"/>
      <c r="K397" s="200"/>
      <c r="L397" s="200"/>
      <c r="M397" s="200"/>
      <c r="N397" s="200">
        <v>1.37E-2</v>
      </c>
      <c r="O397" s="226">
        <f t="shared" si="98"/>
        <v>1.2849129868424363E-2</v>
      </c>
      <c r="P397" s="226">
        <f t="shared" si="98"/>
        <v>1.2051104990922268E-2</v>
      </c>
      <c r="Q397" s="226">
        <f t="shared" si="98"/>
        <v>1.1302643290976438E-2</v>
      </c>
      <c r="R397" s="226">
        <f t="shared" si="98"/>
        <v>1.0600666533009605E-2</v>
      </c>
      <c r="S397" s="226">
        <f t="shared" si="98"/>
        <v>9.9422876623722796E-3</v>
      </c>
      <c r="T397" s="226">
        <f t="shared" si="98"/>
        <v>9.3247989316098314E-3</v>
      </c>
      <c r="U397" s="226">
        <f t="shared" si="98"/>
        <v>8.7456607641751439E-3</v>
      </c>
      <c r="V397" s="226">
        <f t="shared" si="98"/>
        <v>8.2024913097861214E-3</v>
      </c>
      <c r="W397" s="226">
        <f t="shared" si="98"/>
        <v>7.6930566484718329E-3</v>
      </c>
      <c r="X397" s="226">
        <f t="shared" si="98"/>
        <v>7.2152616030189808E-3</v>
      </c>
      <c r="Y397" s="226">
        <f t="shared" si="98"/>
        <v>6.7671411220326001E-3</v>
      </c>
      <c r="Z397" s="226">
        <f t="shared" si="98"/>
        <v>6.3468521981716666E-3</v>
      </c>
      <c r="AA397" s="226">
        <f t="shared" si="98"/>
        <v>5.9526662883213413E-3</v>
      </c>
      <c r="AB397" s="226">
        <f t="shared" si="98"/>
        <v>5.5829622045279218E-3</v>
      </c>
      <c r="AC397" s="226">
        <f t="shared" si="98"/>
        <v>5.2362194464586889E-3</v>
      </c>
      <c r="AD397" s="226">
        <f t="shared" si="98"/>
        <v>4.9110119479647309E-3</v>
      </c>
      <c r="AE397" s="226">
        <f t="shared" si="96"/>
        <v>4.6060022120279218E-3</v>
      </c>
      <c r="AF397" s="226">
        <f t="shared" si="96"/>
        <v>4.3199358099705581E-3</v>
      </c>
      <c r="AG397" s="226">
        <f t="shared" si="96"/>
        <v>4.0516362223042834E-3</v>
      </c>
      <c r="AH397" s="227">
        <v>3.8E-3</v>
      </c>
      <c r="AI397" s="226">
        <f t="shared" si="99"/>
        <v>3.5639922262782901E-3</v>
      </c>
      <c r="AJ397" s="226">
        <f t="shared" si="99"/>
        <v>3.3426422602558111E-3</v>
      </c>
      <c r="AK397" s="226">
        <f t="shared" si="99"/>
        <v>3.1350397449423696E-3</v>
      </c>
      <c r="AL397" s="226">
        <f t="shared" si="99"/>
        <v>2.9403308631705469E-3</v>
      </c>
      <c r="AM397" s="226">
        <f t="shared" si="99"/>
        <v>2.757714826059464E-3</v>
      </c>
      <c r="AN397" s="226">
        <f t="shared" si="99"/>
        <v>2.5864405795706096E-3</v>
      </c>
      <c r="AO397" s="226">
        <f t="shared" si="99"/>
        <v>2.4258037156106231E-3</v>
      </c>
      <c r="AP397" s="226">
        <f t="shared" si="99"/>
        <v>2.2751435749771716E-3</v>
      </c>
      <c r="AQ397" s="226">
        <f t="shared" si="99"/>
        <v>2.1338405302330624E-3</v>
      </c>
      <c r="AR397" s="226">
        <f t="shared" si="99"/>
        <v>2.0013134373337315E-3</v>
      </c>
      <c r="AS397" s="226">
        <f t="shared" si="99"/>
        <v>1.8770172455272903E-3</v>
      </c>
      <c r="AT397" s="226">
        <f t="shared" si="99"/>
        <v>1.7604407556972503E-3</v>
      </c>
      <c r="AU397" s="226">
        <f t="shared" si="99"/>
        <v>1.6511045179285469E-3</v>
      </c>
      <c r="AV397" s="226">
        <f t="shared" si="99"/>
        <v>1.5485588596500801E-3</v>
      </c>
      <c r="AW397" s="226">
        <f t="shared" si="99"/>
        <v>1.4523820362440155E-3</v>
      </c>
      <c r="AX397" s="226">
        <f t="shared" si="99"/>
        <v>1.3621784965157644E-3</v>
      </c>
      <c r="AY397" s="226">
        <f t="shared" si="97"/>
        <v>1.277577255890956E-3</v>
      </c>
      <c r="AZ397" s="226">
        <f t="shared" si="97"/>
        <v>1.1982303706487675E-3</v>
      </c>
      <c r="BA397" s="226">
        <f t="shared" si="97"/>
        <v>1.1238115069165163E-3</v>
      </c>
      <c r="BB397" s="226">
        <f t="shared" si="97"/>
        <v>1.0540145985401461E-3</v>
      </c>
      <c r="BC397" s="226">
        <f t="shared" si="97"/>
        <v>9.885525883107666E-4</v>
      </c>
      <c r="BD397" s="226">
        <f t="shared" si="97"/>
        <v>9.2715624737022505E-4</v>
      </c>
      <c r="BE397" s="226">
        <f t="shared" si="97"/>
        <v>8.6957306794021932E-4</v>
      </c>
    </row>
    <row r="398" spans="5:57" s="10" customFormat="1" x14ac:dyDescent="0.35">
      <c r="E398" s="109" t="s">
        <v>644</v>
      </c>
      <c r="F398" s="10" t="s">
        <v>615</v>
      </c>
      <c r="G398" s="43" t="s">
        <v>616</v>
      </c>
      <c r="I398" s="20"/>
      <c r="J398" s="200"/>
      <c r="K398" s="200"/>
      <c r="L398" s="200"/>
      <c r="M398" s="200"/>
      <c r="N398" s="200">
        <v>1.3100000000000001E-2</v>
      </c>
      <c r="O398" s="226">
        <f t="shared" si="98"/>
        <v>1.2313936528196697E-2</v>
      </c>
      <c r="P398" s="226">
        <f t="shared" si="98"/>
        <v>1.1575040673317324E-2</v>
      </c>
      <c r="Q398" s="226">
        <f t="shared" si="98"/>
        <v>1.0880482149811046E-2</v>
      </c>
      <c r="R398" s="226">
        <f t="shared" si="98"/>
        <v>1.022760050297331E-2</v>
      </c>
      <c r="S398" s="226">
        <f t="shared" si="98"/>
        <v>9.6138949182722113E-3</v>
      </c>
      <c r="T398" s="226">
        <f t="shared" si="98"/>
        <v>9.0370146421646404E-3</v>
      </c>
      <c r="U398" s="226">
        <f t="shared" si="98"/>
        <v>8.4947499777098916E-3</v>
      </c>
      <c r="V398" s="226">
        <f t="shared" si="98"/>
        <v>7.9850238204900708E-3</v>
      </c>
      <c r="W398" s="226">
        <f t="shared" si="98"/>
        <v>7.5058837024162923E-3</v>
      </c>
      <c r="X398" s="226">
        <f t="shared" si="98"/>
        <v>7.0554943129450577E-3</v>
      </c>
      <c r="Y398" s="226">
        <f t="shared" si="98"/>
        <v>6.6321304690578784E-3</v>
      </c>
      <c r="Z398" s="226">
        <f t="shared" si="98"/>
        <v>6.2341705070761916E-3</v>
      </c>
      <c r="AA398" s="226">
        <f t="shared" si="98"/>
        <v>5.8600900709993931E-3</v>
      </c>
      <c r="AB398" s="226">
        <f t="shared" si="98"/>
        <v>5.5084562735726872E-3</v>
      </c>
      <c r="AC398" s="226">
        <f t="shared" si="98"/>
        <v>5.1779222077191584E-3</v>
      </c>
      <c r="AD398" s="226">
        <f t="shared" si="98"/>
        <v>4.8672217873125066E-3</v>
      </c>
      <c r="AE398" s="226">
        <f t="shared" si="96"/>
        <v>4.5751648975284193E-3</v>
      </c>
      <c r="AF398" s="226">
        <f t="shared" si="96"/>
        <v>4.3006328361983592E-3</v>
      </c>
      <c r="AG398" s="226">
        <f t="shared" si="96"/>
        <v>4.0425740287042093E-3</v>
      </c>
      <c r="AH398" s="227">
        <v>3.8E-3</v>
      </c>
      <c r="AI398" s="226">
        <f t="shared" si="99"/>
        <v>3.5719815883318664E-3</v>
      </c>
      <c r="AJ398" s="226">
        <f t="shared" si="99"/>
        <v>3.3576453861531167E-3</v>
      </c>
      <c r="AK398" s="226">
        <f t="shared" si="99"/>
        <v>3.1561703946016771E-3</v>
      </c>
      <c r="AL398" s="226">
        <f t="shared" si="99"/>
        <v>2.9667848787250824E-3</v>
      </c>
      <c r="AM398" s="226">
        <f t="shared" si="99"/>
        <v>2.7887634114072061E-3</v>
      </c>
      <c r="AN398" s="226">
        <f t="shared" si="99"/>
        <v>2.6214240946737122E-3</v>
      </c>
      <c r="AO398" s="226">
        <f t="shared" si="99"/>
        <v>2.4641259477326399E-3</v>
      </c>
      <c r="AP398" s="226">
        <f t="shared" si="99"/>
        <v>2.3162664517452107E-3</v>
      </c>
      <c r="AQ398" s="226">
        <f t="shared" si="99"/>
        <v>2.1772792419222828E-3</v>
      </c>
      <c r="AR398" s="226">
        <f t="shared" si="99"/>
        <v>2.0466319381061996E-3</v>
      </c>
      <c r="AS398" s="226">
        <f t="shared" si="99"/>
        <v>1.9238241055282393E-3</v>
      </c>
      <c r="AT398" s="226">
        <f t="shared" si="99"/>
        <v>1.8083853379304981E-3</v>
      </c>
      <c r="AU398" s="226">
        <f t="shared" si="99"/>
        <v>1.6998734557097472E-3</v>
      </c>
      <c r="AV398" s="226">
        <f t="shared" si="99"/>
        <v>1.5978728121813898E-3</v>
      </c>
      <c r="AW398" s="226">
        <f t="shared" si="99"/>
        <v>1.501992701475786E-3</v>
      </c>
      <c r="AX398" s="226">
        <f t="shared" si="99"/>
        <v>1.4118658619685131E-3</v>
      </c>
      <c r="AY398" s="226">
        <f t="shared" si="97"/>
        <v>1.3271470695120603E-3</v>
      </c>
      <c r="AZ398" s="226">
        <f t="shared" si="97"/>
        <v>1.2475118150804397E-3</v>
      </c>
      <c r="BA398" s="226">
        <f t="shared" si="97"/>
        <v>1.1726550617615261E-3</v>
      </c>
      <c r="BB398" s="226">
        <f t="shared" si="97"/>
        <v>1.1022900763358787E-3</v>
      </c>
      <c r="BC398" s="226">
        <f t="shared" si="97"/>
        <v>1.0361473309664965E-3</v>
      </c>
      <c r="BD398" s="226">
        <f t="shared" si="97"/>
        <v>9.73973470792508E-4</v>
      </c>
      <c r="BE398" s="226">
        <f t="shared" si="97"/>
        <v>9.1553034347224306E-4</v>
      </c>
    </row>
    <row r="399" spans="5:57" s="10" customFormat="1" x14ac:dyDescent="0.35">
      <c r="E399" s="109" t="s">
        <v>645</v>
      </c>
      <c r="F399" s="10" t="s">
        <v>615</v>
      </c>
      <c r="G399" s="43" t="s">
        <v>616</v>
      </c>
      <c r="I399" s="20"/>
      <c r="J399" s="200"/>
      <c r="K399" s="200"/>
      <c r="L399" s="200"/>
      <c r="M399" s="200"/>
      <c r="N399" s="200">
        <v>1.26E-2</v>
      </c>
      <c r="O399" s="226">
        <f t="shared" si="98"/>
        <v>1.1851193908072129E-2</v>
      </c>
      <c r="P399" s="226">
        <f t="shared" si="98"/>
        <v>1.1146888654502059E-2</v>
      </c>
      <c r="Q399" s="226">
        <f t="shared" si="98"/>
        <v>1.0484439596523265E-2</v>
      </c>
      <c r="R399" s="226">
        <f t="shared" si="98"/>
        <v>9.8613592599894224E-3</v>
      </c>
      <c r="S399" s="226">
        <f t="shared" si="98"/>
        <v>9.275307998991851E-3</v>
      </c>
      <c r="T399" s="226">
        <f t="shared" si="98"/>
        <v>8.7240852105670563E-3</v>
      </c>
      <c r="U399" s="226">
        <f t="shared" si="98"/>
        <v>8.2056210715059103E-3</v>
      </c>
      <c r="V399" s="226">
        <f t="shared" si="98"/>
        <v>7.7179687662364401E-3</v>
      </c>
      <c r="W399" s="226">
        <f t="shared" si="98"/>
        <v>7.2592971765962121E-3</v>
      </c>
      <c r="X399" s="226">
        <f t="shared" si="98"/>
        <v>6.8278840060446225E-3</v>
      </c>
      <c r="Y399" s="226">
        <f t="shared" si="98"/>
        <v>6.4221093124967581E-3</v>
      </c>
      <c r="Z399" s="226">
        <f t="shared" si="98"/>
        <v>6.040449425494831E-3</v>
      </c>
      <c r="AA399" s="226">
        <f t="shared" si="98"/>
        <v>5.6814712248763602E-3</v>
      </c>
      <c r="AB399" s="226">
        <f t="shared" si="98"/>
        <v>5.3438267594557E-3</v>
      </c>
      <c r="AC399" s="226">
        <f t="shared" si="98"/>
        <v>5.0262481855122398E-3</v>
      </c>
      <c r="AD399" s="226">
        <f t="shared" si="98"/>
        <v>4.727543006079464E-3</v>
      </c>
      <c r="AE399" s="226">
        <f t="shared" si="96"/>
        <v>4.4465895931585673E-3</v>
      </c>
      <c r="AF399" s="226">
        <f t="shared" si="96"/>
        <v>4.1823329760426776E-3</v>
      </c>
      <c r="AG399" s="226">
        <f t="shared" si="96"/>
        <v>3.933780879936997E-3</v>
      </c>
      <c r="AH399" s="227">
        <v>3.7000000000000002E-3</v>
      </c>
      <c r="AI399" s="226">
        <f t="shared" si="99"/>
        <v>3.4801124968148319E-3</v>
      </c>
      <c r="AJ399" s="226">
        <f t="shared" si="99"/>
        <v>3.2732927001315575E-3</v>
      </c>
      <c r="AK399" s="226">
        <f t="shared" si="99"/>
        <v>3.0787640085028641E-3</v>
      </c>
      <c r="AL399" s="226">
        <f t="shared" si="99"/>
        <v>2.8957959731714979E-3</v>
      </c>
      <c r="AM399" s="226">
        <f t="shared" si="99"/>
        <v>2.7237015552595127E-3</v>
      </c>
      <c r="AN399" s="226">
        <f t="shared" si="99"/>
        <v>2.5618345459601684E-3</v>
      </c>
      <c r="AO399" s="226">
        <f t="shared" si="99"/>
        <v>2.4095871400453871E-3</v>
      </c>
      <c r="AP399" s="226">
        <f t="shared" si="99"/>
        <v>2.2663876535773679E-3</v>
      </c>
      <c r="AQ399" s="226">
        <f t="shared" si="99"/>
        <v>2.1316983772544438E-3</v>
      </c>
      <c r="AR399" s="226">
        <f t="shared" si="99"/>
        <v>2.005013557330564E-3</v>
      </c>
      <c r="AS399" s="226">
        <f t="shared" si="99"/>
        <v>1.8858574965268261E-3</v>
      </c>
      <c r="AT399" s="226">
        <f t="shared" si="99"/>
        <v>1.773782767804038E-3</v>
      </c>
      <c r="AU399" s="226">
        <f t="shared" si="99"/>
        <v>1.6683685342890901E-3</v>
      </c>
      <c r="AV399" s="226">
        <f t="shared" si="99"/>
        <v>1.5692189690465154E-3</v>
      </c>
      <c r="AW399" s="226">
        <f t="shared" si="99"/>
        <v>1.475961768761531E-3</v>
      </c>
      <c r="AX399" s="226">
        <f t="shared" si="99"/>
        <v>1.3882467557534937E-3</v>
      </c>
      <c r="AY399" s="226">
        <f t="shared" si="97"/>
        <v>1.3057445630703733E-3</v>
      </c>
      <c r="AZ399" s="226">
        <f t="shared" si="97"/>
        <v>1.2281453977268184E-3</v>
      </c>
      <c r="BA399" s="226">
        <f t="shared" si="97"/>
        <v>1.1551578774418169E-3</v>
      </c>
      <c r="BB399" s="226">
        <f t="shared" si="97"/>
        <v>1.0865079365079359E-3</v>
      </c>
      <c r="BC399" s="226">
        <f t="shared" si="97"/>
        <v>1.0219377966837198E-3</v>
      </c>
      <c r="BD399" s="226">
        <f t="shared" si="97"/>
        <v>9.612049992449805E-4</v>
      </c>
      <c r="BE399" s="226">
        <f t="shared" si="97"/>
        <v>9.0408149456036417E-4</v>
      </c>
    </row>
    <row r="400" spans="5:57" s="10" customFormat="1" x14ac:dyDescent="0.35">
      <c r="E400" s="10" t="s">
        <v>646</v>
      </c>
      <c r="F400" s="10" t="s">
        <v>615</v>
      </c>
      <c r="G400" s="43" t="s">
        <v>616</v>
      </c>
      <c r="I400" s="20"/>
      <c r="J400" s="200"/>
      <c r="K400" s="200"/>
      <c r="L400" s="200"/>
      <c r="M400" s="200"/>
      <c r="N400" s="200">
        <v>1.2E-2</v>
      </c>
      <c r="O400" s="226">
        <f t="shared" si="98"/>
        <v>1.1298929758228906E-2</v>
      </c>
      <c r="P400" s="226">
        <f t="shared" si="98"/>
        <v>1.0638817806782559E-2</v>
      </c>
      <c r="Q400" s="226">
        <f t="shared" si="98"/>
        <v>1.0017271259119253E-2</v>
      </c>
      <c r="R400" s="226">
        <f t="shared" si="98"/>
        <v>9.4320370271594733E-3</v>
      </c>
      <c r="S400" s="226">
        <f t="shared" si="98"/>
        <v>8.8809936539074232E-3</v>
      </c>
      <c r="T400" s="226">
        <f t="shared" si="98"/>
        <v>8.3621436232313873E-3</v>
      </c>
      <c r="U400" s="226">
        <f t="shared" si="98"/>
        <v>7.8736061189260999E-3</v>
      </c>
      <c r="V400" s="226">
        <f t="shared" si="98"/>
        <v>7.4136102068089425E-3</v>
      </c>
      <c r="W400" s="226">
        <f t="shared" si="98"/>
        <v>6.9804884151352595E-3</v>
      </c>
      <c r="X400" s="226">
        <f t="shared" si="98"/>
        <v>6.5726706900619929E-3</v>
      </c>
      <c r="Y400" s="226">
        <f t="shared" si="98"/>
        <v>6.188678704248364E-3</v>
      </c>
      <c r="Z400" s="226">
        <f t="shared" si="98"/>
        <v>5.8271204979624455E-3</v>
      </c>
      <c r="AA400" s="226">
        <f t="shared" si="98"/>
        <v>5.486685433267793E-3</v>
      </c>
      <c r="AB400" s="226">
        <f t="shared" si="98"/>
        <v>5.1661394429992104E-3</v>
      </c>
      <c r="AC400" s="226">
        <f t="shared" si="98"/>
        <v>4.8643205573053235E-3</v>
      </c>
      <c r="AD400" s="226">
        <f t="shared" si="98"/>
        <v>4.5801346915418113E-3</v>
      </c>
      <c r="AE400" s="226">
        <f t="shared" si="96"/>
        <v>4.3125516802465288E-3</v>
      </c>
      <c r="AF400" s="226">
        <f t="shared" si="96"/>
        <v>4.0606015428197974E-3</v>
      </c>
      <c r="AG400" s="226">
        <f t="shared" si="96"/>
        <v>3.8233709673730679E-3</v>
      </c>
      <c r="AH400" s="227">
        <v>3.5999999999999999E-3</v>
      </c>
      <c r="AI400" s="226">
        <f t="shared" si="99"/>
        <v>3.3896789274686714E-3</v>
      </c>
      <c r="AJ400" s="226">
        <f t="shared" si="99"/>
        <v>3.1916453420347676E-3</v>
      </c>
      <c r="AK400" s="226">
        <f t="shared" si="99"/>
        <v>3.0051813777357758E-3</v>
      </c>
      <c r="AL400" s="226">
        <f t="shared" si="99"/>
        <v>2.8296111081478415E-3</v>
      </c>
      <c r="AM400" s="226">
        <f t="shared" si="99"/>
        <v>2.6642980961722263E-3</v>
      </c>
      <c r="AN400" s="226">
        <f t="shared" si="99"/>
        <v>2.5086430869694157E-3</v>
      </c>
      <c r="AO400" s="226">
        <f t="shared" si="99"/>
        <v>2.3620818356778297E-3</v>
      </c>
      <c r="AP400" s="226">
        <f t="shared" si="99"/>
        <v>2.2240830620426826E-3</v>
      </c>
      <c r="AQ400" s="226">
        <f t="shared" si="99"/>
        <v>2.0941465245405775E-3</v>
      </c>
      <c r="AR400" s="226">
        <f t="shared" si="99"/>
        <v>1.9718012070185976E-3</v>
      </c>
      <c r="AS400" s="226">
        <f t="shared" si="99"/>
        <v>1.8566036112745089E-3</v>
      </c>
      <c r="AT400" s="226">
        <f t="shared" si="99"/>
        <v>1.7481361493887333E-3</v>
      </c>
      <c r="AU400" s="226">
        <f t="shared" si="99"/>
        <v>1.6460056299803375E-3</v>
      </c>
      <c r="AV400" s="226">
        <f t="shared" si="99"/>
        <v>1.5498418328997628E-3</v>
      </c>
      <c r="AW400" s="226">
        <f t="shared" si="99"/>
        <v>1.4592961671915966E-3</v>
      </c>
      <c r="AX400" s="226">
        <f t="shared" si="99"/>
        <v>1.3740404074625429E-3</v>
      </c>
      <c r="AY400" s="226">
        <f t="shared" si="97"/>
        <v>1.293765504073958E-3</v>
      </c>
      <c r="AZ400" s="226">
        <f t="shared" si="97"/>
        <v>1.2181804628459388E-3</v>
      </c>
      <c r="BA400" s="226">
        <f t="shared" si="97"/>
        <v>1.1470112902119199E-3</v>
      </c>
      <c r="BB400" s="226">
        <f t="shared" si="97"/>
        <v>1.0799999999999994E-3</v>
      </c>
      <c r="BC400" s="226">
        <f t="shared" si="97"/>
        <v>1.0169036782406008E-3</v>
      </c>
      <c r="BD400" s="226">
        <f t="shared" si="97"/>
        <v>9.5749360261042978E-4</v>
      </c>
      <c r="BE400" s="226">
        <f t="shared" si="97"/>
        <v>9.0155441332073229E-4</v>
      </c>
    </row>
    <row r="401" spans="5:57" s="10" customFormat="1" x14ac:dyDescent="0.35">
      <c r="E401" s="10" t="s">
        <v>647</v>
      </c>
      <c r="F401" s="10" t="s">
        <v>615</v>
      </c>
      <c r="G401" s="43" t="s">
        <v>616</v>
      </c>
      <c r="I401" s="20"/>
      <c r="J401" s="200"/>
      <c r="K401" s="200"/>
      <c r="L401" s="200"/>
      <c r="M401" s="200"/>
      <c r="N401" s="200">
        <v>1.15E-2</v>
      </c>
      <c r="O401" s="226">
        <f t="shared" si="98"/>
        <v>1.0835933985150752E-2</v>
      </c>
      <c r="P401" s="226">
        <f t="shared" si="98"/>
        <v>1.0210214376569136E-2</v>
      </c>
      <c r="Q401" s="226">
        <f t="shared" si="98"/>
        <v>9.6206268659774167E-3</v>
      </c>
      <c r="R401" s="226">
        <f t="shared" si="98"/>
        <v>9.0650850100433972E-3</v>
      </c>
      <c r="S401" s="226">
        <f t="shared" si="98"/>
        <v>8.5416228468356437E-3</v>
      </c>
      <c r="T401" s="226">
        <f t="shared" si="98"/>
        <v>8.0483879386405634E-3</v>
      </c>
      <c r="U401" s="226">
        <f t="shared" si="98"/>
        <v>7.5836348165211039E-3</v>
      </c>
      <c r="V401" s="226">
        <f t="shared" si="98"/>
        <v>7.1457188034185675E-3</v>
      </c>
      <c r="W401" s="226">
        <f t="shared" si="98"/>
        <v>6.7330901939386106E-3</v>
      </c>
      <c r="X401" s="226">
        <f t="shared" si="98"/>
        <v>6.3442887702247529E-3</v>
      </c>
      <c r="Y401" s="226">
        <f t="shared" si="98"/>
        <v>5.9779386345120587E-3</v>
      </c>
      <c r="Z401" s="226">
        <f t="shared" si="98"/>
        <v>5.6327433400743393E-3</v>
      </c>
      <c r="AA401" s="226">
        <f t="shared" si="98"/>
        <v>5.3074813033341826E-3</v>
      </c>
      <c r="AB401" s="226">
        <f t="shared" si="98"/>
        <v>5.0010014809000938E-3</v>
      </c>
      <c r="AC401" s="226">
        <f t="shared" si="98"/>
        <v>4.7122192962325707E-3</v>
      </c>
      <c r="AD401" s="226">
        <f t="shared" si="98"/>
        <v>4.4401128015243195E-3</v>
      </c>
      <c r="AE401" s="226">
        <f t="shared" si="96"/>
        <v>4.1837190612121992E-3</v>
      </c>
      <c r="AF401" s="226">
        <f t="shared" si="96"/>
        <v>3.9421307443228059E-3</v>
      </c>
      <c r="AG401" s="226">
        <f t="shared" si="96"/>
        <v>3.7144929135926198E-3</v>
      </c>
      <c r="AH401" s="227">
        <v>3.5000000000000001E-3</v>
      </c>
      <c r="AI401" s="226">
        <f t="shared" si="99"/>
        <v>3.2978929520024029E-3</v>
      </c>
      <c r="AJ401" s="226">
        <f t="shared" si="99"/>
        <v>3.1074565493906066E-3</v>
      </c>
      <c r="AK401" s="226">
        <f t="shared" si="99"/>
        <v>2.9280168722539968E-3</v>
      </c>
      <c r="AL401" s="226">
        <f t="shared" si="99"/>
        <v>2.7589389161001648E-3</v>
      </c>
      <c r="AM401" s="226">
        <f t="shared" si="99"/>
        <v>2.5996243446891093E-3</v>
      </c>
      <c r="AN401" s="226">
        <f t="shared" si="99"/>
        <v>2.4495093726297369E-3</v>
      </c>
      <c r="AO401" s="226">
        <f t="shared" si="99"/>
        <v>2.3080627702455536E-3</v>
      </c>
      <c r="AP401" s="226">
        <f t="shared" si="99"/>
        <v>2.1747839836491292E-3</v>
      </c>
      <c r="AQ401" s="226">
        <f t="shared" si="99"/>
        <v>2.0492013633726207E-3</v>
      </c>
      <c r="AR401" s="226">
        <f t="shared" si="99"/>
        <v>1.9308704952857945E-3</v>
      </c>
      <c r="AS401" s="226">
        <f t="shared" si="99"/>
        <v>1.8193726278949744E-3</v>
      </c>
      <c r="AT401" s="226">
        <f t="shared" si="99"/>
        <v>1.7143131904574075E-3</v>
      </c>
      <c r="AU401" s="226">
        <f t="shared" si="99"/>
        <v>1.615320396666925E-3</v>
      </c>
      <c r="AV401" s="226">
        <f t="shared" si="99"/>
        <v>1.5220439289695936E-3</v>
      </c>
      <c r="AW401" s="226">
        <f t="shared" si="99"/>
        <v>1.434153698853391E-3</v>
      </c>
      <c r="AX401" s="226">
        <f t="shared" si="99"/>
        <v>1.3513386787247928E-3</v>
      </c>
      <c r="AY401" s="226">
        <f t="shared" si="97"/>
        <v>1.2733058012384954E-3</v>
      </c>
      <c r="AZ401" s="226">
        <f t="shared" si="97"/>
        <v>1.199778922185202E-3</v>
      </c>
      <c r="BA401" s="226">
        <f t="shared" si="97"/>
        <v>1.1304978432673191E-3</v>
      </c>
      <c r="BB401" s="226">
        <f t="shared" si="97"/>
        <v>1.0652173913043453E-3</v>
      </c>
      <c r="BC401" s="226">
        <f t="shared" si="97"/>
        <v>1.0037065506094246E-3</v>
      </c>
      <c r="BD401" s="226">
        <f t="shared" si="97"/>
        <v>9.4574764546670421E-4</v>
      </c>
      <c r="BE401" s="226">
        <f t="shared" si="97"/>
        <v>8.9113556981643171E-4</v>
      </c>
    </row>
    <row r="402" spans="5:57" s="10" customFormat="1" x14ac:dyDescent="0.35">
      <c r="E402" s="10" t="s">
        <v>648</v>
      </c>
      <c r="F402" s="10" t="s">
        <v>615</v>
      </c>
      <c r="G402" s="43" t="s">
        <v>616</v>
      </c>
      <c r="I402" s="20"/>
      <c r="J402" s="200"/>
      <c r="K402" s="200"/>
      <c r="L402" s="200"/>
      <c r="M402" s="200"/>
      <c r="N402" s="200">
        <v>1.1299999999999999E-2</v>
      </c>
      <c r="O402" s="226">
        <f t="shared" si="98"/>
        <v>1.0671848378980879E-2</v>
      </c>
      <c r="P402" s="226">
        <f t="shared" si="98"/>
        <v>1.0078614851677594E-2</v>
      </c>
      <c r="Q402" s="226">
        <f t="shared" si="98"/>
        <v>9.5183583687830225E-3</v>
      </c>
      <c r="R402" s="226">
        <f t="shared" si="98"/>
        <v>8.9892457812793085E-3</v>
      </c>
      <c r="S402" s="226">
        <f t="shared" si="98"/>
        <v>8.4895458424076378E-3</v>
      </c>
      <c r="T402" s="226">
        <f t="shared" si="98"/>
        <v>8.0176235430603378E-3</v>
      </c>
      <c r="U402" s="226">
        <f t="shared" si="98"/>
        <v>7.5719347620608318E-3</v>
      </c>
      <c r="V402" s="226">
        <f t="shared" si="98"/>
        <v>7.1510212138272446E-3</v>
      </c>
      <c r="W402" s="226">
        <f t="shared" si="98"/>
        <v>6.7535056768885096E-3</v>
      </c>
      <c r="X402" s="226">
        <f t="shared" si="98"/>
        <v>6.3780874876407795E-3</v>
      </c>
      <c r="Y402" s="226">
        <f t="shared" si="98"/>
        <v>6.0235382845997771E-3</v>
      </c>
      <c r="Z402" s="226">
        <f t="shared" si="98"/>
        <v>5.6886979892243721E-3</v>
      </c>
      <c r="AA402" s="226">
        <f t="shared" si="98"/>
        <v>5.3724710101606997E-3</v>
      </c>
      <c r="AB402" s="226">
        <f t="shared" si="98"/>
        <v>5.0738226584871888E-3</v>
      </c>
      <c r="AC402" s="226">
        <f t="shared" si="98"/>
        <v>4.7917757622312354E-3</v>
      </c>
      <c r="AD402" s="226">
        <f t="shared" ref="AD402:AG417" si="100">AC402*(1+($AH402/$N402)^(1/($AH$6-$N$6))-1)</f>
        <v>4.5254074690802898E-3</v>
      </c>
      <c r="AE402" s="226">
        <f t="shared" si="100"/>
        <v>4.2738462268258814E-3</v>
      </c>
      <c r="AF402" s="226">
        <f t="shared" si="100"/>
        <v>4.0362689316606488E-3</v>
      </c>
      <c r="AG402" s="226">
        <f t="shared" si="100"/>
        <v>3.8118982349976622E-3</v>
      </c>
      <c r="AH402" s="227">
        <v>3.5999999999999999E-3</v>
      </c>
      <c r="AI402" s="226">
        <f t="shared" si="99"/>
        <v>3.3998808994983331E-3</v>
      </c>
      <c r="AJ402" s="226">
        <f t="shared" si="99"/>
        <v>3.2108861474371099E-3</v>
      </c>
      <c r="AK402" s="226">
        <f t="shared" si="99"/>
        <v>3.0323973564264496E-3</v>
      </c>
      <c r="AL402" s="226">
        <f t="shared" si="99"/>
        <v>2.8638305143898683E-3</v>
      </c>
      <c r="AM402" s="226">
        <f t="shared" si="99"/>
        <v>2.7046340736873891E-3</v>
      </c>
      <c r="AN402" s="226">
        <f t="shared" si="99"/>
        <v>2.5542871464617005E-3</v>
      </c>
      <c r="AO402" s="226">
        <f t="shared" si="99"/>
        <v>2.4122978003025658E-3</v>
      </c>
      <c r="AP402" s="226">
        <f t="shared" si="99"/>
        <v>2.2782014486529274E-3</v>
      </c>
      <c r="AQ402" s="226">
        <f t="shared" si="99"/>
        <v>2.1515593306901449E-3</v>
      </c>
      <c r="AR402" s="226">
        <f t="shared" si="99"/>
        <v>2.0319570757085671E-3</v>
      </c>
      <c r="AS402" s="226">
        <f t="shared" si="99"/>
        <v>1.9190033473061238E-3</v>
      </c>
      <c r="AT402" s="226">
        <f t="shared" si="99"/>
        <v>1.8123285629387379E-3</v>
      </c>
      <c r="AU402" s="226">
        <f t="shared" si="99"/>
        <v>1.7115836846529661E-3</v>
      </c>
      <c r="AV402" s="226">
        <f t="shared" si="99"/>
        <v>1.616439077040166E-3</v>
      </c>
      <c r="AW402" s="226">
        <f t="shared" si="99"/>
        <v>1.5265834286754376E-3</v>
      </c>
      <c r="AX402" s="226">
        <f t="shared" ref="AX402:BE417" si="101">AW402*(1+($AH402/$N402)^(1/($AH$6-$N$6))-1)</f>
        <v>1.4417227335123046E-3</v>
      </c>
      <c r="AY402" s="226">
        <f t="shared" si="101"/>
        <v>1.3615793289002806E-3</v>
      </c>
      <c r="AZ402" s="226">
        <f t="shared" si="101"/>
        <v>1.2858909870777286E-3</v>
      </c>
      <c r="BA402" s="226">
        <f t="shared" si="101"/>
        <v>1.2144100571673967E-3</v>
      </c>
      <c r="BB402" s="226">
        <f t="shared" si="101"/>
        <v>1.1469026548672531E-3</v>
      </c>
      <c r="BC402" s="226">
        <f t="shared" si="101"/>
        <v>1.0831478971853063E-3</v>
      </c>
      <c r="BD402" s="226">
        <f t="shared" si="101"/>
        <v>1.0229371797144742E-3</v>
      </c>
      <c r="BE402" s="226">
        <f t="shared" si="101"/>
        <v>9.6607349408275964E-4</v>
      </c>
    </row>
    <row r="403" spans="5:57" s="10" customFormat="1" x14ac:dyDescent="0.35">
      <c r="E403" s="10" t="s">
        <v>649</v>
      </c>
      <c r="F403" s="10" t="s">
        <v>615</v>
      </c>
      <c r="G403" s="43" t="s">
        <v>616</v>
      </c>
      <c r="I403" s="20"/>
      <c r="J403" s="200"/>
      <c r="K403" s="200"/>
      <c r="L403" s="200"/>
      <c r="M403" s="200"/>
      <c r="N403" s="200">
        <v>1.0999999999999999E-2</v>
      </c>
      <c r="O403" s="226">
        <f t="shared" ref="O403:AD418" si="102">N403*(1+($AH403/$N403)^(1/($AH$6-$N$6))-1)</f>
        <v>1.0416771486221756E-2</v>
      </c>
      <c r="P403" s="226">
        <f t="shared" si="102"/>
        <v>9.8644661996511469E-3</v>
      </c>
      <c r="Q403" s="226">
        <f t="shared" si="102"/>
        <v>9.3414445668476686E-3</v>
      </c>
      <c r="R403" s="226">
        <f t="shared" si="102"/>
        <v>8.8461539458236319E-3</v>
      </c>
      <c r="S403" s="226">
        <f t="shared" si="102"/>
        <v>8.3771240168712454E-3</v>
      </c>
      <c r="T403" s="226">
        <f t="shared" si="102"/>
        <v>7.9329624177716229E-3</v>
      </c>
      <c r="U403" s="226">
        <f t="shared" si="102"/>
        <v>7.5123506104283859E-3</v>
      </c>
      <c r="V403" s="226">
        <f t="shared" si="102"/>
        <v>7.1140399666555472E-3</v>
      </c>
      <c r="W403" s="226">
        <f t="shared" si="102"/>
        <v>6.7368480614999528E-3</v>
      </c>
      <c r="X403" s="226">
        <f t="shared" si="102"/>
        <v>6.3796551630946391E-3</v>
      </c>
      <c r="Y403" s="226">
        <f t="shared" si="102"/>
        <v>6.0414009086228772E-3</v>
      </c>
      <c r="Z403" s="226">
        <f t="shared" si="102"/>
        <v>5.721081156525182E-3</v>
      </c>
      <c r="AA403" s="226">
        <f t="shared" si="102"/>
        <v>5.417745005604737E-3</v>
      </c>
      <c r="AB403" s="226">
        <f t="shared" si="102"/>
        <v>5.1304919721821595E-3</v>
      </c>
      <c r="AC403" s="226">
        <f t="shared" si="102"/>
        <v>4.8584693169197038E-3</v>
      </c>
      <c r="AD403" s="226">
        <f t="shared" si="102"/>
        <v>4.6008695133793152E-3</v>
      </c>
      <c r="AE403" s="226">
        <f t="shared" si="100"/>
        <v>4.3569278507996929E-3</v>
      </c>
      <c r="AF403" s="226">
        <f t="shared" si="100"/>
        <v>4.1259201639759708E-3</v>
      </c>
      <c r="AG403" s="226">
        <f t="shared" si="100"/>
        <v>3.9071606835029355E-3</v>
      </c>
      <c r="AH403" s="227">
        <v>3.7000000000000002E-3</v>
      </c>
      <c r="AI403" s="226">
        <f t="shared" ref="AI403:AX418" si="103">AH403*(1+($AH403/$N403)^(1/($AH$6-$N$6))-1)</f>
        <v>3.5038231362745911E-3</v>
      </c>
      <c r="AJ403" s="226">
        <f t="shared" si="103"/>
        <v>3.3180477217008408E-3</v>
      </c>
      <c r="AK403" s="226">
        <f t="shared" si="103"/>
        <v>3.1421222633942164E-3</v>
      </c>
      <c r="AL403" s="226">
        <f t="shared" si="103"/>
        <v>2.9755245090497674E-3</v>
      </c>
      <c r="AM403" s="226">
        <f t="shared" si="103"/>
        <v>2.8177598965839646E-3</v>
      </c>
      <c r="AN403" s="226">
        <f t="shared" si="103"/>
        <v>2.6683600859777282E-3</v>
      </c>
      <c r="AO403" s="226">
        <f t="shared" si="103"/>
        <v>2.5268815689622761E-3</v>
      </c>
      <c r="AP403" s="226">
        <f t="shared" si="103"/>
        <v>2.3929043524205029E-3</v>
      </c>
      <c r="AQ403" s="226">
        <f t="shared" si="103"/>
        <v>2.2660307115954393E-3</v>
      </c>
      <c r="AR403" s="226">
        <f t="shared" si="103"/>
        <v>2.1458840094045607E-3</v>
      </c>
      <c r="AS403" s="226">
        <f t="shared" si="103"/>
        <v>2.0321075783549681E-3</v>
      </c>
      <c r="AT403" s="226">
        <f t="shared" si="103"/>
        <v>1.9243636617402888E-3</v>
      </c>
      <c r="AU403" s="226">
        <f t="shared" si="103"/>
        <v>1.822332410976139E-3</v>
      </c>
      <c r="AV403" s="226">
        <f t="shared" si="103"/>
        <v>1.7257109360976357E-3</v>
      </c>
      <c r="AW403" s="226">
        <f t="shared" si="103"/>
        <v>1.6342124066002644E-3</v>
      </c>
      <c r="AX403" s="226">
        <f t="shared" si="103"/>
        <v>1.5475651999548609E-3</v>
      </c>
      <c r="AY403" s="226">
        <f t="shared" si="101"/>
        <v>1.465512095268988E-3</v>
      </c>
      <c r="AZ403" s="226">
        <f t="shared" si="101"/>
        <v>1.3878095097010089E-3</v>
      </c>
      <c r="BA403" s="226">
        <f t="shared" si="101"/>
        <v>1.3142267753600788E-3</v>
      </c>
      <c r="BB403" s="226">
        <f t="shared" si="101"/>
        <v>1.2445454545454578E-3</v>
      </c>
      <c r="BC403" s="226">
        <f t="shared" si="101"/>
        <v>1.1785586912923655E-3</v>
      </c>
      <c r="BD403" s="226">
        <f t="shared" si="101"/>
        <v>1.1160705972993767E-3</v>
      </c>
      <c r="BE403" s="226">
        <f t="shared" si="101"/>
        <v>1.056895670414421E-3</v>
      </c>
    </row>
    <row r="404" spans="5:57" s="10" customFormat="1" x14ac:dyDescent="0.35">
      <c r="E404" s="10" t="s">
        <v>650</v>
      </c>
      <c r="F404" s="10" t="s">
        <v>615</v>
      </c>
      <c r="G404" s="43" t="s">
        <v>616</v>
      </c>
      <c r="I404" s="20"/>
      <c r="J404" s="200"/>
      <c r="K404" s="200"/>
      <c r="L404" s="200"/>
      <c r="M404" s="200"/>
      <c r="N404" s="200">
        <v>1.0800000000000001E-2</v>
      </c>
      <c r="O404" s="226">
        <f t="shared" si="102"/>
        <v>1.0250422054241638E-2</v>
      </c>
      <c r="P404" s="226">
        <f t="shared" si="102"/>
        <v>9.7288103972299391E-3</v>
      </c>
      <c r="Q404" s="226">
        <f t="shared" si="102"/>
        <v>9.233741912713065E-3</v>
      </c>
      <c r="R404" s="226">
        <f t="shared" si="102"/>
        <v>8.7638659023379032E-3</v>
      </c>
      <c r="S404" s="226">
        <f t="shared" si="102"/>
        <v>8.3179004005315485E-3</v>
      </c>
      <c r="T404" s="226">
        <f t="shared" si="102"/>
        <v>7.8946286769068456E-3</v>
      </c>
      <c r="U404" s="226">
        <f t="shared" si="102"/>
        <v>7.4928959166494814E-3</v>
      </c>
      <c r="V404" s="226">
        <f t="shared" si="102"/>
        <v>7.1116060698297179E-3</v>
      </c>
      <c r="W404" s="226">
        <f t="shared" si="102"/>
        <v>6.7497188610427068E-3</v>
      </c>
      <c r="X404" s="226">
        <f t="shared" si="102"/>
        <v>6.4062469512187869E-3</v>
      </c>
      <c r="Y404" s="226">
        <f t="shared" si="102"/>
        <v>6.080253243860306E-3</v>
      </c>
      <c r="Z404" s="226">
        <f t="shared" si="102"/>
        <v>5.7708483283555496E-3</v>
      </c>
      <c r="AA404" s="226">
        <f t="shared" si="102"/>
        <v>5.4771880533943714E-3</v>
      </c>
      <c r="AB404" s="226">
        <f t="shared" si="102"/>
        <v>5.1984712238650451E-3</v>
      </c>
      <c r="AC404" s="226">
        <f t="shared" si="102"/>
        <v>4.9339374149487752E-3</v>
      </c>
      <c r="AD404" s="226">
        <f t="shared" si="102"/>
        <v>4.6828648974480457E-3</v>
      </c>
      <c r="AE404" s="226">
        <f t="shared" si="100"/>
        <v>4.4445686686884677E-3</v>
      </c>
      <c r="AF404" s="226">
        <f t="shared" si="100"/>
        <v>4.2183985836218201E-3</v>
      </c>
      <c r="AG404" s="226">
        <f t="shared" si="100"/>
        <v>4.0037375810313691E-3</v>
      </c>
      <c r="AH404" s="227">
        <v>3.8E-3</v>
      </c>
      <c r="AI404" s="226">
        <f t="shared" si="103"/>
        <v>3.6066299820479834E-3</v>
      </c>
      <c r="AJ404" s="226">
        <f t="shared" si="103"/>
        <v>3.4230999545809045E-3</v>
      </c>
      <c r="AK404" s="226">
        <f t="shared" si="103"/>
        <v>3.2489091915101527E-3</v>
      </c>
      <c r="AL404" s="226">
        <f t="shared" si="103"/>
        <v>3.0835824471188919E-3</v>
      </c>
      <c r="AM404" s="226">
        <f t="shared" si="103"/>
        <v>2.9266686594462857E-3</v>
      </c>
      <c r="AN404" s="226">
        <f t="shared" si="103"/>
        <v>2.7777397196524084E-3</v>
      </c>
      <c r="AO404" s="226">
        <f t="shared" si="103"/>
        <v>2.6363893040062987E-3</v>
      </c>
      <c r="AP404" s="226">
        <f t="shared" si="103"/>
        <v>2.5022317653104558E-3</v>
      </c>
      <c r="AQ404" s="226">
        <f t="shared" si="103"/>
        <v>2.3749010807372481E-3</v>
      </c>
      <c r="AR404" s="226">
        <f t="shared" si="103"/>
        <v>2.2540498532066097E-3</v>
      </c>
      <c r="AS404" s="226">
        <f t="shared" si="103"/>
        <v>2.1393483635804775E-3</v>
      </c>
      <c r="AT404" s="226">
        <f t="shared" si="103"/>
        <v>2.0304836710880632E-3</v>
      </c>
      <c r="AU404" s="226">
        <f t="shared" si="103"/>
        <v>1.9271587595276485E-3</v>
      </c>
      <c r="AV404" s="226">
        <f t="shared" si="103"/>
        <v>1.829091726915478E-3</v>
      </c>
      <c r="AW404" s="226">
        <f t="shared" si="103"/>
        <v>1.7360150163708646E-3</v>
      </c>
      <c r="AX404" s="226">
        <f t="shared" si="103"/>
        <v>1.6476746861391264E-3</v>
      </c>
      <c r="AY404" s="226">
        <f t="shared" si="101"/>
        <v>1.5638297167607563E-3</v>
      </c>
      <c r="AZ404" s="226">
        <f t="shared" si="101"/>
        <v>1.4842513534965656E-3</v>
      </c>
      <c r="BA404" s="226">
        <f t="shared" si="101"/>
        <v>1.4087224822147404E-3</v>
      </c>
      <c r="BB404" s="226">
        <f t="shared" si="101"/>
        <v>1.3370370370370368E-3</v>
      </c>
      <c r="BC404" s="226">
        <f t="shared" si="101"/>
        <v>1.2689994381279938E-3</v>
      </c>
      <c r="BD404" s="226">
        <f t="shared" si="101"/>
        <v>1.2044240580932808E-3</v>
      </c>
      <c r="BE404" s="226">
        <f t="shared" si="101"/>
        <v>1.1431347155313495E-3</v>
      </c>
    </row>
    <row r="405" spans="5:57" s="10" customFormat="1" x14ac:dyDescent="0.35">
      <c r="E405" s="10" t="s">
        <v>651</v>
      </c>
      <c r="F405" s="10" t="s">
        <v>615</v>
      </c>
      <c r="G405" s="43" t="s">
        <v>616</v>
      </c>
      <c r="I405" s="20"/>
      <c r="J405" s="200"/>
      <c r="K405" s="200"/>
      <c r="L405" s="200"/>
      <c r="M405" s="200"/>
      <c r="N405" s="200">
        <v>1.06E-2</v>
      </c>
      <c r="O405" s="226">
        <f t="shared" si="102"/>
        <v>1.0070006522021556E-2</v>
      </c>
      <c r="P405" s="226">
        <f t="shared" si="102"/>
        <v>9.5665123918449689E-3</v>
      </c>
      <c r="Q405" s="226">
        <f t="shared" si="102"/>
        <v>9.0881926583847982E-3</v>
      </c>
      <c r="R405" s="226">
        <f t="shared" si="102"/>
        <v>8.6337886172946545E-3</v>
      </c>
      <c r="S405" s="226">
        <f t="shared" si="102"/>
        <v>8.2021044986710038E-3</v>
      </c>
      <c r="T405" s="226">
        <f t="shared" si="102"/>
        <v>7.7920043203697498E-3</v>
      </c>
      <c r="U405" s="226">
        <f t="shared" si="102"/>
        <v>7.4024088986550489E-3</v>
      </c>
      <c r="V405" s="226">
        <f t="shared" si="102"/>
        <v>7.0322930083138438E-3</v>
      </c>
      <c r="W405" s="226">
        <f t="shared" si="102"/>
        <v>6.6806826847629237E-3</v>
      </c>
      <c r="X405" s="226">
        <f t="shared" si="102"/>
        <v>6.3466526610489737E-3</v>
      </c>
      <c r="Y405" s="226">
        <f t="shared" si="102"/>
        <v>6.0293239329970404E-3</v>
      </c>
      <c r="Z405" s="226">
        <f t="shared" si="102"/>
        <v>5.7278614461000804E-3</v>
      </c>
      <c r="AA405" s="226">
        <f t="shared" si="102"/>
        <v>5.4414718980626067E-3</v>
      </c>
      <c r="AB405" s="226">
        <f t="shared" si="102"/>
        <v>5.1694016512157989E-3</v>
      </c>
      <c r="AC405" s="226">
        <f t="shared" si="102"/>
        <v>4.910934749310575E-3</v>
      </c>
      <c r="AD405" s="226">
        <f t="shared" si="102"/>
        <v>4.6653910334697908E-3</v>
      </c>
      <c r="AE405" s="226">
        <f t="shared" si="100"/>
        <v>4.432124352341668E-3</v>
      </c>
      <c r="AF405" s="226">
        <f t="shared" si="100"/>
        <v>4.210520861744449E-3</v>
      </c>
      <c r="AG405" s="226">
        <f t="shared" si="100"/>
        <v>3.9999974093277756E-3</v>
      </c>
      <c r="AH405" s="227">
        <v>3.8E-3</v>
      </c>
      <c r="AI405" s="226">
        <f t="shared" si="103"/>
        <v>3.6100023380831992E-3</v>
      </c>
      <c r="AJ405" s="226">
        <f t="shared" si="103"/>
        <v>3.429504442359517E-3</v>
      </c>
      <c r="AK405" s="226">
        <f t="shared" si="103"/>
        <v>3.2580313303643615E-3</v>
      </c>
      <c r="AL405" s="226">
        <f t="shared" si="103"/>
        <v>3.0951317684641214E-3</v>
      </c>
      <c r="AM405" s="226">
        <f t="shared" si="103"/>
        <v>2.9403770844292276E-3</v>
      </c>
      <c r="AN405" s="226">
        <f t="shared" si="103"/>
        <v>2.7933600393778347E-3</v>
      </c>
      <c r="AO405" s="226">
        <f t="shared" si="103"/>
        <v>2.6536937561216214E-3</v>
      </c>
      <c r="AP405" s="226">
        <f t="shared" si="103"/>
        <v>2.5210107010936421E-3</v>
      </c>
      <c r="AQ405" s="226">
        <f t="shared" si="103"/>
        <v>2.3949617171791612E-3</v>
      </c>
      <c r="AR405" s="226">
        <f t="shared" si="103"/>
        <v>2.2752151049043488E-3</v>
      </c>
      <c r="AS405" s="226">
        <f t="shared" si="103"/>
        <v>2.1614557495649766E-3</v>
      </c>
      <c r="AT405" s="226">
        <f t="shared" si="103"/>
        <v>2.0533842919981419E-3</v>
      </c>
      <c r="AU405" s="226">
        <f t="shared" si="103"/>
        <v>1.9507163408148966E-3</v>
      </c>
      <c r="AV405" s="226">
        <f t="shared" si="103"/>
        <v>1.8531817240207578E-3</v>
      </c>
      <c r="AW405" s="226">
        <f t="shared" si="103"/>
        <v>1.7605237780547341E-3</v>
      </c>
      <c r="AX405" s="226">
        <f t="shared" si="103"/>
        <v>1.6724986723759625E-3</v>
      </c>
      <c r="AY405" s="226">
        <f t="shared" si="101"/>
        <v>1.5888747678205978E-3</v>
      </c>
      <c r="AZ405" s="226">
        <f t="shared" si="101"/>
        <v>1.5094320070404626E-3</v>
      </c>
      <c r="BA405" s="226">
        <f t="shared" si="101"/>
        <v>1.4339613354193911E-3</v>
      </c>
      <c r="BB405" s="226">
        <f t="shared" si="101"/>
        <v>1.3622641509433971E-3</v>
      </c>
      <c r="BC405" s="226">
        <f t="shared" si="101"/>
        <v>1.2941517815769968E-3</v>
      </c>
      <c r="BD405" s="226">
        <f t="shared" si="101"/>
        <v>1.2294449887703938E-3</v>
      </c>
      <c r="BE405" s="226">
        <f t="shared" si="101"/>
        <v>1.1679734957909984E-3</v>
      </c>
    </row>
    <row r="406" spans="5:57" s="10" customFormat="1" x14ac:dyDescent="0.35">
      <c r="E406" s="10" t="s">
        <v>652</v>
      </c>
      <c r="F406" s="10" t="s">
        <v>615</v>
      </c>
      <c r="G406" s="43" t="s">
        <v>616</v>
      </c>
      <c r="I406" s="20"/>
      <c r="J406" s="200"/>
      <c r="K406" s="200"/>
      <c r="L406" s="200"/>
      <c r="M406" s="200"/>
      <c r="N406" s="200">
        <v>1.04E-2</v>
      </c>
      <c r="O406" s="226">
        <f t="shared" si="102"/>
        <v>9.9022731658602939E-3</v>
      </c>
      <c r="P406" s="226">
        <f t="shared" si="102"/>
        <v>9.428366716472774E-3</v>
      </c>
      <c r="Q406" s="226">
        <f t="shared" si="102"/>
        <v>8.977140647540259E-3</v>
      </c>
      <c r="R406" s="226">
        <f t="shared" si="102"/>
        <v>8.547509513489579E-3</v>
      </c>
      <c r="S406" s="226">
        <f t="shared" si="102"/>
        <v>8.1384398163811007E-3</v>
      </c>
      <c r="T406" s="226">
        <f t="shared" si="102"/>
        <v>7.7489475197807262E-3</v>
      </c>
      <c r="U406" s="226">
        <f t="shared" si="102"/>
        <v>7.378095681613882E-3</v>
      </c>
      <c r="V406" s="226">
        <f t="shared" si="102"/>
        <v>7.0249922003071986E-3</v>
      </c>
      <c r="W406" s="226">
        <f t="shared" si="102"/>
        <v>6.688787668796139E-3</v>
      </c>
      <c r="X406" s="226">
        <f t="shared" si="102"/>
        <v>6.3686733312362737E-3</v>
      </c>
      <c r="Y406" s="226">
        <f t="shared" si="102"/>
        <v>6.063879137502985E-3</v>
      </c>
      <c r="Z406" s="226">
        <f t="shared" si="102"/>
        <v>5.7736718907996035E-3</v>
      </c>
      <c r="AA406" s="226">
        <f t="shared" si="102"/>
        <v>5.4973534839179604E-3</v>
      </c>
      <c r="AB406" s="226">
        <f t="shared" si="102"/>
        <v>5.2342592199085981E-3</v>
      </c>
      <c r="AC406" s="226">
        <f t="shared" si="102"/>
        <v>4.9837562131209373E-3</v>
      </c>
      <c r="AD406" s="226">
        <f t="shared" si="102"/>
        <v>4.7452418667670174E-3</v>
      </c>
      <c r="AE406" s="226">
        <f t="shared" si="100"/>
        <v>4.5181424233465238E-3</v>
      </c>
      <c r="AF406" s="226">
        <f t="shared" si="100"/>
        <v>4.3019115844460856E-3</v>
      </c>
      <c r="AG406" s="226">
        <f t="shared" si="100"/>
        <v>4.0960291965926937E-3</v>
      </c>
      <c r="AH406" s="227">
        <v>3.8999999999999998E-3</v>
      </c>
      <c r="AI406" s="226">
        <f t="shared" si="103"/>
        <v>3.7133524371976102E-3</v>
      </c>
      <c r="AJ406" s="226">
        <f t="shared" si="103"/>
        <v>3.5356375186772902E-3</v>
      </c>
      <c r="AK406" s="226">
        <f t="shared" si="103"/>
        <v>3.3664277428275967E-3</v>
      </c>
      <c r="AL406" s="226">
        <f t="shared" si="103"/>
        <v>3.2053160675585917E-3</v>
      </c>
      <c r="AM406" s="226">
        <f t="shared" si="103"/>
        <v>3.0519149311429121E-3</v>
      </c>
      <c r="AN406" s="226">
        <f t="shared" si="103"/>
        <v>2.9058553199177717E-3</v>
      </c>
      <c r="AO406" s="226">
        <f t="shared" si="103"/>
        <v>2.766785880605205E-3</v>
      </c>
      <c r="AP406" s="226">
        <f t="shared" si="103"/>
        <v>2.6343720751151986E-3</v>
      </c>
      <c r="AQ406" s="226">
        <f t="shared" si="103"/>
        <v>2.5082953757985509E-3</v>
      </c>
      <c r="AR406" s="226">
        <f t="shared" si="103"/>
        <v>2.3882524992136014E-3</v>
      </c>
      <c r="AS406" s="226">
        <f t="shared" si="103"/>
        <v>2.2739546765636184E-3</v>
      </c>
      <c r="AT406" s="226">
        <f t="shared" si="103"/>
        <v>2.1651269590498502E-3</v>
      </c>
      <c r="AU406" s="226">
        <f t="shared" si="103"/>
        <v>2.0615075564692342E-3</v>
      </c>
      <c r="AV406" s="226">
        <f t="shared" si="103"/>
        <v>1.9628472074657236E-3</v>
      </c>
      <c r="AW406" s="226">
        <f t="shared" si="103"/>
        <v>1.868908579920351E-3</v>
      </c>
      <c r="AX406" s="226">
        <f t="shared" si="103"/>
        <v>1.779465700037631E-3</v>
      </c>
      <c r="AY406" s="226">
        <f t="shared" si="101"/>
        <v>1.694303408754946E-3</v>
      </c>
      <c r="AZ406" s="226">
        <f t="shared" si="101"/>
        <v>1.6132168441672814E-3</v>
      </c>
      <c r="BA406" s="226">
        <f t="shared" si="101"/>
        <v>1.5360109487222596E-3</v>
      </c>
      <c r="BB406" s="226">
        <f t="shared" si="101"/>
        <v>1.4625000000000042E-3</v>
      </c>
      <c r="BC406" s="226">
        <f t="shared" si="101"/>
        <v>1.3925071639491078E-3</v>
      </c>
      <c r="BD406" s="226">
        <f t="shared" si="101"/>
        <v>1.3258640695039878E-3</v>
      </c>
      <c r="BE406" s="226">
        <f t="shared" si="101"/>
        <v>1.2624104035603525E-3</v>
      </c>
    </row>
    <row r="407" spans="5:57" s="10" customFormat="1" x14ac:dyDescent="0.35">
      <c r="E407" s="10" t="s">
        <v>653</v>
      </c>
      <c r="F407" s="10" t="s">
        <v>615</v>
      </c>
      <c r="G407" s="43" t="s">
        <v>616</v>
      </c>
      <c r="I407" s="20"/>
      <c r="J407" s="200"/>
      <c r="K407" s="200"/>
      <c r="L407" s="200"/>
      <c r="M407" s="200"/>
      <c r="N407" s="200">
        <v>1.0500000000000001E-2</v>
      </c>
      <c r="O407" s="226">
        <f t="shared" si="102"/>
        <v>1.0029800591499403E-2</v>
      </c>
      <c r="P407" s="226">
        <f t="shared" si="102"/>
        <v>9.5806571338325503E-3</v>
      </c>
      <c r="Q407" s="226">
        <f t="shared" si="102"/>
        <v>9.1516267226539709E-3</v>
      </c>
      <c r="R407" s="226">
        <f t="shared" si="102"/>
        <v>8.7418086777196705E-3</v>
      </c>
      <c r="S407" s="226">
        <f t="shared" si="102"/>
        <v>8.3503426520540342E-3</v>
      </c>
      <c r="T407" s="226">
        <f t="shared" si="102"/>
        <v>7.9764068257899279E-3</v>
      </c>
      <c r="U407" s="226">
        <f t="shared" si="102"/>
        <v>7.6192161808902566E-3</v>
      </c>
      <c r="V407" s="226">
        <f t="shared" si="102"/>
        <v>7.2780208531290401E-3</v>
      </c>
      <c r="W407" s="226">
        <f t="shared" si="102"/>
        <v>6.9521045578722516E-3</v>
      </c>
      <c r="X407" s="226">
        <f t="shared" si="102"/>
        <v>6.6407830863536004E-3</v>
      </c>
      <c r="Y407" s="226">
        <f t="shared" si="102"/>
        <v>6.3434028692884352E-3</v>
      </c>
      <c r="Z407" s="226">
        <f t="shared" si="102"/>
        <v>6.0593396048103012E-3</v>
      </c>
      <c r="AA407" s="226">
        <f t="shared" si="102"/>
        <v>5.7879969478497259E-3</v>
      </c>
      <c r="AB407" s="226">
        <f t="shared" si="102"/>
        <v>5.5288052582038024E-3</v>
      </c>
      <c r="AC407" s="226">
        <f t="shared" si="102"/>
        <v>5.2812204046683341E-3</v>
      </c>
      <c r="AD407" s="226">
        <f t="shared" si="102"/>
        <v>5.0447226227220169E-3</v>
      </c>
      <c r="AE407" s="226">
        <f t="shared" si="100"/>
        <v>4.8188154233645437E-3</v>
      </c>
      <c r="AF407" s="226">
        <f t="shared" si="100"/>
        <v>4.6030245508179189E-3</v>
      </c>
      <c r="AG407" s="226">
        <f t="shared" si="100"/>
        <v>4.3968969869028415E-3</v>
      </c>
      <c r="AH407" s="227">
        <v>4.1999999999999997E-3</v>
      </c>
      <c r="AI407" s="226">
        <f t="shared" si="103"/>
        <v>4.011920236599761E-3</v>
      </c>
      <c r="AJ407" s="226">
        <f t="shared" si="103"/>
        <v>3.8322628535330198E-3</v>
      </c>
      <c r="AK407" s="226">
        <f t="shared" si="103"/>
        <v>3.6606506890615878E-3</v>
      </c>
      <c r="AL407" s="226">
        <f t="shared" si="103"/>
        <v>3.4967234710878677E-3</v>
      </c>
      <c r="AM407" s="226">
        <f t="shared" si="103"/>
        <v>3.3401370608216133E-3</v>
      </c>
      <c r="AN407" s="226">
        <f t="shared" si="103"/>
        <v>3.190562730315971E-3</v>
      </c>
      <c r="AO407" s="226">
        <f t="shared" si="103"/>
        <v>3.0476864723561026E-3</v>
      </c>
      <c r="AP407" s="226">
        <f t="shared" si="103"/>
        <v>2.9112083412516161E-3</v>
      </c>
      <c r="AQ407" s="226">
        <f t="shared" si="103"/>
        <v>2.7808418231489006E-3</v>
      </c>
      <c r="AR407" s="226">
        <f t="shared" si="103"/>
        <v>2.6563132345414401E-3</v>
      </c>
      <c r="AS407" s="226">
        <f t="shared" si="103"/>
        <v>2.5373611477153744E-3</v>
      </c>
      <c r="AT407" s="226">
        <f t="shared" si="103"/>
        <v>2.4237358419241205E-3</v>
      </c>
      <c r="AU407" s="226">
        <f t="shared" si="103"/>
        <v>2.3151987791398903E-3</v>
      </c>
      <c r="AV407" s="226">
        <f t="shared" si="103"/>
        <v>2.2115221032815205E-3</v>
      </c>
      <c r="AW407" s="226">
        <f t="shared" si="103"/>
        <v>2.1124881618673334E-3</v>
      </c>
      <c r="AX407" s="226">
        <f t="shared" si="103"/>
        <v>2.0178890490888065E-3</v>
      </c>
      <c r="AY407" s="226">
        <f t="shared" si="101"/>
        <v>1.927526169345817E-3</v>
      </c>
      <c r="AZ407" s="226">
        <f t="shared" si="101"/>
        <v>1.8412098203271672E-3</v>
      </c>
      <c r="BA407" s="226">
        <f t="shared" si="101"/>
        <v>1.7587587947611363E-3</v>
      </c>
      <c r="BB407" s="226">
        <f t="shared" si="101"/>
        <v>1.680000000000002E-3</v>
      </c>
      <c r="BC407" s="226">
        <f t="shared" si="101"/>
        <v>1.6047680946399065E-3</v>
      </c>
      <c r="BD407" s="226">
        <f t="shared" si="101"/>
        <v>1.5329051414132099E-3</v>
      </c>
      <c r="BE407" s="226">
        <f t="shared" si="101"/>
        <v>1.464260275624637E-3</v>
      </c>
    </row>
    <row r="408" spans="5:57" s="10" customFormat="1" x14ac:dyDescent="0.35">
      <c r="E408" s="10" t="s">
        <v>654</v>
      </c>
      <c r="F408" s="10" t="s">
        <v>615</v>
      </c>
      <c r="G408" s="43" t="s">
        <v>616</v>
      </c>
      <c r="I408" s="20"/>
      <c r="J408" s="200"/>
      <c r="K408" s="200"/>
      <c r="L408" s="200"/>
      <c r="M408" s="200"/>
      <c r="N408" s="200">
        <v>1.06E-2</v>
      </c>
      <c r="O408" s="226">
        <f t="shared" si="102"/>
        <v>1.0144092619336976E-2</v>
      </c>
      <c r="P408" s="226">
        <f t="shared" si="102"/>
        <v>9.7077938744987661E-3</v>
      </c>
      <c r="Q408" s="226">
        <f t="shared" si="102"/>
        <v>9.2902603955044936E-3</v>
      </c>
      <c r="R408" s="226">
        <f t="shared" si="102"/>
        <v>8.8906850858260136E-3</v>
      </c>
      <c r="S408" s="226">
        <f t="shared" si="102"/>
        <v>8.5082955622619808E-3</v>
      </c>
      <c r="T408" s="226">
        <f t="shared" si="102"/>
        <v>8.1423526619131426E-3</v>
      </c>
      <c r="U408" s="226">
        <f t="shared" si="102"/>
        <v>7.7921490133728202E-3</v>
      </c>
      <c r="V408" s="226">
        <f t="shared" si="102"/>
        <v>7.4570076693706725E-3</v>
      </c>
      <c r="W408" s="226">
        <f t="shared" si="102"/>
        <v>7.1362807982266289E-3</v>
      </c>
      <c r="X408" s="226">
        <f t="shared" si="102"/>
        <v>6.8293484315855597E-3</v>
      </c>
      <c r="Y408" s="226">
        <f t="shared" si="102"/>
        <v>6.5356172660120402E-3</v>
      </c>
      <c r="Z408" s="226">
        <f t="shared" si="102"/>
        <v>6.2545195161286832E-3</v>
      </c>
      <c r="AA408" s="226">
        <f t="shared" si="102"/>
        <v>5.9855118170811369E-3</v>
      </c>
      <c r="AB408" s="226">
        <f t="shared" si="102"/>
        <v>5.7280741742082092E-3</v>
      </c>
      <c r="AC408" s="226">
        <f t="shared" si="102"/>
        <v>5.4817089578868151E-3</v>
      </c>
      <c r="AD408" s="226">
        <f t="shared" si="102"/>
        <v>5.245939941608776E-3</v>
      </c>
      <c r="AE408" s="226">
        <f t="shared" si="100"/>
        <v>5.0203113814300598E-3</v>
      </c>
      <c r="AF408" s="226">
        <f t="shared" si="100"/>
        <v>4.804387135013027E-3</v>
      </c>
      <c r="AG408" s="226">
        <f t="shared" si="100"/>
        <v>4.5977498185587893E-3</v>
      </c>
      <c r="AH408" s="227">
        <v>4.4000000000000003E-3</v>
      </c>
      <c r="AI408" s="226">
        <f t="shared" si="103"/>
        <v>4.2107554268945944E-3</v>
      </c>
      <c r="AJ408" s="226">
        <f t="shared" si="103"/>
        <v>4.0296502875277898E-3</v>
      </c>
      <c r="AK408" s="226">
        <f t="shared" si="103"/>
        <v>3.8563345037943187E-3</v>
      </c>
      <c r="AL408" s="226">
        <f t="shared" si="103"/>
        <v>3.6904730544938175E-3</v>
      </c>
      <c r="AM408" s="226">
        <f t="shared" si="103"/>
        <v>3.5317453277313887E-3</v>
      </c>
      <c r="AN408" s="226">
        <f t="shared" si="103"/>
        <v>3.3798445011714931E-3</v>
      </c>
      <c r="AO408" s="226">
        <f t="shared" si="103"/>
        <v>3.2344769489472082E-3</v>
      </c>
      <c r="AP408" s="226">
        <f t="shared" si="103"/>
        <v>3.0953616740783921E-3</v>
      </c>
      <c r="AQ408" s="226">
        <f t="shared" si="103"/>
        <v>2.9622297653016192E-3</v>
      </c>
      <c r="AR408" s="226">
        <f t="shared" si="103"/>
        <v>2.83482387726193E-3</v>
      </c>
      <c r="AS408" s="226">
        <f t="shared" si="103"/>
        <v>2.7128977330616011E-3</v>
      </c>
      <c r="AT408" s="226">
        <f t="shared" si="103"/>
        <v>2.5962156482043585E-3</v>
      </c>
      <c r="AU408" s="226">
        <f t="shared" si="103"/>
        <v>2.4845520750148109E-3</v>
      </c>
      <c r="AV408" s="226">
        <f t="shared" si="103"/>
        <v>2.3776911666524634E-3</v>
      </c>
      <c r="AW408" s="226">
        <f t="shared" si="103"/>
        <v>2.275426359877545E-3</v>
      </c>
      <c r="AX408" s="226">
        <f t="shared" si="103"/>
        <v>2.1775599757621325E-3</v>
      </c>
      <c r="AY408" s="226">
        <f t="shared" si="101"/>
        <v>2.0839028375747408E-3</v>
      </c>
      <c r="AZ408" s="226">
        <f t="shared" si="101"/>
        <v>1.994273905099746E-3</v>
      </c>
      <c r="BA408" s="226">
        <f t="shared" si="101"/>
        <v>1.9084999246847794E-3</v>
      </c>
      <c r="BB408" s="226">
        <f t="shared" si="101"/>
        <v>1.8264150943396269E-3</v>
      </c>
      <c r="BC408" s="226">
        <f t="shared" si="101"/>
        <v>1.7478607432392693E-3</v>
      </c>
      <c r="BD408" s="226">
        <f t="shared" si="101"/>
        <v>1.672685025011539E-3</v>
      </c>
      <c r="BE408" s="226">
        <f t="shared" si="101"/>
        <v>1.6007426242165129E-3</v>
      </c>
    </row>
    <row r="409" spans="5:57" s="10" customFormat="1" x14ac:dyDescent="0.35">
      <c r="E409" s="10" t="s">
        <v>655</v>
      </c>
      <c r="F409" s="10" t="s">
        <v>615</v>
      </c>
      <c r="G409" s="43" t="s">
        <v>616</v>
      </c>
      <c r="I409" s="20"/>
      <c r="J409" s="200"/>
      <c r="K409" s="200"/>
      <c r="L409" s="200"/>
      <c r="M409" s="200"/>
      <c r="N409" s="200">
        <v>1.06E-2</v>
      </c>
      <c r="O409" s="226">
        <f t="shared" si="102"/>
        <v>1.0177602030996444E-2</v>
      </c>
      <c r="P409" s="226">
        <f t="shared" si="102"/>
        <v>9.772036141636126E-3</v>
      </c>
      <c r="Q409" s="226">
        <f t="shared" si="102"/>
        <v>9.3826315926496696E-3</v>
      </c>
      <c r="R409" s="226">
        <f t="shared" si="102"/>
        <v>9.0087443729662906E-3</v>
      </c>
      <c r="S409" s="226">
        <f t="shared" si="102"/>
        <v>8.6497561346254252E-3</v>
      </c>
      <c r="T409" s="226">
        <f t="shared" si="102"/>
        <v>8.3050731701309125E-3</v>
      </c>
      <c r="U409" s="226">
        <f t="shared" si="102"/>
        <v>7.9741254305564571E-3</v>
      </c>
      <c r="V409" s="226">
        <f t="shared" si="102"/>
        <v>7.6563655827784714E-3</v>
      </c>
      <c r="W409" s="226">
        <f t="shared" si="102"/>
        <v>7.3512681042771175E-3</v>
      </c>
      <c r="X409" s="226">
        <f t="shared" si="102"/>
        <v>7.0583284140085063E-3</v>
      </c>
      <c r="Y409" s="226">
        <f t="shared" si="102"/>
        <v>6.7770620379106498E-3</v>
      </c>
      <c r="Z409" s="226">
        <f t="shared" si="102"/>
        <v>6.5070038076630501E-3</v>
      </c>
      <c r="AA409" s="226">
        <f t="shared" si="102"/>
        <v>6.2477070913748165E-3</v>
      </c>
      <c r="AB409" s="226">
        <f t="shared" si="102"/>
        <v>5.9987430549289832E-3</v>
      </c>
      <c r="AC409" s="226">
        <f t="shared" si="102"/>
        <v>5.7596999527614184E-3</v>
      </c>
      <c r="AD409" s="226">
        <f t="shared" si="102"/>
        <v>5.5301824469013898E-3</v>
      </c>
      <c r="AE409" s="226">
        <f t="shared" si="100"/>
        <v>5.3098109531475911E-3</v>
      </c>
      <c r="AF409" s="226">
        <f t="shared" si="100"/>
        <v>5.0982210132983104E-3</v>
      </c>
      <c r="AG409" s="226">
        <f t="shared" si="100"/>
        <v>4.8950626923975121E-3</v>
      </c>
      <c r="AH409" s="227">
        <v>4.7000000000000002E-3</v>
      </c>
      <c r="AI409" s="226">
        <f t="shared" si="103"/>
        <v>4.5127103344984234E-3</v>
      </c>
      <c r="AJ409" s="226">
        <f t="shared" si="103"/>
        <v>4.3328839495933771E-3</v>
      </c>
      <c r="AK409" s="226">
        <f t="shared" si="103"/>
        <v>4.1602234420239099E-3</v>
      </c>
      <c r="AL409" s="226">
        <f t="shared" si="103"/>
        <v>3.9944432597114679E-3</v>
      </c>
      <c r="AM409" s="226">
        <f t="shared" si="103"/>
        <v>3.8352692295037256E-3</v>
      </c>
      <c r="AN409" s="226">
        <f t="shared" si="103"/>
        <v>3.682438103737291E-3</v>
      </c>
      <c r="AO409" s="226">
        <f t="shared" si="103"/>
        <v>3.5356971248693722E-3</v>
      </c>
      <c r="AP409" s="226">
        <f t="shared" si="103"/>
        <v>3.3948036074583784E-3</v>
      </c>
      <c r="AQ409" s="226">
        <f t="shared" si="103"/>
        <v>3.2595245368021177E-3</v>
      </c>
      <c r="AR409" s="226">
        <f t="shared" si="103"/>
        <v>3.129636183569809E-3</v>
      </c>
      <c r="AS409" s="226">
        <f t="shared" si="103"/>
        <v>3.0049237337905705E-3</v>
      </c>
      <c r="AT409" s="226">
        <f t="shared" si="103"/>
        <v>2.8851809335864462E-3</v>
      </c>
      <c r="AU409" s="226">
        <f t="shared" si="103"/>
        <v>2.770209748062418E-3</v>
      </c>
      <c r="AV409" s="226">
        <f t="shared" si="103"/>
        <v>2.6598200337892655E-3</v>
      </c>
      <c r="AW409" s="226">
        <f t="shared" si="103"/>
        <v>2.5538292243376093E-3</v>
      </c>
      <c r="AX409" s="226">
        <f t="shared" si="103"/>
        <v>2.4520620283430684E-3</v>
      </c>
      <c r="AY409" s="226">
        <f t="shared" si="101"/>
        <v>2.3543501396031765E-3</v>
      </c>
      <c r="AZ409" s="226">
        <f t="shared" si="101"/>
        <v>2.2605319587266086E-3</v>
      </c>
      <c r="BA409" s="226">
        <f t="shared" si="101"/>
        <v>2.1704523258743681E-3</v>
      </c>
      <c r="BB409" s="226">
        <f t="shared" si="101"/>
        <v>2.0839622641509363E-3</v>
      </c>
      <c r="BC409" s="226">
        <f t="shared" si="101"/>
        <v>2.0009187332209921E-3</v>
      </c>
      <c r="BD409" s="226">
        <f t="shared" si="101"/>
        <v>1.9211843927442265E-3</v>
      </c>
      <c r="BE409" s="226">
        <f t="shared" si="101"/>
        <v>1.8446273752370105E-3</v>
      </c>
    </row>
    <row r="410" spans="5:57" s="10" customFormat="1" x14ac:dyDescent="0.35">
      <c r="E410" s="10" t="s">
        <v>656</v>
      </c>
      <c r="F410" s="10" t="s">
        <v>615</v>
      </c>
      <c r="G410" s="43" t="s">
        <v>616</v>
      </c>
      <c r="I410" s="20"/>
      <c r="J410" s="200"/>
      <c r="K410" s="200"/>
      <c r="L410" s="200"/>
      <c r="M410" s="200"/>
      <c r="N410" s="200">
        <v>1.0699999999999999E-2</v>
      </c>
      <c r="O410" s="226">
        <f t="shared" si="102"/>
        <v>1.0300613432506236E-2</v>
      </c>
      <c r="P410" s="226">
        <f t="shared" si="102"/>
        <v>9.9161343070960657E-3</v>
      </c>
      <c r="Q410" s="226">
        <f t="shared" si="102"/>
        <v>9.5460061908607154E-3</v>
      </c>
      <c r="R410" s="226">
        <f t="shared" si="102"/>
        <v>9.1896934202212698E-3</v>
      </c>
      <c r="S410" s="226">
        <f t="shared" si="102"/>
        <v>8.8466803256958305E-3</v>
      </c>
      <c r="T410" s="226">
        <f t="shared" si="102"/>
        <v>8.5164704856029085E-3</v>
      </c>
      <c r="U410" s="226">
        <f t="shared" si="102"/>
        <v>8.1985860076209567E-3</v>
      </c>
      <c r="V410" s="226">
        <f t="shared" si="102"/>
        <v>7.8925668371643085E-3</v>
      </c>
      <c r="W410" s="226">
        <f t="shared" si="102"/>
        <v>7.5979700915745742E-3</v>
      </c>
      <c r="X410" s="226">
        <f t="shared" si="102"/>
        <v>7.3143694191638974E-3</v>
      </c>
      <c r="Y410" s="226">
        <f t="shared" si="102"/>
        <v>7.0413543821824754E-3</v>
      </c>
      <c r="Z410" s="226">
        <f t="shared" si="102"/>
        <v>6.7785298628173325E-3</v>
      </c>
      <c r="AA410" s="226">
        <f t="shared" si="102"/>
        <v>6.5255154913626988E-3</v>
      </c>
      <c r="AB410" s="226">
        <f t="shared" si="102"/>
        <v>6.2819450957344071E-3</v>
      </c>
      <c r="AC410" s="226">
        <f t="shared" si="102"/>
        <v>6.0474661715316366E-3</v>
      </c>
      <c r="AD410" s="226">
        <f t="shared" si="102"/>
        <v>5.8217393718790504E-3</v>
      </c>
      <c r="AE410" s="226">
        <f t="shared" si="100"/>
        <v>5.6044380163110061E-3</v>
      </c>
      <c r="AF410" s="226">
        <f t="shared" si="100"/>
        <v>5.3952476179870805E-3</v>
      </c>
      <c r="AG410" s="226">
        <f t="shared" si="100"/>
        <v>5.1938654285546733E-3</v>
      </c>
      <c r="AH410" s="227">
        <v>5.0000000000000001E-3</v>
      </c>
      <c r="AI410" s="226">
        <f t="shared" si="103"/>
        <v>4.813370762853382E-3</v>
      </c>
      <c r="AJ410" s="226">
        <f t="shared" si="103"/>
        <v>4.6337076201383495E-3</v>
      </c>
      <c r="AK410" s="226">
        <f t="shared" si="103"/>
        <v>4.4607505564769707E-3</v>
      </c>
      <c r="AL410" s="226">
        <f t="shared" si="103"/>
        <v>4.2942492617856409E-3</v>
      </c>
      <c r="AM410" s="226">
        <f t="shared" si="103"/>
        <v>4.1339627690167441E-3</v>
      </c>
      <c r="AN410" s="226">
        <f t="shared" si="103"/>
        <v>3.9796591054219212E-3</v>
      </c>
      <c r="AO410" s="226">
        <f t="shared" si="103"/>
        <v>3.8311149568322237E-3</v>
      </c>
      <c r="AP410" s="226">
        <f t="shared" si="103"/>
        <v>3.6881153444693043E-3</v>
      </c>
      <c r="AQ410" s="226">
        <f t="shared" si="103"/>
        <v>3.5504533138198957E-3</v>
      </c>
      <c r="AR410" s="226">
        <f t="shared" si="103"/>
        <v>3.4179296351233178E-3</v>
      </c>
      <c r="AS410" s="226">
        <f t="shared" si="103"/>
        <v>3.2903525150385408E-3</v>
      </c>
      <c r="AT410" s="226">
        <f t="shared" si="103"/>
        <v>3.1675373190735209E-3</v>
      </c>
      <c r="AU410" s="226">
        <f t="shared" si="103"/>
        <v>3.0493063043750936E-3</v>
      </c>
      <c r="AV410" s="226">
        <f t="shared" si="103"/>
        <v>2.9354883624927142E-3</v>
      </c>
      <c r="AW410" s="226">
        <f t="shared" si="103"/>
        <v>2.8259187717437559E-3</v>
      </c>
      <c r="AX410" s="226">
        <f t="shared" si="103"/>
        <v>2.7204389588219866E-3</v>
      </c>
      <c r="AY410" s="226">
        <f t="shared" si="101"/>
        <v>2.618896269304209E-3</v>
      </c>
      <c r="AZ410" s="226">
        <f t="shared" si="101"/>
        <v>2.5211437467229352E-3</v>
      </c>
      <c r="BA410" s="226">
        <f t="shared" si="101"/>
        <v>2.4270399198853617E-3</v>
      </c>
      <c r="BB410" s="226">
        <f t="shared" si="101"/>
        <v>2.3364485981308427E-3</v>
      </c>
      <c r="BC410" s="226">
        <f t="shared" si="101"/>
        <v>2.2492386742305535E-3</v>
      </c>
      <c r="BD410" s="226">
        <f t="shared" si="101"/>
        <v>2.1652839346440896E-3</v>
      </c>
      <c r="BE410" s="226">
        <f t="shared" si="101"/>
        <v>2.0844628768583989E-3</v>
      </c>
    </row>
    <row r="411" spans="5:57" s="10" customFormat="1" x14ac:dyDescent="0.35">
      <c r="E411" s="10" t="s">
        <v>657</v>
      </c>
      <c r="F411" s="10" t="s">
        <v>615</v>
      </c>
      <c r="G411" s="43" t="s">
        <v>616</v>
      </c>
      <c r="I411" s="20"/>
      <c r="J411" s="200"/>
      <c r="K411" s="200"/>
      <c r="L411" s="200"/>
      <c r="M411" s="200"/>
      <c r="N411" s="200">
        <v>1.0800000000000001E-2</v>
      </c>
      <c r="O411" s="226">
        <f t="shared" si="102"/>
        <v>1.0422366985555606E-2</v>
      </c>
      <c r="P411" s="226">
        <f t="shared" si="102"/>
        <v>1.0057938294592542E-2</v>
      </c>
      <c r="Q411" s="226">
        <f t="shared" si="102"/>
        <v>9.7062522244737732E-3</v>
      </c>
      <c r="R411" s="226">
        <f t="shared" si="102"/>
        <v>9.3668632164658431E-3</v>
      </c>
      <c r="S411" s="226">
        <f t="shared" si="102"/>
        <v>9.0393412912508145E-3</v>
      </c>
      <c r="T411" s="226">
        <f t="shared" si="102"/>
        <v>8.723271504176117E-3</v>
      </c>
      <c r="U411" s="226">
        <f t="shared" si="102"/>
        <v>8.4182534195521436E-3</v>
      </c>
      <c r="V411" s="226">
        <f t="shared" si="102"/>
        <v>8.1239006033315599E-3</v>
      </c>
      <c r="W411" s="226">
        <f t="shared" si="102"/>
        <v>7.8398401335276029E-3</v>
      </c>
      <c r="X411" s="226">
        <f t="shared" si="102"/>
        <v>7.5657121277511053E-3</v>
      </c>
      <c r="Y411" s="226">
        <f t="shared" si="102"/>
        <v>7.3011692872676642E-3</v>
      </c>
      <c r="Z411" s="226">
        <f t="shared" si="102"/>
        <v>7.0458764569973197E-3</v>
      </c>
      <c r="AA411" s="226">
        <f t="shared" si="102"/>
        <v>6.7995102008992928E-3</v>
      </c>
      <c r="AB411" s="226">
        <f t="shared" si="102"/>
        <v>6.5617583922038284E-3</v>
      </c>
      <c r="AC411" s="226">
        <f t="shared" si="102"/>
        <v>6.3323198179720012E-3</v>
      </c>
      <c r="AD411" s="226">
        <f t="shared" si="102"/>
        <v>6.1109037974824872E-3</v>
      </c>
      <c r="AE411" s="226">
        <f t="shared" si="100"/>
        <v>5.8972298139618384E-3</v>
      </c>
      <c r="AF411" s="226">
        <f t="shared" si="100"/>
        <v>5.691027159191675E-3</v>
      </c>
      <c r="AG411" s="226">
        <f t="shared" si="100"/>
        <v>5.4920345905425574E-3</v>
      </c>
      <c r="AH411" s="227">
        <v>5.3E-3</v>
      </c>
      <c r="AI411" s="226">
        <f t="shared" si="103"/>
        <v>5.1146800947633984E-3</v>
      </c>
      <c r="AJ411" s="226">
        <f t="shared" si="103"/>
        <v>4.9358400890130057E-3</v>
      </c>
      <c r="AK411" s="226">
        <f t="shared" si="103"/>
        <v>4.7632534064547209E-3</v>
      </c>
      <c r="AL411" s="226">
        <f t="shared" si="103"/>
        <v>4.5967013932656439E-3</v>
      </c>
      <c r="AM411" s="226">
        <f t="shared" si="103"/>
        <v>4.4359730410767871E-3</v>
      </c>
      <c r="AN411" s="226">
        <f t="shared" si="103"/>
        <v>4.280864719641982E-3</v>
      </c>
      <c r="AO411" s="226">
        <f t="shared" si="103"/>
        <v>4.1311799188542908E-3</v>
      </c>
      <c r="AP411" s="226">
        <f t="shared" si="103"/>
        <v>3.9867289997830785E-3</v>
      </c>
      <c r="AQ411" s="226">
        <f t="shared" si="103"/>
        <v>3.8473289544163221E-3</v>
      </c>
      <c r="AR411" s="226">
        <f t="shared" si="103"/>
        <v>3.7128031738037815E-3</v>
      </c>
      <c r="AS411" s="226">
        <f t="shared" si="103"/>
        <v>3.5829812243072779E-3</v>
      </c>
      <c r="AT411" s="226">
        <f t="shared" si="103"/>
        <v>3.4576986316746088E-3</v>
      </c>
      <c r="AU411" s="226">
        <f t="shared" si="103"/>
        <v>3.3367966726635403E-3</v>
      </c>
      <c r="AV411" s="226">
        <f t="shared" si="103"/>
        <v>3.2201221739518774E-3</v>
      </c>
      <c r="AW411" s="226">
        <f t="shared" si="103"/>
        <v>3.1075273180788511E-3</v>
      </c>
      <c r="AX411" s="226">
        <f t="shared" si="103"/>
        <v>2.9988694561719604E-3</v>
      </c>
      <c r="AY411" s="226">
        <f t="shared" si="101"/>
        <v>2.8940109272220121E-3</v>
      </c>
      <c r="AZ411" s="226">
        <f t="shared" si="101"/>
        <v>2.792818883677395E-3</v>
      </c>
      <c r="BA411" s="226">
        <f t="shared" si="101"/>
        <v>2.6951651231366244E-3</v>
      </c>
      <c r="BB411" s="226">
        <f t="shared" si="101"/>
        <v>2.6009259259259314E-3</v>
      </c>
      <c r="BC411" s="226">
        <f t="shared" si="101"/>
        <v>2.5099818983561179E-3</v>
      </c>
      <c r="BD411" s="226">
        <f t="shared" si="101"/>
        <v>2.4222178214600913E-3</v>
      </c>
      <c r="BE411" s="226">
        <f t="shared" si="101"/>
        <v>2.3375225050194515E-3</v>
      </c>
    </row>
    <row r="412" spans="5:57" s="10" customFormat="1" x14ac:dyDescent="0.35">
      <c r="E412" s="10" t="s">
        <v>658</v>
      </c>
      <c r="F412" s="10" t="s">
        <v>615</v>
      </c>
      <c r="G412" s="43" t="s">
        <v>616</v>
      </c>
      <c r="I412" s="20"/>
      <c r="J412" s="200"/>
      <c r="K412" s="200"/>
      <c r="L412" s="200"/>
      <c r="M412" s="200"/>
      <c r="N412" s="200">
        <v>1.0999999999999999E-2</v>
      </c>
      <c r="O412" s="226">
        <f t="shared" si="102"/>
        <v>1.0615555833803782E-2</v>
      </c>
      <c r="P412" s="226">
        <f t="shared" si="102"/>
        <v>1.0244547787327774E-2</v>
      </c>
      <c r="Q412" s="226">
        <f t="shared" si="102"/>
        <v>9.8865062753135426E-3</v>
      </c>
      <c r="R412" s="226">
        <f t="shared" si="102"/>
        <v>9.5409781242583973E-3</v>
      </c>
      <c r="S412" s="226">
        <f t="shared" si="102"/>
        <v>9.2075259988332273E-3</v>
      </c>
      <c r="T412" s="226">
        <f t="shared" si="102"/>
        <v>8.8857278483467327E-3</v>
      </c>
      <c r="U412" s="226">
        <f t="shared" si="102"/>
        <v>8.5751763725554434E-3</v>
      </c>
      <c r="V412" s="226">
        <f t="shared" si="102"/>
        <v>8.2754785061433904E-3</v>
      </c>
      <c r="W412" s="226">
        <f t="shared" si="102"/>
        <v>7.9862549212189344E-3</v>
      </c>
      <c r="X412" s="226">
        <f t="shared" si="102"/>
        <v>7.7071395471990743E-3</v>
      </c>
      <c r="Y412" s="226">
        <f t="shared" si="102"/>
        <v>7.4377791074735425E-3</v>
      </c>
      <c r="Z412" s="226">
        <f t="shared" si="102"/>
        <v>7.177832672262241E-3</v>
      </c>
      <c r="AA412" s="226">
        <f t="shared" si="102"/>
        <v>6.9269712271000745E-3</v>
      </c>
      <c r="AB412" s="226">
        <f t="shared" si="102"/>
        <v>6.6848772564030122E-3</v>
      </c>
      <c r="AC412" s="226">
        <f t="shared" si="102"/>
        <v>6.4512443415882924E-3</v>
      </c>
      <c r="AD412" s="226">
        <f t="shared" si="102"/>
        <v>6.2257767732401123E-3</v>
      </c>
      <c r="AE412" s="226">
        <f t="shared" si="100"/>
        <v>6.0081891768299237E-3</v>
      </c>
      <c r="AF412" s="226">
        <f t="shared" si="100"/>
        <v>5.7982061515176033E-3</v>
      </c>
      <c r="AG412" s="226">
        <f t="shared" si="100"/>
        <v>5.5955619215763332E-3</v>
      </c>
      <c r="AH412" s="227">
        <v>5.4000000000000003E-3</v>
      </c>
      <c r="AI412" s="226">
        <f t="shared" si="103"/>
        <v>5.2112728638673113E-3</v>
      </c>
      <c r="AJ412" s="226">
        <f t="shared" si="103"/>
        <v>5.0291416410518158E-3</v>
      </c>
      <c r="AK412" s="226">
        <f t="shared" si="103"/>
        <v>4.8533758078811934E-3</v>
      </c>
      <c r="AL412" s="226">
        <f t="shared" si="103"/>
        <v>4.6837528973632135E-3</v>
      </c>
      <c r="AM412" s="226">
        <f t="shared" si="103"/>
        <v>4.5200582176090388E-3</v>
      </c>
      <c r="AN412" s="226">
        <f t="shared" si="103"/>
        <v>4.362084580097487E-3</v>
      </c>
      <c r="AO412" s="226">
        <f t="shared" si="103"/>
        <v>4.2096320374363089E-3</v>
      </c>
      <c r="AP412" s="226">
        <f t="shared" si="103"/>
        <v>4.0625076302885739E-3</v>
      </c>
      <c r="AQ412" s="226">
        <f t="shared" si="103"/>
        <v>3.9205251431438408E-3</v>
      </c>
      <c r="AR412" s="226">
        <f t="shared" si="103"/>
        <v>3.7835048686250005E-3</v>
      </c>
      <c r="AS412" s="226">
        <f t="shared" si="103"/>
        <v>3.6512733800324669E-3</v>
      </c>
      <c r="AT412" s="226">
        <f t="shared" si="103"/>
        <v>3.5236633118378279E-3</v>
      </c>
      <c r="AU412" s="226">
        <f t="shared" si="103"/>
        <v>3.4005131478491279E-3</v>
      </c>
      <c r="AV412" s="226">
        <f t="shared" si="103"/>
        <v>3.2816670167796613E-3</v>
      </c>
      <c r="AW412" s="226">
        <f t="shared" si="103"/>
        <v>3.1669744949615261E-3</v>
      </c>
      <c r="AX412" s="226">
        <f t="shared" si="103"/>
        <v>3.0562904159542378E-3</v>
      </c>
      <c r="AY412" s="226">
        <f t="shared" si="101"/>
        <v>2.9494746868074179E-3</v>
      </c>
      <c r="AZ412" s="226">
        <f t="shared" si="101"/>
        <v>2.8463921107450062E-3</v>
      </c>
      <c r="BA412" s="226">
        <f t="shared" si="101"/>
        <v>2.7469122160465645E-3</v>
      </c>
      <c r="BB412" s="226">
        <f t="shared" si="101"/>
        <v>2.6509090909090892E-3</v>
      </c>
      <c r="BC412" s="226">
        <f t="shared" si="101"/>
        <v>2.5582612240803147E-3</v>
      </c>
      <c r="BD412" s="226">
        <f t="shared" si="101"/>
        <v>2.4688513510617988E-3</v>
      </c>
      <c r="BE412" s="226">
        <f t="shared" si="101"/>
        <v>2.3825663056871297E-3</v>
      </c>
    </row>
    <row r="413" spans="5:57" s="10" customFormat="1" x14ac:dyDescent="0.35">
      <c r="E413" s="10" t="s">
        <v>659</v>
      </c>
      <c r="F413" s="10" t="s">
        <v>615</v>
      </c>
      <c r="G413" s="43" t="s">
        <v>616</v>
      </c>
      <c r="I413" s="20"/>
      <c r="J413" s="200"/>
      <c r="K413" s="200"/>
      <c r="L413" s="200"/>
      <c r="M413" s="200"/>
      <c r="N413" s="200">
        <v>1.12E-2</v>
      </c>
      <c r="O413" s="226">
        <f t="shared" si="102"/>
        <v>1.0808744624868489E-2</v>
      </c>
      <c r="P413" s="226">
        <f t="shared" si="102"/>
        <v>1.0431157175502094E-2</v>
      </c>
      <c r="Q413" s="226">
        <f t="shared" si="102"/>
        <v>1.0066760183202378E-2</v>
      </c>
      <c r="R413" s="226">
        <f t="shared" si="102"/>
        <v>9.7150928589311448E-3</v>
      </c>
      <c r="S413" s="226">
        <f t="shared" si="102"/>
        <v>9.3757105106312723E-3</v>
      </c>
      <c r="T413" s="226">
        <f t="shared" si="102"/>
        <v>9.0481839809025671E-3</v>
      </c>
      <c r="U413" s="226">
        <f t="shared" si="102"/>
        <v>8.7320991043215879E-3</v>
      </c>
      <c r="V413" s="226">
        <f t="shared" si="102"/>
        <v>8.4270561837191879E-3</v>
      </c>
      <c r="W413" s="226">
        <f t="shared" si="102"/>
        <v>8.1326694847535293E-3</v>
      </c>
      <c r="X413" s="226">
        <f t="shared" si="102"/>
        <v>7.8485667481394371E-3</v>
      </c>
      <c r="Y413" s="226">
        <f t="shared" si="102"/>
        <v>7.5743887189172942E-3</v>
      </c>
      <c r="Z413" s="226">
        <f t="shared" si="102"/>
        <v>7.3097886921662343E-3</v>
      </c>
      <c r="AA413" s="226">
        <f t="shared" si="102"/>
        <v>7.0544320745871648E-3</v>
      </c>
      <c r="AB413" s="226">
        <f t="shared" si="102"/>
        <v>6.8079959614012388E-3</v>
      </c>
      <c r="AC413" s="226">
        <f t="shared" si="102"/>
        <v>6.5701687280287514E-3</v>
      </c>
      <c r="AD413" s="226">
        <f t="shared" si="102"/>
        <v>6.3406496360321248E-3</v>
      </c>
      <c r="AE413" s="226">
        <f t="shared" si="100"/>
        <v>6.119148452824694E-3</v>
      </c>
      <c r="AF413" s="226">
        <f t="shared" si="100"/>
        <v>5.9053850846643961E-3</v>
      </c>
      <c r="AG413" s="226">
        <f t="shared" si="100"/>
        <v>5.6990892224682886E-3</v>
      </c>
      <c r="AH413" s="227">
        <v>5.4999999999999997E-3</v>
      </c>
      <c r="AI413" s="226">
        <f t="shared" si="103"/>
        <v>5.3078656639979184E-3</v>
      </c>
      <c r="AJ413" s="226">
        <f t="shared" si="103"/>
        <v>5.1224432558269204E-3</v>
      </c>
      <c r="AK413" s="226">
        <f t="shared" si="103"/>
        <v>4.943498304251167E-3</v>
      </c>
      <c r="AL413" s="226">
        <f t="shared" si="103"/>
        <v>4.770804528939401E-3</v>
      </c>
      <c r="AM413" s="226">
        <f t="shared" si="103"/>
        <v>4.6041435543278568E-3</v>
      </c>
      <c r="AN413" s="226">
        <f t="shared" si="103"/>
        <v>4.4433046334789398E-3</v>
      </c>
      <c r="AO413" s="226">
        <f t="shared" si="103"/>
        <v>4.2880843815864943E-3</v>
      </c>
      <c r="AP413" s="226">
        <f t="shared" si="103"/>
        <v>4.1382865187906733E-3</v>
      </c>
      <c r="AQ413" s="226">
        <f t="shared" si="103"/>
        <v>3.9937216219771803E-3</v>
      </c>
      <c r="AR413" s="226">
        <f t="shared" si="103"/>
        <v>3.8542068852470456E-3</v>
      </c>
      <c r="AS413" s="226">
        <f t="shared" si="103"/>
        <v>3.7195658887540289E-3</v>
      </c>
      <c r="AT413" s="226">
        <f t="shared" si="103"/>
        <v>3.5896283756173476E-3</v>
      </c>
      <c r="AU413" s="226">
        <f t="shared" si="103"/>
        <v>3.4642300366276258E-3</v>
      </c>
      <c r="AV413" s="226">
        <f t="shared" si="103"/>
        <v>3.3432123024738233E-3</v>
      </c>
      <c r="AW413" s="226">
        <f t="shared" si="103"/>
        <v>3.2264221432284053E-3</v>
      </c>
      <c r="AX413" s="226">
        <f t="shared" si="103"/>
        <v>3.1137118748372048E-3</v>
      </c>
      <c r="AY413" s="226">
        <f t="shared" si="101"/>
        <v>3.0049389723692697E-3</v>
      </c>
      <c r="AZ413" s="226">
        <f t="shared" si="101"/>
        <v>2.899965889790552E-3</v>
      </c>
      <c r="BA413" s="226">
        <f t="shared" si="101"/>
        <v>2.798659886033535E-3</v>
      </c>
      <c r="BB413" s="226">
        <f t="shared" si="101"/>
        <v>2.7008928571428596E-3</v>
      </c>
      <c r="BC413" s="226">
        <f t="shared" si="101"/>
        <v>2.6065411742846947E-3</v>
      </c>
      <c r="BD413" s="226">
        <f t="shared" si="101"/>
        <v>2.5154855274150084E-3</v>
      </c>
      <c r="BE413" s="226">
        <f t="shared" si="101"/>
        <v>2.4276107744090579E-3</v>
      </c>
    </row>
    <row r="414" spans="5:57" s="10" customFormat="1" x14ac:dyDescent="0.35">
      <c r="E414" s="10" t="s">
        <v>660</v>
      </c>
      <c r="F414" s="10" t="s">
        <v>615</v>
      </c>
      <c r="G414" s="43" t="s">
        <v>616</v>
      </c>
      <c r="I414" s="20"/>
      <c r="J414" s="200"/>
      <c r="K414" s="200"/>
      <c r="L414" s="200"/>
      <c r="M414" s="200"/>
      <c r="N414" s="200">
        <v>1.15E-2</v>
      </c>
      <c r="O414" s="226">
        <f t="shared" si="102"/>
        <v>1.1093596095389423E-2</v>
      </c>
      <c r="P414" s="226">
        <f t="shared" si="102"/>
        <v>1.0701554289359953E-2</v>
      </c>
      <c r="Q414" s="226">
        <f t="shared" si="102"/>
        <v>1.0323367032960131E-2</v>
      </c>
      <c r="R414" s="226">
        <f t="shared" si="102"/>
        <v>9.9585447137494256E-3</v>
      </c>
      <c r="S414" s="226">
        <f t="shared" si="102"/>
        <v>9.6066150219314434E-3</v>
      </c>
      <c r="T414" s="226">
        <f t="shared" si="102"/>
        <v>9.267122338887655E-3</v>
      </c>
      <c r="U414" s="226">
        <f t="shared" si="102"/>
        <v>8.9396271473200159E-3</v>
      </c>
      <c r="V414" s="226">
        <f t="shared" si="102"/>
        <v>8.6237054622388364E-3</v>
      </c>
      <c r="W414" s="226">
        <f t="shared" si="102"/>
        <v>8.318948282059235E-3</v>
      </c>
      <c r="X414" s="226">
        <f t="shared" si="102"/>
        <v>8.0249610590955554E-3</v>
      </c>
      <c r="Y414" s="226">
        <f t="shared" si="102"/>
        <v>7.7413631887682278E-3</v>
      </c>
      <c r="Z414" s="226">
        <f t="shared" si="102"/>
        <v>7.4677875168617939E-3</v>
      </c>
      <c r="AA414" s="226">
        <f t="shared" si="102"/>
        <v>7.2038798641961624E-3</v>
      </c>
      <c r="AB414" s="226">
        <f t="shared" si="102"/>
        <v>6.9492985680957419E-3</v>
      </c>
      <c r="AC414" s="226">
        <f t="shared" si="102"/>
        <v>6.7037140400628024E-3</v>
      </c>
      <c r="AD414" s="226">
        <f t="shared" si="102"/>
        <v>6.4668083390824315E-3</v>
      </c>
      <c r="AE414" s="226">
        <f t="shared" si="100"/>
        <v>6.2382747600066629E-3</v>
      </c>
      <c r="AF414" s="226">
        <f t="shared" si="100"/>
        <v>6.0178174364848959E-3</v>
      </c>
      <c r="AG414" s="226">
        <f t="shared" si="100"/>
        <v>5.8051509579265413E-3</v>
      </c>
      <c r="AH414" s="227">
        <v>5.5999999999999999E-3</v>
      </c>
      <c r="AI414" s="226">
        <f t="shared" si="103"/>
        <v>5.4020989681896319E-3</v>
      </c>
      <c r="AJ414" s="226">
        <f t="shared" si="103"/>
        <v>5.2111916539491938E-3</v>
      </c>
      <c r="AK414" s="226">
        <f t="shared" si="103"/>
        <v>5.0270309030066721E-3</v>
      </c>
      <c r="AL414" s="226">
        <f t="shared" si="103"/>
        <v>4.8493782953910247E-3</v>
      </c>
      <c r="AM414" s="226">
        <f t="shared" si="103"/>
        <v>4.6780038367666161E-3</v>
      </c>
      <c r="AN414" s="226">
        <f t="shared" si="103"/>
        <v>4.5126856606757283E-3</v>
      </c>
      <c r="AO414" s="226">
        <f t="shared" si="103"/>
        <v>4.3532097413036611E-3</v>
      </c>
      <c r="AP414" s="226">
        <f t="shared" si="103"/>
        <v>4.1993696163945644E-3</v>
      </c>
      <c r="AQ414" s="226">
        <f t="shared" si="103"/>
        <v>4.05096611995928E-3</v>
      </c>
      <c r="AR414" s="226">
        <f t="shared" si="103"/>
        <v>3.9078071244291399E-3</v>
      </c>
      <c r="AS414" s="226">
        <f t="shared" si="103"/>
        <v>3.7697072919219195E-3</v>
      </c>
      <c r="AT414" s="226">
        <f t="shared" si="103"/>
        <v>3.6364878342979167E-3</v>
      </c>
      <c r="AU414" s="226">
        <f t="shared" si="103"/>
        <v>3.5079762816955223E-3</v>
      </c>
      <c r="AV414" s="226">
        <f t="shared" si="103"/>
        <v>3.3840062592466222E-3</v>
      </c>
      <c r="AW414" s="226">
        <f t="shared" si="103"/>
        <v>3.2644172716827561E-3</v>
      </c>
      <c r="AX414" s="226">
        <f t="shared" si="103"/>
        <v>3.1490544955531841E-3</v>
      </c>
      <c r="AY414" s="226">
        <f t="shared" si="101"/>
        <v>3.0377685787858532E-3</v>
      </c>
      <c r="AZ414" s="226">
        <f t="shared" si="101"/>
        <v>2.9304154473317754E-3</v>
      </c>
      <c r="BA414" s="226">
        <f t="shared" si="101"/>
        <v>2.8268561186424899E-3</v>
      </c>
      <c r="BB414" s="226">
        <f t="shared" si="101"/>
        <v>2.7269565217391328E-3</v>
      </c>
      <c r="BC414" s="226">
        <f t="shared" si="101"/>
        <v>2.6305873236401709E-3</v>
      </c>
      <c r="BD414" s="226">
        <f t="shared" si="101"/>
        <v>2.5376237619230881E-3</v>
      </c>
      <c r="BE414" s="226">
        <f t="shared" si="101"/>
        <v>2.4479454832032513E-3</v>
      </c>
    </row>
    <row r="415" spans="5:57" s="10" customFormat="1" x14ac:dyDescent="0.35">
      <c r="E415" s="10" t="s">
        <v>661</v>
      </c>
      <c r="F415" s="10" t="s">
        <v>615</v>
      </c>
      <c r="G415" s="43" t="s">
        <v>616</v>
      </c>
      <c r="I415" s="20"/>
      <c r="J415" s="200"/>
      <c r="K415" s="200"/>
      <c r="L415" s="200"/>
      <c r="M415" s="200"/>
      <c r="N415" s="200">
        <v>1.17E-2</v>
      </c>
      <c r="O415" s="226">
        <f t="shared" si="102"/>
        <v>1.1286786536428594E-2</v>
      </c>
      <c r="P415" s="226">
        <f t="shared" si="102"/>
        <v>1.0888166693923571E-2</v>
      </c>
      <c r="Q415" s="226">
        <f t="shared" si="102"/>
        <v>1.0503625063877503E-2</v>
      </c>
      <c r="R415" s="226">
        <f t="shared" si="102"/>
        <v>1.0132664440569789E-2</v>
      </c>
      <c r="S415" s="226">
        <f t="shared" si="102"/>
        <v>9.7748051782881925E-3</v>
      </c>
      <c r="T415" s="226">
        <f t="shared" si="102"/>
        <v>9.4295845711551852E-3</v>
      </c>
      <c r="U415" s="226">
        <f t="shared" si="102"/>
        <v>9.0965562548571913E-3</v>
      </c>
      <c r="V415" s="226">
        <f t="shared" si="102"/>
        <v>8.7752896295032017E-3</v>
      </c>
      <c r="W415" s="226">
        <f t="shared" si="102"/>
        <v>8.4653693028665117E-3</v>
      </c>
      <c r="X415" s="226">
        <f t="shared" si="102"/>
        <v>8.1663945532897148E-3</v>
      </c>
      <c r="Y415" s="226">
        <f t="shared" si="102"/>
        <v>7.877978811558474E-3</v>
      </c>
      <c r="Z415" s="226">
        <f t="shared" si="102"/>
        <v>7.5997491610741812E-3</v>
      </c>
      <c r="AA415" s="226">
        <f t="shared" si="102"/>
        <v>7.3313458556791937E-3</v>
      </c>
      <c r="AB415" s="226">
        <f t="shared" si="102"/>
        <v>7.0724218545112384E-3</v>
      </c>
      <c r="AC415" s="226">
        <f t="shared" si="102"/>
        <v>6.8226423732855373E-3</v>
      </c>
      <c r="AD415" s="226">
        <f t="shared" si="102"/>
        <v>6.5816844514244811E-3</v>
      </c>
      <c r="AE415" s="226">
        <f t="shared" si="100"/>
        <v>6.3492365344751493E-3</v>
      </c>
      <c r="AF415" s="226">
        <f t="shared" si="100"/>
        <v>6.1249980712747574E-3</v>
      </c>
      <c r="AG415" s="226">
        <f t="shared" si="100"/>
        <v>5.9086791253431655E-3</v>
      </c>
      <c r="AH415" s="227">
        <v>5.7000000000000002E-3</v>
      </c>
      <c r="AI415" s="226">
        <f t="shared" si="103"/>
        <v>5.4986908767216229E-3</v>
      </c>
      <c r="AJ415" s="226">
        <f t="shared" si="103"/>
        <v>5.3044914662704577E-3</v>
      </c>
      <c r="AK415" s="226">
        <f t="shared" si="103"/>
        <v>5.1171506721454504E-3</v>
      </c>
      <c r="AL415" s="226">
        <f t="shared" si="103"/>
        <v>4.9364262659186151E-3</v>
      </c>
      <c r="AM415" s="226">
        <f t="shared" si="103"/>
        <v>4.7620845740378379E-3</v>
      </c>
      <c r="AN415" s="226">
        <f t="shared" si="103"/>
        <v>4.5939001756909884E-3</v>
      </c>
      <c r="AO415" s="226">
        <f t="shared" si="103"/>
        <v>4.4316556113406834E-3</v>
      </c>
      <c r="AP415" s="226">
        <f t="shared" si="103"/>
        <v>4.2751411015528422E-3</v>
      </c>
      <c r="AQ415" s="226">
        <f t="shared" si="103"/>
        <v>4.1241542757554806E-3</v>
      </c>
      <c r="AR415" s="226">
        <f t="shared" si="103"/>
        <v>3.9784999105770408E-3</v>
      </c>
      <c r="AS415" s="226">
        <f t="shared" si="103"/>
        <v>3.8379896774259235E-3</v>
      </c>
      <c r="AT415" s="226">
        <f t="shared" si="103"/>
        <v>3.7024418989848578E-3</v>
      </c>
      <c r="AU415" s="226">
        <f t="shared" si="103"/>
        <v>3.5716813143052487E-3</v>
      </c>
      <c r="AV415" s="226">
        <f t="shared" si="103"/>
        <v>3.4455388521977834E-3</v>
      </c>
      <c r="AW415" s="226">
        <f t="shared" si="103"/>
        <v>3.3238514126262882E-3</v>
      </c>
      <c r="AX415" s="226">
        <f t="shared" si="103"/>
        <v>3.2064616558221837E-3</v>
      </c>
      <c r="AY415" s="226">
        <f t="shared" si="101"/>
        <v>3.0932177988468681E-3</v>
      </c>
      <c r="AZ415" s="226">
        <f t="shared" si="101"/>
        <v>2.9839734193389846E-3</v>
      </c>
      <c r="BA415" s="226">
        <f t="shared" si="101"/>
        <v>2.8785872661928245E-3</v>
      </c>
      <c r="BB415" s="226">
        <f t="shared" si="101"/>
        <v>2.776923076923074E-3</v>
      </c>
      <c r="BC415" s="226">
        <f t="shared" si="101"/>
        <v>2.6788494014797618E-3</v>
      </c>
      <c r="BD415" s="226">
        <f t="shared" si="101"/>
        <v>2.5842394322856043E-3</v>
      </c>
      <c r="BE415" s="226">
        <f t="shared" si="101"/>
        <v>2.4929708402759857E-3</v>
      </c>
    </row>
    <row r="416" spans="5:57" s="10" customFormat="1" x14ac:dyDescent="0.35">
      <c r="E416" s="10" t="s">
        <v>662</v>
      </c>
      <c r="F416" s="10" t="s">
        <v>615</v>
      </c>
      <c r="G416" s="43" t="s">
        <v>616</v>
      </c>
      <c r="I416" s="20"/>
      <c r="J416" s="200"/>
      <c r="K416" s="200"/>
      <c r="L416" s="200"/>
      <c r="M416" s="200"/>
      <c r="N416" s="200">
        <v>1.2E-2</v>
      </c>
      <c r="O416" s="226">
        <f t="shared" si="102"/>
        <v>1.1571604545950433E-2</v>
      </c>
      <c r="P416" s="226">
        <f t="shared" si="102"/>
        <v>1.1158502647321728E-2</v>
      </c>
      <c r="Q416" s="226">
        <f t="shared" si="102"/>
        <v>1.0760148329979005E-2</v>
      </c>
      <c r="R416" s="226">
        <f t="shared" si="102"/>
        <v>1.0376015110857168E-2</v>
      </c>
      <c r="S416" s="226">
        <f t="shared" si="102"/>
        <v>1.0005595302137099E-2</v>
      </c>
      <c r="T416" s="226">
        <f t="shared" si="102"/>
        <v>9.6483993402624972E-3</v>
      </c>
      <c r="U416" s="226">
        <f t="shared" si="102"/>
        <v>9.3039551389105576E-3</v>
      </c>
      <c r="V416" s="226">
        <f t="shared" si="102"/>
        <v>8.9718074650613593E-3</v>
      </c>
      <c r="W416" s="226">
        <f t="shared" si="102"/>
        <v>8.6515173373413381E-3</v>
      </c>
      <c r="X416" s="226">
        <f t="shared" si="102"/>
        <v>8.3426614458456689E-3</v>
      </c>
      <c r="Y416" s="226">
        <f t="shared" si="102"/>
        <v>8.0448315926727638E-3</v>
      </c>
      <c r="Z416" s="226">
        <f t="shared" si="102"/>
        <v>7.7576341524314852E-3</v>
      </c>
      <c r="AA416" s="226">
        <f t="shared" si="102"/>
        <v>7.480689552008043E-3</v>
      </c>
      <c r="AB416" s="226">
        <f t="shared" si="102"/>
        <v>7.2136317689050159E-3</v>
      </c>
      <c r="AC416" s="226">
        <f t="shared" si="102"/>
        <v>6.9561078474894792E-3</v>
      </c>
      <c r="AD416" s="226">
        <f t="shared" si="102"/>
        <v>6.7077774325108959E-3</v>
      </c>
      <c r="AE416" s="226">
        <f t="shared" si="100"/>
        <v>6.468312319272234E-3</v>
      </c>
      <c r="AF416" s="226">
        <f t="shared" si="100"/>
        <v>6.2373960198598153E-3</v>
      </c>
      <c r="AG416" s="226">
        <f t="shared" si="100"/>
        <v>6.0147233448585814E-3</v>
      </c>
      <c r="AH416" s="227">
        <v>5.7999999999999996E-3</v>
      </c>
      <c r="AI416" s="226">
        <f t="shared" si="103"/>
        <v>5.5929421972093756E-3</v>
      </c>
      <c r="AJ416" s="226">
        <f t="shared" si="103"/>
        <v>5.3932762795388346E-3</v>
      </c>
      <c r="AK416" s="226">
        <f t="shared" si="103"/>
        <v>5.2007383594898518E-3</v>
      </c>
      <c r="AL416" s="226">
        <f t="shared" si="103"/>
        <v>5.0150739702476306E-3</v>
      </c>
      <c r="AM416" s="226">
        <f t="shared" si="103"/>
        <v>4.8360377293662641E-3</v>
      </c>
      <c r="AN416" s="226">
        <f t="shared" si="103"/>
        <v>4.6633930144602065E-3</v>
      </c>
      <c r="AO416" s="226">
        <f t="shared" si="103"/>
        <v>4.4969116504734357E-3</v>
      </c>
      <c r="AP416" s="226">
        <f t="shared" si="103"/>
        <v>4.3363736081129898E-3</v>
      </c>
      <c r="AQ416" s="226">
        <f t="shared" si="103"/>
        <v>4.1815667130483134E-3</v>
      </c>
      <c r="AR416" s="226">
        <f t="shared" si="103"/>
        <v>4.0322863654920727E-3</v>
      </c>
      <c r="AS416" s="226">
        <f t="shared" si="103"/>
        <v>3.8883352697918353E-3</v>
      </c>
      <c r="AT416" s="226">
        <f t="shared" si="103"/>
        <v>3.7495231736752173E-3</v>
      </c>
      <c r="AU416" s="226">
        <f t="shared" si="103"/>
        <v>3.6156666168038871E-3</v>
      </c>
      <c r="AV416" s="226">
        <f t="shared" si="103"/>
        <v>3.4865886883040905E-3</v>
      </c>
      <c r="AW416" s="226">
        <f t="shared" si="103"/>
        <v>3.3621187929532476E-3</v>
      </c>
      <c r="AX416" s="226">
        <f t="shared" si="103"/>
        <v>3.2420924257135987E-3</v>
      </c>
      <c r="AY416" s="226">
        <f t="shared" si="101"/>
        <v>3.1263509543149122E-3</v>
      </c>
      <c r="AZ416" s="226">
        <f t="shared" si="101"/>
        <v>3.0147414095989095E-3</v>
      </c>
      <c r="BA416" s="226">
        <f t="shared" si="101"/>
        <v>2.9071162833483135E-3</v>
      </c>
      <c r="BB416" s="226">
        <f t="shared" si="101"/>
        <v>2.803333333333323E-3</v>
      </c>
      <c r="BC416" s="226">
        <f t="shared" si="101"/>
        <v>2.7032553953178552E-3</v>
      </c>
      <c r="BD416" s="226">
        <f t="shared" si="101"/>
        <v>2.6067502017770943E-3</v>
      </c>
      <c r="BE416" s="226">
        <f t="shared" si="101"/>
        <v>2.513690207086753E-3</v>
      </c>
    </row>
    <row r="417" spans="4:57" s="10" customFormat="1" x14ac:dyDescent="0.35">
      <c r="E417" s="10" t="s">
        <v>663</v>
      </c>
      <c r="F417" s="10" t="s">
        <v>615</v>
      </c>
      <c r="G417" s="43" t="s">
        <v>616</v>
      </c>
      <c r="I417" s="20"/>
      <c r="J417" s="200"/>
      <c r="K417" s="200"/>
      <c r="L417" s="200"/>
      <c r="M417" s="200"/>
      <c r="N417" s="200">
        <v>1.2500000000000001E-2</v>
      </c>
      <c r="O417" s="226">
        <f t="shared" si="102"/>
        <v>1.2088530513353747E-2</v>
      </c>
      <c r="P417" s="226">
        <f t="shared" si="102"/>
        <v>1.1690605597782767E-2</v>
      </c>
      <c r="Q417" s="226">
        <f t="shared" si="102"/>
        <v>1.1305779399070487E-2</v>
      </c>
      <c r="R417" s="226">
        <f t="shared" si="102"/>
        <v>1.093362073943278E-2</v>
      </c>
      <c r="S417" s="226">
        <f t="shared" si="102"/>
        <v>1.0573712634405642E-2</v>
      </c>
      <c r="T417" s="226">
        <f t="shared" si="102"/>
        <v>1.0225651825635729E-2</v>
      </c>
      <c r="U417" s="226">
        <f t="shared" si="102"/>
        <v>9.8890483290503157E-3</v>
      </c>
      <c r="V417" s="226">
        <f t="shared" si="102"/>
        <v>9.5635249979003686E-3</v>
      </c>
      <c r="W417" s="226">
        <f t="shared" si="102"/>
        <v>9.2487171001871937E-3</v>
      </c>
      <c r="X417" s="226">
        <f t="shared" si="102"/>
        <v>8.9442719099991578E-3</v>
      </c>
      <c r="Y417" s="226">
        <f t="shared" si="102"/>
        <v>8.6498483123006089E-3</v>
      </c>
      <c r="Z417" s="226">
        <f t="shared" si="102"/>
        <v>8.3651164207301856E-3</v>
      </c>
      <c r="AA417" s="226">
        <f t="shared" si="102"/>
        <v>8.0897572079802662E-3</v>
      </c>
      <c r="AB417" s="226">
        <f t="shared" si="102"/>
        <v>7.8234621483434276E-3</v>
      </c>
      <c r="AC417" s="226">
        <f t="shared" si="102"/>
        <v>7.5659328720254059E-3</v>
      </c>
      <c r="AD417" s="226">
        <f t="shared" si="102"/>
        <v>7.3168808308372206E-3</v>
      </c>
      <c r="AE417" s="226">
        <f t="shared" si="100"/>
        <v>7.0760269748919077E-3</v>
      </c>
      <c r="AF417" s="226">
        <f t="shared" si="100"/>
        <v>6.8431014399436023E-3</v>
      </c>
      <c r="AG417" s="226">
        <f t="shared" si="100"/>
        <v>6.6178432450186555E-3</v>
      </c>
      <c r="AH417" s="227">
        <v>6.4000000000000003E-3</v>
      </c>
      <c r="AI417" s="226">
        <f t="shared" si="103"/>
        <v>6.1893276228371184E-3</v>
      </c>
      <c r="AJ417" s="226">
        <f t="shared" si="103"/>
        <v>5.9855900660647767E-3</v>
      </c>
      <c r="AK417" s="226">
        <f t="shared" si="103"/>
        <v>5.7885590523240891E-3</v>
      </c>
      <c r="AL417" s="226">
        <f t="shared" si="103"/>
        <v>5.598013818589583E-3</v>
      </c>
      <c r="AM417" s="226">
        <f t="shared" si="103"/>
        <v>5.4137408688156871E-3</v>
      </c>
      <c r="AN417" s="226">
        <f t="shared" si="103"/>
        <v>5.2355337347254919E-3</v>
      </c>
      <c r="AO417" s="226">
        <f t="shared" si="103"/>
        <v>5.0631927444737606E-3</v>
      </c>
      <c r="AP417" s="226">
        <f t="shared" si="103"/>
        <v>4.896524798924988E-3</v>
      </c>
      <c r="AQ417" s="226">
        <f t="shared" si="103"/>
        <v>4.7353431552958425E-3</v>
      </c>
      <c r="AR417" s="226">
        <f t="shared" si="103"/>
        <v>4.5794672179195681E-3</v>
      </c>
      <c r="AS417" s="226">
        <f t="shared" si="103"/>
        <v>4.4287223358979106E-3</v>
      </c>
      <c r="AT417" s="226">
        <f t="shared" si="103"/>
        <v>4.2829396074138531E-3</v>
      </c>
      <c r="AU417" s="226">
        <f t="shared" si="103"/>
        <v>4.1419556904858943E-3</v>
      </c>
      <c r="AV417" s="226">
        <f t="shared" si="103"/>
        <v>4.0056126199518333E-3</v>
      </c>
      <c r="AW417" s="226">
        <f t="shared" si="103"/>
        <v>3.8737576304770063E-3</v>
      </c>
      <c r="AX417" s="226">
        <f t="shared" si="103"/>
        <v>3.7462429853886555E-3</v>
      </c>
      <c r="AY417" s="226">
        <f t="shared" si="101"/>
        <v>3.6229258111446553E-3</v>
      </c>
      <c r="AZ417" s="226">
        <f t="shared" si="101"/>
        <v>3.5036679372511229E-3</v>
      </c>
      <c r="BA417" s="226">
        <f t="shared" si="101"/>
        <v>3.3883357414495499E-3</v>
      </c>
      <c r="BB417" s="226">
        <f t="shared" si="101"/>
        <v>3.2767999999999977E-3</v>
      </c>
      <c r="BC417" s="226">
        <f t="shared" si="101"/>
        <v>3.1689357428926019E-3</v>
      </c>
      <c r="BD417" s="226">
        <f t="shared" si="101"/>
        <v>3.0646221138251632E-3</v>
      </c>
      <c r="BE417" s="226">
        <f t="shared" si="101"/>
        <v>2.9637422347899311E-3</v>
      </c>
    </row>
    <row r="418" spans="4:57" s="10" customFormat="1" x14ac:dyDescent="0.35">
      <c r="E418" s="10" t="s">
        <v>664</v>
      </c>
      <c r="F418" s="10" t="s">
        <v>615</v>
      </c>
      <c r="G418" s="43" t="s">
        <v>616</v>
      </c>
      <c r="I418" s="20"/>
      <c r="J418" s="200"/>
      <c r="K418" s="200"/>
      <c r="L418" s="200"/>
      <c r="M418" s="200"/>
      <c r="N418" s="200">
        <v>1.2999999999999999E-2</v>
      </c>
      <c r="O418" s="226">
        <f t="shared" si="102"/>
        <v>1.2603787916119028E-2</v>
      </c>
      <c r="P418" s="226">
        <f t="shared" si="102"/>
        <v>1.2219651525731387E-2</v>
      </c>
      <c r="Q418" s="226">
        <f t="shared" si="102"/>
        <v>1.184722278763067E-2</v>
      </c>
      <c r="R418" s="226">
        <f t="shared" si="102"/>
        <v>1.148614487771611E-2</v>
      </c>
      <c r="S418" s="226">
        <f t="shared" si="102"/>
        <v>1.1136071847119291E-2</v>
      </c>
      <c r="T418" s="226">
        <f t="shared" si="102"/>
        <v>1.0796668290750417E-2</v>
      </c>
      <c r="U418" s="226">
        <f t="shared" si="102"/>
        <v>1.0467609025946584E-2</v>
      </c>
      <c r="V418" s="226">
        <f t="shared" si="102"/>
        <v>1.0148578780914156E-2</v>
      </c>
      <c r="W418" s="226">
        <f t="shared" si="102"/>
        <v>9.8392718926667549E-3</v>
      </c>
      <c r="X418" s="226">
        <f t="shared" si="102"/>
        <v>9.5393920141694493E-3</v>
      </c>
      <c r="Y418" s="226">
        <f t="shared" si="102"/>
        <v>9.248651830408558E-3</v>
      </c>
      <c r="Z418" s="226">
        <f t="shared" si="102"/>
        <v>8.9667727831150394E-3</v>
      </c>
      <c r="AA418" s="226">
        <f t="shared" si="102"/>
        <v>8.6934848038777175E-3</v>
      </c>
      <c r="AB418" s="226">
        <f t="shared" si="102"/>
        <v>8.4285260553906439E-3</v>
      </c>
      <c r="AC418" s="226">
        <f t="shared" si="102"/>
        <v>8.171642680586691E-3</v>
      </c>
      <c r="AD418" s="226">
        <f t="shared" ref="AD418:AG433" si="104">AC418*(1+($AH418/$N418)^(1/($AH$6-$N$6))-1)</f>
        <v>7.9225885594170035E-3</v>
      </c>
      <c r="AE418" s="226">
        <f t="shared" si="104"/>
        <v>7.6811250730432993E-3</v>
      </c>
      <c r="AF418" s="226">
        <f t="shared" si="104"/>
        <v>7.4470208752170789E-3</v>
      </c>
      <c r="AG418" s="226">
        <f t="shared" si="104"/>
        <v>7.2200516706267051E-3</v>
      </c>
      <c r="AH418" s="227">
        <v>7.0000000000000001E-3</v>
      </c>
      <c r="AI418" s="226">
        <f t="shared" si="103"/>
        <v>6.7866550317564004E-3</v>
      </c>
      <c r="AJ418" s="226">
        <f t="shared" si="103"/>
        <v>6.5798123600092091E-3</v>
      </c>
      <c r="AK418" s="226">
        <f t="shared" si="103"/>
        <v>6.3792738087242069E-3</v>
      </c>
      <c r="AL418" s="226">
        <f t="shared" si="103"/>
        <v>6.1848472418471363E-3</v>
      </c>
      <c r="AM418" s="226">
        <f t="shared" si="103"/>
        <v>5.9963463792180802E-3</v>
      </c>
      <c r="AN418" s="226">
        <f t="shared" si="103"/>
        <v>5.8135906180963792E-3</v>
      </c>
      <c r="AO418" s="226">
        <f t="shared" si="103"/>
        <v>5.6364048601250842E-3</v>
      </c>
      <c r="AP418" s="226">
        <f t="shared" si="103"/>
        <v>5.4646193435691614E-3</v>
      </c>
      <c r="AQ418" s="226">
        <f t="shared" si="103"/>
        <v>5.2980694806667146E-3</v>
      </c>
      <c r="AR418" s="226">
        <f t="shared" si="103"/>
        <v>5.1365956999373961E-3</v>
      </c>
      <c r="AS418" s="226">
        <f t="shared" si="103"/>
        <v>4.9800432932969162E-3</v>
      </c>
      <c r="AT418" s="226">
        <f t="shared" si="103"/>
        <v>4.8282622678311755E-3</v>
      </c>
      <c r="AU418" s="226">
        <f t="shared" si="103"/>
        <v>4.681107202088002E-3</v>
      </c>
      <c r="AV418" s="226">
        <f t="shared" si="103"/>
        <v>4.5384371067488088E-3</v>
      </c>
      <c r="AW418" s="226">
        <f t="shared" si="103"/>
        <v>4.4001152895466796E-3</v>
      </c>
      <c r="AX418" s="226">
        <f t="shared" ref="AX418:BE433" si="105">AW418*(1+($AH418/$N418)^(1/($AH$6-$N$6))-1)</f>
        <v>4.2660092243014631E-3</v>
      </c>
      <c r="AY418" s="226">
        <f t="shared" si="105"/>
        <v>4.1359904239463919E-3</v>
      </c>
      <c r="AZ418" s="226">
        <f t="shared" si="105"/>
        <v>4.0099343174245811E-3</v>
      </c>
      <c r="BA418" s="226">
        <f t="shared" si="105"/>
        <v>3.8877201303374569E-3</v>
      </c>
      <c r="BB418" s="226">
        <f t="shared" si="105"/>
        <v>3.7692307692307639E-3</v>
      </c>
      <c r="BC418" s="226">
        <f t="shared" si="105"/>
        <v>3.6543527094072869E-3</v>
      </c>
      <c r="BD418" s="226">
        <f t="shared" si="105"/>
        <v>3.5429758861587994E-3</v>
      </c>
      <c r="BE418" s="226">
        <f t="shared" si="105"/>
        <v>3.4349935893130293E-3</v>
      </c>
    </row>
    <row r="419" spans="4:57" s="10" customFormat="1" x14ac:dyDescent="0.35">
      <c r="E419" s="10" t="s">
        <v>665</v>
      </c>
      <c r="F419" s="10" t="s">
        <v>615</v>
      </c>
      <c r="G419" s="43" t="s">
        <v>616</v>
      </c>
      <c r="I419" s="20"/>
      <c r="J419" s="200"/>
      <c r="K419" s="200"/>
      <c r="L419" s="200"/>
      <c r="M419" s="200"/>
      <c r="N419" s="200">
        <v>1.3599999999999999E-2</v>
      </c>
      <c r="O419" s="226">
        <f t="shared" ref="O419:AD434" si="106">N419*(1+($AH419/$N419)^(1/($AH$6-$N$6))-1)</f>
        <v>1.3209994675516205E-2</v>
      </c>
      <c r="P419" s="226">
        <f t="shared" si="106"/>
        <v>1.2831173479938712E-2</v>
      </c>
      <c r="Q419" s="226">
        <f t="shared" si="106"/>
        <v>1.2463215687545229E-2</v>
      </c>
      <c r="R419" s="226">
        <f t="shared" si="106"/>
        <v>1.2105809770020773E-2</v>
      </c>
      <c r="S419" s="226">
        <f t="shared" si="106"/>
        <v>1.1758653132704888E-2</v>
      </c>
      <c r="T419" s="226">
        <f t="shared" si="106"/>
        <v>1.1421451858402465E-2</v>
      </c>
      <c r="U419" s="226">
        <f t="shared" si="106"/>
        <v>1.1093920458541266E-2</v>
      </c>
      <c r="V419" s="226">
        <f t="shared" si="106"/>
        <v>1.0775781631465472E-2</v>
      </c>
      <c r="W419" s="226">
        <f t="shared" si="106"/>
        <v>1.0466766027660604E-2</v>
      </c>
      <c r="X419" s="226">
        <f t="shared" si="106"/>
        <v>1.0166612021711064E-2</v>
      </c>
      <c r="Y419" s="226">
        <f t="shared" si="106"/>
        <v>9.8750654907972194E-3</v>
      </c>
      <c r="Z419" s="226">
        <f t="shared" si="106"/>
        <v>9.5918795995444915E-3</v>
      </c>
      <c r="AA419" s="226">
        <f t="shared" si="106"/>
        <v>9.3168145910422981E-3</v>
      </c>
      <c r="AB419" s="226">
        <f t="shared" si="106"/>
        <v>9.049637583855916E-3</v>
      </c>
      <c r="AC419" s="226">
        <f t="shared" si="106"/>
        <v>8.79012237485941E-3</v>
      </c>
      <c r="AD419" s="226">
        <f t="shared" si="106"/>
        <v>8.5380492477226955E-3</v>
      </c>
      <c r="AE419" s="226">
        <f t="shared" si="104"/>
        <v>8.2932047868905841E-3</v>
      </c>
      <c r="AF419" s="226">
        <f t="shared" si="104"/>
        <v>8.0553816968963327E-3</v>
      </c>
      <c r="AG419" s="226">
        <f t="shared" si="104"/>
        <v>7.8243786268567088E-3</v>
      </c>
      <c r="AH419" s="227">
        <v>7.6E-3</v>
      </c>
      <c r="AI419" s="226">
        <f t="shared" ref="AI419:AX434" si="107">AH419*(1+($AH419/$N419)^(1/($AH$6-$N$6))-1)</f>
        <v>7.3820558480825853E-3</v>
      </c>
      <c r="AJ419" s="226">
        <f t="shared" si="107"/>
        <v>7.1703616505539866E-3</v>
      </c>
      <c r="AK419" s="226">
        <f t="shared" si="107"/>
        <v>6.9647381783340991E-3</v>
      </c>
      <c r="AL419" s="226">
        <f t="shared" si="107"/>
        <v>6.7650113420704323E-3</v>
      </c>
      <c r="AM419" s="226">
        <f t="shared" si="107"/>
        <v>6.5710120447468488E-3</v>
      </c>
      <c r="AN419" s="226">
        <f t="shared" si="107"/>
        <v>6.382576038519024E-3</v>
      </c>
      <c r="AO419" s="226">
        <f t="shared" si="107"/>
        <v>6.1995437856554132E-3</v>
      </c>
      <c r="AP419" s="226">
        <f t="shared" si="107"/>
        <v>6.0217603234659989E-3</v>
      </c>
      <c r="AQ419" s="226">
        <f t="shared" si="107"/>
        <v>5.849075133104455E-3</v>
      </c>
      <c r="AR419" s="226">
        <f t="shared" si="107"/>
        <v>5.6813420121326532E-3</v>
      </c>
      <c r="AS419" s="226">
        <f t="shared" si="107"/>
        <v>5.5184189507396231E-3</v>
      </c>
      <c r="AT419" s="226">
        <f t="shared" si="107"/>
        <v>5.3601680115101576E-3</v>
      </c>
      <c r="AU419" s="226">
        <f t="shared" si="107"/>
        <v>5.2064552126412844E-3</v>
      </c>
      <c r="AV419" s="226">
        <f t="shared" si="107"/>
        <v>5.0571504145077179E-3</v>
      </c>
      <c r="AW419" s="226">
        <f t="shared" si="107"/>
        <v>4.9121272094802592E-3</v>
      </c>
      <c r="AX419" s="226">
        <f t="shared" si="107"/>
        <v>4.7712628149038597E-3</v>
      </c>
      <c r="AY419" s="226">
        <f t="shared" si="105"/>
        <v>4.6344379691447392E-3</v>
      </c>
      <c r="AZ419" s="226">
        <f t="shared" si="105"/>
        <v>4.5015368306185397E-3</v>
      </c>
      <c r="BA419" s="226">
        <f t="shared" si="105"/>
        <v>4.3724468797140441E-3</v>
      </c>
      <c r="BB419" s="226">
        <f t="shared" si="105"/>
        <v>4.2470588235294093E-3</v>
      </c>
      <c r="BC419" s="226">
        <f t="shared" si="105"/>
        <v>4.125266503340266E-3</v>
      </c>
      <c r="BD419" s="226">
        <f t="shared" si="105"/>
        <v>4.0069668047213432E-3</v>
      </c>
      <c r="BE419" s="226">
        <f t="shared" si="105"/>
        <v>3.8920595702455238E-3</v>
      </c>
    </row>
    <row r="420" spans="4:57" s="10" customFormat="1" x14ac:dyDescent="0.35">
      <c r="E420" s="10" t="s">
        <v>666</v>
      </c>
      <c r="F420" s="10" t="s">
        <v>615</v>
      </c>
      <c r="G420" s="43" t="s">
        <v>616</v>
      </c>
      <c r="I420" s="20"/>
      <c r="J420" s="200"/>
      <c r="K420" s="200"/>
      <c r="L420" s="200"/>
      <c r="M420" s="200"/>
      <c r="N420" s="200">
        <v>1.4200000000000001E-2</v>
      </c>
      <c r="O420" s="226">
        <f t="shared" si="106"/>
        <v>1.3823812410357014E-2</v>
      </c>
      <c r="P420" s="226">
        <f t="shared" si="106"/>
        <v>1.345759081385497E-2</v>
      </c>
      <c r="Q420" s="226">
        <f t="shared" si="106"/>
        <v>1.3101071190568652E-2</v>
      </c>
      <c r="R420" s="226">
        <f t="shared" si="106"/>
        <v>1.2753996515010821E-2</v>
      </c>
      <c r="S420" s="226">
        <f t="shared" si="106"/>
        <v>1.2416116570834976E-2</v>
      </c>
      <c r="T420" s="226">
        <f t="shared" si="106"/>
        <v>1.2087187770447035E-2</v>
      </c>
      <c r="U420" s="226">
        <f t="shared" si="106"/>
        <v>1.1766972979395862E-2</v>
      </c>
      <c r="V420" s="226">
        <f t="shared" si="106"/>
        <v>1.1455241345416067E-2</v>
      </c>
      <c r="W420" s="226">
        <f t="shared" si="106"/>
        <v>1.1151768131999815E-2</v>
      </c>
      <c r="X420" s="226">
        <f t="shared" si="106"/>
        <v>1.0856334556377667E-2</v>
      </c>
      <c r="Y420" s="226">
        <f t="shared" si="106"/>
        <v>1.056872763179164E-2</v>
      </c>
      <c r="Z420" s="226">
        <f t="shared" si="106"/>
        <v>1.0288740013946784E-2</v>
      </c>
      <c r="AA420" s="226">
        <f t="shared" si="106"/>
        <v>1.0016169851530587E-2</v>
      </c>
      <c r="AB420" s="226">
        <f t="shared" si="106"/>
        <v>9.7508206406924144E-3</v>
      </c>
      <c r="AC420" s="226">
        <f t="shared" si="106"/>
        <v>9.4925010833781069E-3</v>
      </c>
      <c r="AD420" s="226">
        <f t="shared" si="106"/>
        <v>9.2410249494175815E-3</v>
      </c>
      <c r="AE420" s="226">
        <f t="shared" si="104"/>
        <v>8.9962109422660249E-3</v>
      </c>
      <c r="AF420" s="226">
        <f t="shared" si="104"/>
        <v>8.7578825683018759E-3</v>
      </c>
      <c r="AG420" s="226">
        <f t="shared" si="104"/>
        <v>8.5258680095873819E-3</v>
      </c>
      <c r="AH420" s="227">
        <v>8.3000000000000001E-3</v>
      </c>
      <c r="AI420" s="226">
        <f t="shared" si="107"/>
        <v>8.0801157046452958E-3</v>
      </c>
      <c r="AJ420" s="226">
        <f t="shared" si="107"/>
        <v>7.8660566024645242E-3</v>
      </c>
      <c r="AK420" s="226">
        <f t="shared" si="107"/>
        <v>7.6576683719520987E-3</v>
      </c>
      <c r="AL420" s="226">
        <f t="shared" si="107"/>
        <v>7.4548007799006902E-3</v>
      </c>
      <c r="AM420" s="226">
        <f t="shared" si="107"/>
        <v>7.2573075730936829E-3</v>
      </c>
      <c r="AN420" s="226">
        <f t="shared" si="107"/>
        <v>7.0650463728669285E-3</v>
      </c>
      <c r="AO420" s="226">
        <f t="shared" si="107"/>
        <v>6.8778785724637774E-3</v>
      </c>
      <c r="AP420" s="226">
        <f t="shared" si="107"/>
        <v>6.6956692371093899E-3</v>
      </c>
      <c r="AQ420" s="226">
        <f t="shared" si="107"/>
        <v>6.5182870067322851E-3</v>
      </c>
      <c r="AR420" s="226">
        <f t="shared" si="107"/>
        <v>6.3456040012630013E-3</v>
      </c>
      <c r="AS420" s="226">
        <f t="shared" si="107"/>
        <v>6.1774957284415908E-3</v>
      </c>
      <c r="AT420" s="226">
        <f t="shared" si="107"/>
        <v>6.0138409940674858E-3</v>
      </c>
      <c r="AU420" s="226">
        <f t="shared" si="107"/>
        <v>5.8545218146270322E-3</v>
      </c>
      <c r="AV420" s="226">
        <f t="shared" si="107"/>
        <v>5.6994233322357054E-3</v>
      </c>
      <c r="AW420" s="226">
        <f t="shared" si="107"/>
        <v>5.5484337318336806E-3</v>
      </c>
      <c r="AX420" s="226">
        <f t="shared" si="107"/>
        <v>5.4014441605750637E-3</v>
      </c>
      <c r="AY420" s="226">
        <f t="shared" si="105"/>
        <v>5.2583486493526744E-3</v>
      </c>
      <c r="AZ420" s="226">
        <f t="shared" si="105"/>
        <v>5.1190440364017979E-3</v>
      </c>
      <c r="BA420" s="226">
        <f t="shared" si="105"/>
        <v>4.9834298929278325E-3</v>
      </c>
      <c r="BB420" s="226">
        <f t="shared" si="105"/>
        <v>4.8514084507042176E-3</v>
      </c>
      <c r="BC420" s="226">
        <f t="shared" si="105"/>
        <v>4.72288453158844E-3</v>
      </c>
      <c r="BD420" s="226">
        <f t="shared" si="105"/>
        <v>4.5977654789053132E-3</v>
      </c>
      <c r="BE420" s="226">
        <f t="shared" si="105"/>
        <v>4.4759610906480504E-3</v>
      </c>
    </row>
    <row r="421" spans="4:57" s="10" customFormat="1" x14ac:dyDescent="0.35">
      <c r="E421" s="10" t="s">
        <v>667</v>
      </c>
      <c r="F421" s="10" t="s">
        <v>615</v>
      </c>
      <c r="G421" s="43" t="s">
        <v>616</v>
      </c>
      <c r="I421" s="20"/>
      <c r="J421" s="200"/>
      <c r="K421" s="200"/>
      <c r="L421" s="200"/>
      <c r="M421" s="200"/>
      <c r="N421" s="200">
        <v>1.4800000000000001E-2</v>
      </c>
      <c r="O421" s="226">
        <f t="shared" si="106"/>
        <v>1.444443966749908E-2</v>
      </c>
      <c r="P421" s="226">
        <f t="shared" si="106"/>
        <v>1.4097421439731144E-2</v>
      </c>
      <c r="Q421" s="226">
        <f t="shared" si="106"/>
        <v>1.3758740098209765E-2</v>
      </c>
      <c r="R421" s="226">
        <f t="shared" si="106"/>
        <v>1.3428195354688602E-2</v>
      </c>
      <c r="S421" s="226">
        <f t="shared" si="106"/>
        <v>1.3105591732715602E-2</v>
      </c>
      <c r="T421" s="226">
        <f t="shared" si="106"/>
        <v>1.2790738452032786E-2</v>
      </c>
      <c r="U421" s="226">
        <f t="shared" si="106"/>
        <v>1.2483449315753252E-2</v>
      </c>
      <c r="V421" s="226">
        <f t="shared" si="106"/>
        <v>1.2183542600248684E-2</v>
      </c>
      <c r="W421" s="226">
        <f t="shared" si="106"/>
        <v>1.1890840947682228E-2</v>
      </c>
      <c r="X421" s="226">
        <f t="shared" si="106"/>
        <v>1.1605171261123211E-2</v>
      </c>
      <c r="Y421" s="226">
        <f t="shared" si="106"/>
        <v>1.132636460218165E-2</v>
      </c>
      <c r="Z421" s="226">
        <f t="shared" si="106"/>
        <v>1.1054256091102031E-2</v>
      </c>
      <c r="AA421" s="226">
        <f t="shared" si="106"/>
        <v>1.0788684809257263E-2</v>
      </c>
      <c r="AB421" s="226">
        <f t="shared" si="106"/>
        <v>1.0529493703985159E-2</v>
      </c>
      <c r="AC421" s="226">
        <f t="shared" si="106"/>
        <v>1.0276529495711152E-2</v>
      </c>
      <c r="AD421" s="226">
        <f t="shared" si="106"/>
        <v>1.002964258730233E-2</v>
      </c>
      <c r="AE421" s="226">
        <f t="shared" si="104"/>
        <v>9.7886869755991809E-3</v>
      </c>
      <c r="AF421" s="226">
        <f t="shared" si="104"/>
        <v>9.5535201650727292E-3</v>
      </c>
      <c r="AG421" s="226">
        <f t="shared" si="104"/>
        <v>9.324003083556005E-3</v>
      </c>
      <c r="AH421" s="227">
        <v>9.1000000000000004E-3</v>
      </c>
      <c r="AI421" s="226">
        <f t="shared" si="107"/>
        <v>8.8813784442055149E-3</v>
      </c>
      <c r="AJ421" s="226">
        <f t="shared" si="107"/>
        <v>8.6680091284833376E-3</v>
      </c>
      <c r="AK421" s="226">
        <f t="shared" si="107"/>
        <v>8.459765871196543E-3</v>
      </c>
      <c r="AL421" s="226">
        <f t="shared" si="107"/>
        <v>8.2565255221396117E-3</v>
      </c>
      <c r="AM421" s="226">
        <f t="shared" si="107"/>
        <v>8.058167889710267E-3</v>
      </c>
      <c r="AN421" s="226">
        <f t="shared" si="107"/>
        <v>7.8645756698309689E-3</v>
      </c>
      <c r="AO421" s="226">
        <f t="shared" si="107"/>
        <v>7.6756343765780133E-3</v>
      </c>
      <c r="AP421" s="226">
        <f t="shared" si="107"/>
        <v>7.4912322744772313E-3</v>
      </c>
      <c r="AQ421" s="226">
        <f t="shared" si="107"/>
        <v>7.311260312426235E-3</v>
      </c>
      <c r="AR421" s="226">
        <f t="shared" si="107"/>
        <v>7.1356120592041368E-3</v>
      </c>
      <c r="AS421" s="226">
        <f t="shared" si="107"/>
        <v>6.96418364053061E-3</v>
      </c>
      <c r="AT421" s="226">
        <f t="shared" si="107"/>
        <v>6.7968736776370603E-3</v>
      </c>
      <c r="AU421" s="226">
        <f t="shared" si="107"/>
        <v>6.6335832273135883E-3</v>
      </c>
      <c r="AV421" s="226">
        <f t="shared" si="107"/>
        <v>6.4742157233962814E-3</v>
      </c>
      <c r="AW421" s="226">
        <f t="shared" si="107"/>
        <v>6.3186769196602365E-3</v>
      </c>
      <c r="AX421" s="226">
        <f t="shared" si="107"/>
        <v>6.1668748340845412E-3</v>
      </c>
      <c r="AY421" s="226">
        <f t="shared" si="105"/>
        <v>6.0187196944562534E-3</v>
      </c>
      <c r="AZ421" s="226">
        <f t="shared" si="105"/>
        <v>5.8741238852812062E-3</v>
      </c>
      <c r="BA421" s="226">
        <f t="shared" si="105"/>
        <v>5.7330018959702482E-3</v>
      </c>
      <c r="BB421" s="226">
        <f t="shared" si="105"/>
        <v>5.5952702702702761E-3</v>
      </c>
      <c r="BC421" s="226">
        <f t="shared" si="105"/>
        <v>5.4608475569101539E-3</v>
      </c>
      <c r="BD421" s="226">
        <f t="shared" si="105"/>
        <v>5.3296542614323286E-3</v>
      </c>
      <c r="BE421" s="226">
        <f t="shared" si="105"/>
        <v>5.2016127991816648E-3</v>
      </c>
    </row>
    <row r="422" spans="4:57" s="10" customFormat="1" x14ac:dyDescent="0.35">
      <c r="E422" s="10" t="s">
        <v>668</v>
      </c>
      <c r="F422" s="10" t="s">
        <v>615</v>
      </c>
      <c r="G422" s="43" t="s">
        <v>616</v>
      </c>
      <c r="I422" s="20"/>
      <c r="J422" s="200"/>
      <c r="K422" s="200"/>
      <c r="L422" s="200"/>
      <c r="M422" s="200"/>
      <c r="N422" s="200">
        <v>1.5699999999999999E-2</v>
      </c>
      <c r="O422" s="226">
        <f t="shared" si="106"/>
        <v>1.534986887092934E-2</v>
      </c>
      <c r="P422" s="226">
        <f t="shared" si="106"/>
        <v>1.5007546137243668E-2</v>
      </c>
      <c r="Q422" s="226">
        <f t="shared" si="106"/>
        <v>1.4672857661217354E-2</v>
      </c>
      <c r="R422" s="226">
        <f t="shared" si="106"/>
        <v>1.4345633188630406E-2</v>
      </c>
      <c r="S422" s="226">
        <f t="shared" si="106"/>
        <v>1.4025706262161064E-2</v>
      </c>
      <c r="T422" s="226">
        <f t="shared" si="106"/>
        <v>1.3712914136709864E-2</v>
      </c>
      <c r="U422" s="226">
        <f t="shared" si="106"/>
        <v>1.3407097696612079E-2</v>
      </c>
      <c r="V422" s="226">
        <f t="shared" si="106"/>
        <v>1.3108101374696448E-2</v>
      </c>
      <c r="W422" s="226">
        <f t="shared" si="106"/>
        <v>1.2815773073148988E-2</v>
      </c>
      <c r="X422" s="226">
        <f t="shared" si="106"/>
        <v>1.2529964086141663E-2</v>
      </c>
      <c r="Y422" s="226">
        <f t="shared" si="106"/>
        <v>1.2250529024186531E-2</v>
      </c>
      <c r="Z422" s="226">
        <f t="shared" si="106"/>
        <v>1.1977325740176894E-2</v>
      </c>
      <c r="AA422" s="226">
        <f t="shared" si="106"/>
        <v>1.1710215257077838E-2</v>
      </c>
      <c r="AB422" s="226">
        <f t="shared" si="106"/>
        <v>1.1449061697229359E-2</v>
      </c>
      <c r="AC422" s="226">
        <f t="shared" si="106"/>
        <v>1.119373221322614E-2</v>
      </c>
      <c r="AD422" s="226">
        <f t="shared" si="106"/>
        <v>1.0944096920338785E-2</v>
      </c>
      <c r="AE422" s="226">
        <f t="shared" si="104"/>
        <v>1.0700028830442165E-2</v>
      </c>
      <c r="AF422" s="226">
        <f t="shared" si="104"/>
        <v>1.046140378741724E-2</v>
      </c>
      <c r="AG422" s="226">
        <f t="shared" si="104"/>
        <v>1.0228100403993516E-2</v>
      </c>
      <c r="AH422" s="227">
        <v>0.01</v>
      </c>
      <c r="AI422" s="226">
        <f t="shared" si="107"/>
        <v>9.7769865419932121E-3</v>
      </c>
      <c r="AJ422" s="226">
        <f t="shared" si="107"/>
        <v>9.5589465842316375E-3</v>
      </c>
      <c r="AK422" s="226">
        <f t="shared" si="107"/>
        <v>9.3457692109664703E-3</v>
      </c>
      <c r="AL422" s="226">
        <f t="shared" si="107"/>
        <v>9.1373459800193693E-3</v>
      </c>
      <c r="AM422" s="226">
        <f t="shared" si="107"/>
        <v>8.9335708676185135E-3</v>
      </c>
      <c r="AN422" s="226">
        <f t="shared" si="107"/>
        <v>8.7343402144648818E-3</v>
      </c>
      <c r="AO422" s="226">
        <f t="shared" si="107"/>
        <v>8.5395526730013254E-3</v>
      </c>
      <c r="AP422" s="226">
        <f t="shared" si="107"/>
        <v>8.3491091558576119E-3</v>
      </c>
      <c r="AQ422" s="226">
        <f t="shared" si="107"/>
        <v>8.1629127854452171E-3</v>
      </c>
      <c r="AR422" s="226">
        <f t="shared" si="107"/>
        <v>7.9808688446762199E-3</v>
      </c>
      <c r="AS422" s="226">
        <f t="shared" si="107"/>
        <v>7.8028847287812311E-3</v>
      </c>
      <c r="AT422" s="226">
        <f t="shared" si="107"/>
        <v>7.6288698982018444E-3</v>
      </c>
      <c r="AU422" s="226">
        <f t="shared" si="107"/>
        <v>7.4587358325336551E-3</v>
      </c>
      <c r="AV422" s="226">
        <f t="shared" si="107"/>
        <v>7.2923959854964077E-3</v>
      </c>
      <c r="AW422" s="226">
        <f t="shared" si="107"/>
        <v>7.12976574090837E-3</v>
      </c>
      <c r="AX422" s="226">
        <f t="shared" si="107"/>
        <v>6.9707623696425389E-3</v>
      </c>
      <c r="AY422" s="226">
        <f t="shared" si="105"/>
        <v>6.8153049875427805E-3</v>
      </c>
      <c r="AZ422" s="226">
        <f t="shared" si="105"/>
        <v>6.6633145142784974E-3</v>
      </c>
      <c r="BA422" s="226">
        <f t="shared" si="105"/>
        <v>6.5147136331168897E-3</v>
      </c>
      <c r="BB422" s="226">
        <f t="shared" si="105"/>
        <v>6.3694267515923527E-3</v>
      </c>
      <c r="BC422" s="226">
        <f t="shared" si="105"/>
        <v>6.2273799630529966E-3</v>
      </c>
      <c r="BD422" s="226">
        <f t="shared" si="105"/>
        <v>6.088501009064733E-3</v>
      </c>
      <c r="BE422" s="226">
        <f t="shared" si="105"/>
        <v>5.9527192426537976E-3</v>
      </c>
    </row>
    <row r="423" spans="4:57" s="10" customFormat="1" x14ac:dyDescent="0.35">
      <c r="E423" s="10" t="s">
        <v>669</v>
      </c>
      <c r="F423" s="10" t="s">
        <v>615</v>
      </c>
      <c r="G423" s="43" t="s">
        <v>616</v>
      </c>
      <c r="I423" s="20"/>
      <c r="J423" s="200"/>
      <c r="K423" s="200"/>
      <c r="L423" s="200"/>
      <c r="M423" s="200"/>
      <c r="N423" s="200">
        <v>1.6500000000000001E-2</v>
      </c>
      <c r="O423" s="226">
        <f t="shared" si="106"/>
        <v>1.6176177209034599E-2</v>
      </c>
      <c r="P423" s="226">
        <f t="shared" si="106"/>
        <v>1.5858709642308507E-2</v>
      </c>
      <c r="Q423" s="226">
        <f t="shared" si="106"/>
        <v>1.5547472574582308E-2</v>
      </c>
      <c r="R423" s="226">
        <f t="shared" si="106"/>
        <v>1.5242343728427201E-2</v>
      </c>
      <c r="S423" s="226">
        <f t="shared" si="106"/>
        <v>1.4943203226185184E-2</v>
      </c>
      <c r="T423" s="226">
        <f t="shared" si="106"/>
        <v>1.4649933542872064E-2</v>
      </c>
      <c r="U423" s="226">
        <f t="shared" si="106"/>
        <v>1.4362419460004761E-2</v>
      </c>
      <c r="V423" s="226">
        <f t="shared" si="106"/>
        <v>1.4080548020334789E-2</v>
      </c>
      <c r="W423" s="226">
        <f t="shared" si="106"/>
        <v>1.3804208483470111E-2</v>
      </c>
      <c r="X423" s="226">
        <f t="shared" si="106"/>
        <v>1.3533292282367956E-2</v>
      </c>
      <c r="Y423" s="226">
        <f t="shared" si="106"/>
        <v>1.3267692980681475E-2</v>
      </c>
      <c r="Z423" s="226">
        <f t="shared" si="106"/>
        <v>1.3007306230943514E-2</v>
      </c>
      <c r="AA423" s="226">
        <f t="shared" si="106"/>
        <v>1.2752029733571042E-2</v>
      </c>
      <c r="AB423" s="226">
        <f t="shared" si="106"/>
        <v>1.2501763196674147E-2</v>
      </c>
      <c r="AC423" s="226">
        <f t="shared" si="106"/>
        <v>1.2256408296653809E-2</v>
      </c>
      <c r="AD423" s="226">
        <f t="shared" si="106"/>
        <v>1.2015868639572963E-2</v>
      </c>
      <c r="AE423" s="226">
        <f t="shared" si="104"/>
        <v>1.178004972328568E-2</v>
      </c>
      <c r="AF423" s="226">
        <f t="shared" si="104"/>
        <v>1.1548858900309584E-2</v>
      </c>
      <c r="AG423" s="226">
        <f t="shared" si="104"/>
        <v>1.1322205341426925E-2</v>
      </c>
      <c r="AH423" s="227">
        <v>1.11E-2</v>
      </c>
      <c r="AI423" s="226">
        <f t="shared" si="107"/>
        <v>1.0882155576986912E-2</v>
      </c>
      <c r="AJ423" s="226">
        <f t="shared" si="107"/>
        <v>1.0668586486643905E-2</v>
      </c>
      <c r="AK423" s="226">
        <f t="shared" si="107"/>
        <v>1.0459208822900825E-2</v>
      </c>
      <c r="AL423" s="226">
        <f t="shared" si="107"/>
        <v>1.0253940326396479E-2</v>
      </c>
      <c r="AM423" s="226">
        <f t="shared" si="107"/>
        <v>1.0052700352160941E-2</v>
      </c>
      <c r="AN423" s="226">
        <f t="shared" si="107"/>
        <v>9.8554098379321133E-3</v>
      </c>
      <c r="AO423" s="226">
        <f t="shared" si="107"/>
        <v>9.6619912730941098E-3</v>
      </c>
      <c r="AP423" s="226">
        <f t="shared" si="107"/>
        <v>9.4723686682252201E-3</v>
      </c>
      <c r="AQ423" s="226">
        <f t="shared" si="107"/>
        <v>9.2864675252435271E-3</v>
      </c>
      <c r="AR423" s="226">
        <f t="shared" si="107"/>
        <v>9.1042148081384409E-3</v>
      </c>
      <c r="AS423" s="226">
        <f t="shared" si="107"/>
        <v>8.9255389142766269E-3</v>
      </c>
      <c r="AT423" s="226">
        <f t="shared" si="107"/>
        <v>8.7503696462710896E-3</v>
      </c>
      <c r="AU423" s="226">
        <f t="shared" si="107"/>
        <v>8.578638184402335E-3</v>
      </c>
      <c r="AV423" s="226">
        <f t="shared" si="107"/>
        <v>8.4102770595807872E-3</v>
      </c>
      <c r="AW423" s="226">
        <f t="shared" si="107"/>
        <v>8.2452201268398331E-3</v>
      </c>
      <c r="AX423" s="226">
        <f t="shared" si="107"/>
        <v>8.0834025393490827E-3</v>
      </c>
      <c r="AY423" s="226">
        <f t="shared" si="105"/>
        <v>7.924760722937638E-3</v>
      </c>
      <c r="AZ423" s="226">
        <f t="shared" si="105"/>
        <v>7.7692323511173557E-3</v>
      </c>
      <c r="BA423" s="226">
        <f t="shared" si="105"/>
        <v>7.616756320596294E-3</v>
      </c>
      <c r="BB423" s="226">
        <f t="shared" si="105"/>
        <v>7.4672727272727269E-3</v>
      </c>
      <c r="BC423" s="226">
        <f t="shared" si="105"/>
        <v>7.3207228427002854E-3</v>
      </c>
      <c r="BD423" s="226">
        <f t="shared" si="105"/>
        <v>7.1770490910149894E-3</v>
      </c>
      <c r="BE423" s="226">
        <f t="shared" si="105"/>
        <v>7.0361950263150997E-3</v>
      </c>
    </row>
    <row r="424" spans="4:57" s="10" customFormat="1" x14ac:dyDescent="0.35">
      <c r="E424" s="10" t="s">
        <v>670</v>
      </c>
      <c r="F424" s="10" t="s">
        <v>615</v>
      </c>
      <c r="G424" s="43" t="s">
        <v>616</v>
      </c>
      <c r="I424" s="20"/>
      <c r="J424" s="200"/>
      <c r="K424" s="200"/>
      <c r="L424" s="200"/>
      <c r="M424" s="200"/>
      <c r="N424" s="200">
        <v>1.7500000000000002E-2</v>
      </c>
      <c r="O424" s="226">
        <f t="shared" si="106"/>
        <v>1.7194177344123263E-2</v>
      </c>
      <c r="P424" s="226">
        <f t="shared" si="106"/>
        <v>1.6893699116637809E-2</v>
      </c>
      <c r="Q424" s="226">
        <f t="shared" si="106"/>
        <v>1.6598471920555937E-2</v>
      </c>
      <c r="R424" s="226">
        <f t="shared" si="106"/>
        <v>1.6308403991056514E-2</v>
      </c>
      <c r="S424" s="226">
        <f t="shared" si="106"/>
        <v>1.60234051669619E-2</v>
      </c>
      <c r="T424" s="226">
        <f t="shared" si="106"/>
        <v>1.5743386862713364E-2</v>
      </c>
      <c r="U424" s="226">
        <f t="shared" si="106"/>
        <v>1.5468262040836222E-2</v>
      </c>
      <c r="V424" s="226">
        <f t="shared" si="106"/>
        <v>1.519794518488617E-2</v>
      </c>
      <c r="W424" s="226">
        <f t="shared" si="106"/>
        <v>1.4932352272868397E-2</v>
      </c>
      <c r="X424" s="226">
        <f t="shared" si="106"/>
        <v>1.4671400751121215E-2</v>
      </c>
      <c r="Y424" s="226">
        <f t="shared" si="106"/>
        <v>1.4415009508656079E-2</v>
      </c>
      <c r="Z424" s="226">
        <f t="shared" si="106"/>
        <v>1.416309885194604E-2</v>
      </c>
      <c r="AA424" s="226">
        <f t="shared" si="106"/>
        <v>1.3915590480154786E-2</v>
      </c>
      <c r="AB424" s="226">
        <f t="shared" si="106"/>
        <v>1.3672407460798557E-2</v>
      </c>
      <c r="AC424" s="226">
        <f t="shared" si="106"/>
        <v>1.3433474205833393E-2</v>
      </c>
      <c r="AD424" s="226">
        <f t="shared" si="106"/>
        <v>1.319871644816027E-2</v>
      </c>
      <c r="AE424" s="226">
        <f t="shared" si="104"/>
        <v>1.2968061218540819E-2</v>
      </c>
      <c r="AF424" s="226">
        <f t="shared" si="104"/>
        <v>1.2741436822916457E-2</v>
      </c>
      <c r="AG424" s="226">
        <f t="shared" si="104"/>
        <v>1.2518772820123885E-2</v>
      </c>
      <c r="AH424" s="227">
        <v>1.23E-2</v>
      </c>
      <c r="AI424" s="226">
        <f t="shared" si="107"/>
        <v>1.2085050361869491E-2</v>
      </c>
      <c r="AJ424" s="226">
        <f t="shared" si="107"/>
        <v>1.1873857093408286E-2</v>
      </c>
      <c r="AK424" s="226">
        <f t="shared" si="107"/>
        <v>1.1666354549876457E-2</v>
      </c>
      <c r="AL424" s="226">
        <f t="shared" si="107"/>
        <v>1.1462478233714005E-2</v>
      </c>
      <c r="AM424" s="226">
        <f t="shared" si="107"/>
        <v>1.1262164774493219E-2</v>
      </c>
      <c r="AN424" s="226">
        <f t="shared" si="107"/>
        <v>1.1065351909221392E-2</v>
      </c>
      <c r="AO424" s="226">
        <f t="shared" si="107"/>
        <v>1.0871978462987743E-2</v>
      </c>
      <c r="AP424" s="226">
        <f t="shared" si="107"/>
        <v>1.0681984329948564E-2</v>
      </c>
      <c r="AQ424" s="226">
        <f t="shared" si="107"/>
        <v>1.0495310454644644E-2</v>
      </c>
      <c r="AR424" s="226">
        <f t="shared" si="107"/>
        <v>1.0311898813645196E-2</v>
      </c>
      <c r="AS424" s="226">
        <f t="shared" si="107"/>
        <v>1.0131692397512557E-2</v>
      </c>
      <c r="AT424" s="226">
        <f t="shared" si="107"/>
        <v>9.9546351930820728E-3</v>
      </c>
      <c r="AU424" s="226">
        <f t="shared" si="107"/>
        <v>9.7806721660516488E-3</v>
      </c>
      <c r="AV424" s="226">
        <f t="shared" si="107"/>
        <v>9.6097492438755559E-3</v>
      </c>
      <c r="AW424" s="226">
        <f t="shared" si="107"/>
        <v>9.441813298957184E-3</v>
      </c>
      <c r="AX424" s="226">
        <f t="shared" si="107"/>
        <v>9.2768121321355028E-3</v>
      </c>
      <c r="AY424" s="226">
        <f t="shared" si="105"/>
        <v>9.1146944564601175E-3</v>
      </c>
      <c r="AZ424" s="226">
        <f t="shared" si="105"/>
        <v>8.9554098812498519E-3</v>
      </c>
      <c r="BA424" s="226">
        <f t="shared" si="105"/>
        <v>8.7989088964299297E-3</v>
      </c>
      <c r="BB424" s="226">
        <f t="shared" si="105"/>
        <v>8.6451428571428617E-3</v>
      </c>
      <c r="BC424" s="226">
        <f t="shared" si="105"/>
        <v>8.4940639686282744E-3</v>
      </c>
      <c r="BD424" s="226">
        <f t="shared" si="105"/>
        <v>8.3456252713669694E-3</v>
      </c>
      <c r="BE424" s="226">
        <f t="shared" si="105"/>
        <v>8.1997806264845988E-3</v>
      </c>
    </row>
    <row r="425" spans="4:57" s="10" customFormat="1" x14ac:dyDescent="0.35">
      <c r="E425" s="10" t="s">
        <v>671</v>
      </c>
      <c r="F425" s="10" t="s">
        <v>615</v>
      </c>
      <c r="G425" s="43" t="s">
        <v>616</v>
      </c>
      <c r="I425" s="20"/>
      <c r="J425" s="200"/>
      <c r="K425" s="200"/>
      <c r="L425" s="200"/>
      <c r="M425" s="200"/>
      <c r="N425" s="200">
        <v>1.84E-2</v>
      </c>
      <c r="O425" s="226">
        <f t="shared" si="106"/>
        <v>1.8130632716478447E-2</v>
      </c>
      <c r="P425" s="226">
        <f t="shared" si="106"/>
        <v>1.7865208842382536E-2</v>
      </c>
      <c r="Q425" s="226">
        <f t="shared" si="106"/>
        <v>1.7603670648066352E-2</v>
      </c>
      <c r="R425" s="226">
        <f t="shared" si="106"/>
        <v>1.7345961249018649E-2</v>
      </c>
      <c r="S425" s="226">
        <f t="shared" si="106"/>
        <v>1.7092024593490483E-2</v>
      </c>
      <c r="T425" s="226">
        <f t="shared" si="106"/>
        <v>1.6841805450303959E-2</v>
      </c>
      <c r="U425" s="226">
        <f t="shared" si="106"/>
        <v>1.6595249396839457E-2</v>
      </c>
      <c r="V425" s="226">
        <f t="shared" si="106"/>
        <v>1.6352302807198734E-2</v>
      </c>
      <c r="W425" s="226">
        <f t="shared" si="106"/>
        <v>1.6112912840541289E-2</v>
      </c>
      <c r="X425" s="226">
        <f t="shared" si="106"/>
        <v>1.58770274295915E-2</v>
      </c>
      <c r="Y425" s="226">
        <f t="shared" si="106"/>
        <v>1.5644595269313989E-2</v>
      </c>
      <c r="Z425" s="226">
        <f t="shared" si="106"/>
        <v>1.5415565805754792E-2</v>
      </c>
      <c r="AA425" s="226">
        <f t="shared" si="106"/>
        <v>1.5189889225045885E-2</v>
      </c>
      <c r="AB425" s="226">
        <f t="shared" si="106"/>
        <v>1.4967516442570673E-2</v>
      </c>
      <c r="AC425" s="226">
        <f t="shared" si="106"/>
        <v>1.4748399092288096E-2</v>
      </c>
      <c r="AD425" s="226">
        <f t="shared" si="106"/>
        <v>1.4532489516213023E-2</v>
      </c>
      <c r="AE425" s="226">
        <f t="shared" si="104"/>
        <v>1.4319740754050646E-2</v>
      </c>
      <c r="AF425" s="226">
        <f t="shared" si="104"/>
        <v>1.4110106532982631E-2</v>
      </c>
      <c r="AG425" s="226">
        <f t="shared" si="104"/>
        <v>1.3903541257602781E-2</v>
      </c>
      <c r="AH425" s="227">
        <v>1.37E-2</v>
      </c>
      <c r="AI425" s="226">
        <f t="shared" si="107"/>
        <v>1.3499438489986672E-2</v>
      </c>
      <c r="AJ425" s="226">
        <f t="shared" si="107"/>
        <v>1.3301813105469608E-2</v>
      </c>
      <c r="AK425" s="226">
        <f t="shared" si="107"/>
        <v>1.310708086296245E-2</v>
      </c>
      <c r="AL425" s="226">
        <f t="shared" si="107"/>
        <v>1.2915199408236716E-2</v>
      </c>
      <c r="AM425" s="226">
        <f t="shared" si="107"/>
        <v>1.2726127007109766E-2</v>
      </c>
      <c r="AN425" s="226">
        <f t="shared" si="107"/>
        <v>1.2539822536367625E-2</v>
      </c>
      <c r="AO425" s="226">
        <f t="shared" si="107"/>
        <v>1.2356245474820686E-2</v>
      </c>
      <c r="AP425" s="226">
        <f t="shared" si="107"/>
        <v>1.2175355894490364E-2</v>
      </c>
      <c r="AQ425" s="226">
        <f t="shared" si="107"/>
        <v>1.1997114451924768E-2</v>
      </c>
      <c r="AR425" s="226">
        <f t="shared" si="107"/>
        <v>1.18214823796415E-2</v>
      </c>
      <c r="AS425" s="226">
        <f t="shared" si="107"/>
        <v>1.1648421477695743E-2</v>
      </c>
      <c r="AT425" s="226">
        <f t="shared" si="107"/>
        <v>1.1477894105371776E-2</v>
      </c>
      <c r="AU425" s="226">
        <f t="shared" si="107"/>
        <v>1.1309863172996122E-2</v>
      </c>
      <c r="AV425" s="226">
        <f t="shared" si="107"/>
        <v>1.1144292133870557E-2</v>
      </c>
      <c r="AW425" s="226">
        <f t="shared" si="107"/>
        <v>1.0981144976323203E-2</v>
      </c>
      <c r="AX425" s="226">
        <f t="shared" si="107"/>
        <v>1.0820386215876001E-2</v>
      </c>
      <c r="AY425" s="226">
        <f t="shared" si="105"/>
        <v>1.066198088752684E-2</v>
      </c>
      <c r="AZ425" s="226">
        <f t="shared" si="105"/>
        <v>1.0505894538144676E-2</v>
      </c>
      <c r="BA425" s="226">
        <f t="shared" si="105"/>
        <v>1.0352093218975985E-2</v>
      </c>
      <c r="BB425" s="226">
        <f t="shared" si="105"/>
        <v>1.0200543478260906E-2</v>
      </c>
      <c r="BC425" s="226">
        <f t="shared" si="105"/>
        <v>1.0051212353957503E-2</v>
      </c>
      <c r="BD425" s="226">
        <f t="shared" si="105"/>
        <v>9.9040673665725144E-3</v>
      </c>
      <c r="BE425" s="226">
        <f t="shared" si="105"/>
        <v>9.759076512097075E-3</v>
      </c>
    </row>
    <row r="426" spans="4:57" s="10" customFormat="1" x14ac:dyDescent="0.35">
      <c r="E426" s="10" t="s">
        <v>672</v>
      </c>
      <c r="F426" s="10" t="s">
        <v>615</v>
      </c>
      <c r="G426" s="43" t="s">
        <v>616</v>
      </c>
      <c r="I426" s="20"/>
      <c r="J426" s="200"/>
      <c r="K426" s="200"/>
      <c r="L426" s="200"/>
      <c r="M426" s="200"/>
      <c r="N426" s="200">
        <v>1.95E-2</v>
      </c>
      <c r="O426" s="226">
        <f t="shared" si="106"/>
        <v>1.9252260443614617E-2</v>
      </c>
      <c r="P426" s="226">
        <f t="shared" si="106"/>
        <v>1.9007668317372724E-2</v>
      </c>
      <c r="Q426" s="226">
        <f t="shared" si="106"/>
        <v>1.8766183634456497E-2</v>
      </c>
      <c r="R426" s="226">
        <f t="shared" si="106"/>
        <v>1.8527766916064347E-2</v>
      </c>
      <c r="S426" s="226">
        <f t="shared" si="106"/>
        <v>1.829237918495678E-2</v>
      </c>
      <c r="T426" s="226">
        <f t="shared" si="106"/>
        <v>1.8059981959084245E-2</v>
      </c>
      <c r="U426" s="226">
        <f t="shared" si="106"/>
        <v>1.7830537245295961E-2</v>
      </c>
      <c r="V426" s="226">
        <f t="shared" si="106"/>
        <v>1.7604007533128643E-2</v>
      </c>
      <c r="W426" s="226">
        <f t="shared" si="106"/>
        <v>1.7380355788674168E-2</v>
      </c>
      <c r="X426" s="226">
        <f t="shared" si="106"/>
        <v>1.7159545448525129E-2</v>
      </c>
      <c r="Y426" s="226">
        <f t="shared" si="106"/>
        <v>1.694154041379731E-2</v>
      </c>
      <c r="Z426" s="226">
        <f t="shared" si="106"/>
        <v>1.6726305044228122E-2</v>
      </c>
      <c r="AA426" s="226">
        <f t="shared" si="106"/>
        <v>1.6513804152349983E-2</v>
      </c>
      <c r="AB426" s="226">
        <f t="shared" si="106"/>
        <v>1.6304002997737762E-2</v>
      </c>
      <c r="AC426" s="226">
        <f t="shared" si="106"/>
        <v>1.6096867281329273E-2</v>
      </c>
      <c r="AD426" s="226">
        <f t="shared" si="106"/>
        <v>1.5892363139817945E-2</v>
      </c>
      <c r="AE426" s="226">
        <f t="shared" si="104"/>
        <v>1.5690457140116718E-2</v>
      </c>
      <c r="AF426" s="226">
        <f t="shared" si="104"/>
        <v>1.5491116273892288E-2</v>
      </c>
      <c r="AG426" s="226">
        <f t="shared" si="104"/>
        <v>1.5294307952168776E-2</v>
      </c>
      <c r="AH426" s="227">
        <v>1.5100000000000001E-2</v>
      </c>
      <c r="AI426" s="226">
        <f t="shared" si="107"/>
        <v>1.4908160651209267E-2</v>
      </c>
      <c r="AJ426" s="226">
        <f t="shared" si="107"/>
        <v>1.4718758543196313E-2</v>
      </c>
      <c r="AK426" s="226">
        <f t="shared" si="107"/>
        <v>1.4531762711809901E-2</v>
      </c>
      <c r="AL426" s="226">
        <f t="shared" si="107"/>
        <v>1.4347142586285725E-2</v>
      </c>
      <c r="AM426" s="226">
        <f t="shared" si="107"/>
        <v>1.4164867984248583E-2</v>
      </c>
      <c r="AN426" s="226">
        <f t="shared" si="107"/>
        <v>1.3984909106778057E-2</v>
      </c>
      <c r="AO426" s="226">
        <f t="shared" si="107"/>
        <v>1.3807236533536871E-2</v>
      </c>
      <c r="AP426" s="226">
        <f t="shared" si="107"/>
        <v>1.3631821217961153E-2</v>
      </c>
      <c r="AQ426" s="226">
        <f t="shared" si="107"/>
        <v>1.3458634482511792E-2</v>
      </c>
      <c r="AR426" s="226">
        <f t="shared" si="107"/>
        <v>1.3287648013986124E-2</v>
      </c>
      <c r="AS426" s="226">
        <f t="shared" si="107"/>
        <v>1.3118833858889197E-2</v>
      </c>
      <c r="AT426" s="226">
        <f t="shared" si="107"/>
        <v>1.2952164418863824E-2</v>
      </c>
      <c r="AU426" s="226">
        <f t="shared" si="107"/>
        <v>1.2787612446178702E-2</v>
      </c>
      <c r="AV426" s="226">
        <f t="shared" si="107"/>
        <v>1.2625151039273854E-2</v>
      </c>
      <c r="AW426" s="226">
        <f t="shared" si="107"/>
        <v>1.2464753638362667E-2</v>
      </c>
      <c r="AX426" s="226">
        <f t="shared" si="107"/>
        <v>1.2306394021089791E-2</v>
      </c>
      <c r="AY426" s="226">
        <f t="shared" si="105"/>
        <v>1.2150046298244226E-2</v>
      </c>
      <c r="AZ426" s="226">
        <f t="shared" si="105"/>
        <v>1.1995684909526846E-2</v>
      </c>
      <c r="BA426" s="226">
        <f t="shared" si="105"/>
        <v>1.1843284619371716E-2</v>
      </c>
      <c r="BB426" s="226">
        <f t="shared" si="105"/>
        <v>1.1692820512820485E-2</v>
      </c>
      <c r="BC426" s="226">
        <f t="shared" si="105"/>
        <v>1.1544267991449199E-2</v>
      </c>
      <c r="BD426" s="226">
        <f t="shared" si="105"/>
        <v>1.139760276934686E-2</v>
      </c>
      <c r="BE426" s="226">
        <f t="shared" si="105"/>
        <v>1.1252800869145076E-2</v>
      </c>
    </row>
    <row r="427" spans="4:57" s="10" customFormat="1" x14ac:dyDescent="0.35">
      <c r="E427" s="10" t="s">
        <v>673</v>
      </c>
      <c r="F427" s="10" t="s">
        <v>615</v>
      </c>
      <c r="G427" s="43" t="s">
        <v>616</v>
      </c>
      <c r="I427" s="20"/>
      <c r="J427" s="200"/>
      <c r="K427" s="200"/>
      <c r="L427" s="200"/>
      <c r="M427" s="200"/>
      <c r="N427" s="200">
        <v>2.06E-2</v>
      </c>
      <c r="O427" s="226">
        <f t="shared" si="106"/>
        <v>2.0353992496457269E-2</v>
      </c>
      <c r="P427" s="226">
        <f t="shared" si="106"/>
        <v>2.0110922842031007E-2</v>
      </c>
      <c r="Q427" s="226">
        <f t="shared" si="106"/>
        <v>1.9870755952598552E-2</v>
      </c>
      <c r="R427" s="226">
        <f t="shared" si="106"/>
        <v>1.9633457163015754E-2</v>
      </c>
      <c r="S427" s="226">
        <f t="shared" si="106"/>
        <v>1.9398992222113488E-2</v>
      </c>
      <c r="T427" s="226">
        <f t="shared" si="106"/>
        <v>1.9167327287753923E-2</v>
      </c>
      <c r="U427" s="226">
        <f t="shared" si="106"/>
        <v>1.8938428921945825E-2</v>
      </c>
      <c r="V427" s="226">
        <f t="shared" si="106"/>
        <v>1.8712264086018185E-2</v>
      </c>
      <c r="W427" s="226">
        <f t="shared" si="106"/>
        <v>1.8488800135851503E-2</v>
      </c>
      <c r="X427" s="226">
        <f t="shared" si="106"/>
        <v>1.8268004817165999E-2</v>
      </c>
      <c r="Y427" s="226">
        <f t="shared" si="106"/>
        <v>1.8049846260866115E-2</v>
      </c>
      <c r="Z427" s="226">
        <f t="shared" si="106"/>
        <v>1.7834292978440591E-2</v>
      </c>
      <c r="AA427" s="226">
        <f t="shared" si="106"/>
        <v>1.7621313857417491E-2</v>
      </c>
      <c r="AB427" s="226">
        <f t="shared" si="106"/>
        <v>1.7410878156873498E-2</v>
      </c>
      <c r="AC427" s="226">
        <f t="shared" si="106"/>
        <v>1.7202955502996841E-2</v>
      </c>
      <c r="AD427" s="226">
        <f t="shared" si="106"/>
        <v>1.6997515884703201E-2</v>
      </c>
      <c r="AE427" s="226">
        <f t="shared" si="104"/>
        <v>1.6794529649303988E-2</v>
      </c>
      <c r="AF427" s="226">
        <f t="shared" si="104"/>
        <v>1.6593967498226333E-2</v>
      </c>
      <c r="AG427" s="226">
        <f t="shared" si="104"/>
        <v>1.63958004827842E-2</v>
      </c>
      <c r="AH427" s="227">
        <v>1.6199999999999999E-2</v>
      </c>
      <c r="AI427" s="226">
        <f t="shared" si="107"/>
        <v>1.6006537788476102E-2</v>
      </c>
      <c r="AJ427" s="226">
        <f t="shared" si="107"/>
        <v>1.5815385924315646E-2</v>
      </c>
      <c r="AK427" s="226">
        <f t="shared" si="107"/>
        <v>1.5626516817092064E-2</v>
      </c>
      <c r="AL427" s="226">
        <f t="shared" si="107"/>
        <v>1.5439903205866756E-2</v>
      </c>
      <c r="AM427" s="226">
        <f t="shared" si="107"/>
        <v>1.5255518155254293E-2</v>
      </c>
      <c r="AN427" s="226">
        <f t="shared" si="107"/>
        <v>1.5073335051534636E-2</v>
      </c>
      <c r="AO427" s="226">
        <f t="shared" si="107"/>
        <v>1.4893327598811762E-2</v>
      </c>
      <c r="AP427" s="226">
        <f t="shared" si="107"/>
        <v>1.4715469815218181E-2</v>
      </c>
      <c r="AQ427" s="226">
        <f t="shared" si="107"/>
        <v>1.4539736029164771E-2</v>
      </c>
      <c r="AR427" s="226">
        <f t="shared" si="107"/>
        <v>1.4366100875635394E-2</v>
      </c>
      <c r="AS427" s="226">
        <f t="shared" si="107"/>
        <v>1.4194539292525775E-2</v>
      </c>
      <c r="AT427" s="226">
        <f t="shared" si="107"/>
        <v>1.4025026517026092E-2</v>
      </c>
      <c r="AU427" s="226">
        <f t="shared" si="107"/>
        <v>1.3857538082046761E-2</v>
      </c>
      <c r="AV427" s="226">
        <f t="shared" si="107"/>
        <v>1.3692049812686923E-2</v>
      </c>
      <c r="AW427" s="226">
        <f t="shared" si="107"/>
        <v>1.3528537822745086E-2</v>
      </c>
      <c r="AX427" s="226">
        <f t="shared" si="107"/>
        <v>1.3366978511271447E-2</v>
      </c>
      <c r="AY427" s="226">
        <f t="shared" si="105"/>
        <v>1.3207348559161386E-2</v>
      </c>
      <c r="AZ427" s="226">
        <f t="shared" si="105"/>
        <v>1.3049624925789639E-2</v>
      </c>
      <c r="BA427" s="226">
        <f t="shared" si="105"/>
        <v>1.2893784845684661E-2</v>
      </c>
      <c r="BB427" s="226">
        <f t="shared" si="105"/>
        <v>1.273980582524272E-2</v>
      </c>
      <c r="BC427" s="226">
        <f t="shared" si="105"/>
        <v>1.2587665639481209E-2</v>
      </c>
      <c r="BD427" s="226">
        <f t="shared" si="105"/>
        <v>1.2437342328830753E-2</v>
      </c>
      <c r="BE427" s="226">
        <f t="shared" si="105"/>
        <v>1.2288814195965607E-2</v>
      </c>
    </row>
    <row r="428" spans="4:57" s="10" customFormat="1" x14ac:dyDescent="0.35">
      <c r="E428" s="10" t="s">
        <v>674</v>
      </c>
      <c r="F428" s="10" t="s">
        <v>615</v>
      </c>
      <c r="G428" s="43" t="s">
        <v>616</v>
      </c>
      <c r="I428" s="20"/>
      <c r="J428" s="200"/>
      <c r="K428" s="200"/>
      <c r="L428" s="200"/>
      <c r="M428" s="200"/>
      <c r="N428" s="200">
        <v>2.1899999999999999E-2</v>
      </c>
      <c r="O428" s="226">
        <f t="shared" si="106"/>
        <v>2.1643336627540543E-2</v>
      </c>
      <c r="P428" s="226">
        <f t="shared" si="106"/>
        <v>2.1389681295572515E-2</v>
      </c>
      <c r="Q428" s="226">
        <f t="shared" si="106"/>
        <v>2.1138998750496962E-2</v>
      </c>
      <c r="R428" s="226">
        <f t="shared" si="106"/>
        <v>2.0891254151879667E-2</v>
      </c>
      <c r="S428" s="226">
        <f t="shared" si="106"/>
        <v>2.0646413067608935E-2</v>
      </c>
      <c r="T428" s="226">
        <f t="shared" si="106"/>
        <v>2.0404441469110145E-2</v>
      </c>
      <c r="U428" s="226">
        <f t="shared" si="106"/>
        <v>2.0165305726616383E-2</v>
      </c>
      <c r="V428" s="226">
        <f t="shared" si="106"/>
        <v>1.9928972604494496E-2</v>
      </c>
      <c r="W428" s="226">
        <f t="shared" si="106"/>
        <v>1.9695409256625926E-2</v>
      </c>
      <c r="X428" s="226">
        <f t="shared" si="106"/>
        <v>1.9464583221841688E-2</v>
      </c>
      <c r="Y428" s="226">
        <f t="shared" si="106"/>
        <v>1.9236462419410839E-2</v>
      </c>
      <c r="Z428" s="226">
        <f t="shared" si="106"/>
        <v>1.9011015144581818E-2</v>
      </c>
      <c r="AA428" s="226">
        <f t="shared" si="106"/>
        <v>1.8788210064176056E-2</v>
      </c>
      <c r="AB428" s="226">
        <f t="shared" si="106"/>
        <v>1.856801621223322E-2</v>
      </c>
      <c r="AC428" s="226">
        <f t="shared" si="106"/>
        <v>1.8350402985707483E-2</v>
      </c>
      <c r="AD428" s="226">
        <f t="shared" si="106"/>
        <v>1.8135340140214253E-2</v>
      </c>
      <c r="AE428" s="226">
        <f t="shared" si="104"/>
        <v>1.7922797785826731E-2</v>
      </c>
      <c r="AF428" s="226">
        <f t="shared" si="104"/>
        <v>1.7712746382921748E-2</v>
      </c>
      <c r="AG428" s="226">
        <f t="shared" si="104"/>
        <v>1.7505156738074273E-2</v>
      </c>
      <c r="AH428" s="227">
        <v>1.7299999999999999E-2</v>
      </c>
      <c r="AI428" s="226">
        <f t="shared" si="107"/>
        <v>1.7097247655545725E-2</v>
      </c>
      <c r="AJ428" s="226">
        <f t="shared" si="107"/>
        <v>1.6896871525726231E-2</v>
      </c>
      <c r="AK428" s="226">
        <f t="shared" si="107"/>
        <v>1.6698843761808101E-2</v>
      </c>
      <c r="AL428" s="226">
        <f t="shared" si="107"/>
        <v>1.6503136841439187E-2</v>
      </c>
      <c r="AM428" s="226">
        <f t="shared" si="107"/>
        <v>1.6309723564823495E-2</v>
      </c>
      <c r="AN428" s="226">
        <f t="shared" si="107"/>
        <v>1.6118577050940889E-2</v>
      </c>
      <c r="AO428" s="226">
        <f t="shared" si="107"/>
        <v>1.5929670733811113E-2</v>
      </c>
      <c r="AP428" s="226">
        <f t="shared" si="107"/>
        <v>1.5742978358801583E-2</v>
      </c>
      <c r="AQ428" s="226">
        <f t="shared" si="107"/>
        <v>1.5558473978978467E-2</v>
      </c>
      <c r="AR428" s="226">
        <f t="shared" si="107"/>
        <v>1.5376131951500508E-2</v>
      </c>
      <c r="AS428" s="226">
        <f t="shared" si="107"/>
        <v>1.5195926934055132E-2</v>
      </c>
      <c r="AT428" s="226">
        <f t="shared" si="107"/>
        <v>1.5017833881336316E-2</v>
      </c>
      <c r="AU428" s="226">
        <f t="shared" si="107"/>
        <v>1.484182804156373E-2</v>
      </c>
      <c r="AV428" s="226">
        <f t="shared" si="107"/>
        <v>1.4667884953042677E-2</v>
      </c>
      <c r="AW428" s="226">
        <f t="shared" si="107"/>
        <v>1.4495980440764356E-2</v>
      </c>
      <c r="AX428" s="226">
        <f t="shared" si="107"/>
        <v>1.4326090613045959E-2</v>
      </c>
      <c r="AY428" s="226">
        <f t="shared" si="105"/>
        <v>1.4158191858210155E-2</v>
      </c>
      <c r="AZ428" s="226">
        <f t="shared" si="105"/>
        <v>1.3992260841303478E-2</v>
      </c>
      <c r="BA428" s="226">
        <f t="shared" si="105"/>
        <v>1.3828274500853189E-2</v>
      </c>
      <c r="BB428" s="226">
        <f t="shared" si="105"/>
        <v>1.3666210045662135E-2</v>
      </c>
      <c r="BC428" s="226">
        <f t="shared" si="105"/>
        <v>1.3506044951641179E-2</v>
      </c>
      <c r="BD428" s="226">
        <f t="shared" si="105"/>
        <v>1.3347756958678748E-2</v>
      </c>
      <c r="BE428" s="226">
        <f t="shared" si="105"/>
        <v>1.3191324067547075E-2</v>
      </c>
    </row>
    <row r="429" spans="4:57" s="10" customFormat="1" x14ac:dyDescent="0.35">
      <c r="E429" s="10" t="s">
        <v>675</v>
      </c>
      <c r="F429" s="10" t="s">
        <v>615</v>
      </c>
      <c r="G429" s="43" t="s">
        <v>616</v>
      </c>
      <c r="I429" s="20"/>
      <c r="J429" s="200"/>
      <c r="K429" s="200"/>
      <c r="L429" s="200"/>
      <c r="M429" s="200"/>
      <c r="N429" s="200">
        <v>2.3199999999999998E-2</v>
      </c>
      <c r="O429" s="226">
        <f t="shared" si="106"/>
        <v>2.2938878023817579E-2</v>
      </c>
      <c r="P429" s="226">
        <f t="shared" si="106"/>
        <v>2.2680695042740565E-2</v>
      </c>
      <c r="Q429" s="226">
        <f t="shared" si="106"/>
        <v>2.2425417977621976E-2</v>
      </c>
      <c r="R429" s="226">
        <f t="shared" si="106"/>
        <v>2.2173014121629156E-2</v>
      </c>
      <c r="S429" s="226">
        <f t="shared" si="106"/>
        <v>2.1923451136053269E-2</v>
      </c>
      <c r="T429" s="226">
        <f t="shared" si="106"/>
        <v>2.1676697046165986E-2</v>
      </c>
      <c r="U429" s="226">
        <f t="shared" si="106"/>
        <v>2.1432720237122775E-2</v>
      </c>
      <c r="V429" s="226">
        <f t="shared" si="106"/>
        <v>2.1191489449912324E-2</v>
      </c>
      <c r="W429" s="226">
        <f t="shared" si="106"/>
        <v>2.0952973777351547E-2</v>
      </c>
      <c r="X429" s="226">
        <f t="shared" si="106"/>
        <v>2.0717142660125663E-2</v>
      </c>
      <c r="Y429" s="226">
        <f t="shared" si="106"/>
        <v>2.0483965882872854E-2</v>
      </c>
      <c r="Z429" s="226">
        <f t="shared" si="106"/>
        <v>2.0253413570312982E-2</v>
      </c>
      <c r="AA429" s="226">
        <f t="shared" si="106"/>
        <v>2.002545618341988E-2</v>
      </c>
      <c r="AB429" s="226">
        <f t="shared" si="106"/>
        <v>1.980006451563673E-2</v>
      </c>
      <c r="AC429" s="226">
        <f t="shared" si="106"/>
        <v>1.9577209689134036E-2</v>
      </c>
      <c r="AD429" s="226">
        <f t="shared" si="106"/>
        <v>1.9356863151109713E-2</v>
      </c>
      <c r="AE429" s="226">
        <f t="shared" si="104"/>
        <v>1.9138996670130814E-2</v>
      </c>
      <c r="AF429" s="226">
        <f t="shared" si="104"/>
        <v>1.8923582332516446E-2</v>
      </c>
      <c r="AG429" s="226">
        <f t="shared" si="104"/>
        <v>1.8710592538761384E-2</v>
      </c>
      <c r="AH429" s="227">
        <v>1.8499999999999999E-2</v>
      </c>
      <c r="AI429" s="226">
        <f t="shared" si="107"/>
        <v>1.8291777734509705E-2</v>
      </c>
      <c r="AJ429" s="226">
        <f t="shared" si="107"/>
        <v>1.8085899064254327E-2</v>
      </c>
      <c r="AK429" s="226">
        <f t="shared" si="107"/>
        <v>1.7882337611465796E-2</v>
      </c>
      <c r="AL429" s="226">
        <f t="shared" si="107"/>
        <v>1.7681067295264623E-2</v>
      </c>
      <c r="AM429" s="226">
        <f t="shared" si="107"/>
        <v>1.7482062328318337E-2</v>
      </c>
      <c r="AN429" s="226">
        <f t="shared" si="107"/>
        <v>1.7285297213537529E-2</v>
      </c>
      <c r="AO429" s="226">
        <f t="shared" si="107"/>
        <v>1.7090746740809105E-2</v>
      </c>
      <c r="AP429" s="226">
        <f t="shared" si="107"/>
        <v>1.6898385983766289E-2</v>
      </c>
      <c r="AQ429" s="226">
        <f t="shared" si="107"/>
        <v>1.6708190296594979E-2</v>
      </c>
      <c r="AR429" s="226">
        <f t="shared" si="107"/>
        <v>1.6520135310876063E-2</v>
      </c>
      <c r="AS429" s="226">
        <f t="shared" si="107"/>
        <v>1.6334196932463262E-2</v>
      </c>
      <c r="AT429" s="226">
        <f t="shared" si="107"/>
        <v>1.615035133839612E-2</v>
      </c>
      <c r="AU429" s="226">
        <f t="shared" si="107"/>
        <v>1.5968574973847741E-2</v>
      </c>
      <c r="AV429" s="226">
        <f t="shared" si="107"/>
        <v>1.5788844549106867E-2</v>
      </c>
      <c r="AW429" s="226">
        <f t="shared" si="107"/>
        <v>1.5611137036593944E-2</v>
      </c>
      <c r="AX429" s="226">
        <f t="shared" si="107"/>
        <v>1.5435429667910755E-2</v>
      </c>
      <c r="AY429" s="226">
        <f t="shared" si="105"/>
        <v>1.5261699930923271E-2</v>
      </c>
      <c r="AZ429" s="226">
        <f t="shared" si="105"/>
        <v>1.508992556687733E-2</v>
      </c>
      <c r="BA429" s="226">
        <f t="shared" si="105"/>
        <v>1.4920084567546786E-2</v>
      </c>
      <c r="BB429" s="226">
        <f t="shared" si="105"/>
        <v>1.4752155172413741E-2</v>
      </c>
      <c r="BC429" s="226">
        <f t="shared" si="105"/>
        <v>1.4586115865880534E-2</v>
      </c>
      <c r="BD429" s="226">
        <f t="shared" si="105"/>
        <v>1.44219453745131E-2</v>
      </c>
      <c r="BE429" s="226">
        <f t="shared" si="105"/>
        <v>1.4259622664315351E-2</v>
      </c>
    </row>
    <row r="430" spans="4:57" s="10" customFormat="1" x14ac:dyDescent="0.35">
      <c r="E430" s="10" t="s">
        <v>676</v>
      </c>
      <c r="F430" s="10" t="s">
        <v>615</v>
      </c>
      <c r="G430" s="43" t="s">
        <v>616</v>
      </c>
      <c r="I430" s="20"/>
      <c r="J430" s="200"/>
      <c r="K430" s="200"/>
      <c r="L430" s="200"/>
      <c r="M430" s="200"/>
      <c r="N430" s="200">
        <v>2.47E-2</v>
      </c>
      <c r="O430" s="226">
        <f t="shared" si="106"/>
        <v>2.4422235620406726E-2</v>
      </c>
      <c r="P430" s="226">
        <f t="shared" si="106"/>
        <v>2.4147594846099723E-2</v>
      </c>
      <c r="Q430" s="226">
        <f t="shared" si="106"/>
        <v>2.3876042550508767E-2</v>
      </c>
      <c r="R430" s="226">
        <f t="shared" si="106"/>
        <v>2.360754400208024E-2</v>
      </c>
      <c r="S430" s="226">
        <f t="shared" si="106"/>
        <v>2.3342064859834949E-2</v>
      </c>
      <c r="T430" s="226">
        <f t="shared" si="106"/>
        <v>2.307957116897592E-2</v>
      </c>
      <c r="U430" s="226">
        <f t="shared" si="106"/>
        <v>2.282002935654558E-2</v>
      </c>
      <c r="V430" s="226">
        <f t="shared" si="106"/>
        <v>2.2563406227131769E-2</v>
      </c>
      <c r="W430" s="226">
        <f t="shared" si="106"/>
        <v>2.2309668958622044E-2</v>
      </c>
      <c r="X430" s="226">
        <f t="shared" si="106"/>
        <v>2.2058785098005729E-2</v>
      </c>
      <c r="Y430" s="226">
        <f t="shared" si="106"/>
        <v>2.1810722557223182E-2</v>
      </c>
      <c r="Z430" s="226">
        <f t="shared" si="106"/>
        <v>2.1565449609061722E-2</v>
      </c>
      <c r="AA430" s="226">
        <f t="shared" si="106"/>
        <v>2.1322934883097711E-2</v>
      </c>
      <c r="AB430" s="226">
        <f t="shared" si="106"/>
        <v>2.1083147361684294E-2</v>
      </c>
      <c r="AC430" s="226">
        <f t="shared" si="106"/>
        <v>2.0846056375984221E-2</v>
      </c>
      <c r="AD430" s="226">
        <f t="shared" si="106"/>
        <v>2.0611631602047313E-2</v>
      </c>
      <c r="AE430" s="226">
        <f t="shared" si="104"/>
        <v>2.037984305693202E-2</v>
      </c>
      <c r="AF430" s="226">
        <f t="shared" si="104"/>
        <v>2.0150661094870605E-2</v>
      </c>
      <c r="AG430" s="226">
        <f t="shared" si="104"/>
        <v>1.9924056403477445E-2</v>
      </c>
      <c r="AH430" s="227">
        <v>1.9699999999999999E-2</v>
      </c>
      <c r="AI430" s="226">
        <f t="shared" si="107"/>
        <v>1.9478463227611841E-2</v>
      </c>
      <c r="AJ430" s="226">
        <f t="shared" si="107"/>
        <v>1.9259417751747551E-2</v>
      </c>
      <c r="AK430" s="226">
        <f t="shared" si="107"/>
        <v>1.9042835556478652E-2</v>
      </c>
      <c r="AL430" s="226">
        <f t="shared" si="107"/>
        <v>1.8828688940930392E-2</v>
      </c>
      <c r="AM430" s="226">
        <f t="shared" si="107"/>
        <v>1.8616950515738803E-2</v>
      </c>
      <c r="AN430" s="226">
        <f t="shared" si="107"/>
        <v>1.8407593199547594E-2</v>
      </c>
      <c r="AO430" s="226">
        <f t="shared" si="107"/>
        <v>1.8200590215544449E-2</v>
      </c>
      <c r="AP430" s="226">
        <f t="shared" si="107"/>
        <v>1.7995915088036267E-2</v>
      </c>
      <c r="AQ430" s="226">
        <f t="shared" si="107"/>
        <v>1.7793541639062924E-2</v>
      </c>
      <c r="AR430" s="226">
        <f t="shared" si="107"/>
        <v>1.7593443985049102E-2</v>
      </c>
      <c r="AS430" s="226">
        <f t="shared" si="107"/>
        <v>1.739559653349379E-2</v>
      </c>
      <c r="AT430" s="226">
        <f t="shared" si="107"/>
        <v>1.7199973979696997E-2</v>
      </c>
      <c r="AU430" s="226">
        <f t="shared" si="107"/>
        <v>1.7006551303523274E-2</v>
      </c>
      <c r="AV430" s="226">
        <f t="shared" si="107"/>
        <v>1.6815303766201641E-2</v>
      </c>
      <c r="AW430" s="226">
        <f t="shared" si="107"/>
        <v>1.6626206907161503E-2</v>
      </c>
      <c r="AX430" s="226">
        <f t="shared" si="107"/>
        <v>1.643923654090413E-2</v>
      </c>
      <c r="AY430" s="226">
        <f t="shared" si="105"/>
        <v>1.6254368753909339E-2</v>
      </c>
      <c r="AZ430" s="226">
        <f t="shared" si="105"/>
        <v>1.6071579901576954E-2</v>
      </c>
      <c r="BA430" s="226">
        <f t="shared" si="105"/>
        <v>1.5890846605202652E-2</v>
      </c>
      <c r="BB430" s="226">
        <f t="shared" si="105"/>
        <v>1.5712145748987834E-2</v>
      </c>
      <c r="BC430" s="226">
        <f t="shared" si="105"/>
        <v>1.553545447708311E-2</v>
      </c>
      <c r="BD430" s="226">
        <f t="shared" si="105"/>
        <v>1.5360750190665032E-2</v>
      </c>
      <c r="BE430" s="226">
        <f t="shared" si="105"/>
        <v>1.5188010545045707E-2</v>
      </c>
    </row>
    <row r="431" spans="4:57" s="10" customFormat="1" x14ac:dyDescent="0.35">
      <c r="E431" s="10" t="s">
        <v>677</v>
      </c>
      <c r="F431" s="10" t="s">
        <v>615</v>
      </c>
      <c r="G431" s="43" t="s">
        <v>616</v>
      </c>
      <c r="I431" s="20"/>
      <c r="J431" s="200"/>
      <c r="K431" s="200"/>
      <c r="L431" s="200"/>
      <c r="M431" s="200"/>
      <c r="N431" s="200">
        <v>2.6200000000000001E-2</v>
      </c>
      <c r="O431" s="226">
        <f t="shared" si="106"/>
        <v>2.5917932204810021E-2</v>
      </c>
      <c r="P431" s="226">
        <f t="shared" si="106"/>
        <v>2.5638901136378945E-2</v>
      </c>
      <c r="Q431" s="226">
        <f t="shared" si="106"/>
        <v>2.5362874101469313E-2</v>
      </c>
      <c r="R431" s="226">
        <f t="shared" si="106"/>
        <v>2.5089818758817307E-2</v>
      </c>
      <c r="S431" s="226">
        <f t="shared" si="106"/>
        <v>2.4819703115343421E-2</v>
      </c>
      <c r="T431" s="226">
        <f t="shared" si="106"/>
        <v>2.4552495522403923E-2</v>
      </c>
      <c r="U431" s="226">
        <f t="shared" si="106"/>
        <v>2.4288164672082686E-2</v>
      </c>
      <c r="V431" s="226">
        <f t="shared" si="106"/>
        <v>2.4026679593522931E-2</v>
      </c>
      <c r="W431" s="226">
        <f t="shared" si="106"/>
        <v>2.3768009649298458E-2</v>
      </c>
      <c r="X431" s="226">
        <f t="shared" si="106"/>
        <v>2.3512124531823962E-2</v>
      </c>
      <c r="Y431" s="226">
        <f t="shared" si="106"/>
        <v>2.3258994259803968E-2</v>
      </c>
      <c r="Z431" s="226">
        <f t="shared" si="106"/>
        <v>2.3008589174720023E-2</v>
      </c>
      <c r="AA431" s="226">
        <f t="shared" si="106"/>
        <v>2.2760879937355694E-2</v>
      </c>
      <c r="AB431" s="226">
        <f t="shared" si="106"/>
        <v>2.2515837524358984E-2</v>
      </c>
      <c r="AC431" s="226">
        <f t="shared" si="106"/>
        <v>2.2273433224841738E-2</v>
      </c>
      <c r="AD431" s="226">
        <f t="shared" si="106"/>
        <v>2.2033638637015691E-2</v>
      </c>
      <c r="AE431" s="226">
        <f t="shared" si="104"/>
        <v>2.1796425664864706E-2</v>
      </c>
      <c r="AF431" s="226">
        <f t="shared" si="104"/>
        <v>2.1561766514852847E-2</v>
      </c>
      <c r="AG431" s="226">
        <f t="shared" si="104"/>
        <v>2.1329633692667896E-2</v>
      </c>
      <c r="AH431" s="227">
        <v>2.1100000000000001E-2</v>
      </c>
      <c r="AI431" s="226">
        <f t="shared" si="107"/>
        <v>2.0872838531354635E-2</v>
      </c>
      <c r="AJ431" s="226">
        <f t="shared" si="107"/>
        <v>2.06481226709006E-2</v>
      </c>
      <c r="AK431" s="226">
        <f t="shared" si="107"/>
        <v>2.0425826089351243E-2</v>
      </c>
      <c r="AL431" s="226">
        <f t="shared" si="107"/>
        <v>2.0205922740879588E-2</v>
      </c>
      <c r="AM431" s="226">
        <f t="shared" si="107"/>
        <v>1.9988386860066647E-2</v>
      </c>
      <c r="AN431" s="226">
        <f t="shared" si="107"/>
        <v>1.9773192958882548E-2</v>
      </c>
      <c r="AO431" s="226">
        <f t="shared" si="107"/>
        <v>1.9560315823700179E-2</v>
      </c>
      <c r="AP431" s="226">
        <f t="shared" si="107"/>
        <v>1.9349730512340988E-2</v>
      </c>
      <c r="AQ431" s="226">
        <f t="shared" si="107"/>
        <v>1.9141412351152579E-2</v>
      </c>
      <c r="AR431" s="226">
        <f t="shared" si="107"/>
        <v>1.8935336932117772E-2</v>
      </c>
      <c r="AS431" s="226">
        <f t="shared" si="107"/>
        <v>1.87314801099948E-2</v>
      </c>
      <c r="AT431" s="226">
        <f t="shared" si="107"/>
        <v>1.8529817999488263E-2</v>
      </c>
      <c r="AU431" s="226">
        <f t="shared" si="107"/>
        <v>1.8330326972450579E-2</v>
      </c>
      <c r="AV431" s="226">
        <f t="shared" si="107"/>
        <v>1.8132983655113535E-2</v>
      </c>
      <c r="AW431" s="226">
        <f t="shared" si="107"/>
        <v>1.7937764925349646E-2</v>
      </c>
      <c r="AX431" s="226">
        <f t="shared" si="107"/>
        <v>1.774464790996302E-2</v>
      </c>
      <c r="AY431" s="226">
        <f t="shared" si="105"/>
        <v>1.7553609982009364E-2</v>
      </c>
      <c r="AZ431" s="226">
        <f t="shared" si="105"/>
        <v>1.7364628758144852E-2</v>
      </c>
      <c r="BA431" s="226">
        <f t="shared" si="105"/>
        <v>1.7177682096003538E-2</v>
      </c>
      <c r="BB431" s="226">
        <f t="shared" si="105"/>
        <v>1.6992748091602998E-2</v>
      </c>
      <c r="BC431" s="226">
        <f t="shared" si="105"/>
        <v>1.6809805076777914E-2</v>
      </c>
      <c r="BD431" s="226">
        <f t="shared" si="105"/>
        <v>1.6628831616641269E-2</v>
      </c>
      <c r="BE431" s="226">
        <f t="shared" si="105"/>
        <v>1.6449806507072891E-2</v>
      </c>
    </row>
    <row r="432" spans="4:57" s="10" customFormat="1" x14ac:dyDescent="0.35">
      <c r="D432" s="169"/>
      <c r="E432" s="10" t="s">
        <v>678</v>
      </c>
      <c r="F432" s="10" t="s">
        <v>615</v>
      </c>
      <c r="G432" s="43" t="s">
        <v>616</v>
      </c>
      <c r="I432" s="20"/>
      <c r="J432" s="200"/>
      <c r="K432" s="200"/>
      <c r="L432" s="200"/>
      <c r="M432" s="200"/>
      <c r="N432" s="200">
        <v>2.64E-2</v>
      </c>
      <c r="O432" s="226">
        <f t="shared" si="106"/>
        <v>2.6118167977992546E-2</v>
      </c>
      <c r="P432" s="226">
        <f t="shared" si="106"/>
        <v>2.5839344641160427E-2</v>
      </c>
      <c r="Q432" s="226">
        <f t="shared" si="106"/>
        <v>2.55634978704193E-2</v>
      </c>
      <c r="R432" s="226">
        <f t="shared" si="106"/>
        <v>2.5290595889570684E-2</v>
      </c>
      <c r="S432" s="226">
        <f t="shared" si="106"/>
        <v>2.5020607261641476E-2</v>
      </c>
      <c r="T432" s="226">
        <f t="shared" si="106"/>
        <v>2.4753500885262583E-2</v>
      </c>
      <c r="U432" s="226">
        <f t="shared" si="106"/>
        <v>2.4489245991086189E-2</v>
      </c>
      <c r="V432" s="226">
        <f t="shared" si="106"/>
        <v>2.4227812138241274E-2</v>
      </c>
      <c r="W432" s="226">
        <f t="shared" si="106"/>
        <v>2.3969169210826983E-2</v>
      </c>
      <c r="X432" s="226">
        <f t="shared" si="106"/>
        <v>2.3713287414443417E-2</v>
      </c>
      <c r="Y432" s="226">
        <f t="shared" si="106"/>
        <v>2.346013727275946E-2</v>
      </c>
      <c r="Z432" s="226">
        <f t="shared" si="106"/>
        <v>2.3209689624117253E-2</v>
      </c>
      <c r="AA432" s="226">
        <f t="shared" si="106"/>
        <v>2.2961915618172919E-2</v>
      </c>
      <c r="AB432" s="226">
        <f t="shared" si="106"/>
        <v>2.2716786712573139E-2</v>
      </c>
      <c r="AC432" s="226">
        <f t="shared" si="106"/>
        <v>2.247427466966721E-2</v>
      </c>
      <c r="AD432" s="226">
        <f t="shared" si="106"/>
        <v>2.2234351553254209E-2</v>
      </c>
      <c r="AE432" s="226">
        <f t="shared" si="104"/>
        <v>2.1996989725364884E-2</v>
      </c>
      <c r="AF432" s="226">
        <f t="shared" si="104"/>
        <v>2.1762161843077884E-2</v>
      </c>
      <c r="AG432" s="226">
        <f t="shared" si="104"/>
        <v>2.1529840855370002E-2</v>
      </c>
      <c r="AH432" s="227">
        <v>2.1299999999999999E-2</v>
      </c>
      <c r="AI432" s="226">
        <f t="shared" si="107"/>
        <v>2.1072612800425803E-2</v>
      </c>
      <c r="AJ432" s="226">
        <f t="shared" si="107"/>
        <v>2.0847653062754434E-2</v>
      </c>
      <c r="AK432" s="226">
        <f t="shared" si="107"/>
        <v>2.0625094872724663E-2</v>
      </c>
      <c r="AL432" s="226">
        <f t="shared" si="107"/>
        <v>2.0404912592721803E-2</v>
      </c>
      <c r="AM432" s="226">
        <f t="shared" si="107"/>
        <v>2.0187080858824372E-2</v>
      </c>
      <c r="AN432" s="226">
        <f t="shared" si="107"/>
        <v>1.997157457788231E-2</v>
      </c>
      <c r="AO432" s="226">
        <f t="shared" si="107"/>
        <v>1.9758368924626353E-2</v>
      </c>
      <c r="AP432" s="226">
        <f t="shared" si="107"/>
        <v>1.9547439338808297E-2</v>
      </c>
      <c r="AQ432" s="226">
        <f t="shared" si="107"/>
        <v>1.9338761522371767E-2</v>
      </c>
      <c r="AR432" s="226">
        <f t="shared" si="107"/>
        <v>1.9132311436653206E-2</v>
      </c>
      <c r="AS432" s="226">
        <f t="shared" si="107"/>
        <v>1.8928065299612738E-2</v>
      </c>
      <c r="AT432" s="226">
        <f t="shared" si="107"/>
        <v>1.8725999583094594E-2</v>
      </c>
      <c r="AU432" s="226">
        <f t="shared" si="107"/>
        <v>1.852609101011678E-2</v>
      </c>
      <c r="AV432" s="226">
        <f t="shared" si="107"/>
        <v>1.8328316552189684E-2</v>
      </c>
      <c r="AW432" s="226">
        <f t="shared" si="107"/>
        <v>1.8132653426663307E-2</v>
      </c>
      <c r="AX432" s="226">
        <f t="shared" si="107"/>
        <v>1.7939079094102819E-2</v>
      </c>
      <c r="AY432" s="226">
        <f t="shared" si="105"/>
        <v>1.7747571255692113E-2</v>
      </c>
      <c r="AZ432" s="226">
        <f t="shared" si="105"/>
        <v>1.7558107850665104E-2</v>
      </c>
      <c r="BA432" s="226">
        <f t="shared" si="105"/>
        <v>1.7370667053764426E-2</v>
      </c>
      <c r="BB432" s="226">
        <f t="shared" si="105"/>
        <v>1.7185227272727279E-2</v>
      </c>
      <c r="BC432" s="226">
        <f t="shared" si="105"/>
        <v>1.7001767145798097E-2</v>
      </c>
      <c r="BD432" s="226">
        <f t="shared" si="105"/>
        <v>1.6820265539267788E-2</v>
      </c>
      <c r="BE432" s="226">
        <f t="shared" si="105"/>
        <v>1.6640701545039223E-2</v>
      </c>
    </row>
    <row r="433" spans="4:57" s="10" customFormat="1" x14ac:dyDescent="0.35">
      <c r="D433" s="169"/>
      <c r="E433" s="10" t="s">
        <v>679</v>
      </c>
      <c r="F433" s="10" t="s">
        <v>615</v>
      </c>
      <c r="G433" s="43" t="s">
        <v>616</v>
      </c>
      <c r="I433" s="20"/>
      <c r="J433" s="200"/>
      <c r="K433" s="200"/>
      <c r="L433" s="200"/>
      <c r="M433" s="200"/>
      <c r="N433" s="200">
        <v>2.6599999999999999E-2</v>
      </c>
      <c r="O433" s="226">
        <f t="shared" si="106"/>
        <v>2.6324506745533952E-2</v>
      </c>
      <c r="P433" s="226">
        <f t="shared" si="106"/>
        <v>2.6051866744197839E-2</v>
      </c>
      <c r="Q433" s="226">
        <f t="shared" si="106"/>
        <v>2.5782050445164947E-2</v>
      </c>
      <c r="R433" s="226">
        <f t="shared" si="106"/>
        <v>2.5515028603663205E-2</v>
      </c>
      <c r="S433" s="226">
        <f t="shared" si="106"/>
        <v>2.5250772277805405E-2</v>
      </c>
      <c r="T433" s="226">
        <f t="shared" si="106"/>
        <v>2.4989252825452259E-2</v>
      </c>
      <c r="U433" s="226">
        <f t="shared" si="106"/>
        <v>2.4730441901107944E-2</v>
      </c>
      <c r="V433" s="226">
        <f t="shared" si="106"/>
        <v>2.4474311452847803E-2</v>
      </c>
      <c r="W433" s="226">
        <f t="shared" si="106"/>
        <v>2.422083371927785E-2</v>
      </c>
      <c r="X433" s="226">
        <f t="shared" si="106"/>
        <v>2.3969981226525786E-2</v>
      </c>
      <c r="Y433" s="226">
        <f t="shared" si="106"/>
        <v>2.3721726785263166E-2</v>
      </c>
      <c r="Z433" s="226">
        <f t="shared" si="106"/>
        <v>2.3476043487758405E-2</v>
      </c>
      <c r="AA433" s="226">
        <f t="shared" si="106"/>
        <v>2.3232904704960321E-2</v>
      </c>
      <c r="AB433" s="226">
        <f t="shared" si="106"/>
        <v>2.2992284083611859E-2</v>
      </c>
      <c r="AC433" s="226">
        <f t="shared" si="106"/>
        <v>2.2754155543393731E-2</v>
      </c>
      <c r="AD433" s="226">
        <f t="shared" si="106"/>
        <v>2.2518493274097631E-2</v>
      </c>
      <c r="AE433" s="226">
        <f t="shared" si="104"/>
        <v>2.228527173282872E-2</v>
      </c>
      <c r="AF433" s="226">
        <f t="shared" si="104"/>
        <v>2.2054465641237093E-2</v>
      </c>
      <c r="AG433" s="226">
        <f t="shared" si="104"/>
        <v>2.1826049982777918E-2</v>
      </c>
      <c r="AH433" s="227">
        <v>2.1600000000000001E-2</v>
      </c>
      <c r="AI433" s="226">
        <f t="shared" si="107"/>
        <v>2.1376291191862157E-2</v>
      </c>
      <c r="AJ433" s="226">
        <f t="shared" si="107"/>
        <v>2.1154899311077946E-2</v>
      </c>
      <c r="AK433" s="226">
        <f t="shared" si="107"/>
        <v>2.0935800361487327E-2</v>
      </c>
      <c r="AL433" s="226">
        <f t="shared" si="107"/>
        <v>2.0718970595455837E-2</v>
      </c>
      <c r="AM433" s="226">
        <f t="shared" si="107"/>
        <v>2.050438651130063E-2</v>
      </c>
      <c r="AN433" s="226">
        <f t="shared" si="107"/>
        <v>2.0292024850743186E-2</v>
      </c>
      <c r="AO433" s="226">
        <f t="shared" si="107"/>
        <v>2.0081862596388406E-2</v>
      </c>
      <c r="AP433" s="226">
        <f t="shared" si="107"/>
        <v>1.9873876969229796E-2</v>
      </c>
      <c r="AQ433" s="226">
        <f t="shared" si="107"/>
        <v>1.966804542618051E-2</v>
      </c>
      <c r="AR433" s="226">
        <f t="shared" si="107"/>
        <v>1.9464345657629962E-2</v>
      </c>
      <c r="AS433" s="226">
        <f t="shared" si="107"/>
        <v>1.9262755585025729E-2</v>
      </c>
      <c r="AT433" s="226">
        <f t="shared" si="107"/>
        <v>1.9063253358480511E-2</v>
      </c>
      <c r="AU433" s="226">
        <f t="shared" si="107"/>
        <v>1.8865817354403871E-2</v>
      </c>
      <c r="AV433" s="226">
        <f t="shared" si="107"/>
        <v>1.8670426173158502E-2</v>
      </c>
      <c r="AW433" s="226">
        <f t="shared" si="107"/>
        <v>1.8477058636740776E-2</v>
      </c>
      <c r="AX433" s="226">
        <f t="shared" si="107"/>
        <v>1.8285693786485296E-2</v>
      </c>
      <c r="AY433" s="226">
        <f t="shared" si="105"/>
        <v>1.8096310880793248E-2</v>
      </c>
      <c r="AZ433" s="226">
        <f t="shared" si="105"/>
        <v>1.7908889392884261E-2</v>
      </c>
      <c r="BA433" s="226">
        <f t="shared" si="105"/>
        <v>1.7723409008571545E-2</v>
      </c>
      <c r="BB433" s="226">
        <f t="shared" si="105"/>
        <v>1.7539849624060105E-2</v>
      </c>
      <c r="BC433" s="226">
        <f t="shared" si="105"/>
        <v>1.7358191343767721E-2</v>
      </c>
      <c r="BD433" s="226">
        <f t="shared" si="105"/>
        <v>1.7178414478168511E-2</v>
      </c>
      <c r="BE433" s="226">
        <f t="shared" si="105"/>
        <v>1.7000499541658838E-2</v>
      </c>
    </row>
    <row r="434" spans="4:57" s="10" customFormat="1" x14ac:dyDescent="0.35">
      <c r="D434" s="169"/>
      <c r="E434" s="10" t="s">
        <v>680</v>
      </c>
      <c r="F434" s="10" t="s">
        <v>615</v>
      </c>
      <c r="G434" s="43" t="s">
        <v>616</v>
      </c>
      <c r="I434" s="20"/>
      <c r="J434" s="200"/>
      <c r="K434" s="200"/>
      <c r="L434" s="200"/>
      <c r="M434" s="200"/>
      <c r="N434" s="200">
        <v>2.69E-2</v>
      </c>
      <c r="O434" s="226">
        <f t="shared" si="106"/>
        <v>2.6618739780472082E-2</v>
      </c>
      <c r="P434" s="226">
        <f t="shared" si="106"/>
        <v>2.6340420353177952E-2</v>
      </c>
      <c r="Q434" s="226">
        <f t="shared" si="106"/>
        <v>2.6065010969869681E-2</v>
      </c>
      <c r="R434" s="226">
        <f t="shared" si="106"/>
        <v>2.5792481203795958E-2</v>
      </c>
      <c r="S434" s="226">
        <f t="shared" si="106"/>
        <v>2.5522800946340591E-2</v>
      </c>
      <c r="T434" s="226">
        <f t="shared" si="106"/>
        <v>2.5255940403696164E-2</v>
      </c>
      <c r="U434" s="226">
        <f t="shared" si="106"/>
        <v>2.4991870093572462E-2</v>
      </c>
      <c r="V434" s="226">
        <f t="shared" si="106"/>
        <v>2.4730560841939326E-2</v>
      </c>
      <c r="W434" s="226">
        <f t="shared" si="106"/>
        <v>2.4471983779803551E-2</v>
      </c>
      <c r="X434" s="226">
        <f t="shared" si="106"/>
        <v>2.4216110340019491E-2</v>
      </c>
      <c r="Y434" s="226">
        <f t="shared" si="106"/>
        <v>2.3962912254133016E-2</v>
      </c>
      <c r="Z434" s="226">
        <f t="shared" si="106"/>
        <v>2.3712361549258456E-2</v>
      </c>
      <c r="AA434" s="226">
        <f t="shared" si="106"/>
        <v>2.3464430544988202E-2</v>
      </c>
      <c r="AB434" s="226">
        <f t="shared" si="106"/>
        <v>2.3219091850334633E-2</v>
      </c>
      <c r="AC434" s="226">
        <f t="shared" si="106"/>
        <v>2.2976318360704E-2</v>
      </c>
      <c r="AD434" s="226">
        <f t="shared" ref="AD434:AG436" si="108">AC434*(1+($AH434/$N434)^(1/($AH$6-$N$6))-1)</f>
        <v>2.2736083254901958E-2</v>
      </c>
      <c r="AE434" s="226">
        <f t="shared" si="108"/>
        <v>2.2498359992170407E-2</v>
      </c>
      <c r="AF434" s="226">
        <f t="shared" si="108"/>
        <v>2.2263122309255316E-2</v>
      </c>
      <c r="AG434" s="226">
        <f t="shared" si="108"/>
        <v>2.2030344217505202E-2</v>
      </c>
      <c r="AH434" s="227">
        <v>2.18E-2</v>
      </c>
      <c r="AI434" s="226">
        <f t="shared" si="107"/>
        <v>2.1572064208709718E-2</v>
      </c>
      <c r="AJ434" s="226">
        <f t="shared" si="107"/>
        <v>2.1346511661683248E-2</v>
      </c>
      <c r="AK434" s="226">
        <f t="shared" si="107"/>
        <v>2.1123317440266139E-2</v>
      </c>
      <c r="AL434" s="226">
        <f t="shared" si="107"/>
        <v>2.0902456886347658E-2</v>
      </c>
      <c r="AM434" s="226">
        <f t="shared" si="107"/>
        <v>2.0683905599636617E-2</v>
      </c>
      <c r="AN434" s="226">
        <f t="shared" si="107"/>
        <v>2.0467639434965667E-2</v>
      </c>
      <c r="AO434" s="226">
        <f t="shared" si="107"/>
        <v>2.0253634499623783E-2</v>
      </c>
      <c r="AP434" s="226">
        <f t="shared" si="107"/>
        <v>2.0041867150716632E-2</v>
      </c>
      <c r="AQ434" s="226">
        <f t="shared" si="107"/>
        <v>1.9832313992554553E-2</v>
      </c>
      <c r="AR434" s="226">
        <f t="shared" si="107"/>
        <v>1.9624951874067844E-2</v>
      </c>
      <c r="AS434" s="226">
        <f t="shared" si="107"/>
        <v>1.9419757886249066E-2</v>
      </c>
      <c r="AT434" s="226">
        <f t="shared" si="107"/>
        <v>1.9216709359622098E-2</v>
      </c>
      <c r="AU434" s="226">
        <f t="shared" si="107"/>
        <v>1.9015783861737655E-2</v>
      </c>
      <c r="AV434" s="226">
        <f t="shared" si="107"/>
        <v>1.8816959194694987E-2</v>
      </c>
      <c r="AW434" s="226">
        <f t="shared" si="107"/>
        <v>1.8620213392689492E-2</v>
      </c>
      <c r="AX434" s="226">
        <f t="shared" ref="AX434:BE436" si="109">AW434*(1+($AH434/$N434)^(1/($AH$6-$N$6))-1)</f>
        <v>1.842552471958598E-2</v>
      </c>
      <c r="AY434" s="226">
        <f t="shared" si="109"/>
        <v>1.8232871666517287E-2</v>
      </c>
      <c r="AZ434" s="226">
        <f t="shared" si="109"/>
        <v>1.804223294950803E-2</v>
      </c>
      <c r="BA434" s="226">
        <f t="shared" si="109"/>
        <v>1.7853587507123181E-2</v>
      </c>
      <c r="BB434" s="226">
        <f t="shared" si="109"/>
        <v>1.7666914498141235E-2</v>
      </c>
      <c r="BC434" s="226">
        <f t="shared" si="109"/>
        <v>1.7482193299251714E-2</v>
      </c>
      <c r="BD434" s="226">
        <f t="shared" si="109"/>
        <v>1.7299403502776731E-2</v>
      </c>
      <c r="BE434" s="226">
        <f t="shared" si="109"/>
        <v>1.7118524914416396E-2</v>
      </c>
    </row>
    <row r="435" spans="4:57" s="10" customFormat="1" x14ac:dyDescent="0.35">
      <c r="E435" s="10" t="s">
        <v>681</v>
      </c>
      <c r="F435" s="10" t="s">
        <v>615</v>
      </c>
      <c r="G435" s="43" t="s">
        <v>616</v>
      </c>
      <c r="I435" s="20"/>
      <c r="J435" s="200"/>
      <c r="K435" s="200"/>
      <c r="L435" s="200"/>
      <c r="M435" s="200"/>
      <c r="N435" s="200">
        <v>2.7099999999999999E-2</v>
      </c>
      <c r="O435" s="226">
        <f t="shared" ref="O435:AD436" si="110">N435*(1+($AH435/$N435)^(1/($AH$6-$N$6))-1)</f>
        <v>2.6818961718818347E-2</v>
      </c>
      <c r="P435" s="226">
        <f t="shared" si="110"/>
        <v>2.6540837921603101E-2</v>
      </c>
      <c r="Q435" s="226">
        <f t="shared" si="110"/>
        <v>2.6265598383942282E-2</v>
      </c>
      <c r="R435" s="226">
        <f t="shared" si="110"/>
        <v>2.5993213194863658E-2</v>
      </c>
      <c r="S435" s="226">
        <f t="shared" si="110"/>
        <v>2.5723652753584222E-2</v>
      </c>
      <c r="T435" s="226">
        <f t="shared" si="110"/>
        <v>2.5456887766293412E-2</v>
      </c>
      <c r="U435" s="226">
        <f t="shared" si="110"/>
        <v>2.5192889242969672E-2</v>
      </c>
      <c r="V435" s="226">
        <f t="shared" si="110"/>
        <v>2.4931628494230043E-2</v>
      </c>
      <c r="W435" s="226">
        <f t="shared" si="110"/>
        <v>2.4673077128212408E-2</v>
      </c>
      <c r="X435" s="226">
        <f t="shared" si="110"/>
        <v>2.4417207047490078E-2</v>
      </c>
      <c r="Y435" s="226">
        <f t="shared" si="110"/>
        <v>2.4163990446018375E-2</v>
      </c>
      <c r="Z435" s="226">
        <f t="shared" si="110"/>
        <v>2.3913399806112883E-2</v>
      </c>
      <c r="AA435" s="226">
        <f t="shared" si="110"/>
        <v>2.3665407895459022E-2</v>
      </c>
      <c r="AB435" s="226">
        <f t="shared" si="110"/>
        <v>2.3419987764152658E-2</v>
      </c>
      <c r="AC435" s="226">
        <f t="shared" si="110"/>
        <v>2.3177112741771373E-2</v>
      </c>
      <c r="AD435" s="226">
        <f t="shared" si="110"/>
        <v>2.2936756434476142E-2</v>
      </c>
      <c r="AE435" s="226">
        <f t="shared" si="108"/>
        <v>2.2698892722143028E-2</v>
      </c>
      <c r="AF435" s="226">
        <f t="shared" si="108"/>
        <v>2.246349575552466E-2</v>
      </c>
      <c r="AG435" s="226">
        <f t="shared" si="108"/>
        <v>2.2230539953441118E-2</v>
      </c>
      <c r="AH435" s="227">
        <v>2.1999999999999999E-2</v>
      </c>
      <c r="AI435" s="226">
        <f t="shared" ref="AI435:AX436" si="111">AH435*(1+($AH435/$N435)^(1/($AH$6-$N$6))-1)</f>
        <v>2.1771850841845151E-2</v>
      </c>
      <c r="AJ435" s="226">
        <f t="shared" si="111"/>
        <v>2.154606768543425E-2</v>
      </c>
      <c r="AK435" s="226">
        <f t="shared" si="111"/>
        <v>2.1322625994344289E-2</v>
      </c>
      <c r="AL435" s="226">
        <f t="shared" si="111"/>
        <v>2.1101501486605185E-2</v>
      </c>
      <c r="AM435" s="226">
        <f t="shared" si="111"/>
        <v>2.0882670132060993E-2</v>
      </c>
      <c r="AN435" s="226">
        <f t="shared" si="111"/>
        <v>2.0666108149758489E-2</v>
      </c>
      <c r="AO435" s="226">
        <f t="shared" si="111"/>
        <v>2.0451792005362835E-2</v>
      </c>
      <c r="AP435" s="226">
        <f t="shared" si="111"/>
        <v>2.0239698408600036E-2</v>
      </c>
      <c r="AQ435" s="226">
        <f t="shared" si="111"/>
        <v>2.002980431072594E-2</v>
      </c>
      <c r="AR435" s="226">
        <f t="shared" si="111"/>
        <v>1.9822086902021464E-2</v>
      </c>
      <c r="AS435" s="226">
        <f t="shared" si="111"/>
        <v>1.9616523609313808E-2</v>
      </c>
      <c r="AT435" s="226">
        <f t="shared" si="111"/>
        <v>1.9413092093523369E-2</v>
      </c>
      <c r="AU435" s="226">
        <f t="shared" si="111"/>
        <v>1.9211770247236103E-2</v>
      </c>
      <c r="AV435" s="226">
        <f t="shared" si="111"/>
        <v>1.9012536192301047E-2</v>
      </c>
      <c r="AW435" s="226">
        <f t="shared" si="111"/>
        <v>1.8815368277452772E-2</v>
      </c>
      <c r="AX435" s="226">
        <f t="shared" si="111"/>
        <v>1.8620245075958487E-2</v>
      </c>
      <c r="AY435" s="226">
        <f t="shared" si="109"/>
        <v>1.8427145383289538E-2</v>
      </c>
      <c r="AZ435" s="226">
        <f t="shared" si="109"/>
        <v>1.8236048214817061E-2</v>
      </c>
      <c r="BA435" s="226">
        <f t="shared" si="109"/>
        <v>1.8046932803531528E-2</v>
      </c>
      <c r="BB435" s="226">
        <f t="shared" si="109"/>
        <v>1.7859778597785946E-2</v>
      </c>
      <c r="BC435" s="226">
        <f t="shared" si="109"/>
        <v>1.7674565259062455E-2</v>
      </c>
      <c r="BD435" s="226">
        <f t="shared" si="109"/>
        <v>1.7491272659762091E-2</v>
      </c>
      <c r="BE435" s="226">
        <f t="shared" si="109"/>
        <v>1.7309880881017474E-2</v>
      </c>
    </row>
    <row r="436" spans="4:57" s="10" customFormat="1" x14ac:dyDescent="0.35">
      <c r="E436" s="10" t="s">
        <v>682</v>
      </c>
      <c r="F436" s="10" t="s">
        <v>615</v>
      </c>
      <c r="G436" s="43" t="s">
        <v>616</v>
      </c>
      <c r="I436" s="20"/>
      <c r="J436" s="200"/>
      <c r="K436" s="200"/>
      <c r="L436" s="200"/>
      <c r="M436" s="200"/>
      <c r="N436" s="200">
        <v>2.7300000000000001E-2</v>
      </c>
      <c r="O436" s="226">
        <f t="shared" si="110"/>
        <v>2.702525234655892E-2</v>
      </c>
      <c r="P436" s="226">
        <f t="shared" si="110"/>
        <v>2.6753269758065509E-2</v>
      </c>
      <c r="Q436" s="226">
        <f t="shared" si="110"/>
        <v>2.6484024406860211E-2</v>
      </c>
      <c r="R436" s="226">
        <f t="shared" si="110"/>
        <v>2.6217488745341487E-2</v>
      </c>
      <c r="S436" s="226">
        <f t="shared" si="110"/>
        <v>2.5953635503147329E-2</v>
      </c>
      <c r="T436" s="226">
        <f t="shared" si="110"/>
        <v>2.5692437684365101E-2</v>
      </c>
      <c r="U436" s="226">
        <f t="shared" si="110"/>
        <v>2.543386856476948E-2</v>
      </c>
      <c r="V436" s="226">
        <f t="shared" si="110"/>
        <v>2.5177901689088188E-2</v>
      </c>
      <c r="W436" s="226">
        <f t="shared" si="110"/>
        <v>2.4924510868295252E-2</v>
      </c>
      <c r="X436" s="226">
        <f t="shared" si="110"/>
        <v>2.4673670176931485E-2</v>
      </c>
      <c r="Y436" s="226">
        <f t="shared" si="110"/>
        <v>2.4425353950451957E-2</v>
      </c>
      <c r="Z436" s="226">
        <f t="shared" si="110"/>
        <v>2.4179536782600146E-2</v>
      </c>
      <c r="AA436" s="226">
        <f t="shared" si="110"/>
        <v>2.393619352280851E-2</v>
      </c>
      <c r="AB436" s="226">
        <f t="shared" si="110"/>
        <v>2.3695299273625244E-2</v>
      </c>
      <c r="AC436" s="226">
        <f t="shared" si="110"/>
        <v>2.3456829388166903E-2</v>
      </c>
      <c r="AD436" s="226">
        <f t="shared" si="110"/>
        <v>2.3220759467596698E-2</v>
      </c>
      <c r="AE436" s="226">
        <f t="shared" si="108"/>
        <v>2.2987065358628128E-2</v>
      </c>
      <c r="AF436" s="226">
        <f t="shared" si="108"/>
        <v>2.2755723151053776E-2</v>
      </c>
      <c r="AG436" s="226">
        <f t="shared" si="108"/>
        <v>2.2526709175298944E-2</v>
      </c>
      <c r="AH436" s="227">
        <v>2.23E-2</v>
      </c>
      <c r="AI436" s="226">
        <f t="shared" si="111"/>
        <v>2.2075572429606737E-2</v>
      </c>
      <c r="AJ436" s="226">
        <f t="shared" si="111"/>
        <v>2.1853403502009556E-2</v>
      </c>
      <c r="AK436" s="226">
        <f t="shared" si="111"/>
        <v>2.163347048618984E-2</v>
      </c>
      <c r="AL436" s="226">
        <f t="shared" si="111"/>
        <v>2.1415750879894328E-2</v>
      </c>
      <c r="AM436" s="226">
        <f t="shared" si="111"/>
        <v>2.1200222407332801E-2</v>
      </c>
      <c r="AN436" s="226">
        <f t="shared" si="111"/>
        <v>2.0986863016898966E-2</v>
      </c>
      <c r="AO436" s="226">
        <f t="shared" si="111"/>
        <v>2.0775650878914264E-2</v>
      </c>
      <c r="AP436" s="226">
        <f t="shared" si="111"/>
        <v>2.0566564383394381E-2</v>
      </c>
      <c r="AQ436" s="226">
        <f t="shared" si="111"/>
        <v>2.0359582137838245E-2</v>
      </c>
      <c r="AR436" s="226">
        <f t="shared" si="111"/>
        <v>2.0154682965039271E-2</v>
      </c>
      <c r="AS436" s="226">
        <f t="shared" si="111"/>
        <v>1.9951845900918631E-2</v>
      </c>
      <c r="AT436" s="226">
        <f t="shared" si="111"/>
        <v>1.9751050192380337E-2</v>
      </c>
      <c r="AU436" s="226">
        <f t="shared" si="111"/>
        <v>1.9552275295187903E-2</v>
      </c>
      <c r="AV436" s="226">
        <f t="shared" si="111"/>
        <v>1.9355500871862375E-2</v>
      </c>
      <c r="AW436" s="226">
        <f t="shared" si="111"/>
        <v>1.9160706789601533E-2</v>
      </c>
      <c r="AX436" s="226">
        <f t="shared" si="111"/>
        <v>1.896787311822001E-2</v>
      </c>
      <c r="AY436" s="226">
        <f t="shared" si="109"/>
        <v>1.8776980128110153E-2</v>
      </c>
      <c r="AZ436" s="226">
        <f t="shared" si="109"/>
        <v>1.858800828822341E-2</v>
      </c>
      <c r="BA436" s="226">
        <f t="shared" si="109"/>
        <v>1.8400938264072027E-2</v>
      </c>
      <c r="BB436" s="226">
        <f t="shared" si="109"/>
        <v>1.8215750915750856E-2</v>
      </c>
      <c r="BC436" s="226">
        <f t="shared" si="109"/>
        <v>1.8032427295979071E-2</v>
      </c>
      <c r="BD436" s="226">
        <f t="shared" si="109"/>
        <v>1.7850948648161596E-2</v>
      </c>
      <c r="BE436" s="226">
        <f t="shared" si="109"/>
        <v>1.7671296404470033E-2</v>
      </c>
    </row>
    <row r="437" spans="4:57" s="10" customFormat="1" ht="5.25" customHeight="1" x14ac:dyDescent="0.35">
      <c r="D437" s="169"/>
      <c r="E437" s="109"/>
      <c r="G437" s="302"/>
      <c r="I437" s="122"/>
      <c r="J437" s="226"/>
      <c r="K437" s="226"/>
      <c r="L437" s="226"/>
      <c r="M437" s="226"/>
      <c r="N437" s="226"/>
      <c r="O437" s="226"/>
      <c r="P437" s="226"/>
      <c r="Q437" s="226"/>
      <c r="R437" s="226"/>
      <c r="S437" s="226"/>
      <c r="T437" s="226"/>
      <c r="U437" s="226"/>
      <c r="V437" s="226"/>
      <c r="W437" s="226"/>
      <c r="X437" s="226"/>
      <c r="Y437" s="226"/>
      <c r="Z437" s="226"/>
      <c r="AA437" s="226"/>
      <c r="AB437" s="226"/>
      <c r="AC437" s="226"/>
      <c r="AD437" s="226"/>
      <c r="AE437" s="226"/>
      <c r="AF437" s="226"/>
      <c r="AG437" s="226"/>
      <c r="AH437" s="226"/>
      <c r="AI437" s="226"/>
      <c r="AJ437" s="226"/>
      <c r="AK437" s="226"/>
      <c r="AL437" s="226"/>
      <c r="AM437" s="226"/>
      <c r="AN437" s="226"/>
      <c r="AO437" s="226"/>
      <c r="AP437" s="226"/>
      <c r="AQ437" s="226"/>
      <c r="AR437" s="226"/>
      <c r="AS437" s="226"/>
      <c r="AT437" s="170"/>
      <c r="AU437" s="170"/>
      <c r="AV437" s="170"/>
      <c r="AW437" s="170"/>
      <c r="AX437" s="170"/>
      <c r="AY437" s="170"/>
      <c r="AZ437" s="170"/>
      <c r="BA437" s="170"/>
      <c r="BB437" s="170"/>
      <c r="BC437" s="170"/>
      <c r="BD437" s="170"/>
      <c r="BE437" s="170"/>
    </row>
    <row r="438" spans="4:57" s="10" customFormat="1" ht="15" customHeight="1" x14ac:dyDescent="0.35">
      <c r="D438" s="168" t="s">
        <v>684</v>
      </c>
      <c r="E438" s="109"/>
      <c r="G438" s="302"/>
      <c r="I438" s="122"/>
      <c r="J438" s="226"/>
      <c r="K438" s="226"/>
      <c r="L438" s="226"/>
      <c r="M438" s="226"/>
      <c r="N438" s="226"/>
      <c r="O438" s="226"/>
      <c r="P438" s="226"/>
      <c r="Q438" s="226"/>
      <c r="R438" s="226"/>
      <c r="S438" s="226"/>
      <c r="T438" s="226"/>
      <c r="U438" s="226"/>
      <c r="V438" s="226"/>
      <c r="W438" s="226"/>
      <c r="X438" s="226"/>
      <c r="Y438" s="226"/>
      <c r="Z438" s="226"/>
      <c r="AA438" s="226"/>
      <c r="AB438" s="226"/>
      <c r="AC438" s="226"/>
      <c r="AD438" s="226"/>
      <c r="AE438" s="226"/>
      <c r="AF438" s="226"/>
      <c r="AG438" s="226"/>
      <c r="AH438" s="226"/>
      <c r="AI438" s="226"/>
      <c r="AJ438" s="226"/>
      <c r="AK438" s="226"/>
      <c r="AL438" s="226"/>
      <c r="AM438" s="226"/>
      <c r="AN438" s="226"/>
      <c r="AO438" s="226"/>
      <c r="AP438" s="226"/>
      <c r="AQ438" s="226"/>
      <c r="AR438" s="226"/>
      <c r="AS438" s="226"/>
      <c r="AT438" s="170"/>
      <c r="AU438" s="170"/>
      <c r="AV438" s="170"/>
      <c r="AW438" s="170"/>
      <c r="AX438" s="170"/>
      <c r="AY438" s="170"/>
      <c r="AZ438" s="170"/>
      <c r="BA438" s="170"/>
      <c r="BB438" s="170"/>
      <c r="BC438" s="170"/>
      <c r="BD438" s="170"/>
      <c r="BE438" s="170"/>
    </row>
    <row r="439" spans="4:57" s="10" customFormat="1" ht="5.25" customHeight="1" x14ac:dyDescent="0.35">
      <c r="D439" s="169"/>
      <c r="E439" s="109"/>
      <c r="G439" s="302"/>
      <c r="I439" s="122"/>
      <c r="J439" s="226"/>
      <c r="K439" s="226"/>
      <c r="L439" s="226"/>
      <c r="M439" s="226"/>
      <c r="N439" s="226"/>
      <c r="O439" s="226"/>
      <c r="P439" s="226"/>
      <c r="Q439" s="226"/>
      <c r="R439" s="226"/>
      <c r="S439" s="226"/>
      <c r="T439" s="226"/>
      <c r="U439" s="226"/>
      <c r="V439" s="226"/>
      <c r="W439" s="226"/>
      <c r="X439" s="226"/>
      <c r="Y439" s="226"/>
      <c r="Z439" s="226"/>
      <c r="AA439" s="226"/>
      <c r="AB439" s="226"/>
      <c r="AC439" s="226"/>
      <c r="AD439" s="226"/>
      <c r="AE439" s="226"/>
      <c r="AF439" s="226"/>
      <c r="AG439" s="226"/>
      <c r="AH439" s="226"/>
      <c r="AI439" s="226"/>
      <c r="AJ439" s="226"/>
      <c r="AK439" s="226"/>
      <c r="AL439" s="226"/>
      <c r="AM439" s="226"/>
      <c r="AN439" s="226"/>
      <c r="AO439" s="226"/>
      <c r="AP439" s="226"/>
      <c r="AQ439" s="226"/>
      <c r="AR439" s="226"/>
      <c r="AS439" s="226"/>
      <c r="AT439" s="170"/>
      <c r="AU439" s="170"/>
      <c r="AV439" s="170"/>
      <c r="AW439" s="170"/>
      <c r="AX439" s="170"/>
      <c r="AY439" s="170"/>
      <c r="AZ439" s="170"/>
      <c r="BA439" s="170"/>
      <c r="BB439" s="170"/>
      <c r="BC439" s="170"/>
      <c r="BD439" s="170"/>
      <c r="BE439" s="170"/>
    </row>
    <row r="440" spans="4:57" s="10" customFormat="1" x14ac:dyDescent="0.35">
      <c r="E440" s="169" t="s">
        <v>614</v>
      </c>
      <c r="F440" s="10" t="s">
        <v>615</v>
      </c>
      <c r="G440" s="43" t="s">
        <v>616</v>
      </c>
      <c r="I440" s="20"/>
      <c r="J440" s="200"/>
      <c r="K440" s="200"/>
      <c r="L440" s="200"/>
      <c r="M440" s="200"/>
      <c r="N440" s="200">
        <v>1E-4</v>
      </c>
      <c r="O440" s="226">
        <f>N440*(1+($AH440/$N440)^(1/($AH$6-$N$6))-1)</f>
        <v>1E-4</v>
      </c>
      <c r="P440" s="226">
        <f t="shared" ref="P440:AG455" si="112">O440*(1+($AH440/$N440)^(1/($AH$6-$N$6))-1)</f>
        <v>1E-4</v>
      </c>
      <c r="Q440" s="226">
        <f t="shared" si="112"/>
        <v>1E-4</v>
      </c>
      <c r="R440" s="226">
        <f t="shared" si="112"/>
        <v>1E-4</v>
      </c>
      <c r="S440" s="226">
        <f t="shared" si="112"/>
        <v>1E-4</v>
      </c>
      <c r="T440" s="226">
        <f t="shared" si="112"/>
        <v>1E-4</v>
      </c>
      <c r="U440" s="226">
        <f t="shared" si="112"/>
        <v>1E-4</v>
      </c>
      <c r="V440" s="226">
        <f t="shared" si="112"/>
        <v>1E-4</v>
      </c>
      <c r="W440" s="226">
        <f t="shared" si="112"/>
        <v>1E-4</v>
      </c>
      <c r="X440" s="226">
        <f t="shared" si="112"/>
        <v>1E-4</v>
      </c>
      <c r="Y440" s="226">
        <f t="shared" si="112"/>
        <v>1E-4</v>
      </c>
      <c r="Z440" s="226">
        <f t="shared" si="112"/>
        <v>1E-4</v>
      </c>
      <c r="AA440" s="226">
        <f t="shared" si="112"/>
        <v>1E-4</v>
      </c>
      <c r="AB440" s="226">
        <f t="shared" si="112"/>
        <v>1E-4</v>
      </c>
      <c r="AC440" s="226">
        <f t="shared" si="112"/>
        <v>1E-4</v>
      </c>
      <c r="AD440" s="226">
        <f t="shared" si="112"/>
        <v>1E-4</v>
      </c>
      <c r="AE440" s="226">
        <f t="shared" si="112"/>
        <v>1E-4</v>
      </c>
      <c r="AF440" s="226">
        <f t="shared" si="112"/>
        <v>1E-4</v>
      </c>
      <c r="AG440" s="226">
        <f t="shared" si="112"/>
        <v>1E-4</v>
      </c>
      <c r="AH440" s="227">
        <v>1E-4</v>
      </c>
      <c r="AI440" s="226">
        <f>AH440*(1+($AH440/$N440)^(1/($AH$6-$N$6))-1)</f>
        <v>1E-4</v>
      </c>
      <c r="AJ440" s="226">
        <f t="shared" ref="AJ440:BB455" si="113">AI440*(1+($AH440/$N440)^(1/($AH$6-$N$6))-1)</f>
        <v>1E-4</v>
      </c>
      <c r="AK440" s="226">
        <f t="shared" si="113"/>
        <v>1E-4</v>
      </c>
      <c r="AL440" s="226">
        <f t="shared" si="113"/>
        <v>1E-4</v>
      </c>
      <c r="AM440" s="226">
        <f t="shared" si="113"/>
        <v>1E-4</v>
      </c>
      <c r="AN440" s="226">
        <f t="shared" si="113"/>
        <v>1E-4</v>
      </c>
      <c r="AO440" s="226">
        <f t="shared" si="113"/>
        <v>1E-4</v>
      </c>
      <c r="AP440" s="226">
        <f t="shared" si="113"/>
        <v>1E-4</v>
      </c>
      <c r="AQ440" s="226">
        <f t="shared" si="113"/>
        <v>1E-4</v>
      </c>
      <c r="AR440" s="226">
        <f t="shared" si="113"/>
        <v>1E-4</v>
      </c>
      <c r="AS440" s="226">
        <f t="shared" si="113"/>
        <v>1E-4</v>
      </c>
      <c r="AT440" s="226">
        <f t="shared" si="113"/>
        <v>1E-4</v>
      </c>
      <c r="AU440" s="226">
        <f t="shared" si="113"/>
        <v>1E-4</v>
      </c>
      <c r="AV440" s="226">
        <f t="shared" si="113"/>
        <v>1E-4</v>
      </c>
      <c r="AW440" s="226">
        <f t="shared" si="113"/>
        <v>1E-4</v>
      </c>
      <c r="AX440" s="226">
        <f t="shared" si="113"/>
        <v>1E-4</v>
      </c>
      <c r="AY440" s="226">
        <f t="shared" si="113"/>
        <v>1E-4</v>
      </c>
      <c r="AZ440" s="226">
        <f t="shared" si="113"/>
        <v>1E-4</v>
      </c>
      <c r="BA440" s="226">
        <f t="shared" si="113"/>
        <v>1E-4</v>
      </c>
      <c r="BB440" s="226">
        <f t="shared" si="113"/>
        <v>1E-4</v>
      </c>
      <c r="BC440" s="226">
        <f>BB440*(1+($AH440/$N440)^(1/($AH$6-$N$6))-1)</f>
        <v>1E-4</v>
      </c>
      <c r="BD440" s="226">
        <f>BC440*(1+($AH440/$N440)^(1/($AH$6-$N$6))-1)</f>
        <v>1E-4</v>
      </c>
      <c r="BE440" s="226">
        <f>BD440*(1+($AH440/$N440)^(1/($AH$6-$N$6))-1)</f>
        <v>1E-4</v>
      </c>
    </row>
    <row r="441" spans="4:57" s="10" customFormat="1" x14ac:dyDescent="0.35">
      <c r="D441" s="169"/>
      <c r="E441" s="10" t="s">
        <v>617</v>
      </c>
      <c r="F441" s="10" t="s">
        <v>615</v>
      </c>
      <c r="G441" s="43" t="s">
        <v>616</v>
      </c>
      <c r="I441" s="20"/>
      <c r="J441" s="200"/>
      <c r="K441" s="200"/>
      <c r="L441" s="200"/>
      <c r="M441" s="200"/>
      <c r="N441" s="200">
        <v>1.6400000000000001E-2</v>
      </c>
      <c r="O441" s="226">
        <f t="shared" ref="O441:AD456" si="114">N441*(1+($AH441/$N441)^(1/($AH$6-$N$6))-1)</f>
        <v>1.585095964361171E-2</v>
      </c>
      <c r="P441" s="226">
        <f t="shared" si="114"/>
        <v>1.5320300098988235E-2</v>
      </c>
      <c r="Q441" s="226">
        <f t="shared" si="114"/>
        <v>1.4807406012017254E-2</v>
      </c>
      <c r="R441" s="226">
        <f t="shared" si="114"/>
        <v>1.4311682629454809E-2</v>
      </c>
      <c r="S441" s="226">
        <f t="shared" si="114"/>
        <v>1.383255510924798E-2</v>
      </c>
      <c r="T441" s="226">
        <f t="shared" si="114"/>
        <v>1.3369467853946626E-2</v>
      </c>
      <c r="U441" s="226">
        <f t="shared" si="114"/>
        <v>1.2921883866431221E-2</v>
      </c>
      <c r="V441" s="226">
        <f t="shared" si="114"/>
        <v>1.2489284127209664E-2</v>
      </c>
      <c r="W441" s="226">
        <f t="shared" si="114"/>
        <v>1.2071166992561016E-2</v>
      </c>
      <c r="X441" s="226">
        <f t="shared" si="114"/>
        <v>1.1667047612828193E-2</v>
      </c>
      <c r="Y441" s="226">
        <f t="shared" si="114"/>
        <v>1.1276457370185122E-2</v>
      </c>
      <c r="Z441" s="226">
        <f t="shared" si="114"/>
        <v>1.0898943335226353E-2</v>
      </c>
      <c r="AA441" s="226">
        <f t="shared" si="114"/>
        <v>1.0534067741749007E-2</v>
      </c>
      <c r="AB441" s="226">
        <f t="shared" si="114"/>
        <v>1.0181407479118014E-2</v>
      </c>
      <c r="AC441" s="226">
        <f t="shared" si="114"/>
        <v>9.8405536016259783E-3</v>
      </c>
      <c r="AD441" s="226">
        <f t="shared" si="114"/>
        <v>9.5111108542787343E-3</v>
      </c>
      <c r="AE441" s="226">
        <f t="shared" si="112"/>
        <v>9.192697214456676E-3</v>
      </c>
      <c r="AF441" s="226">
        <f t="shared" si="112"/>
        <v>8.8849434489203984E-3</v>
      </c>
      <c r="AG441" s="226">
        <f t="shared" si="112"/>
        <v>8.5874926856469181E-3</v>
      </c>
      <c r="AH441" s="227">
        <v>8.3000000000000001E-3</v>
      </c>
      <c r="AI441" s="226">
        <f t="shared" ref="AI441:AX456" si="115">AH441*(1+($AH441/$N441)^(1/($AH$6-$N$6))-1)</f>
        <v>8.0221320147547057E-3</v>
      </c>
      <c r="AJ441" s="226">
        <f t="shared" si="115"/>
        <v>7.7535665135123367E-3</v>
      </c>
      <c r="AK441" s="226">
        <f t="shared" si="115"/>
        <v>7.4939920670575111E-3</v>
      </c>
      <c r="AL441" s="226">
        <f t="shared" si="115"/>
        <v>7.2431076722240788E-3</v>
      </c>
      <c r="AM441" s="226">
        <f t="shared" si="115"/>
        <v>7.0006224028511107E-3</v>
      </c>
      <c r="AN441" s="226">
        <f t="shared" si="115"/>
        <v>6.7662550724242061E-3</v>
      </c>
      <c r="AO441" s="226">
        <f t="shared" si="115"/>
        <v>6.5397339080109206E-3</v>
      </c>
      <c r="AP441" s="226">
        <f t="shared" si="115"/>
        <v>6.3207962351122067E-3</v>
      </c>
      <c r="AQ441" s="226">
        <f t="shared" si="115"/>
        <v>6.109188173064415E-3</v>
      </c>
      <c r="AR441" s="226">
        <f t="shared" si="115"/>
        <v>5.9046643406386575E-3</v>
      </c>
      <c r="AS441" s="226">
        <f t="shared" si="115"/>
        <v>5.7069875714961275E-3</v>
      </c>
      <c r="AT441" s="226">
        <f t="shared" si="115"/>
        <v>5.5159286391694333E-3</v>
      </c>
      <c r="AU441" s="226">
        <f t="shared" si="115"/>
        <v>5.3312659912510205E-3</v>
      </c>
      <c r="AV441" s="226">
        <f t="shared" si="115"/>
        <v>5.1527854924804566E-3</v>
      </c>
      <c r="AW441" s="226">
        <f t="shared" si="115"/>
        <v>4.9802801764326585E-3</v>
      </c>
      <c r="AX441" s="226">
        <f t="shared" si="115"/>
        <v>4.8135500055191136E-3</v>
      </c>
      <c r="AY441" s="226">
        <f t="shared" si="113"/>
        <v>4.6524016390238039E-3</v>
      </c>
      <c r="AZ441" s="226">
        <f t="shared" si="113"/>
        <v>4.4966482089048342E-3</v>
      </c>
      <c r="BA441" s="226">
        <f t="shared" si="113"/>
        <v>4.3461091031017926E-3</v>
      </c>
      <c r="BB441" s="226">
        <f t="shared" si="113"/>
        <v>4.2006097560975605E-3</v>
      </c>
      <c r="BC441" s="226">
        <f t="shared" ref="BB441:BE456" si="116">BB441*(1+($AH441/$N441)^(1/($AH$6-$N$6))-1)</f>
        <v>4.0599814464917106E-3</v>
      </c>
      <c r="BD441" s="226">
        <f t="shared" si="116"/>
        <v>3.9240611013507554E-3</v>
      </c>
      <c r="BE441" s="226">
        <f t="shared" si="116"/>
        <v>3.7926911071083742E-3</v>
      </c>
    </row>
    <row r="442" spans="4:57" s="10" customFormat="1" x14ac:dyDescent="0.35">
      <c r="D442" s="169"/>
      <c r="E442" s="10" t="s">
        <v>618</v>
      </c>
      <c r="F442" s="10" t="s">
        <v>615</v>
      </c>
      <c r="G442" s="43" t="s">
        <v>616</v>
      </c>
      <c r="I442" s="20"/>
      <c r="J442" s="200"/>
      <c r="K442" s="200"/>
      <c r="L442" s="200"/>
      <c r="M442" s="200"/>
      <c r="N442" s="200">
        <v>1.61E-2</v>
      </c>
      <c r="O442" s="226">
        <f t="shared" si="114"/>
        <v>1.5575374107543585E-2</v>
      </c>
      <c r="P442" s="226">
        <f t="shared" si="114"/>
        <v>1.5067843390679448E-2</v>
      </c>
      <c r="Q442" s="226">
        <f t="shared" si="114"/>
        <v>1.4576850795261517E-2</v>
      </c>
      <c r="R442" s="226">
        <f t="shared" si="114"/>
        <v>1.4101857419008842E-2</v>
      </c>
      <c r="S442" s="226">
        <f t="shared" si="114"/>
        <v>1.3642341920018741E-2</v>
      </c>
      <c r="T442" s="226">
        <f t="shared" si="114"/>
        <v>1.319779994455381E-2</v>
      </c>
      <c r="U442" s="226">
        <f t="shared" si="114"/>
        <v>1.2767743573474755E-2</v>
      </c>
      <c r="V442" s="226">
        <f t="shared" si="114"/>
        <v>1.2351700786711472E-2</v>
      </c>
      <c r="W442" s="226">
        <f t="shared" si="114"/>
        <v>1.1949214945184571E-2</v>
      </c>
      <c r="X442" s="226">
        <f t="shared" si="114"/>
        <v>1.1559844289608733E-2</v>
      </c>
      <c r="Y442" s="226">
        <f t="shared" si="114"/>
        <v>1.1183161455627789E-2</v>
      </c>
      <c r="Z442" s="226">
        <f t="shared" si="114"/>
        <v>1.0818753004749347E-2</v>
      </c>
      <c r="AA442" s="226">
        <f t="shared" si="114"/>
        <v>1.0466218970564121E-2</v>
      </c>
      <c r="AB442" s="226">
        <f t="shared" si="114"/>
        <v>1.0125172419751919E-2</v>
      </c>
      <c r="AC442" s="226">
        <f t="shared" si="114"/>
        <v>9.7952390273924519E-3</v>
      </c>
      <c r="AD442" s="226">
        <f t="shared" si="114"/>
        <v>9.4760566661148335E-3</v>
      </c>
      <c r="AE442" s="226">
        <f t="shared" si="112"/>
        <v>9.1672750086348297E-3</v>
      </c>
      <c r="AF442" s="226">
        <f t="shared" si="112"/>
        <v>8.868555143243622E-3</v>
      </c>
      <c r="AG442" s="226">
        <f t="shared" si="112"/>
        <v>8.5795692018260372E-3</v>
      </c>
      <c r="AH442" s="227">
        <v>8.3000000000000001E-3</v>
      </c>
      <c r="AI442" s="226">
        <f t="shared" si="115"/>
        <v>8.029540688982097E-3</v>
      </c>
      <c r="AJ442" s="226">
        <f t="shared" si="115"/>
        <v>7.7678944187974802E-3</v>
      </c>
      <c r="AK442" s="226">
        <f t="shared" si="115"/>
        <v>7.5147740124640126E-3</v>
      </c>
      <c r="AL442" s="226">
        <f t="shared" si="115"/>
        <v>7.2699016507933789E-3</v>
      </c>
      <c r="AM442" s="226">
        <f t="shared" si="115"/>
        <v>7.0330085674630786E-3</v>
      </c>
      <c r="AN442" s="226">
        <f t="shared" si="115"/>
        <v>6.8038347540246361E-3</v>
      </c>
      <c r="AO442" s="226">
        <f t="shared" si="115"/>
        <v>6.5821286745242546E-3</v>
      </c>
      <c r="AP442" s="226">
        <f t="shared" si="115"/>
        <v>6.3676469894226864E-3</v>
      </c>
      <c r="AQ442" s="226">
        <f t="shared" si="115"/>
        <v>6.1601542885113027E-3</v>
      </c>
      <c r="AR442" s="226">
        <f t="shared" si="115"/>
        <v>5.9594228325312122E-3</v>
      </c>
      <c r="AS442" s="226">
        <f t="shared" si="115"/>
        <v>5.765232303211844E-3</v>
      </c>
      <c r="AT442" s="226">
        <f t="shared" si="115"/>
        <v>5.5773695614546349E-3</v>
      </c>
      <c r="AU442" s="226">
        <f t="shared" si="115"/>
        <v>5.3956284133964121E-3</v>
      </c>
      <c r="AV442" s="226">
        <f t="shared" si="115"/>
        <v>5.2198093840957116E-3</v>
      </c>
      <c r="AW442" s="226">
        <f t="shared" si="115"/>
        <v>5.0497194985936258E-3</v>
      </c>
      <c r="AX442" s="226">
        <f t="shared" si="115"/>
        <v>4.8851720701088902E-3</v>
      </c>
      <c r="AY442" s="226">
        <f t="shared" si="113"/>
        <v>4.7259864951347272E-3</v>
      </c>
      <c r="AZ442" s="226">
        <f t="shared" si="113"/>
        <v>4.5719880552125523E-3</v>
      </c>
      <c r="BA442" s="226">
        <f t="shared" si="113"/>
        <v>4.4230077251649772E-3</v>
      </c>
      <c r="BB442" s="226">
        <f t="shared" si="116"/>
        <v>4.2788819875776299E-3</v>
      </c>
      <c r="BC442" s="226">
        <f t="shared" si="116"/>
        <v>4.1394526533261649E-3</v>
      </c>
      <c r="BD442" s="226">
        <f t="shared" si="116"/>
        <v>4.0045666879514868E-3</v>
      </c>
      <c r="BE442" s="226">
        <f t="shared" si="116"/>
        <v>3.8740760436926187E-3</v>
      </c>
    </row>
    <row r="443" spans="4:57" s="10" customFormat="1" x14ac:dyDescent="0.35">
      <c r="D443" s="169"/>
      <c r="E443" s="10" t="s">
        <v>619</v>
      </c>
      <c r="F443" s="10" t="s">
        <v>615</v>
      </c>
      <c r="G443" s="43" t="s">
        <v>616</v>
      </c>
      <c r="I443" s="20"/>
      <c r="J443" s="200"/>
      <c r="K443" s="200"/>
      <c r="L443" s="200"/>
      <c r="M443" s="200"/>
      <c r="N443" s="200">
        <v>1.5699999999999999E-2</v>
      </c>
      <c r="O443" s="226">
        <f t="shared" si="114"/>
        <v>1.5198312233996369E-2</v>
      </c>
      <c r="P443" s="226">
        <f t="shared" si="114"/>
        <v>1.4712655717327626E-2</v>
      </c>
      <c r="Q443" s="226">
        <f t="shared" si="114"/>
        <v>1.4242518177276248E-2</v>
      </c>
      <c r="R443" s="226">
        <f t="shared" si="114"/>
        <v>1.3787403710612312E-2</v>
      </c>
      <c r="S443" s="226">
        <f t="shared" si="114"/>
        <v>1.3346832260512488E-2</v>
      </c>
      <c r="T443" s="226">
        <f t="shared" si="114"/>
        <v>1.2920339110193909E-2</v>
      </c>
      <c r="U443" s="226">
        <f t="shared" si="114"/>
        <v>1.2507474392728781E-2</v>
      </c>
      <c r="V443" s="226">
        <f t="shared" si="114"/>
        <v>1.2107802616522686E-2</v>
      </c>
      <c r="W443" s="226">
        <f t="shared" si="114"/>
        <v>1.1720902205956053E-2</v>
      </c>
      <c r="X443" s="226">
        <f t="shared" si="114"/>
        <v>1.1346365056704263E-2</v>
      </c>
      <c r="Y443" s="226">
        <f t="shared" si="114"/>
        <v>1.0983796105267346E-2</v>
      </c>
      <c r="Z443" s="226">
        <f t="shared" si="114"/>
        <v>1.0632812912255185E-2</v>
      </c>
      <c r="AA443" s="226">
        <f t="shared" si="114"/>
        <v>1.0293045258988697E-2</v>
      </c>
      <c r="AB443" s="226">
        <f t="shared" si="114"/>
        <v>9.9641347569914811E-3</v>
      </c>
      <c r="AC443" s="226">
        <f t="shared" si="114"/>
        <v>9.6457344699600062E-3</v>
      </c>
      <c r="AD443" s="226">
        <f t="shared" si="114"/>
        <v>9.33750854781361E-3</v>
      </c>
      <c r="AE443" s="226">
        <f t="shared" si="112"/>
        <v>9.0391318724382975E-3</v>
      </c>
      <c r="AF443" s="226">
        <f t="shared" si="112"/>
        <v>8.7502897147506697E-3</v>
      </c>
      <c r="AG443" s="226">
        <f t="shared" si="112"/>
        <v>8.4706774027202367E-3</v>
      </c>
      <c r="AH443" s="227">
        <v>8.2000000000000007E-3</v>
      </c>
      <c r="AI443" s="226">
        <f t="shared" si="115"/>
        <v>7.9379719948261315E-3</v>
      </c>
      <c r="AJ443" s="226">
        <f t="shared" si="115"/>
        <v>7.6843169988590173E-3</v>
      </c>
      <c r="AK443" s="226">
        <f t="shared" si="115"/>
        <v>7.4387674556474701E-3</v>
      </c>
      <c r="AL443" s="226">
        <f t="shared" si="115"/>
        <v>7.2010643584089814E-3</v>
      </c>
      <c r="AM443" s="226">
        <f t="shared" si="115"/>
        <v>6.9709569768281812E-3</v>
      </c>
      <c r="AN443" s="226">
        <f t="shared" si="115"/>
        <v>6.7482025925853567E-3</v>
      </c>
      <c r="AO443" s="226">
        <f t="shared" si="115"/>
        <v>6.5325662433360545E-3</v>
      </c>
      <c r="AP443" s="226">
        <f t="shared" si="115"/>
        <v>6.3238204748717244E-3</v>
      </c>
      <c r="AQ443" s="226">
        <f t="shared" si="115"/>
        <v>6.1217451011999786E-3</v>
      </c>
      <c r="AR443" s="226">
        <f t="shared" si="115"/>
        <v>5.9261269722914005E-3</v>
      </c>
      <c r="AS443" s="226">
        <f t="shared" si="115"/>
        <v>5.7367597492479147E-3</v>
      </c>
      <c r="AT443" s="226">
        <f t="shared" si="115"/>
        <v>5.5534436866555752E-3</v>
      </c>
      <c r="AU443" s="226">
        <f t="shared" si="115"/>
        <v>5.3759854218921868E-3</v>
      </c>
      <c r="AV443" s="226">
        <f t="shared" si="115"/>
        <v>5.2041977711675264E-3</v>
      </c>
      <c r="AW443" s="226">
        <f t="shared" si="115"/>
        <v>5.0378995320810227E-3</v>
      </c>
      <c r="AX443" s="226">
        <f t="shared" si="115"/>
        <v>4.8769152924886374E-3</v>
      </c>
      <c r="AY443" s="226">
        <f t="shared" si="113"/>
        <v>4.7210752454773276E-3</v>
      </c>
      <c r="AZ443" s="226">
        <f t="shared" si="113"/>
        <v>4.5702150102519424E-3</v>
      </c>
      <c r="BA443" s="226">
        <f t="shared" si="113"/>
        <v>4.4241754587456021E-3</v>
      </c>
      <c r="BB443" s="226">
        <f t="shared" si="116"/>
        <v>4.2828025477706869E-3</v>
      </c>
      <c r="BC443" s="226">
        <f t="shared" si="116"/>
        <v>4.1459471565333797E-3</v>
      </c>
      <c r="BD443" s="226">
        <f t="shared" si="116"/>
        <v>4.0134649293403647E-3</v>
      </c>
      <c r="BE443" s="226">
        <f t="shared" si="116"/>
        <v>3.8852161233317861E-3</v>
      </c>
    </row>
    <row r="444" spans="4:57" s="10" customFormat="1" x14ac:dyDescent="0.35">
      <c r="D444" s="169"/>
      <c r="E444" s="10" t="s">
        <v>620</v>
      </c>
      <c r="F444" s="10" t="s">
        <v>615</v>
      </c>
      <c r="G444" s="43" t="s">
        <v>616</v>
      </c>
      <c r="I444" s="20"/>
      <c r="J444" s="200"/>
      <c r="K444" s="200"/>
      <c r="L444" s="200"/>
      <c r="M444" s="200"/>
      <c r="N444" s="200">
        <v>1.54E-2</v>
      </c>
      <c r="O444" s="226">
        <f t="shared" si="114"/>
        <v>1.4922286618750709E-2</v>
      </c>
      <c r="P444" s="226">
        <f t="shared" si="114"/>
        <v>1.4459392073516002E-2</v>
      </c>
      <c r="Q444" s="226">
        <f t="shared" si="114"/>
        <v>1.4010856678824539E-2</v>
      </c>
      <c r="R444" s="226">
        <f t="shared" si="114"/>
        <v>1.3576235008808921E-2</v>
      </c>
      <c r="S444" s="226">
        <f t="shared" si="114"/>
        <v>1.3155095454867809E-2</v>
      </c>
      <c r="T444" s="226">
        <f t="shared" si="114"/>
        <v>1.2747019797049491E-2</v>
      </c>
      <c r="U444" s="226">
        <f t="shared" si="114"/>
        <v>1.2351602788731297E-2</v>
      </c>
      <c r="V444" s="226">
        <f t="shared" si="114"/>
        <v>1.19684517541824E-2</v>
      </c>
      <c r="W444" s="226">
        <f t="shared" si="114"/>
        <v>1.1597186198610355E-2</v>
      </c>
      <c r="X444" s="226">
        <f t="shared" si="114"/>
        <v>1.1237437430304135E-2</v>
      </c>
      <c r="Y444" s="226">
        <f t="shared" si="114"/>
        <v>1.0888848194498424E-2</v>
      </c>
      <c r="Z444" s="226">
        <f t="shared" si="114"/>
        <v>1.0551072318595561E-2</v>
      </c>
      <c r="AA444" s="226">
        <f t="shared" si="114"/>
        <v>1.0223774368392828E-2</v>
      </c>
      <c r="AB444" s="226">
        <f t="shared" si="114"/>
        <v>9.9066293149736862E-3</v>
      </c>
      <c r="AC444" s="226">
        <f t="shared" si="114"/>
        <v>9.5993222119321632E-3</v>
      </c>
      <c r="AD444" s="226">
        <f t="shared" si="114"/>
        <v>9.3015478826098553E-3</v>
      </c>
      <c r="AE444" s="226">
        <f t="shared" si="112"/>
        <v>9.0130106170349372E-3</v>
      </c>
      <c r="AF444" s="226">
        <f t="shared" si="112"/>
        <v>8.7334238782622396E-3</v>
      </c>
      <c r="AG444" s="226">
        <f t="shared" si="112"/>
        <v>8.4625100178227618E-3</v>
      </c>
      <c r="AH444" s="227">
        <v>8.2000000000000007E-3</v>
      </c>
      <c r="AI444" s="226">
        <f t="shared" si="115"/>
        <v>7.9456331346594682E-3</v>
      </c>
      <c r="AJ444" s="226">
        <f t="shared" si="115"/>
        <v>7.6991568183656638E-3</v>
      </c>
      <c r="AK444" s="226">
        <f t="shared" si="115"/>
        <v>7.4603262835299493E-3</v>
      </c>
      <c r="AL444" s="226">
        <f t="shared" si="115"/>
        <v>7.2289043553398153E-3</v>
      </c>
      <c r="AM444" s="226">
        <f t="shared" si="115"/>
        <v>7.0046612162283136E-3</v>
      </c>
      <c r="AN444" s="226">
        <f t="shared" si="115"/>
        <v>6.7873741776497288E-3</v>
      </c>
      <c r="AO444" s="226">
        <f t="shared" si="115"/>
        <v>6.5768274589348462E-3</v>
      </c>
      <c r="AP444" s="226">
        <f t="shared" si="115"/>
        <v>6.3728119730062129E-3</v>
      </c>
      <c r="AQ444" s="226">
        <f t="shared" si="115"/>
        <v>6.1751251187405782E-3</v>
      </c>
      <c r="AR444" s="226">
        <f t="shared" si="115"/>
        <v>5.9835705797723314E-3</v>
      </c>
      <c r="AS444" s="226">
        <f t="shared" si="115"/>
        <v>5.7979581295381213E-3</v>
      </c>
      <c r="AT444" s="226">
        <f t="shared" si="115"/>
        <v>5.6181034423690643E-3</v>
      </c>
      <c r="AU444" s="226">
        <f t="shared" si="115"/>
        <v>5.4438279104429338E-3</v>
      </c>
      <c r="AV444" s="226">
        <f t="shared" si="115"/>
        <v>5.2749584664145595E-3</v>
      </c>
      <c r="AW444" s="226">
        <f t="shared" si="115"/>
        <v>5.1113274115482943E-3</v>
      </c>
      <c r="AX444" s="226">
        <f t="shared" si="115"/>
        <v>4.9527722491818707E-3</v>
      </c>
      <c r="AY444" s="226">
        <f t="shared" si="113"/>
        <v>4.799135523356265E-3</v>
      </c>
      <c r="AZ444" s="226">
        <f t="shared" si="113"/>
        <v>4.6502646624513224E-3</v>
      </c>
      <c r="BA444" s="226">
        <f t="shared" si="113"/>
        <v>4.5060118276718597E-3</v>
      </c>
      <c r="BB444" s="226">
        <f t="shared" si="116"/>
        <v>4.3662337662337802E-3</v>
      </c>
      <c r="BC444" s="226">
        <f t="shared" si="116"/>
        <v>4.2307916691044058E-3</v>
      </c>
      <c r="BD444" s="226">
        <f t="shared" si="116"/>
        <v>4.0995510331557567E-3</v>
      </c>
      <c r="BE444" s="226">
        <f t="shared" si="116"/>
        <v>3.9723815275938823E-3</v>
      </c>
    </row>
    <row r="445" spans="4:57" s="10" customFormat="1" x14ac:dyDescent="0.35">
      <c r="D445" s="169"/>
      <c r="E445" s="10" t="s">
        <v>621</v>
      </c>
      <c r="F445" s="10" t="s">
        <v>615</v>
      </c>
      <c r="G445" s="43" t="s">
        <v>616</v>
      </c>
      <c r="I445" s="20"/>
      <c r="J445" s="200"/>
      <c r="K445" s="200"/>
      <c r="L445" s="200"/>
      <c r="M445" s="200"/>
      <c r="N445" s="200">
        <v>1.5100000000000001E-2</v>
      </c>
      <c r="O445" s="226">
        <f t="shared" si="114"/>
        <v>1.4645991998957811E-2</v>
      </c>
      <c r="P445" s="226">
        <f t="shared" si="114"/>
        <v>1.4205634545267298E-2</v>
      </c>
      <c r="Q445" s="226">
        <f t="shared" si="114"/>
        <v>1.3778517211265134E-2</v>
      </c>
      <c r="R445" s="226">
        <f t="shared" si="114"/>
        <v>1.3364241909516003E-2</v>
      </c>
      <c r="S445" s="226">
        <f t="shared" si="114"/>
        <v>1.2962422521781989E-2</v>
      </c>
      <c r="T445" s="226">
        <f t="shared" si="114"/>
        <v>1.2572684539147651E-2</v>
      </c>
      <c r="U445" s="226">
        <f t="shared" si="114"/>
        <v>1.2194664712965368E-2</v>
      </c>
      <c r="V445" s="226">
        <f t="shared" si="114"/>
        <v>1.1828010716295623E-2</v>
      </c>
      <c r="W445" s="226">
        <f t="shared" si="114"/>
        <v>1.1472380815526685E-2</v>
      </c>
      <c r="X445" s="226">
        <f t="shared" si="114"/>
        <v>1.112744355186761E-2</v>
      </c>
      <c r="Y445" s="226">
        <f t="shared" si="114"/>
        <v>1.0792877432417728E-2</v>
      </c>
      <c r="Z445" s="226">
        <f t="shared" si="114"/>
        <v>1.046837063052466E-2</v>
      </c>
      <c r="AA445" s="226">
        <f t="shared" si="114"/>
        <v>1.0153620695151595E-2</v>
      </c>
      <c r="AB445" s="226">
        <f t="shared" si="114"/>
        <v>9.8483342689829594E-3</v>
      </c>
      <c r="AC445" s="226">
        <f t="shared" si="114"/>
        <v>9.5522268150057248E-3</v>
      </c>
      <c r="AD445" s="226">
        <f t="shared" si="114"/>
        <v>9.2650223513115297E-3</v>
      </c>
      <c r="AE445" s="226">
        <f t="shared" si="112"/>
        <v>8.986453193872446E-3</v>
      </c>
      <c r="AF445" s="226">
        <f t="shared" si="112"/>
        <v>8.7162597070506425E-3</v>
      </c>
      <c r="AG445" s="226">
        <f t="shared" si="112"/>
        <v>8.4541900616094071E-3</v>
      </c>
      <c r="AH445" s="227">
        <v>8.2000000000000007E-3</v>
      </c>
      <c r="AI445" s="226">
        <f t="shared" si="115"/>
        <v>7.9534526087055666E-3</v>
      </c>
      <c r="AJ445" s="226">
        <f t="shared" si="115"/>
        <v>7.7143180974299239E-3</v>
      </c>
      <c r="AK445" s="226">
        <f t="shared" si="115"/>
        <v>7.4823735849254376E-3</v>
      </c>
      <c r="AL445" s="226">
        <f t="shared" si="115"/>
        <v>7.2574028912603464E-3</v>
      </c>
      <c r="AM445" s="226">
        <f t="shared" si="115"/>
        <v>7.0391963363319408E-3</v>
      </c>
      <c r="AN445" s="226">
        <f t="shared" si="115"/>
        <v>6.8275505444377969E-3</v>
      </c>
      <c r="AO445" s="226">
        <f t="shared" si="115"/>
        <v>6.6222682547229152E-3</v>
      </c>
      <c r="AP445" s="226">
        <f t="shared" si="115"/>
        <v>6.4231581373261001E-3</v>
      </c>
      <c r="AQ445" s="226">
        <f t="shared" si="115"/>
        <v>6.230034615054226E-3</v>
      </c>
      <c r="AR445" s="226">
        <f t="shared" si="115"/>
        <v>6.0427176904181718E-3</v>
      </c>
      <c r="AS445" s="226">
        <f t="shared" si="115"/>
        <v>5.8610327778692295E-3</v>
      </c>
      <c r="AT445" s="226">
        <f t="shared" si="115"/>
        <v>5.6848105410796162E-3</v>
      </c>
      <c r="AU445" s="226">
        <f t="shared" si="115"/>
        <v>5.5138867351154355E-3</v>
      </c>
      <c r="AV445" s="226">
        <f t="shared" si="115"/>
        <v>5.3481020533549849E-3</v>
      </c>
      <c r="AW445" s="226">
        <f t="shared" si="115"/>
        <v>5.1873019790097319E-3</v>
      </c>
      <c r="AX445" s="226">
        <f t="shared" si="115"/>
        <v>5.0313366411095725E-3</v>
      </c>
      <c r="AY445" s="226">
        <f t="shared" si="113"/>
        <v>4.8800606748181496E-3</v>
      </c>
      <c r="AZ445" s="226">
        <f t="shared" si="113"/>
        <v>4.733333085948031E-3</v>
      </c>
      <c r="BA445" s="226">
        <f t="shared" si="113"/>
        <v>4.5910171195494799E-3</v>
      </c>
      <c r="BB445" s="226">
        <f t="shared" si="116"/>
        <v>4.4529801324503324E-3</v>
      </c>
      <c r="BC445" s="226">
        <f t="shared" si="116"/>
        <v>4.3190934696281892E-3</v>
      </c>
      <c r="BD445" s="226">
        <f t="shared" si="116"/>
        <v>4.1892323442996949E-3</v>
      </c>
      <c r="BE445" s="226">
        <f t="shared" si="116"/>
        <v>4.063275721615139E-3</v>
      </c>
    </row>
    <row r="446" spans="4:57" s="10" customFormat="1" x14ac:dyDescent="0.35">
      <c r="D446" s="169"/>
      <c r="E446" s="10" t="s">
        <v>622</v>
      </c>
      <c r="F446" s="10" t="s">
        <v>615</v>
      </c>
      <c r="G446" s="43" t="s">
        <v>616</v>
      </c>
      <c r="I446" s="20"/>
      <c r="J446" s="200"/>
      <c r="K446" s="200"/>
      <c r="L446" s="200"/>
      <c r="M446" s="200"/>
      <c r="N446" s="200">
        <v>1.4800000000000001E-2</v>
      </c>
      <c r="O446" s="226">
        <f t="shared" si="114"/>
        <v>1.4360609755711439E-2</v>
      </c>
      <c r="P446" s="226">
        <f t="shared" si="114"/>
        <v>1.3934264361880715E-2</v>
      </c>
      <c r="Q446" s="226">
        <f t="shared" si="114"/>
        <v>1.3520576536073407E-2</v>
      </c>
      <c r="R446" s="226">
        <f t="shared" si="114"/>
        <v>1.3119170493701281E-2</v>
      </c>
      <c r="S446" s="226">
        <f t="shared" si="114"/>
        <v>1.2729681606668127E-2</v>
      </c>
      <c r="T446" s="226">
        <f t="shared" si="114"/>
        <v>1.2351756072149916E-2</v>
      </c>
      <c r="U446" s="226">
        <f t="shared" si="114"/>
        <v>1.1985050591208385E-2</v>
      </c>
      <c r="V446" s="226">
        <f t="shared" si="114"/>
        <v>1.16292320569461E-2</v>
      </c>
      <c r="W446" s="226">
        <f t="shared" si="114"/>
        <v>1.1283977251919755E-2</v>
      </c>
      <c r="X446" s="226">
        <f t="shared" si="114"/>
        <v>1.094897255453681E-2</v>
      </c>
      <c r="Y446" s="226">
        <f t="shared" si="114"/>
        <v>1.0623913654168791E-2</v>
      </c>
      <c r="Z446" s="226">
        <f t="shared" si="114"/>
        <v>1.0308505274722452E-2</v>
      </c>
      <c r="AA446" s="226">
        <f t="shared" si="114"/>
        <v>1.0002460906417708E-2</v>
      </c>
      <c r="AB446" s="226">
        <f t="shared" si="114"/>
        <v>9.7055025455286773E-3</v>
      </c>
      <c r="AC446" s="226">
        <f t="shared" si="114"/>
        <v>9.4173604418514422E-3</v>
      </c>
      <c r="AD446" s="226">
        <f t="shared" si="114"/>
        <v>9.1377728536691082E-3</v>
      </c>
      <c r="AE446" s="226">
        <f t="shared" si="112"/>
        <v>8.8664858099916054E-3</v>
      </c>
      <c r="AF446" s="226">
        <f t="shared" si="112"/>
        <v>8.6032528798542229E-3</v>
      </c>
      <c r="AG446" s="226">
        <f t="shared" si="112"/>
        <v>8.3478349484653446E-3</v>
      </c>
      <c r="AH446" s="227">
        <v>8.0999999999999996E-3</v>
      </c>
      <c r="AI446" s="226">
        <f t="shared" si="115"/>
        <v>7.8595229068420709E-3</v>
      </c>
      <c r="AJ446" s="226">
        <f t="shared" si="115"/>
        <v>7.6261852250833631E-3</v>
      </c>
      <c r="AK446" s="226">
        <f t="shared" si="115"/>
        <v>7.3997749960942284E-3</v>
      </c>
      <c r="AL446" s="226">
        <f t="shared" si="115"/>
        <v>7.1800865539851594E-3</v>
      </c>
      <c r="AM446" s="226">
        <f t="shared" si="115"/>
        <v>6.9669203387845817E-3</v>
      </c>
      <c r="AN446" s="226">
        <f t="shared" si="115"/>
        <v>6.760082715163129E-3</v>
      </c>
      <c r="AO446" s="226">
        <f t="shared" si="115"/>
        <v>6.5593857965397231E-3</v>
      </c>
      <c r="AP446" s="226">
        <f t="shared" si="115"/>
        <v>6.3646472744096887E-3</v>
      </c>
      <c r="AQ446" s="226">
        <f t="shared" si="115"/>
        <v>6.1756902527398648E-3</v>
      </c>
      <c r="AR446" s="226">
        <f t="shared" si="115"/>
        <v>5.99234308728028E-3</v>
      </c>
      <c r="AS446" s="226">
        <f t="shared" si="115"/>
        <v>5.8144392296464323E-3</v>
      </c>
      <c r="AT446" s="226">
        <f t="shared" si="115"/>
        <v>5.6418170760305312E-3</v>
      </c>
      <c r="AU446" s="226">
        <f t="shared" si="115"/>
        <v>5.4743198204042862E-3</v>
      </c>
      <c r="AV446" s="226">
        <f t="shared" si="115"/>
        <v>5.3117953120798839E-3</v>
      </c>
      <c r="AW446" s="226">
        <f t="shared" si="115"/>
        <v>5.154095917499775E-3</v>
      </c>
      <c r="AX446" s="226">
        <f t="shared" si="115"/>
        <v>5.0010783861297141E-3</v>
      </c>
      <c r="AY446" s="226">
        <f t="shared" si="113"/>
        <v>4.8526037203332432E-3</v>
      </c>
      <c r="AZ446" s="226">
        <f t="shared" si="113"/>
        <v>4.7085370491094054E-3</v>
      </c>
      <c r="BA446" s="226">
        <f t="shared" si="113"/>
        <v>4.5687475055790055E-3</v>
      </c>
      <c r="BB446" s="226">
        <f t="shared" si="116"/>
        <v>4.4331081081081195E-3</v>
      </c>
      <c r="BC446" s="226">
        <f t="shared" si="116"/>
        <v>4.3014956449608744E-3</v>
      </c>
      <c r="BD446" s="226">
        <f t="shared" si="116"/>
        <v>4.1737905623767165E-3</v>
      </c>
      <c r="BE446" s="226">
        <f t="shared" si="116"/>
        <v>4.0498768559705011E-3</v>
      </c>
    </row>
    <row r="447" spans="4:57" s="10" customFormat="1" x14ac:dyDescent="0.35">
      <c r="D447" s="169"/>
      <c r="E447" s="109" t="s">
        <v>623</v>
      </c>
      <c r="F447" s="10" t="s">
        <v>615</v>
      </c>
      <c r="G447" s="43" t="s">
        <v>616</v>
      </c>
      <c r="I447" s="20"/>
      <c r="J447" s="200"/>
      <c r="K447" s="200"/>
      <c r="L447" s="200"/>
      <c r="M447" s="200"/>
      <c r="N447" s="200">
        <v>1.41E-2</v>
      </c>
      <c r="O447" s="226">
        <f t="shared" si="114"/>
        <v>1.3688721480776557E-2</v>
      </c>
      <c r="P447" s="226">
        <f t="shared" si="114"/>
        <v>1.3289439416898832E-2</v>
      </c>
      <c r="Q447" s="226">
        <f t="shared" si="114"/>
        <v>1.2901803887488064E-2</v>
      </c>
      <c r="R447" s="226">
        <f t="shared" si="114"/>
        <v>1.2525475178398889E-2</v>
      </c>
      <c r="S447" s="226">
        <f t="shared" si="114"/>
        <v>1.2160123484502301E-2</v>
      </c>
      <c r="T447" s="226">
        <f t="shared" si="114"/>
        <v>1.1805428620652633E-2</v>
      </c>
      <c r="U447" s="226">
        <f t="shared" si="114"/>
        <v>1.1461079741085253E-2</v>
      </c>
      <c r="V447" s="226">
        <f t="shared" si="114"/>
        <v>1.1126775066999058E-2</v>
      </c>
      <c r="W447" s="226">
        <f t="shared" si="114"/>
        <v>1.0802221622085035E-2</v>
      </c>
      <c r="X447" s="226">
        <f t="shared" si="114"/>
        <v>1.0487134975769107E-2</v>
      </c>
      <c r="Y447" s="226">
        <f t="shared" si="114"/>
        <v>1.0181238993944235E-2</v>
      </c>
      <c r="Z447" s="226">
        <f t="shared" si="114"/>
        <v>9.8842655969733576E-3</v>
      </c>
      <c r="AA447" s="226">
        <f t="shared" si="114"/>
        <v>9.5959545247510571E-3</v>
      </c>
      <c r="AB447" s="226">
        <f t="shared" si="114"/>
        <v>9.3160531086180706E-3</v>
      </c>
      <c r="AC447" s="226">
        <f t="shared" si="114"/>
        <v>9.0443160499287523E-3</v>
      </c>
      <c r="AD447" s="226">
        <f t="shared" si="114"/>
        <v>8.7805052050774386E-3</v>
      </c>
      <c r="AE447" s="226">
        <f t="shared" si="112"/>
        <v>8.5243893767953122E-3</v>
      </c>
      <c r="AF447" s="226">
        <f t="shared" si="112"/>
        <v>8.2757441115348558E-3</v>
      </c>
      <c r="AG447" s="226">
        <f t="shared" si="112"/>
        <v>8.0343515027643461E-3</v>
      </c>
      <c r="AH447" s="227">
        <v>7.7999999999999996E-3</v>
      </c>
      <c r="AI447" s="226">
        <f t="shared" si="115"/>
        <v>7.5724842234083075E-3</v>
      </c>
      <c r="AJ447" s="226">
        <f t="shared" si="115"/>
        <v>7.3516047838163741E-3</v>
      </c>
      <c r="AK447" s="226">
        <f t="shared" si="115"/>
        <v>7.1371681079721201E-3</v>
      </c>
      <c r="AL447" s="226">
        <f t="shared" si="115"/>
        <v>6.9289862689015129E-3</v>
      </c>
      <c r="AM447" s="226">
        <f t="shared" si="115"/>
        <v>6.7268768212140383E-3</v>
      </c>
      <c r="AN447" s="226">
        <f t="shared" si="115"/>
        <v>6.5306626412120943E-3</v>
      </c>
      <c r="AO447" s="226">
        <f t="shared" si="115"/>
        <v>6.3401717716641817E-3</v>
      </c>
      <c r="AP447" s="226">
        <f t="shared" si="115"/>
        <v>6.1552372711058609E-3</v>
      </c>
      <c r="AQ447" s="226">
        <f t="shared" si="115"/>
        <v>5.9756970675364021E-3</v>
      </c>
      <c r="AR447" s="226">
        <f t="shared" si="115"/>
        <v>5.8013938163829094E-3</v>
      </c>
      <c r="AS447" s="226">
        <f t="shared" si="115"/>
        <v>5.6321747626074479E-3</v>
      </c>
      <c r="AT447" s="226">
        <f t="shared" si="115"/>
        <v>5.4678916068363241E-3</v>
      </c>
      <c r="AU447" s="226">
        <f t="shared" si="115"/>
        <v>5.3084003753942005E-3</v>
      </c>
      <c r="AV447" s="226">
        <f t="shared" si="115"/>
        <v>5.1535612941291439E-3</v>
      </c>
      <c r="AW447" s="226">
        <f t="shared" si="115"/>
        <v>5.0032386659180309E-3</v>
      </c>
      <c r="AX447" s="226">
        <f t="shared" si="115"/>
        <v>4.8573007517449642E-3</v>
      </c>
      <c r="AY447" s="226">
        <f t="shared" si="113"/>
        <v>4.7156196552484682E-3</v>
      </c>
      <c r="AZ447" s="226">
        <f t="shared" si="113"/>
        <v>4.5780712106363013E-3</v>
      </c>
      <c r="BA447" s="226">
        <f t="shared" si="113"/>
        <v>4.4445348738696364E-3</v>
      </c>
      <c r="BB447" s="226">
        <f t="shared" si="116"/>
        <v>4.3148936170212633E-3</v>
      </c>
      <c r="BC447" s="226">
        <f t="shared" si="116"/>
        <v>4.189033825715221E-3</v>
      </c>
      <c r="BD447" s="226">
        <f t="shared" si="116"/>
        <v>4.0668451995579816E-3</v>
      </c>
      <c r="BE447" s="226">
        <f t="shared" si="116"/>
        <v>3.9482206554739266E-3</v>
      </c>
    </row>
    <row r="448" spans="4:57" s="10" customFormat="1" x14ac:dyDescent="0.35">
      <c r="E448" s="109" t="s">
        <v>624</v>
      </c>
      <c r="F448" s="10" t="s">
        <v>615</v>
      </c>
      <c r="G448" s="43" t="s">
        <v>616</v>
      </c>
      <c r="I448" s="20"/>
      <c r="J448" s="200"/>
      <c r="K448" s="200"/>
      <c r="L448" s="200"/>
      <c r="M448" s="200"/>
      <c r="N448" s="200">
        <v>1.35E-2</v>
      </c>
      <c r="O448" s="226">
        <f t="shared" si="114"/>
        <v>1.3109017500311767E-2</v>
      </c>
      <c r="P448" s="226">
        <f t="shared" si="114"/>
        <v>1.2729358505442975E-2</v>
      </c>
      <c r="Q448" s="226">
        <f t="shared" si="114"/>
        <v>1.2360695067821809E-2</v>
      </c>
      <c r="R448" s="226">
        <f t="shared" si="114"/>
        <v>1.2002708737784699E-2</v>
      </c>
      <c r="S448" s="226">
        <f t="shared" si="114"/>
        <v>1.1655090288501081E-2</v>
      </c>
      <c r="T448" s="226">
        <f t="shared" si="114"/>
        <v>1.131753944886477E-2</v>
      </c>
      <c r="U448" s="226">
        <f t="shared" si="114"/>
        <v>1.0989764644121264E-2</v>
      </c>
      <c r="V448" s="226">
        <f t="shared" si="114"/>
        <v>1.0671482744006901E-2</v>
      </c>
      <c r="W448" s="226">
        <f t="shared" si="114"/>
        <v>1.0362418818182333E-2</v>
      </c>
      <c r="X448" s="226">
        <f t="shared" si="114"/>
        <v>1.006230589874905E-2</v>
      </c>
      <c r="Y448" s="226">
        <f t="shared" si="114"/>
        <v>9.7708847496438232E-3</v>
      </c>
      <c r="Z448" s="226">
        <f t="shared" si="114"/>
        <v>9.4879036427118688E-3</v>
      </c>
      <c r="AA448" s="226">
        <f t="shared" si="114"/>
        <v>9.2131181402653074E-3</v>
      </c>
      <c r="AB448" s="226">
        <f t="shared" si="114"/>
        <v>8.9462908839390894E-3</v>
      </c>
      <c r="AC448" s="226">
        <f t="shared" si="114"/>
        <v>8.6871913896620113E-3</v>
      </c>
      <c r="AD448" s="226">
        <f t="shared" si="114"/>
        <v>8.4355958485657044E-3</v>
      </c>
      <c r="AE448" s="226">
        <f t="shared" si="112"/>
        <v>8.1912869336596382E-3</v>
      </c>
      <c r="AF448" s="226">
        <f t="shared" si="112"/>
        <v>7.9540536121051348E-3</v>
      </c>
      <c r="AG448" s="226">
        <f t="shared" si="112"/>
        <v>7.7236909629262397E-3</v>
      </c>
      <c r="AH448" s="227">
        <v>7.4999999999999997E-3</v>
      </c>
      <c r="AI448" s="226">
        <f t="shared" si="115"/>
        <v>7.2827875001732038E-3</v>
      </c>
      <c r="AJ448" s="226">
        <f t="shared" si="115"/>
        <v>7.0718658363572084E-3</v>
      </c>
      <c r="AK448" s="226">
        <f t="shared" si="115"/>
        <v>6.8670528154565601E-3</v>
      </c>
      <c r="AL448" s="226">
        <f t="shared" si="115"/>
        <v>6.6681715209914996E-3</v>
      </c>
      <c r="AM448" s="226">
        <f t="shared" si="115"/>
        <v>6.4750501602783778E-3</v>
      </c>
      <c r="AN448" s="226">
        <f t="shared" si="115"/>
        <v>6.2875219160359831E-3</v>
      </c>
      <c r="AO448" s="226">
        <f t="shared" si="115"/>
        <v>6.1054248022895906E-3</v>
      </c>
      <c r="AP448" s="226">
        <f t="shared" si="115"/>
        <v>5.9286015244482777E-3</v>
      </c>
      <c r="AQ448" s="226">
        <f t="shared" si="115"/>
        <v>5.756899343434629E-3</v>
      </c>
      <c r="AR448" s="226">
        <f t="shared" si="115"/>
        <v>5.5901699437494725E-3</v>
      </c>
      <c r="AS448" s="226">
        <f t="shared" si="115"/>
        <v>5.4282693053576804E-3</v>
      </c>
      <c r="AT448" s="226">
        <f t="shared" si="115"/>
        <v>5.2710575792843731E-3</v>
      </c>
      <c r="AU448" s="226">
        <f t="shared" si="115"/>
        <v>5.1183989668140617E-3</v>
      </c>
      <c r="AV448" s="226">
        <f t="shared" si="115"/>
        <v>4.9701616021883849E-3</v>
      </c>
      <c r="AW448" s="226">
        <f t="shared" si="115"/>
        <v>4.8262174387011195E-3</v>
      </c>
      <c r="AX448" s="226">
        <f t="shared" si="115"/>
        <v>4.6864421380920602E-3</v>
      </c>
      <c r="AY448" s="226">
        <f t="shared" si="113"/>
        <v>4.5507149631442458E-3</v>
      </c>
      <c r="AZ448" s="226">
        <f t="shared" si="113"/>
        <v>4.4189186733917434E-3</v>
      </c>
      <c r="BA448" s="226">
        <f t="shared" si="113"/>
        <v>4.2909394238479131E-3</v>
      </c>
      <c r="BB448" s="226">
        <f t="shared" si="116"/>
        <v>4.1666666666666657E-3</v>
      </c>
      <c r="BC448" s="226">
        <f t="shared" si="116"/>
        <v>4.0459930556517787E-3</v>
      </c>
      <c r="BD448" s="226">
        <f t="shared" si="116"/>
        <v>3.9288143535317812E-3</v>
      </c>
      <c r="BE448" s="226">
        <f t="shared" si="116"/>
        <v>3.8150293419203099E-3</v>
      </c>
    </row>
    <row r="449" spans="5:57" s="10" customFormat="1" x14ac:dyDescent="0.35">
      <c r="E449" s="109" t="s">
        <v>625</v>
      </c>
      <c r="F449" s="10" t="s">
        <v>615</v>
      </c>
      <c r="G449" s="43" t="s">
        <v>616</v>
      </c>
      <c r="I449" s="20"/>
      <c r="J449" s="200"/>
      <c r="K449" s="200"/>
      <c r="L449" s="200"/>
      <c r="M449" s="200"/>
      <c r="N449" s="200">
        <v>1.29E-2</v>
      </c>
      <c r="O449" s="226">
        <f t="shared" si="114"/>
        <v>1.2537945213513015E-2</v>
      </c>
      <c r="P449" s="226">
        <f t="shared" si="114"/>
        <v>1.2186051951709605E-2</v>
      </c>
      <c r="Q449" s="226">
        <f t="shared" si="114"/>
        <v>1.1844035018570417E-2</v>
      </c>
      <c r="R449" s="226">
        <f t="shared" si="114"/>
        <v>1.1511617222462441E-2</v>
      </c>
      <c r="S449" s="226">
        <f t="shared" si="114"/>
        <v>1.1188529151485809E-2</v>
      </c>
      <c r="T449" s="226">
        <f t="shared" si="114"/>
        <v>1.0874508955125761E-2</v>
      </c>
      <c r="U449" s="226">
        <f t="shared" si="114"/>
        <v>1.0569302132032825E-2</v>
      </c>
      <c r="V449" s="226">
        <f t="shared" si="114"/>
        <v>1.0272661323759213E-2</v>
      </c>
      <c r="W449" s="226">
        <f t="shared" si="114"/>
        <v>9.9843461142842711E-3</v>
      </c>
      <c r="X449" s="226">
        <f t="shared" si="114"/>
        <v>9.7041228351664923E-3</v>
      </c>
      <c r="Y449" s="226">
        <f t="shared" si="114"/>
        <v>9.4317643761641905E-3</v>
      </c>
      <c r="Z449" s="226">
        <f t="shared" si="114"/>
        <v>9.1670500011713472E-3</v>
      </c>
      <c r="AA449" s="226">
        <f t="shared" si="114"/>
        <v>8.9097651693194387E-3</v>
      </c>
      <c r="AB449" s="226">
        <f t="shared" si="114"/>
        <v>8.6597013611002822E-3</v>
      </c>
      <c r="AC449" s="226">
        <f t="shared" si="114"/>
        <v>8.4166559093689468E-3</v>
      </c>
      <c r="AD449" s="226">
        <f t="shared" si="114"/>
        <v>8.1804318350897996E-3</v>
      </c>
      <c r="AE449" s="226">
        <f t="shared" si="112"/>
        <v>7.9508376876925302E-3</v>
      </c>
      <c r="AF449" s="226">
        <f t="shared" si="112"/>
        <v>7.7276873899087941E-3</v>
      </c>
      <c r="AG449" s="226">
        <f t="shared" si="112"/>
        <v>7.5108000869637086E-3</v>
      </c>
      <c r="AH449" s="227">
        <v>7.3000000000000001E-3</v>
      </c>
      <c r="AI449" s="226">
        <f t="shared" si="115"/>
        <v>7.0951162836158923E-3</v>
      </c>
      <c r="AJ449" s="226">
        <f t="shared" si="115"/>
        <v>6.8959828874015604E-3</v>
      </c>
      <c r="AK449" s="226">
        <f t="shared" si="115"/>
        <v>6.702438421361554E-3</v>
      </c>
      <c r="AL449" s="226">
        <f t="shared" si="115"/>
        <v>6.5143260251144045E-3</v>
      </c>
      <c r="AM449" s="226">
        <f t="shared" si="115"/>
        <v>6.3314932407632874E-3</v>
      </c>
      <c r="AN449" s="226">
        <f t="shared" si="115"/>
        <v>6.1537918893347339E-3</v>
      </c>
      <c r="AO449" s="226">
        <f t="shared" si="115"/>
        <v>5.9810779506852436E-3</v>
      </c>
      <c r="AP449" s="226">
        <f t="shared" si="115"/>
        <v>5.8132114467784714E-3</v>
      </c>
      <c r="AQ449" s="226">
        <f t="shared" si="115"/>
        <v>5.6500563282383875E-3</v>
      </c>
      <c r="AR449" s="226">
        <f t="shared" si="115"/>
        <v>5.4914803640864658E-3</v>
      </c>
      <c r="AS449" s="226">
        <f t="shared" si="115"/>
        <v>5.3373550345735361E-3</v>
      </c>
      <c r="AT449" s="226">
        <f t="shared" si="115"/>
        <v>5.1875554270194467E-3</v>
      </c>
      <c r="AU449" s="226">
        <f t="shared" si="115"/>
        <v>5.0419601345761192E-3</v>
      </c>
      <c r="AV449" s="226">
        <f t="shared" si="115"/>
        <v>4.9004511578319447E-3</v>
      </c>
      <c r="AW449" s="226">
        <f t="shared" si="115"/>
        <v>4.7629138091777783E-3</v>
      </c>
      <c r="AX449" s="226">
        <f t="shared" si="115"/>
        <v>4.6292366198570209E-3</v>
      </c>
      <c r="AY449" s="226">
        <f t="shared" si="113"/>
        <v>4.4993112496244572E-3</v>
      </c>
      <c r="AZ449" s="226">
        <f t="shared" si="113"/>
        <v>4.3730323989406373E-3</v>
      </c>
      <c r="BA449" s="226">
        <f t="shared" si="113"/>
        <v>4.2502977236306277E-3</v>
      </c>
      <c r="BB449" s="226">
        <f t="shared" si="116"/>
        <v>4.1310077519379762E-3</v>
      </c>
      <c r="BC449" s="226">
        <f t="shared" si="116"/>
        <v>4.0150658039066591E-3</v>
      </c>
      <c r="BD449" s="226">
        <f t="shared" si="116"/>
        <v>3.9023779130256805E-3</v>
      </c>
      <c r="BE449" s="226">
        <f t="shared" si="116"/>
        <v>3.7928527500728092E-3</v>
      </c>
    </row>
    <row r="450" spans="5:57" s="10" customFormat="1" x14ac:dyDescent="0.35">
      <c r="E450" s="10" t="s">
        <v>626</v>
      </c>
      <c r="F450" s="10" t="s">
        <v>615</v>
      </c>
      <c r="G450" s="43" t="s">
        <v>616</v>
      </c>
      <c r="I450" s="20"/>
      <c r="J450" s="200"/>
      <c r="K450" s="200"/>
      <c r="L450" s="200"/>
      <c r="M450" s="200"/>
      <c r="N450" s="200">
        <v>1.24E-2</v>
      </c>
      <c r="O450" s="226">
        <f t="shared" si="114"/>
        <v>1.2050512093664362E-2</v>
      </c>
      <c r="P450" s="226">
        <f t="shared" si="114"/>
        <v>1.1710874332221859E-2</v>
      </c>
      <c r="Q450" s="226">
        <f t="shared" si="114"/>
        <v>1.1380809094179281E-2</v>
      </c>
      <c r="R450" s="226">
        <f t="shared" si="114"/>
        <v>1.1060046582668773E-2</v>
      </c>
      <c r="S450" s="226">
        <f t="shared" si="114"/>
        <v>1.0748324604914617E-2</v>
      </c>
      <c r="T450" s="226">
        <f t="shared" si="114"/>
        <v>1.0445388357915631E-2</v>
      </c>
      <c r="U450" s="226">
        <f t="shared" si="114"/>
        <v>1.0150990220168004E-2</v>
      </c>
      <c r="V450" s="226">
        <f t="shared" si="114"/>
        <v>9.8648895492583228E-3</v>
      </c>
      <c r="W450" s="226">
        <f t="shared" si="114"/>
        <v>9.5868524851613381E-3</v>
      </c>
      <c r="X450" s="226">
        <f t="shared" si="114"/>
        <v>9.3166517590816903E-3</v>
      </c>
      <c r="Y450" s="226">
        <f t="shared" si="114"/>
        <v>9.0540665076833272E-3</v>
      </c>
      <c r="Z450" s="226">
        <f t="shared" si="114"/>
        <v>8.7988820925547894E-3</v>
      </c>
      <c r="AA450" s="226">
        <f t="shared" si="114"/>
        <v>8.5508899247627654E-3</v>
      </c>
      <c r="AB450" s="226">
        <f t="shared" si="114"/>
        <v>8.3098872943505198E-3</v>
      </c>
      <c r="AC450" s="226">
        <f t="shared" si="114"/>
        <v>8.0756772046418363E-3</v>
      </c>
      <c r="AD450" s="226">
        <f t="shared" si="114"/>
        <v>7.8480682112150053E-3</v>
      </c>
      <c r="AE450" s="226">
        <f t="shared" si="112"/>
        <v>7.6268742654152632E-3</v>
      </c>
      <c r="AF450" s="226">
        <f t="shared" si="112"/>
        <v>7.4119145622777525E-3</v>
      </c>
      <c r="AG450" s="226">
        <f t="shared" si="112"/>
        <v>7.2030133927366985E-3</v>
      </c>
      <c r="AH450" s="227">
        <v>7.0000000000000001E-3</v>
      </c>
      <c r="AI450" s="226">
        <f t="shared" si="115"/>
        <v>6.8027084399718179E-3</v>
      </c>
      <c r="AJ450" s="226">
        <f t="shared" si="115"/>
        <v>6.6109774456091144E-3</v>
      </c>
      <c r="AK450" s="226">
        <f t="shared" si="115"/>
        <v>6.424650295101207E-3</v>
      </c>
      <c r="AL450" s="226">
        <f t="shared" si="115"/>
        <v>6.24357468376463E-3</v>
      </c>
      <c r="AM450" s="226">
        <f t="shared" si="115"/>
        <v>6.067602599548574E-3</v>
      </c>
      <c r="AN450" s="226">
        <f t="shared" si="115"/>
        <v>5.8965902020491467E-3</v>
      </c>
      <c r="AO450" s="226">
        <f t="shared" si="115"/>
        <v>5.7303977049335507E-3</v>
      </c>
      <c r="AP450" s="226">
        <f t="shared" si="115"/>
        <v>5.5688892616780859E-3</v>
      </c>
      <c r="AQ450" s="226">
        <f t="shared" si="115"/>
        <v>5.4119328545265627E-3</v>
      </c>
      <c r="AR450" s="226">
        <f t="shared" si="115"/>
        <v>5.2594001865783743E-3</v>
      </c>
      <c r="AS450" s="226">
        <f t="shared" si="115"/>
        <v>5.1111665769180085E-3</v>
      </c>
      <c r="AT450" s="226">
        <f t="shared" si="115"/>
        <v>4.9671108587002856E-3</v>
      </c>
      <c r="AU450" s="226">
        <f t="shared" si="115"/>
        <v>4.8271152801080139E-3</v>
      </c>
      <c r="AV450" s="226">
        <f t="shared" si="115"/>
        <v>4.6910654081011019E-3</v>
      </c>
      <c r="AW450" s="226">
        <f t="shared" si="115"/>
        <v>4.5588500348784575E-3</v>
      </c>
      <c r="AX450" s="226">
        <f t="shared" si="115"/>
        <v>4.4303610869762143E-3</v>
      </c>
      <c r="AY450" s="226">
        <f t="shared" si="113"/>
        <v>4.3054935369279731E-3</v>
      </c>
      <c r="AZ450" s="226">
        <f t="shared" si="113"/>
        <v>4.184145317414862E-3</v>
      </c>
      <c r="BA450" s="226">
        <f t="shared" si="113"/>
        <v>4.0662172378352346E-3</v>
      </c>
      <c r="BB450" s="226">
        <f t="shared" si="116"/>
        <v>3.951612903225806E-3</v>
      </c>
      <c r="BC450" s="226">
        <f t="shared" si="116"/>
        <v>3.840238635467961E-3</v>
      </c>
      <c r="BD450" s="226">
        <f t="shared" si="116"/>
        <v>3.7320033967148222E-3</v>
      </c>
      <c r="BE450" s="226">
        <f t="shared" si="116"/>
        <v>3.6268187149764877E-3</v>
      </c>
    </row>
    <row r="451" spans="5:57" s="10" customFormat="1" x14ac:dyDescent="0.35">
      <c r="E451" s="10" t="s">
        <v>627</v>
      </c>
      <c r="F451" s="10" t="s">
        <v>615</v>
      </c>
      <c r="G451" s="43" t="s">
        <v>616</v>
      </c>
      <c r="I451" s="20"/>
      <c r="J451" s="200"/>
      <c r="K451" s="200"/>
      <c r="L451" s="200"/>
      <c r="M451" s="200"/>
      <c r="N451" s="200">
        <v>1.18E-2</v>
      </c>
      <c r="O451" s="226">
        <f t="shared" si="114"/>
        <v>1.1470745575109615E-2</v>
      </c>
      <c r="P451" s="226">
        <f t="shared" si="114"/>
        <v>1.1150678309228544E-2</v>
      </c>
      <c r="Q451" s="226">
        <f t="shared" si="114"/>
        <v>1.0839541853818144E-2</v>
      </c>
      <c r="R451" s="226">
        <f t="shared" si="114"/>
        <v>1.0537087013211861E-2</v>
      </c>
      <c r="S451" s="226">
        <f t="shared" si="114"/>
        <v>1.0243071545029233E-2</v>
      </c>
      <c r="T451" s="226">
        <f t="shared" si="114"/>
        <v>9.9572599661589233E-3</v>
      </c>
      <c r="U451" s="226">
        <f t="shared" si="114"/>
        <v>9.6794233641553894E-3</v>
      </c>
      <c r="V451" s="226">
        <f t="shared" si="114"/>
        <v>9.4093392138981415E-3</v>
      </c>
      <c r="W451" s="226">
        <f t="shared" si="114"/>
        <v>9.146791199366738E-3</v>
      </c>
      <c r="X451" s="226">
        <f t="shared" si="114"/>
        <v>8.8915690403887793E-3</v>
      </c>
      <c r="Y451" s="226">
        <f t="shared" si="114"/>
        <v>8.6434683242221401E-3</v>
      </c>
      <c r="Z451" s="226">
        <f t="shared" si="114"/>
        <v>8.4022903418365467E-3</v>
      </c>
      <c r="AA451" s="226">
        <f t="shared" si="114"/>
        <v>8.1678419287633756E-3</v>
      </c>
      <c r="AB451" s="226">
        <f t="shared" si="114"/>
        <v>7.9399353103862102E-3</v>
      </c>
      <c r="AC451" s="226">
        <f t="shared" si="114"/>
        <v>7.7183879515482388E-3</v>
      </c>
      <c r="AD451" s="226">
        <f t="shared" si="114"/>
        <v>7.503022410356045E-3</v>
      </c>
      <c r="AE451" s="226">
        <f t="shared" si="112"/>
        <v>7.2936661960627024E-3</v>
      </c>
      <c r="AF451" s="226">
        <f t="shared" si="112"/>
        <v>7.0901516309163411E-3</v>
      </c>
      <c r="AG451" s="226">
        <f t="shared" si="112"/>
        <v>6.8923157158635468E-3</v>
      </c>
      <c r="AH451" s="227">
        <v>6.7000000000000002E-3</v>
      </c>
      <c r="AI451" s="226">
        <f t="shared" si="115"/>
        <v>6.5130504536639348E-3</v>
      </c>
      <c r="AJ451" s="226">
        <f t="shared" si="115"/>
        <v>6.3313173450704457E-3</v>
      </c>
      <c r="AK451" s="226">
        <f t="shared" si="115"/>
        <v>6.154655120388269E-3</v>
      </c>
      <c r="AL451" s="226">
        <f t="shared" si="115"/>
        <v>5.9829222871626677E-3</v>
      </c>
      <c r="AM451" s="226">
        <f t="shared" si="115"/>
        <v>5.815981300991176E-3</v>
      </c>
      <c r="AN451" s="226">
        <f t="shared" si="115"/>
        <v>5.6536984553614235E-3</v>
      </c>
      <c r="AO451" s="226">
        <f t="shared" si="115"/>
        <v>5.4959437745628068E-3</v>
      </c>
      <c r="AP451" s="226">
        <f t="shared" si="115"/>
        <v>5.3425909095862339E-3</v>
      </c>
      <c r="AQ451" s="226">
        <f t="shared" si="115"/>
        <v>5.1935170369285721E-3</v>
      </c>
      <c r="AR451" s="226">
        <f t="shared" si="115"/>
        <v>5.0486027602207476E-3</v>
      </c>
      <c r="AS451" s="226">
        <f t="shared" si="115"/>
        <v>4.9077320146007066E-3</v>
      </c>
      <c r="AT451" s="226">
        <f t="shared" si="115"/>
        <v>4.7707919737546489E-3</v>
      </c>
      <c r="AU451" s="226">
        <f t="shared" si="115"/>
        <v>4.637672959552086E-3</v>
      </c>
      <c r="AV451" s="226">
        <f t="shared" si="115"/>
        <v>4.5082683542023395E-3</v>
      </c>
      <c r="AW451" s="226">
        <f t="shared" si="115"/>
        <v>4.3824745148621355E-3</v>
      </c>
      <c r="AX451" s="226">
        <f t="shared" si="115"/>
        <v>4.2601906906258903E-3</v>
      </c>
      <c r="AY451" s="226">
        <f t="shared" si="113"/>
        <v>4.1413189418322126E-3</v>
      </c>
      <c r="AZ451" s="226">
        <f t="shared" si="113"/>
        <v>4.0257640616219907E-3</v>
      </c>
      <c r="BA451" s="226">
        <f t="shared" si="113"/>
        <v>3.9134334996852342E-3</v>
      </c>
      <c r="BB451" s="226">
        <f t="shared" si="116"/>
        <v>3.804237288135605E-3</v>
      </c>
      <c r="BC451" s="226">
        <f t="shared" si="116"/>
        <v>3.6980879694532625E-3</v>
      </c>
      <c r="BD451" s="226">
        <f t="shared" si="116"/>
        <v>3.5949005264383151E-3</v>
      </c>
      <c r="BE451" s="226">
        <f t="shared" si="116"/>
        <v>3.4945923141187739E-3</v>
      </c>
    </row>
    <row r="452" spans="5:57" s="10" customFormat="1" x14ac:dyDescent="0.35">
      <c r="E452" s="10" t="s">
        <v>628</v>
      </c>
      <c r="F452" s="10" t="s">
        <v>615</v>
      </c>
      <c r="G452" s="43" t="s">
        <v>616</v>
      </c>
      <c r="I452" s="20"/>
      <c r="J452" s="200"/>
      <c r="K452" s="200"/>
      <c r="L452" s="200"/>
      <c r="M452" s="200"/>
      <c r="N452" s="200">
        <v>1.17E-2</v>
      </c>
      <c r="O452" s="226">
        <f t="shared" si="114"/>
        <v>1.1378376728459176E-2</v>
      </c>
      <c r="P452" s="226">
        <f t="shared" si="114"/>
        <v>1.1065594613225755E-2</v>
      </c>
      <c r="Q452" s="226">
        <f t="shared" si="114"/>
        <v>1.0761410618264201E-2</v>
      </c>
      <c r="R452" s="226">
        <f t="shared" si="114"/>
        <v>1.046558838839751E-2</v>
      </c>
      <c r="S452" s="226">
        <f t="shared" si="114"/>
        <v>1.0177898065655966E-2</v>
      </c>
      <c r="T452" s="226">
        <f t="shared" si="114"/>
        <v>9.8981161106743171E-3</v>
      </c>
      <c r="U452" s="226">
        <f t="shared" si="114"/>
        <v>9.6260251289985894E-3</v>
      </c>
      <c r="V452" s="226">
        <f t="shared" si="114"/>
        <v>9.3614137021675887E-3</v>
      </c>
      <c r="W452" s="226">
        <f t="shared" si="114"/>
        <v>9.1040762234378247E-3</v>
      </c>
      <c r="X452" s="226">
        <f t="shared" si="114"/>
        <v>8.8538127380242259E-3</v>
      </c>
      <c r="Y452" s="226">
        <f t="shared" si="114"/>
        <v>8.6104287877325023E-3</v>
      </c>
      <c r="Z452" s="226">
        <f t="shared" si="114"/>
        <v>8.3737352598624321E-3</v>
      </c>
      <c r="AA452" s="226">
        <f t="shared" si="114"/>
        <v>8.1435482402646801E-3</v>
      </c>
      <c r="AB452" s="226">
        <f t="shared" si="114"/>
        <v>7.9196888704369493E-3</v>
      </c>
      <c r="AC452" s="226">
        <f t="shared" si="114"/>
        <v>7.7019832085484553E-3</v>
      </c>
      <c r="AD452" s="226">
        <f t="shared" si="114"/>
        <v>7.4902620942847078E-3</v>
      </c>
      <c r="AE452" s="226">
        <f t="shared" si="112"/>
        <v>7.284361017407608E-3</v>
      </c>
      <c r="AF452" s="226">
        <f t="shared" si="112"/>
        <v>7.0841199899287126E-3</v>
      </c>
      <c r="AG452" s="226">
        <f t="shared" si="112"/>
        <v>6.889383421796352E-3</v>
      </c>
      <c r="AH452" s="227">
        <v>6.7000000000000002E-3</v>
      </c>
      <c r="AI452" s="226">
        <f t="shared" si="115"/>
        <v>6.5158225709979903E-3</v>
      </c>
      <c r="AJ452" s="226">
        <f t="shared" si="115"/>
        <v>6.3367080263771426E-3</v>
      </c>
      <c r="AK452" s="226">
        <f t="shared" si="115"/>
        <v>6.1625171916555683E-3</v>
      </c>
      <c r="AL452" s="226">
        <f t="shared" si="115"/>
        <v>5.9931147181421637E-3</v>
      </c>
      <c r="AM452" s="226">
        <f t="shared" si="115"/>
        <v>5.8283689777688013E-3</v>
      </c>
      <c r="AN452" s="226">
        <f t="shared" si="115"/>
        <v>5.668151960813498E-3</v>
      </c>
      <c r="AO452" s="226">
        <f t="shared" si="115"/>
        <v>5.5123391764350903E-3</v>
      </c>
      <c r="AP452" s="226">
        <f t="shared" si="115"/>
        <v>5.3608095559421242E-3</v>
      </c>
      <c r="AQ452" s="226">
        <f t="shared" si="115"/>
        <v>5.2134453587208062E-3</v>
      </c>
      <c r="AR452" s="226">
        <f t="shared" si="115"/>
        <v>5.0701320807489169E-3</v>
      </c>
      <c r="AS452" s="226">
        <f t="shared" si="115"/>
        <v>4.9307583656245961E-3</v>
      </c>
      <c r="AT452" s="226">
        <f t="shared" si="115"/>
        <v>4.7952159180408805E-3</v>
      </c>
      <c r="AU452" s="226">
        <f t="shared" si="115"/>
        <v>4.6633994196387486E-3</v>
      </c>
      <c r="AV452" s="226">
        <f t="shared" si="115"/>
        <v>4.5352064471732957E-3</v>
      </c>
      <c r="AW452" s="226">
        <f t="shared" si="115"/>
        <v>4.4105373929294572E-3</v>
      </c>
      <c r="AX452" s="226">
        <f t="shared" si="115"/>
        <v>4.2892953873254307E-3</v>
      </c>
      <c r="AY452" s="226">
        <f t="shared" si="113"/>
        <v>4.1713862236436722E-3</v>
      </c>
      <c r="AZ452" s="226">
        <f t="shared" si="113"/>
        <v>4.0567182848309713E-3</v>
      </c>
      <c r="BA452" s="226">
        <f t="shared" si="113"/>
        <v>3.9452024723107305E-3</v>
      </c>
      <c r="BB452" s="226">
        <f t="shared" si="116"/>
        <v>3.8367521367521388E-3</v>
      </c>
      <c r="BC452" s="226">
        <f t="shared" si="116"/>
        <v>3.7312830107424405E-3</v>
      </c>
      <c r="BD452" s="226">
        <f t="shared" si="116"/>
        <v>3.6287131433099893E-3</v>
      </c>
      <c r="BE452" s="226">
        <f t="shared" si="116"/>
        <v>3.5289628362472078E-3</v>
      </c>
    </row>
    <row r="453" spans="5:57" s="10" customFormat="1" x14ac:dyDescent="0.35">
      <c r="E453" s="10" t="s">
        <v>629</v>
      </c>
      <c r="F453" s="10" t="s">
        <v>615</v>
      </c>
      <c r="G453" s="43" t="s">
        <v>616</v>
      </c>
      <c r="I453" s="20"/>
      <c r="J453" s="200"/>
      <c r="K453" s="200"/>
      <c r="L453" s="200"/>
      <c r="M453" s="200"/>
      <c r="N453" s="200">
        <v>1.1599999999999999E-2</v>
      </c>
      <c r="O453" s="226">
        <f t="shared" si="114"/>
        <v>1.1277485738007827E-2</v>
      </c>
      <c r="P453" s="226">
        <f t="shared" si="114"/>
        <v>1.0963938325083617E-2</v>
      </c>
      <c r="Q453" s="226">
        <f t="shared" si="114"/>
        <v>1.0659108456338615E-2</v>
      </c>
      <c r="R453" s="226">
        <f t="shared" si="114"/>
        <v>1.0362753758296324E-2</v>
      </c>
      <c r="S453" s="226">
        <f t="shared" si="114"/>
        <v>1.0074638596178777E-2</v>
      </c>
      <c r="T453" s="226">
        <f t="shared" si="114"/>
        <v>9.7945338865508061E-3</v>
      </c>
      <c r="U453" s="226">
        <f t="shared" si="114"/>
        <v>9.5222169151733711E-3</v>
      </c>
      <c r="V453" s="226">
        <f t="shared" si="114"/>
        <v>9.2574711599210848E-3</v>
      </c>
      <c r="W453" s="226">
        <f t="shared" si="114"/>
        <v>9.0000861186231747E-3</v>
      </c>
      <c r="X453" s="226">
        <f t="shared" si="114"/>
        <v>8.7498571416909556E-3</v>
      </c>
      <c r="Y453" s="226">
        <f t="shared" si="114"/>
        <v>8.506585269398766E-3</v>
      </c>
      <c r="Z453" s="226">
        <f t="shared" si="114"/>
        <v>8.2700770736889705E-3</v>
      </c>
      <c r="AA453" s="226">
        <f t="shared" si="114"/>
        <v>8.0401445043752472E-3</v>
      </c>
      <c r="AB453" s="226">
        <f t="shared" si="114"/>
        <v>7.8166047396218859E-3</v>
      </c>
      <c r="AC453" s="226">
        <f t="shared" si="114"/>
        <v>7.5992800405801902E-3</v>
      </c>
      <c r="AD453" s="226">
        <f t="shared" si="114"/>
        <v>7.3879976100664343E-3</v>
      </c>
      <c r="AE453" s="226">
        <f t="shared" si="112"/>
        <v>7.1825894551689768E-3</v>
      </c>
      <c r="AF453" s="226">
        <f t="shared" si="112"/>
        <v>6.9828922536753057E-3</v>
      </c>
      <c r="AG453" s="226">
        <f t="shared" si="112"/>
        <v>6.7887472242128101E-3</v>
      </c>
      <c r="AH453" s="227">
        <v>6.6E-3</v>
      </c>
      <c r="AI453" s="226">
        <f t="shared" si="115"/>
        <v>6.4165005061079024E-3</v>
      </c>
      <c r="AJ453" s="226">
        <f t="shared" si="115"/>
        <v>6.2381028401337826E-3</v>
      </c>
      <c r="AK453" s="226">
        <f t="shared" si="115"/>
        <v>6.0646651561926598E-3</v>
      </c>
      <c r="AL453" s="226">
        <f t="shared" si="115"/>
        <v>5.8960495521341149E-3</v>
      </c>
      <c r="AM453" s="226">
        <f t="shared" si="115"/>
        <v>5.7321219598948205E-3</v>
      </c>
      <c r="AN453" s="226">
        <f t="shared" si="115"/>
        <v>5.5727520388995965E-3</v>
      </c>
      <c r="AO453" s="226">
        <f t="shared" si="115"/>
        <v>5.4178130724262278E-3</v>
      </c>
      <c r="AP453" s="226">
        <f t="shared" si="115"/>
        <v>5.2671818668516513E-3</v>
      </c>
      <c r="AQ453" s="226">
        <f t="shared" si="115"/>
        <v>5.120738653699392E-3</v>
      </c>
      <c r="AR453" s="226">
        <f t="shared" si="115"/>
        <v>4.9783669944103706E-3</v>
      </c>
      <c r="AS453" s="226">
        <f t="shared" si="115"/>
        <v>4.8399536877613662E-3</v>
      </c>
      <c r="AT453" s="226">
        <f t="shared" si="115"/>
        <v>4.7053886798575171E-3</v>
      </c>
      <c r="AU453" s="226">
        <f t="shared" si="115"/>
        <v>4.5745649766272961E-3</v>
      </c>
      <c r="AV453" s="226">
        <f t="shared" si="115"/>
        <v>4.4473785587503829E-3</v>
      </c>
      <c r="AW453" s="226">
        <f t="shared" si="115"/>
        <v>4.3237282989507979E-3</v>
      </c>
      <c r="AX453" s="226">
        <f t="shared" si="115"/>
        <v>4.2035158815895233E-3</v>
      </c>
      <c r="AY453" s="226">
        <f t="shared" si="113"/>
        <v>4.086645724492694E-3</v>
      </c>
      <c r="AZ453" s="226">
        <f t="shared" si="113"/>
        <v>3.9730249029531917E-3</v>
      </c>
      <c r="BA453" s="226">
        <f t="shared" si="113"/>
        <v>3.8625630758452201E-3</v>
      </c>
      <c r="BB453" s="226">
        <f t="shared" si="116"/>
        <v>3.7551724137931137E-3</v>
      </c>
      <c r="BC453" s="226">
        <f t="shared" si="116"/>
        <v>3.6507675293372646E-3</v>
      </c>
      <c r="BD453" s="226">
        <f t="shared" si="116"/>
        <v>3.5492654090416445E-3</v>
      </c>
      <c r="BE453" s="226">
        <f t="shared" si="116"/>
        <v>3.4505853474889369E-3</v>
      </c>
    </row>
    <row r="454" spans="5:57" s="10" customFormat="1" x14ac:dyDescent="0.35">
      <c r="E454" s="10" t="s">
        <v>630</v>
      </c>
      <c r="F454" s="10" t="s">
        <v>615</v>
      </c>
      <c r="G454" s="43" t="s">
        <v>616</v>
      </c>
      <c r="I454" s="20"/>
      <c r="J454" s="200"/>
      <c r="K454" s="200"/>
      <c r="L454" s="200"/>
      <c r="M454" s="200"/>
      <c r="N454" s="200">
        <v>1.15E-2</v>
      </c>
      <c r="O454" s="226">
        <f t="shared" si="114"/>
        <v>1.1176571896041213E-2</v>
      </c>
      <c r="P454" s="226">
        <f t="shared" si="114"/>
        <v>1.0862239943250286E-2</v>
      </c>
      <c r="Q454" s="226">
        <f t="shared" si="114"/>
        <v>1.0556748319807605E-2</v>
      </c>
      <c r="R454" s="226">
        <f t="shared" si="114"/>
        <v>1.0259848398673216E-2</v>
      </c>
      <c r="S454" s="226">
        <f t="shared" si="114"/>
        <v>9.9712985452395236E-3</v>
      </c>
      <c r="T454" s="226">
        <f t="shared" si="114"/>
        <v>9.6908639206748429E-3</v>
      </c>
      <c r="U454" s="226">
        <f t="shared" si="114"/>
        <v>9.4183162907977586E-3</v>
      </c>
      <c r="V454" s="226">
        <f t="shared" si="114"/>
        <v>9.1534338403267274E-3</v>
      </c>
      <c r="W454" s="226">
        <f t="shared" si="114"/>
        <v>8.8960009923537645E-3</v>
      </c>
      <c r="X454" s="226">
        <f t="shared" si="114"/>
        <v>8.6458082328952895E-3</v>
      </c>
      <c r="Y454" s="226">
        <f t="shared" si="114"/>
        <v>8.4026519403773252E-3</v>
      </c>
      <c r="Z454" s="226">
        <f t="shared" si="114"/>
        <v>8.1663342199162943E-3</v>
      </c>
      <c r="AA454" s="226">
        <f t="shared" si="114"/>
        <v>7.9366627422605314E-3</v>
      </c>
      <c r="AB454" s="226">
        <f t="shared" si="114"/>
        <v>7.7134505872614298E-3</v>
      </c>
      <c r="AC454" s="226">
        <f t="shared" si="114"/>
        <v>7.4965160917468427E-3</v>
      </c>
      <c r="AD454" s="226">
        <f t="shared" si="114"/>
        <v>7.2856827016729115E-3</v>
      </c>
      <c r="AE454" s="226">
        <f t="shared" si="112"/>
        <v>7.0807788284340074E-3</v>
      </c>
      <c r="AF454" s="226">
        <f t="shared" si="112"/>
        <v>6.8816377092138399E-3</v>
      </c>
      <c r="AG454" s="226">
        <f t="shared" si="112"/>
        <v>6.6880972712640733E-3</v>
      </c>
      <c r="AH454" s="227">
        <v>6.4999999999999997E-3</v>
      </c>
      <c r="AI454" s="226">
        <f t="shared" si="115"/>
        <v>6.3171928108059034E-3</v>
      </c>
      <c r="AJ454" s="226">
        <f t="shared" si="115"/>
        <v>6.1395269244458135E-3</v>
      </c>
      <c r="AK454" s="226">
        <f t="shared" si="115"/>
        <v>5.9668577459782114E-3</v>
      </c>
      <c r="AL454" s="226">
        <f t="shared" si="115"/>
        <v>5.7990447470761654E-3</v>
      </c>
      <c r="AM454" s="226">
        <f t="shared" si="115"/>
        <v>5.635951351657122E-3</v>
      </c>
      <c r="AN454" s="226">
        <f t="shared" si="115"/>
        <v>5.4774448247292594E-3</v>
      </c>
      <c r="AO454" s="226">
        <f t="shared" si="115"/>
        <v>5.3233961643639506E-3</v>
      </c>
      <c r="AP454" s="226">
        <f t="shared" si="115"/>
        <v>5.1736799967064106E-3</v>
      </c>
      <c r="AQ454" s="226">
        <f t="shared" si="115"/>
        <v>5.028174473939084E-3</v>
      </c>
      <c r="AR454" s="226">
        <f t="shared" si="115"/>
        <v>4.886761175114729E-3</v>
      </c>
      <c r="AS454" s="226">
        <f t="shared" si="115"/>
        <v>4.7493250097784883E-3</v>
      </c>
      <c r="AT454" s="226">
        <f t="shared" si="115"/>
        <v>4.615754124300514E-3</v>
      </c>
      <c r="AU454" s="226">
        <f t="shared" si="115"/>
        <v>4.4859398108429089E-3</v>
      </c>
      <c r="AV454" s="226">
        <f t="shared" si="115"/>
        <v>4.3597764188868949E-3</v>
      </c>
      <c r="AW454" s="226">
        <f t="shared" si="115"/>
        <v>4.2371612692482154E-3</v>
      </c>
      <c r="AX454" s="226">
        <f t="shared" si="115"/>
        <v>4.1179945705107756E-3</v>
      </c>
      <c r="AY454" s="226">
        <f t="shared" si="113"/>
        <v>4.002179337810525E-3</v>
      </c>
      <c r="AZ454" s="226">
        <f t="shared" si="113"/>
        <v>3.8896213139034738E-3</v>
      </c>
      <c r="BA454" s="226">
        <f t="shared" si="113"/>
        <v>3.7802288924536054E-3</v>
      </c>
      <c r="BB454" s="226">
        <f t="shared" si="116"/>
        <v>3.6739130434782583E-3</v>
      </c>
      <c r="BC454" s="226">
        <f t="shared" si="116"/>
        <v>3.5705872408902909E-3</v>
      </c>
      <c r="BD454" s="226">
        <f t="shared" si="116"/>
        <v>3.4701673920780663E-3</v>
      </c>
      <c r="BE454" s="226">
        <f t="shared" si="116"/>
        <v>3.3725717694659432E-3</v>
      </c>
    </row>
    <row r="455" spans="5:57" s="10" customFormat="1" x14ac:dyDescent="0.35">
      <c r="E455" s="10" t="s">
        <v>631</v>
      </c>
      <c r="F455" s="10" t="s">
        <v>615</v>
      </c>
      <c r="G455" s="43" t="s">
        <v>616</v>
      </c>
      <c r="I455" s="20"/>
      <c r="J455" s="200"/>
      <c r="K455" s="200"/>
      <c r="L455" s="200"/>
      <c r="M455" s="200"/>
      <c r="N455" s="200">
        <v>1.1299999999999999E-2</v>
      </c>
      <c r="O455" s="226">
        <f t="shared" si="114"/>
        <v>1.0983317041440382E-2</v>
      </c>
      <c r="P455" s="226">
        <f t="shared" si="114"/>
        <v>1.0675509135645548E-2</v>
      </c>
      <c r="Q455" s="226">
        <f t="shared" si="114"/>
        <v>1.0376327558901614E-2</v>
      </c>
      <c r="R455" s="226">
        <f t="shared" si="114"/>
        <v>1.0085530557986866E-2</v>
      </c>
      <c r="S455" s="226">
        <f t="shared" si="114"/>
        <v>9.8028831548234389E-3</v>
      </c>
      <c r="T455" s="226">
        <f t="shared" si="114"/>
        <v>9.5281569566036395E-3</v>
      </c>
      <c r="U455" s="226">
        <f t="shared" si="114"/>
        <v>9.2611299712374757E-3</v>
      </c>
      <c r="V455" s="226">
        <f t="shared" si="114"/>
        <v>9.0015864279722867E-3</v>
      </c>
      <c r="W455" s="226">
        <f t="shared" si="114"/>
        <v>8.7493166030395107E-3</v>
      </c>
      <c r="X455" s="226">
        <f t="shared" si="114"/>
        <v>8.5041166501877118E-3</v>
      </c>
      <c r="Y455" s="226">
        <f t="shared" si="114"/>
        <v>8.26578843596492E-3</v>
      </c>
      <c r="Z455" s="226">
        <f t="shared" si="114"/>
        <v>8.0341393796171997E-3</v>
      </c>
      <c r="AA455" s="226">
        <f t="shared" si="114"/>
        <v>7.8089822974740574E-3</v>
      </c>
      <c r="AB455" s="226">
        <f t="shared" si="114"/>
        <v>7.5901352516949631E-3</v>
      </c>
      <c r="AC455" s="226">
        <f t="shared" si="114"/>
        <v>7.3774214032547494E-3</v>
      </c>
      <c r="AD455" s="226">
        <f t="shared" si="114"/>
        <v>7.1706688690491068E-3</v>
      </c>
      <c r="AE455" s="226">
        <f t="shared" si="112"/>
        <v>6.969710583004698E-3</v>
      </c>
      <c r="AF455" s="226">
        <f t="shared" si="112"/>
        <v>6.7743841610816711E-3</v>
      </c>
      <c r="AG455" s="226">
        <f t="shared" si="112"/>
        <v>6.58453177005948E-3</v>
      </c>
      <c r="AH455" s="227">
        <v>6.4000000000000003E-3</v>
      </c>
      <c r="AI455" s="226">
        <f t="shared" si="115"/>
        <v>6.2206397402848187E-3</v>
      </c>
      <c r="AJ455" s="226">
        <f t="shared" si="115"/>
        <v>6.0463060591266831E-3</v>
      </c>
      <c r="AK455" s="226">
        <f t="shared" si="115"/>
        <v>5.8768580864575516E-3</v>
      </c>
      <c r="AL455" s="226">
        <f t="shared" si="115"/>
        <v>5.7121589000987561E-3</v>
      </c>
      <c r="AM455" s="226">
        <f t="shared" si="115"/>
        <v>5.5520754151212404E-3</v>
      </c>
      <c r="AN455" s="226">
        <f t="shared" si="115"/>
        <v>5.3964782763064869E-3</v>
      </c>
      <c r="AO455" s="226">
        <f t="shared" si="115"/>
        <v>5.2452417536212265E-3</v>
      </c>
      <c r="AP455" s="226">
        <f t="shared" si="115"/>
        <v>5.098243640621474E-3</v>
      </c>
      <c r="AQ455" s="226">
        <f t="shared" si="115"/>
        <v>4.955365155703796E-3</v>
      </c>
      <c r="AR455" s="226">
        <f t="shared" si="115"/>
        <v>4.8164908461240151E-3</v>
      </c>
      <c r="AS455" s="226">
        <f t="shared" si="115"/>
        <v>4.6815084947057963E-3</v>
      </c>
      <c r="AT455" s="226">
        <f t="shared" si="115"/>
        <v>4.5503090291637242E-3</v>
      </c>
      <c r="AU455" s="226">
        <f t="shared" si="115"/>
        <v>4.4227864339676081E-3</v>
      </c>
      <c r="AV455" s="226">
        <f t="shared" si="115"/>
        <v>4.2988376646767934E-3</v>
      </c>
      <c r="AW455" s="226">
        <f t="shared" si="115"/>
        <v>4.1783625646752568E-3</v>
      </c>
      <c r="AX455" s="226">
        <f t="shared" si="115"/>
        <v>4.0612637842402021E-3</v>
      </c>
      <c r="AY455" s="226">
        <f t="shared" si="113"/>
        <v>3.9474467018787672E-3</v>
      </c>
      <c r="AZ455" s="226">
        <f t="shared" si="113"/>
        <v>3.8368193478692651E-3</v>
      </c>
      <c r="BA455" s="226">
        <f t="shared" si="113"/>
        <v>3.7292923299451922E-3</v>
      </c>
      <c r="BB455" s="226">
        <f t="shared" si="116"/>
        <v>3.6247787610619413E-3</v>
      </c>
      <c r="BC455" s="226">
        <f t="shared" si="116"/>
        <v>3.5231941891878562E-3</v>
      </c>
      <c r="BD455" s="226">
        <f t="shared" si="116"/>
        <v>3.4244565290628948E-3</v>
      </c>
      <c r="BE455" s="226">
        <f t="shared" si="116"/>
        <v>3.3284859958697586E-3</v>
      </c>
    </row>
    <row r="456" spans="5:57" s="10" customFormat="1" x14ac:dyDescent="0.35">
      <c r="E456" s="10" t="s">
        <v>632</v>
      </c>
      <c r="F456" s="10" t="s">
        <v>615</v>
      </c>
      <c r="G456" s="43" t="s">
        <v>616</v>
      </c>
      <c r="I456" s="20"/>
      <c r="J456" s="200"/>
      <c r="K456" s="200"/>
      <c r="L456" s="200"/>
      <c r="M456" s="200"/>
      <c r="N456" s="200">
        <v>1.12E-2</v>
      </c>
      <c r="O456" s="226">
        <f t="shared" si="114"/>
        <v>1.0882386568066423E-2</v>
      </c>
      <c r="P456" s="226">
        <f t="shared" si="114"/>
        <v>1.0573780126502902E-2</v>
      </c>
      <c r="Q456" s="226">
        <f t="shared" si="114"/>
        <v>1.0273925251994899E-2</v>
      </c>
      <c r="R456" s="226">
        <f t="shared" si="114"/>
        <v>9.9825737646096185E-3</v>
      </c>
      <c r="S456" s="226">
        <f t="shared" si="114"/>
        <v>9.6994845223857123E-3</v>
      </c>
      <c r="T456" s="226">
        <f t="shared" si="114"/>
        <v>9.424423221748076E-3</v>
      </c>
      <c r="U456" s="226">
        <f t="shared" si="114"/>
        <v>9.1571622035825501E-3</v>
      </c>
      <c r="V456" s="226">
        <f t="shared" si="114"/>
        <v>8.8974802648100256E-3</v>
      </c>
      <c r="W456" s="226">
        <f t="shared" si="114"/>
        <v>8.645162475303992E-3</v>
      </c>
      <c r="X456" s="226">
        <f t="shared" si="114"/>
        <v>8.400000000000003E-3</v>
      </c>
      <c r="Y456" s="226">
        <f t="shared" si="114"/>
        <v>8.1617899260498211E-3</v>
      </c>
      <c r="Z456" s="226">
        <f t="shared" si="114"/>
        <v>7.9303350948771809E-3</v>
      </c>
      <c r="AA456" s="226">
        <f t="shared" si="114"/>
        <v>7.7054439389961787E-3</v>
      </c>
      <c r="AB456" s="226">
        <f t="shared" si="114"/>
        <v>7.4869303234572186E-3</v>
      </c>
      <c r="AC456" s="226">
        <f t="shared" si="114"/>
        <v>7.2746133917892895E-3</v>
      </c>
      <c r="AD456" s="226">
        <f t="shared" ref="AD456:AG471" si="117">AC456*(1+($AH456/$N456)^(1/($AH$6-$N$6))-1)</f>
        <v>7.0683174163110622E-3</v>
      </c>
      <c r="AE456" s="226">
        <f t="shared" si="117"/>
        <v>6.8678716526869169E-3</v>
      </c>
      <c r="AF456" s="226">
        <f t="shared" si="117"/>
        <v>6.6731101986075231E-3</v>
      </c>
      <c r="AG456" s="226">
        <f t="shared" si="117"/>
        <v>6.4838718564779975E-3</v>
      </c>
      <c r="AH456" s="227">
        <v>6.3E-3</v>
      </c>
      <c r="AI456" s="226">
        <f t="shared" si="115"/>
        <v>6.1213424445373636E-3</v>
      </c>
      <c r="AJ456" s="226">
        <f t="shared" si="115"/>
        <v>5.9477513211578835E-3</v>
      </c>
      <c r="AK456" s="226">
        <f t="shared" si="115"/>
        <v>5.7790829542471323E-3</v>
      </c>
      <c r="AL456" s="226">
        <f t="shared" si="115"/>
        <v>5.6151977425929122E-3</v>
      </c>
      <c r="AM456" s="226">
        <f t="shared" si="115"/>
        <v>5.4559600438419649E-3</v>
      </c>
      <c r="AN456" s="226">
        <f t="shared" si="115"/>
        <v>5.3012380622332938E-3</v>
      </c>
      <c r="AO456" s="226">
        <f t="shared" si="115"/>
        <v>5.1509037395151853E-3</v>
      </c>
      <c r="AP456" s="226">
        <f t="shared" si="115"/>
        <v>5.00483264895564E-3</v>
      </c>
      <c r="AQ456" s="226">
        <f t="shared" si="115"/>
        <v>4.8629038923584961E-3</v>
      </c>
      <c r="AR456" s="226">
        <f t="shared" si="115"/>
        <v>4.7250000000000026E-3</v>
      </c>
      <c r="AS456" s="226">
        <f t="shared" si="115"/>
        <v>4.5910068334030253E-3</v>
      </c>
      <c r="AT456" s="226">
        <f t="shared" si="115"/>
        <v>4.4608134908684146E-3</v>
      </c>
      <c r="AU456" s="226">
        <f t="shared" si="115"/>
        <v>4.3343122156853505E-3</v>
      </c>
      <c r="AV456" s="226">
        <f t="shared" si="115"/>
        <v>4.2113983069446857E-3</v>
      </c>
      <c r="AW456" s="226">
        <f t="shared" si="115"/>
        <v>4.0919700328814756E-3</v>
      </c>
      <c r="AX456" s="226">
        <f t="shared" ref="AX456:BE471" si="118">AW456*(1+($AH456/$N456)^(1/($AH$6-$N$6))-1)</f>
        <v>3.9759285466749728E-3</v>
      </c>
      <c r="AY456" s="226">
        <f t="shared" si="118"/>
        <v>3.8631778046363911E-3</v>
      </c>
      <c r="AZ456" s="226">
        <f t="shared" si="118"/>
        <v>3.7536244867167321E-3</v>
      </c>
      <c r="BA456" s="226">
        <f t="shared" si="118"/>
        <v>3.6471779192688743E-3</v>
      </c>
      <c r="BB456" s="226">
        <f t="shared" si="116"/>
        <v>3.5437500000000039E-3</v>
      </c>
      <c r="BC456" s="226">
        <f t="shared" si="116"/>
        <v>3.4432551250522707E-3</v>
      </c>
      <c r="BD456" s="226">
        <f t="shared" si="116"/>
        <v>3.3456101181513131E-3</v>
      </c>
      <c r="BE456" s="226">
        <f t="shared" si="116"/>
        <v>3.2507341617640153E-3</v>
      </c>
    </row>
    <row r="457" spans="5:57" s="10" customFormat="1" x14ac:dyDescent="0.35">
      <c r="E457" s="109" t="s">
        <v>633</v>
      </c>
      <c r="F457" s="10" t="s">
        <v>615</v>
      </c>
      <c r="G457" s="43" t="s">
        <v>616</v>
      </c>
      <c r="I457" s="20"/>
      <c r="J457" s="200"/>
      <c r="K457" s="200"/>
      <c r="L457" s="200"/>
      <c r="M457" s="200"/>
      <c r="N457" s="200">
        <v>1.0800000000000001E-2</v>
      </c>
      <c r="O457" s="226">
        <f t="shared" ref="O457:AD472" si="119">N457*(1+($AH457/$N457)^(1/($AH$6-$N$6))-1)</f>
        <v>1.0504421796858765E-2</v>
      </c>
      <c r="P457" s="226">
        <f t="shared" si="119"/>
        <v>1.0216933082066806E-2</v>
      </c>
      <c r="Q457" s="226">
        <f t="shared" si="119"/>
        <v>9.9373124596583273E-3</v>
      </c>
      <c r="R457" s="226">
        <f t="shared" si="119"/>
        <v>9.6653445929102879E-3</v>
      </c>
      <c r="S457" s="226">
        <f t="shared" si="119"/>
        <v>9.4008200385109104E-3</v>
      </c>
      <c r="T457" s="226">
        <f t="shared" si="119"/>
        <v>9.1435350852667272E-3</v>
      </c>
      <c r="U457" s="226">
        <f t="shared" si="119"/>
        <v>8.8932915972239502E-3</v>
      </c>
      <c r="V457" s="226">
        <f t="shared" si="119"/>
        <v>8.6498968610833477E-3</v>
      </c>
      <c r="W457" s="226">
        <f t="shared" si="119"/>
        <v>8.4131634377911223E-3</v>
      </c>
      <c r="X457" s="226">
        <f t="shared" si="119"/>
        <v>8.1829090181915077E-3</v>
      </c>
      <c r="Y457" s="226">
        <f t="shared" si="119"/>
        <v>7.9589562826299087E-3</v>
      </c>
      <c r="Z457" s="226">
        <f t="shared" si="119"/>
        <v>7.7411327643984824E-3</v>
      </c>
      <c r="AA457" s="226">
        <f t="shared" si="119"/>
        <v>7.5292707169189775E-3</v>
      </c>
      <c r="AB457" s="226">
        <f t="shared" si="119"/>
        <v>7.3232069845605664E-3</v>
      </c>
      <c r="AC457" s="226">
        <f t="shared" si="119"/>
        <v>7.1227828769931806E-3</v>
      </c>
      <c r="AD457" s="226">
        <f t="shared" si="119"/>
        <v>6.9278440469795867E-3</v>
      </c>
      <c r="AE457" s="226">
        <f t="shared" si="117"/>
        <v>6.7382403715120923E-3</v>
      </c>
      <c r="AF457" s="226">
        <f t="shared" si="117"/>
        <v>6.5538258362023444E-3</v>
      </c>
      <c r="AG457" s="226">
        <f t="shared" si="117"/>
        <v>6.3744584228351874E-3</v>
      </c>
      <c r="AH457" s="227">
        <v>6.1999999999999998E-3</v>
      </c>
      <c r="AI457" s="226">
        <f t="shared" ref="AI457:AX472" si="120">AH457*(1+($AH457/$N457)^(1/($AH$6-$N$6))-1)</f>
        <v>6.0303162167152161E-3</v>
      </c>
      <c r="AJ457" s="226">
        <f t="shared" si="120"/>
        <v>5.8652763989642774E-3</v>
      </c>
      <c r="AK457" s="226">
        <f t="shared" si="120"/>
        <v>5.7047534490631147E-3</v>
      </c>
      <c r="AL457" s="226">
        <f t="shared" si="120"/>
        <v>5.5486237477818329E-3</v>
      </c>
      <c r="AM457" s="226">
        <f t="shared" si="120"/>
        <v>5.3967670591451525E-3</v>
      </c>
      <c r="AN457" s="226">
        <f t="shared" si="120"/>
        <v>5.2490664378383066E-3</v>
      </c>
      <c r="AO457" s="226">
        <f t="shared" si="120"/>
        <v>5.1054081391470833E-3</v>
      </c>
      <c r="AP457" s="226">
        <f t="shared" si="120"/>
        <v>4.9656815313626635E-3</v>
      </c>
      <c r="AQ457" s="226">
        <f t="shared" si="120"/>
        <v>4.8297790105837936E-3</v>
      </c>
      <c r="AR457" s="226">
        <f t="shared" si="120"/>
        <v>4.6975959178506815E-3</v>
      </c>
      <c r="AS457" s="226">
        <f t="shared" si="120"/>
        <v>4.5690304585468012E-3</v>
      </c>
      <c r="AT457" s="226">
        <f t="shared" si="120"/>
        <v>4.4439836240065377E-3</v>
      </c>
      <c r="AU457" s="226">
        <f t="shared" si="120"/>
        <v>4.3223591152683032E-3</v>
      </c>
      <c r="AV457" s="226">
        <f t="shared" si="120"/>
        <v>4.2040632689144004E-3</v>
      </c>
      <c r="AW457" s="226">
        <f t="shared" si="120"/>
        <v>4.0890049849405313E-3</v>
      </c>
      <c r="AX457" s="226">
        <f t="shared" si="120"/>
        <v>3.9770956565993946E-3</v>
      </c>
      <c r="AY457" s="226">
        <f t="shared" si="118"/>
        <v>3.8682491021643515E-3</v>
      </c>
      <c r="AZ457" s="226">
        <f t="shared" si="118"/>
        <v>3.7623814985606073E-3</v>
      </c>
      <c r="BA457" s="226">
        <f t="shared" si="118"/>
        <v>3.6594113168127947E-3</v>
      </c>
      <c r="BB457" s="226">
        <f t="shared" si="118"/>
        <v>3.5592592592592551E-3</v>
      </c>
      <c r="BC457" s="226">
        <f t="shared" si="118"/>
        <v>3.4618481984846571E-3</v>
      </c>
      <c r="BD457" s="226">
        <f t="shared" si="118"/>
        <v>3.367103117923933E-3</v>
      </c>
      <c r="BE457" s="226">
        <f t="shared" si="118"/>
        <v>3.2749510540917839E-3</v>
      </c>
    </row>
    <row r="458" spans="5:57" s="10" customFormat="1" x14ac:dyDescent="0.35">
      <c r="E458" s="109" t="s">
        <v>634</v>
      </c>
      <c r="F458" s="10" t="s">
        <v>615</v>
      </c>
      <c r="G458" s="43" t="s">
        <v>616</v>
      </c>
      <c r="I458" s="20"/>
      <c r="J458" s="200"/>
      <c r="K458" s="200"/>
      <c r="L458" s="200"/>
      <c r="M458" s="200"/>
      <c r="N458" s="200">
        <v>1.04E-2</v>
      </c>
      <c r="O458" s="226">
        <f t="shared" si="119"/>
        <v>1.0117873256974949E-2</v>
      </c>
      <c r="P458" s="226">
        <f t="shared" si="119"/>
        <v>9.8433999273277763E-3</v>
      </c>
      <c r="Q458" s="226">
        <f t="shared" si="119"/>
        <v>9.576372392540276E-3</v>
      </c>
      <c r="R458" s="226">
        <f t="shared" si="119"/>
        <v>9.3165886662804308E-3</v>
      </c>
      <c r="S458" s="226">
        <f t="shared" si="119"/>
        <v>9.0638522416148747E-3</v>
      </c>
      <c r="T458" s="226">
        <f t="shared" si="119"/>
        <v>8.8179719423661148E-3</v>
      </c>
      <c r="U458" s="226">
        <f t="shared" si="119"/>
        <v>8.5787617785020743E-3</v>
      </c>
      <c r="V458" s="226">
        <f t="shared" si="119"/>
        <v>8.3460408054485576E-3</v>
      </c>
      <c r="W458" s="226">
        <f t="shared" si="119"/>
        <v>8.1196329872182341E-3</v>
      </c>
      <c r="X458" s="226">
        <f t="shared" si="119"/>
        <v>7.8993670632525968E-3</v>
      </c>
      <c r="Y458" s="226">
        <f t="shared" si="119"/>
        <v>7.6850764188761732E-3</v>
      </c>
      <c r="Z458" s="226">
        <f t="shared" si="119"/>
        <v>7.4765989592650052E-3</v>
      </c>
      <c r="AA458" s="226">
        <f t="shared" si="119"/>
        <v>7.273776986834052E-3</v>
      </c>
      <c r="AB458" s="226">
        <f t="shared" si="119"/>
        <v>7.0764570819507782E-3</v>
      </c>
      <c r="AC458" s="226">
        <f t="shared" si="119"/>
        <v>6.8844899868846891E-3</v>
      </c>
      <c r="AD458" s="226">
        <f t="shared" si="119"/>
        <v>6.6977304929050404E-3</v>
      </c>
      <c r="AE458" s="226">
        <f t="shared" si="117"/>
        <v>6.5160373304413034E-3</v>
      </c>
      <c r="AF458" s="226">
        <f t="shared" si="117"/>
        <v>6.3392730622233179E-3</v>
      </c>
      <c r="AG458" s="226">
        <f t="shared" si="117"/>
        <v>6.1673039793202888E-3</v>
      </c>
      <c r="AH458" s="227">
        <v>6.0000000000000001E-3</v>
      </c>
      <c r="AI458" s="226">
        <f t="shared" si="120"/>
        <v>5.8372345713317017E-3</v>
      </c>
      <c r="AJ458" s="226">
        <f t="shared" si="120"/>
        <v>5.6788845734583333E-3</v>
      </c>
      <c r="AK458" s="226">
        <f t="shared" si="120"/>
        <v>5.5248302264655448E-3</v>
      </c>
      <c r="AL458" s="226">
        <f t="shared" si="120"/>
        <v>5.374954999777172E-3</v>
      </c>
      <c r="AM458" s="226">
        <f t="shared" si="120"/>
        <v>5.2291455240085815E-3</v>
      </c>
      <c r="AN458" s="226">
        <f t="shared" si="120"/>
        <v>5.0872915052112199E-3</v>
      </c>
      <c r="AO458" s="226">
        <f t="shared" si="120"/>
        <v>4.9492856414435037E-3</v>
      </c>
      <c r="AP458" s="226">
        <f t="shared" si="120"/>
        <v>4.8150235416049361E-3</v>
      </c>
      <c r="AQ458" s="226">
        <f t="shared" si="120"/>
        <v>4.6844036464720575E-3</v>
      </c>
      <c r="AR458" s="226">
        <f t="shared" si="120"/>
        <v>4.5573271518764974E-3</v>
      </c>
      <c r="AS458" s="226">
        <f t="shared" si="120"/>
        <v>4.4336979339670221E-3</v>
      </c>
      <c r="AT458" s="226">
        <f t="shared" si="120"/>
        <v>4.3134224764990407E-3</v>
      </c>
      <c r="AU458" s="226">
        <f t="shared" si="120"/>
        <v>4.1964098000965679E-3</v>
      </c>
      <c r="AV458" s="226">
        <f t="shared" si="120"/>
        <v>4.0825713934331403E-3</v>
      </c>
      <c r="AW458" s="226">
        <f t="shared" si="120"/>
        <v>3.9718211462796277E-3</v>
      </c>
      <c r="AX458" s="226">
        <f t="shared" si="120"/>
        <v>3.8640752843682917E-3</v>
      </c>
      <c r="AY458" s="226">
        <f t="shared" si="118"/>
        <v>3.7592523060238285E-3</v>
      </c>
      <c r="AZ458" s="226">
        <f t="shared" si="118"/>
        <v>3.6572729205134524E-3</v>
      </c>
      <c r="BA458" s="226">
        <f t="shared" si="118"/>
        <v>3.5580599880693973E-3</v>
      </c>
      <c r="BB458" s="226">
        <f t="shared" si="118"/>
        <v>3.4615384615384582E-3</v>
      </c>
      <c r="BC458" s="226">
        <f t="shared" si="118"/>
        <v>3.3676353296144402E-3</v>
      </c>
      <c r="BD458" s="226">
        <f t="shared" si="118"/>
        <v>3.2762795616105736E-3</v>
      </c>
      <c r="BE458" s="226">
        <f t="shared" si="118"/>
        <v>3.1874020537301186E-3</v>
      </c>
    </row>
    <row r="459" spans="5:57" s="10" customFormat="1" x14ac:dyDescent="0.35">
      <c r="E459" s="109" t="s">
        <v>635</v>
      </c>
      <c r="F459" s="10" t="s">
        <v>615</v>
      </c>
      <c r="G459" s="43" t="s">
        <v>616</v>
      </c>
      <c r="I459" s="20"/>
      <c r="J459" s="200"/>
      <c r="K459" s="200"/>
      <c r="L459" s="200"/>
      <c r="M459" s="200"/>
      <c r="N459" s="200">
        <v>1.01E-2</v>
      </c>
      <c r="O459" s="226">
        <f t="shared" si="119"/>
        <v>9.8237364956363649E-3</v>
      </c>
      <c r="P459" s="226">
        <f t="shared" si="119"/>
        <v>9.5550295777918678E-3</v>
      </c>
      <c r="Q459" s="226">
        <f t="shared" si="119"/>
        <v>9.2936725524989019E-3</v>
      </c>
      <c r="R459" s="226">
        <f t="shared" si="119"/>
        <v>9.0394643794532124E-3</v>
      </c>
      <c r="S459" s="226">
        <f t="shared" si="119"/>
        <v>8.7922095173702426E-3</v>
      </c>
      <c r="T459" s="226">
        <f t="shared" si="119"/>
        <v>8.5517177735714312E-3</v>
      </c>
      <c r="U459" s="226">
        <f t="shared" si="119"/>
        <v>8.3178041576847366E-3</v>
      </c>
      <c r="V459" s="226">
        <f t="shared" si="119"/>
        <v>8.0902887393468764E-3</v>
      </c>
      <c r="W459" s="226">
        <f t="shared" si="119"/>
        <v>7.868996509797806E-3</v>
      </c>
      <c r="X459" s="226">
        <f t="shared" si="119"/>
        <v>7.6537572472609797E-3</v>
      </c>
      <c r="Y459" s="226">
        <f t="shared" si="119"/>
        <v>7.444405386005843E-3</v>
      </c>
      <c r="Z459" s="226">
        <f t="shared" si="119"/>
        <v>7.2407798889918343E-3</v>
      </c>
      <c r="AA459" s="226">
        <f t="shared" si="119"/>
        <v>7.0427241239959327E-3</v>
      </c>
      <c r="AB459" s="226">
        <f t="shared" si="119"/>
        <v>6.8500857431284656E-3</v>
      </c>
      <c r="AC459" s="226">
        <f t="shared" si="119"/>
        <v>6.6627165656445017E-3</v>
      </c>
      <c r="AD459" s="226">
        <f t="shared" si="119"/>
        <v>6.4804724639606808E-3</v>
      </c>
      <c r="AE459" s="226">
        <f t="shared" si="117"/>
        <v>6.3032132527898084E-3</v>
      </c>
      <c r="AF459" s="226">
        <f t="shared" si="117"/>
        <v>6.1308025813079257E-3</v>
      </c>
      <c r="AG459" s="226">
        <f t="shared" si="117"/>
        <v>5.9631078282709219E-3</v>
      </c>
      <c r="AH459" s="227">
        <v>5.7999999999999996E-3</v>
      </c>
      <c r="AI459" s="226">
        <f t="shared" si="120"/>
        <v>5.6413536311575169E-3</v>
      </c>
      <c r="AJ459" s="226">
        <f t="shared" si="120"/>
        <v>5.4870466882369143E-3</v>
      </c>
      <c r="AK459" s="226">
        <f t="shared" si="120"/>
        <v>5.3369604756924385E-3</v>
      </c>
      <c r="AL459" s="226">
        <f t="shared" si="120"/>
        <v>5.1909795446364983E-3</v>
      </c>
      <c r="AM459" s="226">
        <f t="shared" si="120"/>
        <v>5.0489916040343972E-3</v>
      </c>
      <c r="AN459" s="226">
        <f t="shared" si="120"/>
        <v>4.910887434328149E-3</v>
      </c>
      <c r="AO459" s="226">
        <f t="shared" si="120"/>
        <v>4.7765608034229185E-3</v>
      </c>
      <c r="AP459" s="226">
        <f t="shared" si="120"/>
        <v>4.6459083849714738E-3</v>
      </c>
      <c r="AQ459" s="226">
        <f t="shared" si="120"/>
        <v>4.5188296788937895E-3</v>
      </c>
      <c r="AR459" s="226">
        <f t="shared" si="120"/>
        <v>4.3952269340706614E-3</v>
      </c>
      <c r="AS459" s="226">
        <f t="shared" si="120"/>
        <v>4.2750050731518701E-3</v>
      </c>
      <c r="AT459" s="226">
        <f t="shared" si="120"/>
        <v>4.1580716194210537E-3</v>
      </c>
      <c r="AU459" s="226">
        <f t="shared" si="120"/>
        <v>4.0443366256610307E-3</v>
      </c>
      <c r="AV459" s="226">
        <f t="shared" si="120"/>
        <v>3.933712604964861E-3</v>
      </c>
      <c r="AW459" s="226">
        <f t="shared" si="120"/>
        <v>3.826114463439416E-3</v>
      </c>
      <c r="AX459" s="226">
        <f t="shared" si="120"/>
        <v>3.7214594347496975E-3</v>
      </c>
      <c r="AY459" s="226">
        <f t="shared" si="118"/>
        <v>3.619667016453553E-3</v>
      </c>
      <c r="AZ459" s="226">
        <f t="shared" si="118"/>
        <v>3.5206589080778185E-3</v>
      </c>
      <c r="BA459" s="226">
        <f t="shared" si="118"/>
        <v>3.424358950888252E-3</v>
      </c>
      <c r="BB459" s="226">
        <f t="shared" si="118"/>
        <v>3.3306930693069287E-3</v>
      </c>
      <c r="BC459" s="226">
        <f t="shared" si="118"/>
        <v>3.2395892139320376E-3</v>
      </c>
      <c r="BD459" s="226">
        <f t="shared" si="118"/>
        <v>3.1509773061162462E-3</v>
      </c>
      <c r="BE459" s="226">
        <f t="shared" si="118"/>
        <v>3.064789184061003E-3</v>
      </c>
    </row>
    <row r="460" spans="5:57" s="10" customFormat="1" x14ac:dyDescent="0.35">
      <c r="E460" s="10" t="s">
        <v>636</v>
      </c>
      <c r="F460" s="10" t="s">
        <v>615</v>
      </c>
      <c r="G460" s="43" t="s">
        <v>616</v>
      </c>
      <c r="I460" s="20"/>
      <c r="J460" s="200"/>
      <c r="K460" s="200"/>
      <c r="L460" s="200"/>
      <c r="M460" s="200"/>
      <c r="N460" s="200">
        <v>9.7000000000000003E-3</v>
      </c>
      <c r="O460" s="226">
        <f t="shared" si="119"/>
        <v>9.4455421493260527E-3</v>
      </c>
      <c r="P460" s="226">
        <f t="shared" si="119"/>
        <v>9.1977594324427862E-3</v>
      </c>
      <c r="Q460" s="226">
        <f t="shared" si="119"/>
        <v>8.9564767421133618E-3</v>
      </c>
      <c r="R460" s="226">
        <f t="shared" si="119"/>
        <v>8.7215235646484791E-3</v>
      </c>
      <c r="S460" s="226">
        <f t="shared" si="119"/>
        <v>8.4927338594049089E-3</v>
      </c>
      <c r="T460" s="226">
        <f t="shared" si="119"/>
        <v>8.2699459414451119E-3</v>
      </c>
      <c r="U460" s="226">
        <f t="shared" si="119"/>
        <v>8.0530023672750247E-3</v>
      </c>
      <c r="V460" s="226">
        <f t="shared" si="119"/>
        <v>7.8417498235792502E-3</v>
      </c>
      <c r="W460" s="226">
        <f t="shared" si="119"/>
        <v>7.6360390188750463E-3</v>
      </c>
      <c r="X460" s="226">
        <f t="shared" si="119"/>
        <v>7.4357245780085164E-3</v>
      </c>
      <c r="Y460" s="226">
        <f t="shared" si="119"/>
        <v>7.2406649394184657E-3</v>
      </c>
      <c r="Z460" s="226">
        <f t="shared" si="119"/>
        <v>7.0507222550953083E-3</v>
      </c>
      <c r="AA460" s="226">
        <f t="shared" si="119"/>
        <v>6.8657622931643271E-3</v>
      </c>
      <c r="AB460" s="226">
        <f t="shared" si="119"/>
        <v>6.6856543430244483E-3</v>
      </c>
      <c r="AC460" s="226">
        <f t="shared" si="119"/>
        <v>6.5102711229754855E-3</v>
      </c>
      <c r="AD460" s="226">
        <f t="shared" si="119"/>
        <v>6.3394886902685774E-3</v>
      </c>
      <c r="AE460" s="226">
        <f t="shared" si="117"/>
        <v>6.1731863535162542E-3</v>
      </c>
      <c r="AF460" s="226">
        <f t="shared" si="117"/>
        <v>6.0112465874002244E-3</v>
      </c>
      <c r="AG460" s="226">
        <f t="shared" si="117"/>
        <v>5.8535549496166201E-3</v>
      </c>
      <c r="AH460" s="227">
        <v>5.7000000000000002E-3</v>
      </c>
      <c r="AI460" s="226">
        <f t="shared" si="120"/>
        <v>5.5504732217689177E-3</v>
      </c>
      <c r="AJ460" s="226">
        <f t="shared" si="120"/>
        <v>5.404868944837514E-3</v>
      </c>
      <c r="AK460" s="226">
        <f t="shared" si="120"/>
        <v>5.2630842711387802E-3</v>
      </c>
      <c r="AL460" s="226">
        <f t="shared" si="120"/>
        <v>5.125019001906839E-3</v>
      </c>
      <c r="AM460" s="226">
        <f t="shared" si="120"/>
        <v>4.9905755668668032E-3</v>
      </c>
      <c r="AN460" s="226">
        <f t="shared" si="120"/>
        <v>4.8596589552821808E-3</v>
      </c>
      <c r="AO460" s="226">
        <f t="shared" si="120"/>
        <v>4.732176648811098E-3</v>
      </c>
      <c r="AP460" s="226">
        <f t="shared" si="120"/>
        <v>4.6080385561238901E-3</v>
      </c>
      <c r="AQ460" s="226">
        <f t="shared" si="120"/>
        <v>4.4871569492358531E-3</v>
      </c>
      <c r="AR460" s="226">
        <f t="shared" si="120"/>
        <v>4.3694464015101601E-3</v>
      </c>
      <c r="AS460" s="226">
        <f t="shared" si="120"/>
        <v>4.2548237272871407E-3</v>
      </c>
      <c r="AT460" s="226">
        <f t="shared" si="120"/>
        <v>4.1432079230972439E-3</v>
      </c>
      <c r="AU460" s="226">
        <f t="shared" si="120"/>
        <v>4.0345201104161517E-3</v>
      </c>
      <c r="AV460" s="226">
        <f t="shared" si="120"/>
        <v>3.9286834799215839E-3</v>
      </c>
      <c r="AW460" s="226">
        <f t="shared" si="120"/>
        <v>3.8256232372123997E-3</v>
      </c>
      <c r="AX460" s="226">
        <f t="shared" si="120"/>
        <v>3.7252665499516394E-3</v>
      </c>
      <c r="AY460" s="226">
        <f t="shared" si="118"/>
        <v>3.6275424963961504E-3</v>
      </c>
      <c r="AZ460" s="226">
        <f t="shared" si="118"/>
        <v>3.5323820152764218E-3</v>
      </c>
      <c r="BA460" s="226">
        <f t="shared" si="118"/>
        <v>3.4397178569912112E-3</v>
      </c>
      <c r="BB460" s="226">
        <f t="shared" si="118"/>
        <v>3.3494845360824712E-3</v>
      </c>
      <c r="BC460" s="226">
        <f t="shared" si="118"/>
        <v>3.2616182849569898E-3</v>
      </c>
      <c r="BD460" s="226">
        <f t="shared" si="118"/>
        <v>3.1760570088220415E-3</v>
      </c>
      <c r="BE460" s="226">
        <f t="shared" si="118"/>
        <v>3.0927402418031982E-3</v>
      </c>
    </row>
    <row r="461" spans="5:57" s="10" customFormat="1" x14ac:dyDescent="0.35">
      <c r="E461" s="10" t="s">
        <v>637</v>
      </c>
      <c r="F461" s="10" t="s">
        <v>615</v>
      </c>
      <c r="G461" s="43" t="s">
        <v>616</v>
      </c>
      <c r="I461" s="20"/>
      <c r="J461" s="200"/>
      <c r="K461" s="200"/>
      <c r="L461" s="200"/>
      <c r="M461" s="200"/>
      <c r="N461" s="200">
        <v>9.2999999999999992E-3</v>
      </c>
      <c r="O461" s="226">
        <f t="shared" si="119"/>
        <v>9.0589306633680165E-3</v>
      </c>
      <c r="P461" s="226">
        <f t="shared" si="119"/>
        <v>8.8241101896461612E-3</v>
      </c>
      <c r="Q461" s="226">
        <f t="shared" si="119"/>
        <v>8.5953765993466436E-3</v>
      </c>
      <c r="R461" s="226">
        <f t="shared" si="119"/>
        <v>8.3725721117222825E-3</v>
      </c>
      <c r="S461" s="226">
        <f t="shared" si="119"/>
        <v>8.1555430359291289E-3</v>
      </c>
      <c r="T461" s="226">
        <f t="shared" si="119"/>
        <v>7.9441396650103101E-3</v>
      </c>
      <c r="U461" s="226">
        <f t="shared" si="119"/>
        <v>7.7382161726279597E-3</v>
      </c>
      <c r="V461" s="226">
        <f t="shared" si="119"/>
        <v>7.5376305124720128E-3</v>
      </c>
      <c r="W461" s="226">
        <f t="shared" si="119"/>
        <v>7.342244320276462E-3</v>
      </c>
      <c r="X461" s="226">
        <f t="shared" si="119"/>
        <v>7.1519228183754956E-3</v>
      </c>
      <c r="Y461" s="226">
        <f t="shared" si="119"/>
        <v>6.9665347227336758E-3</v>
      </c>
      <c r="Z461" s="226">
        <f t="shared" si="119"/>
        <v>6.7859521523860331E-3</v>
      </c>
      <c r="AA461" s="226">
        <f t="shared" si="119"/>
        <v>6.6100505412255949E-3</v>
      </c>
      <c r="AB461" s="226">
        <f t="shared" si="119"/>
        <v>6.4387085520775161E-3</v>
      </c>
      <c r="AC461" s="226">
        <f t="shared" si="119"/>
        <v>6.2718079930005272E-3</v>
      </c>
      <c r="AD461" s="226">
        <f t="shared" si="119"/>
        <v>6.1092337357579679E-3</v>
      </c>
      <c r="AE461" s="226">
        <f t="shared" si="117"/>
        <v>5.950873636402172E-3</v>
      </c>
      <c r="AF461" s="226">
        <f t="shared" si="117"/>
        <v>5.7966184579174166E-3</v>
      </c>
      <c r="AG461" s="226">
        <f t="shared" si="117"/>
        <v>5.6463617948680767E-3</v>
      </c>
      <c r="AH461" s="227">
        <v>5.4999999999999997E-3</v>
      </c>
      <c r="AI461" s="226">
        <f t="shared" si="120"/>
        <v>5.357432112744526E-3</v>
      </c>
      <c r="AJ461" s="226">
        <f t="shared" si="120"/>
        <v>5.2185597895756872E-3</v>
      </c>
      <c r="AK461" s="226">
        <f t="shared" si="120"/>
        <v>5.083287236172746E-3</v>
      </c>
      <c r="AL461" s="226">
        <f t="shared" si="120"/>
        <v>4.9515211413411345E-3</v>
      </c>
      <c r="AM461" s="226">
        <f t="shared" si="120"/>
        <v>4.8231706126462583E-3</v>
      </c>
      <c r="AN461" s="226">
        <f t="shared" si="120"/>
        <v>4.6981471137157735E-3</v>
      </c>
      <c r="AO461" s="226">
        <f t="shared" si="120"/>
        <v>4.5763644031670721E-3</v>
      </c>
      <c r="AP461" s="226">
        <f t="shared" si="120"/>
        <v>4.4577384751178567E-3</v>
      </c>
      <c r="AQ461" s="226">
        <f t="shared" si="120"/>
        <v>4.3421875012387675E-3</v>
      </c>
      <c r="AR461" s="226">
        <f t="shared" si="120"/>
        <v>4.2296317743080883E-3</v>
      </c>
      <c r="AS461" s="226">
        <f t="shared" si="120"/>
        <v>4.1199936532295926E-3</v>
      </c>
      <c r="AT461" s="226">
        <f t="shared" si="120"/>
        <v>4.0131975094756097E-3</v>
      </c>
      <c r="AU461" s="226">
        <f t="shared" si="120"/>
        <v>3.9091696749183613E-3</v>
      </c>
      <c r="AV461" s="226">
        <f t="shared" si="120"/>
        <v>3.8078383910135835E-3</v>
      </c>
      <c r="AW461" s="226">
        <f t="shared" si="120"/>
        <v>3.7091337593013855E-3</v>
      </c>
      <c r="AX461" s="226">
        <f t="shared" si="120"/>
        <v>3.6129876931901943E-3</v>
      </c>
      <c r="AY461" s="226">
        <f t="shared" si="118"/>
        <v>3.5193338709905301E-3</v>
      </c>
      <c r="AZ461" s="226">
        <f t="shared" si="118"/>
        <v>3.4281076901662125E-3</v>
      </c>
      <c r="BA461" s="226">
        <f t="shared" si="118"/>
        <v>3.3392462227714416E-3</v>
      </c>
      <c r="BB461" s="226">
        <f t="shared" si="118"/>
        <v>3.2526881720430154E-3</v>
      </c>
      <c r="BC461" s="226">
        <f t="shared" si="118"/>
        <v>3.1683738301177353E-3</v>
      </c>
      <c r="BD461" s="226">
        <f t="shared" si="118"/>
        <v>3.0862450368458411E-3</v>
      </c>
      <c r="BE461" s="226">
        <f t="shared" si="118"/>
        <v>3.0062451396720589E-3</v>
      </c>
    </row>
    <row r="462" spans="5:57" s="10" customFormat="1" x14ac:dyDescent="0.35">
      <c r="E462" s="10" t="s">
        <v>638</v>
      </c>
      <c r="F462" s="10" t="s">
        <v>615</v>
      </c>
      <c r="G462" s="43" t="s">
        <v>616</v>
      </c>
      <c r="I462" s="20"/>
      <c r="J462" s="200"/>
      <c r="K462" s="200"/>
      <c r="L462" s="200"/>
      <c r="M462" s="200"/>
      <c r="N462" s="200">
        <v>9.1999999999999998E-3</v>
      </c>
      <c r="O462" s="226">
        <f t="shared" si="119"/>
        <v>8.9581457455671348E-3</v>
      </c>
      <c r="P462" s="226">
        <f t="shared" si="119"/>
        <v>8.7226494781328864E-3</v>
      </c>
      <c r="Q462" s="226">
        <f t="shared" si="119"/>
        <v>8.4933440557184246E-3</v>
      </c>
      <c r="R462" s="226">
        <f t="shared" si="119"/>
        <v>8.2700667302578173E-3</v>
      </c>
      <c r="S462" s="226">
        <f t="shared" si="119"/>
        <v>8.0526590320886271E-3</v>
      </c>
      <c r="T462" s="226">
        <f t="shared" si="119"/>
        <v>7.840966657479076E-3</v>
      </c>
      <c r="U462" s="226">
        <f t="shared" si="119"/>
        <v>7.6348393591119503E-3</v>
      </c>
      <c r="V462" s="226">
        <f t="shared" si="119"/>
        <v>7.4341308394475242E-3</v>
      </c>
      <c r="W462" s="226">
        <f t="shared" si="119"/>
        <v>7.2386986468898117E-3</v>
      </c>
      <c r="X462" s="226">
        <f t="shared" si="119"/>
        <v>7.0484040746824498E-3</v>
      </c>
      <c r="Y462" s="226">
        <f t="shared" si="119"/>
        <v>6.8631120624624616E-3</v>
      </c>
      <c r="Z462" s="226">
        <f t="shared" si="119"/>
        <v>6.6826911004020202E-3</v>
      </c>
      <c r="AA462" s="226">
        <f t="shared" si="119"/>
        <v>6.5070131358701856E-3</v>
      </c>
      <c r="AB462" s="226">
        <f t="shared" si="119"/>
        <v>6.3359534825483659E-3</v>
      </c>
      <c r="AC462" s="226">
        <f t="shared" si="119"/>
        <v>6.1693907319349903E-3</v>
      </c>
      <c r="AD462" s="226">
        <f t="shared" si="119"/>
        <v>6.0072066671766023E-3</v>
      </c>
      <c r="AE462" s="226">
        <f t="shared" si="117"/>
        <v>5.849286179164196E-3</v>
      </c>
      <c r="AF462" s="226">
        <f t="shared" si="117"/>
        <v>5.6955171848352588E-3</v>
      </c>
      <c r="AG462" s="226">
        <f t="shared" si="117"/>
        <v>5.54579054762353E-3</v>
      </c>
      <c r="AH462" s="227">
        <v>5.4000000000000003E-3</v>
      </c>
      <c r="AI462" s="226">
        <f t="shared" si="120"/>
        <v>5.2580420680502747E-3</v>
      </c>
      <c r="AJ462" s="226">
        <f t="shared" si="120"/>
        <v>5.1198159980345203E-3</v>
      </c>
      <c r="AK462" s="226">
        <f t="shared" si="120"/>
        <v>4.9852236848782058E-3</v>
      </c>
      <c r="AL462" s="226">
        <f t="shared" si="120"/>
        <v>4.8541696025426314E-3</v>
      </c>
      <c r="AM462" s="226">
        <f t="shared" si="120"/>
        <v>4.726560736225933E-3</v>
      </c>
      <c r="AN462" s="226">
        <f t="shared" si="120"/>
        <v>4.602306516346414E-3</v>
      </c>
      <c r="AO462" s="226">
        <f t="shared" si="120"/>
        <v>4.4813187542613615E-3</v>
      </c>
      <c r="AP462" s="226">
        <f t="shared" si="120"/>
        <v>4.3635115796757202E-3</v>
      </c>
      <c r="AQ462" s="226">
        <f t="shared" si="120"/>
        <v>4.2488013796961937E-3</v>
      </c>
      <c r="AR462" s="226">
        <f t="shared" si="120"/>
        <v>4.1371067394875248E-3</v>
      </c>
      <c r="AS462" s="226">
        <f t="shared" si="120"/>
        <v>4.0283483844888359E-3</v>
      </c>
      <c r="AT462" s="226">
        <f t="shared" si="120"/>
        <v>3.9224491241490111E-3</v>
      </c>
      <c r="AU462" s="226">
        <f t="shared" si="120"/>
        <v>3.8193337971411953E-3</v>
      </c>
      <c r="AV462" s="226">
        <f t="shared" si="120"/>
        <v>3.7189292180175183E-3</v>
      </c>
      <c r="AW462" s="226">
        <f t="shared" si="120"/>
        <v>3.6211641252661894E-3</v>
      </c>
      <c r="AX462" s="226">
        <f t="shared" si="120"/>
        <v>3.5259691307340923E-3</v>
      </c>
      <c r="AY462" s="226">
        <f t="shared" si="118"/>
        <v>3.4332766703789844E-3</v>
      </c>
      <c r="AZ462" s="226">
        <f t="shared" si="118"/>
        <v>3.3430209563163477E-3</v>
      </c>
      <c r="BA462" s="226">
        <f t="shared" si="118"/>
        <v>3.2551379301268548E-3</v>
      </c>
      <c r="BB462" s="226">
        <f t="shared" si="118"/>
        <v>3.1695652173913146E-3</v>
      </c>
      <c r="BC462" s="226">
        <f t="shared" si="118"/>
        <v>3.0862420834208235E-3</v>
      </c>
      <c r="BD462" s="226">
        <f t="shared" si="118"/>
        <v>3.0051093901507066E-3</v>
      </c>
      <c r="BE462" s="226">
        <f t="shared" si="118"/>
        <v>2.926109554167652E-3</v>
      </c>
    </row>
    <row r="463" spans="5:57" s="10" customFormat="1" x14ac:dyDescent="0.35">
      <c r="E463" s="10" t="s">
        <v>639</v>
      </c>
      <c r="F463" s="10" t="s">
        <v>615</v>
      </c>
      <c r="G463" s="43" t="s">
        <v>616</v>
      </c>
      <c r="I463" s="20"/>
      <c r="J463" s="200"/>
      <c r="K463" s="200"/>
      <c r="L463" s="200"/>
      <c r="M463" s="200"/>
      <c r="N463" s="200">
        <v>9.1000000000000004E-3</v>
      </c>
      <c r="O463" s="226">
        <f t="shared" si="119"/>
        <v>8.8656179208907761E-3</v>
      </c>
      <c r="P463" s="226">
        <f t="shared" si="119"/>
        <v>8.6372726504637017E-3</v>
      </c>
      <c r="Q463" s="226">
        <f t="shared" si="119"/>
        <v>8.4148087030297553E-3</v>
      </c>
      <c r="R463" s="226">
        <f t="shared" si="119"/>
        <v>8.1980745976316782E-3</v>
      </c>
      <c r="S463" s="226">
        <f t="shared" si="119"/>
        <v>7.9869227548970169E-3</v>
      </c>
      <c r="T463" s="226">
        <f t="shared" si="119"/>
        <v>7.7812093965478378E-3</v>
      </c>
      <c r="U463" s="226">
        <f t="shared" si="119"/>
        <v>7.5807944474987048E-3</v>
      </c>
      <c r="V463" s="226">
        <f t="shared" si="119"/>
        <v>7.385541440476243E-3</v>
      </c>
      <c r="W463" s="226">
        <f t="shared" si="119"/>
        <v>7.1953174230953475E-3</v>
      </c>
      <c r="X463" s="226">
        <f t="shared" si="119"/>
        <v>7.009992867328764E-3</v>
      </c>
      <c r="Y463" s="226">
        <f t="shared" si="119"/>
        <v>6.8294415813083967E-3</v>
      </c>
      <c r="Z463" s="226">
        <f t="shared" si="119"/>
        <v>6.6535406233982821E-3</v>
      </c>
      <c r="AA463" s="226">
        <f t="shared" si="119"/>
        <v>6.4821702184807255E-3</v>
      </c>
      <c r="AB463" s="226">
        <f t="shared" si="119"/>
        <v>6.3152136763985935E-3</v>
      </c>
      <c r="AC463" s="226">
        <f t="shared" si="119"/>
        <v>6.1525573124982299E-3</v>
      </c>
      <c r="AD463" s="226">
        <f t="shared" si="119"/>
        <v>5.9940903702188899E-3</v>
      </c>
      <c r="AE463" s="226">
        <f t="shared" si="117"/>
        <v>5.8397049456759805E-3</v>
      </c>
      <c r="AF463" s="226">
        <f t="shared" si="117"/>
        <v>5.6892959141867554E-3</v>
      </c>
      <c r="AG463" s="226">
        <f t="shared" si="117"/>
        <v>5.5427608586884362E-3</v>
      </c>
      <c r="AH463" s="227">
        <v>5.4000000000000003E-3</v>
      </c>
      <c r="AI463" s="226">
        <f t="shared" si="120"/>
        <v>5.2609161288802416E-3</v>
      </c>
      <c r="AJ463" s="226">
        <f t="shared" si="120"/>
        <v>5.1254145398356042E-3</v>
      </c>
      <c r="AK463" s="226">
        <f t="shared" si="120"/>
        <v>4.9934029666330419E-3</v>
      </c>
      <c r="AL463" s="226">
        <f t="shared" si="120"/>
        <v>4.8647915194737429E-3</v>
      </c>
      <c r="AM463" s="226">
        <f t="shared" si="120"/>
        <v>4.7394926237850424E-3</v>
      </c>
      <c r="AN463" s="226">
        <f t="shared" si="120"/>
        <v>4.617420960588826E-3</v>
      </c>
      <c r="AO463" s="226">
        <f t="shared" si="120"/>
        <v>4.498493408405824E-3</v>
      </c>
      <c r="AP463" s="226">
        <f t="shared" si="120"/>
        <v>4.3826289866562311E-3</v>
      </c>
      <c r="AQ463" s="226">
        <f t="shared" si="120"/>
        <v>4.2697488005181174E-3</v>
      </c>
      <c r="AR463" s="226">
        <f t="shared" si="120"/>
        <v>4.1597759872060791E-3</v>
      </c>
      <c r="AS463" s="226">
        <f t="shared" si="120"/>
        <v>4.0526356636335532E-3</v>
      </c>
      <c r="AT463" s="226">
        <f t="shared" si="120"/>
        <v>3.9482548754231558E-3</v>
      </c>
      <c r="AU463" s="226">
        <f t="shared" si="120"/>
        <v>3.8465625472303196E-3</v>
      </c>
      <c r="AV463" s="226">
        <f t="shared" si="120"/>
        <v>3.747489434346417E-3</v>
      </c>
      <c r="AW463" s="226">
        <f t="shared" si="120"/>
        <v>3.6509680755483992E-3</v>
      </c>
      <c r="AX463" s="226">
        <f t="shared" si="120"/>
        <v>3.5569327471628568E-3</v>
      </c>
      <c r="AY463" s="226">
        <f t="shared" si="118"/>
        <v>3.465319418313218E-3</v>
      </c>
      <c r="AZ463" s="226">
        <f t="shared" si="118"/>
        <v>3.3760657073196119E-3</v>
      </c>
      <c r="BA463" s="226">
        <f t="shared" si="118"/>
        <v>3.2891108392217082E-3</v>
      </c>
      <c r="BB463" s="226">
        <f t="shared" si="118"/>
        <v>3.2043956043956131E-3</v>
      </c>
      <c r="BC463" s="226">
        <f t="shared" si="118"/>
        <v>3.1218623182366349E-3</v>
      </c>
      <c r="BD463" s="226">
        <f t="shared" si="118"/>
        <v>3.0414547818804765E-3</v>
      </c>
      <c r="BE463" s="226">
        <f t="shared" si="118"/>
        <v>2.963118243936099E-3</v>
      </c>
    </row>
    <row r="464" spans="5:57" s="10" customFormat="1" x14ac:dyDescent="0.35">
      <c r="E464" s="10" t="s">
        <v>640</v>
      </c>
      <c r="F464" s="10" t="s">
        <v>615</v>
      </c>
      <c r="G464" s="43" t="s">
        <v>616</v>
      </c>
      <c r="I464" s="20"/>
      <c r="J464" s="200"/>
      <c r="K464" s="200"/>
      <c r="L464" s="200"/>
      <c r="M464" s="200"/>
      <c r="N464" s="200">
        <v>8.9999999999999993E-3</v>
      </c>
      <c r="O464" s="226">
        <f t="shared" si="119"/>
        <v>8.764843731295914E-3</v>
      </c>
      <c r="P464" s="226">
        <f t="shared" si="119"/>
        <v>8.5358317371152532E-3</v>
      </c>
      <c r="Q464" s="226">
        <f t="shared" si="119"/>
        <v>8.3128034769390374E-3</v>
      </c>
      <c r="R464" s="226">
        <f t="shared" si="119"/>
        <v>8.0956026049271122E-3</v>
      </c>
      <c r="S464" s="226">
        <f t="shared" si="119"/>
        <v>7.8840768603175865E-3</v>
      </c>
      <c r="T464" s="226">
        <f t="shared" si="119"/>
        <v>7.6780779606899748E-3</v>
      </c>
      <c r="U464" s="226">
        <f t="shared" si="119"/>
        <v>7.4774614980172051E-3</v>
      </c>
      <c r="V464" s="226">
        <f t="shared" si="119"/>
        <v>7.2820868374336286E-3</v>
      </c>
      <c r="W464" s="226">
        <f t="shared" si="119"/>
        <v>7.0918170186480703E-3</v>
      </c>
      <c r="X464" s="226">
        <f t="shared" si="119"/>
        <v>6.9065186599328024E-3</v>
      </c>
      <c r="Y464" s="226">
        <f t="shared" si="119"/>
        <v>6.7260618646211422E-3</v>
      </c>
      <c r="Z464" s="226">
        <f t="shared" si="119"/>
        <v>6.5503201300481251E-3</v>
      </c>
      <c r="AA464" s="226">
        <f t="shared" si="119"/>
        <v>6.3791702588704164E-3</v>
      </c>
      <c r="AB464" s="226">
        <f t="shared" si="119"/>
        <v>6.2124922727033009E-3</v>
      </c>
      <c r="AC464" s="226">
        <f t="shared" si="119"/>
        <v>6.0501693280142037E-3</v>
      </c>
      <c r="AD464" s="226">
        <f t="shared" si="119"/>
        <v>5.8920876342137898E-3</v>
      </c>
      <c r="AE464" s="226">
        <f t="shared" si="117"/>
        <v>5.7381363738872124E-3</v>
      </c>
      <c r="AF464" s="226">
        <f t="shared" si="117"/>
        <v>5.5882076251096008E-3</v>
      </c>
      <c r="AG464" s="226">
        <f t="shared" si="117"/>
        <v>5.4421962857913236E-3</v>
      </c>
      <c r="AH464" s="227">
        <v>5.3E-3</v>
      </c>
      <c r="AI464" s="226">
        <f t="shared" si="120"/>
        <v>5.1615190862075938E-3</v>
      </c>
      <c r="AJ464" s="226">
        <f t="shared" si="120"/>
        <v>5.0266564674123163E-3</v>
      </c>
      <c r="AK464" s="226">
        <f t="shared" si="120"/>
        <v>4.8953176030863228E-3</v>
      </c>
      <c r="AL464" s="226">
        <f t="shared" si="120"/>
        <v>4.7674104229015217E-3</v>
      </c>
      <c r="AM464" s="226">
        <f t="shared" si="120"/>
        <v>4.6428452621870226E-3</v>
      </c>
      <c r="AN464" s="226">
        <f t="shared" si="120"/>
        <v>4.5215347990729847E-3</v>
      </c>
      <c r="AO464" s="226">
        <f t="shared" si="120"/>
        <v>4.4033939932767979E-3</v>
      </c>
      <c r="AP464" s="226">
        <f t="shared" si="120"/>
        <v>4.2883400264886913E-3</v>
      </c>
      <c r="AQ464" s="226">
        <f t="shared" si="120"/>
        <v>4.1762922443149735E-3</v>
      </c>
      <c r="AR464" s="226">
        <f t="shared" si="120"/>
        <v>4.0671720997382046E-3</v>
      </c>
      <c r="AS464" s="226">
        <f t="shared" si="120"/>
        <v>3.960903098054672E-3</v>
      </c>
      <c r="AT464" s="226">
        <f t="shared" si="120"/>
        <v>3.8574107432505621E-3</v>
      </c>
      <c r="AU464" s="226">
        <f t="shared" si="120"/>
        <v>3.7566224857792448E-3</v>
      </c>
      <c r="AV464" s="226">
        <f t="shared" si="120"/>
        <v>3.6584676717030542E-3</v>
      </c>
      <c r="AW464" s="226">
        <f t="shared" si="120"/>
        <v>3.5628774931639193E-3</v>
      </c>
      <c r="AX464" s="226">
        <f t="shared" si="120"/>
        <v>3.46978494014812E-3</v>
      </c>
      <c r="AY464" s="226">
        <f t="shared" si="118"/>
        <v>3.3791247535113578E-3</v>
      </c>
      <c r="AZ464" s="226">
        <f t="shared" si="118"/>
        <v>3.2908333792312085E-3</v>
      </c>
      <c r="BA464" s="226">
        <f t="shared" si="118"/>
        <v>3.2048489238548899E-3</v>
      </c>
      <c r="BB464" s="226">
        <f t="shared" si="118"/>
        <v>3.1211111111111101E-3</v>
      </c>
      <c r="BC464" s="226">
        <f t="shared" si="118"/>
        <v>3.0395612396555824E-3</v>
      </c>
      <c r="BD464" s="226">
        <f t="shared" si="118"/>
        <v>2.9601421419205853E-3</v>
      </c>
      <c r="BE464" s="226">
        <f t="shared" si="118"/>
        <v>2.8827981440397226E-3</v>
      </c>
    </row>
    <row r="465" spans="5:57" s="10" customFormat="1" x14ac:dyDescent="0.35">
      <c r="E465" s="10" t="s">
        <v>641</v>
      </c>
      <c r="F465" s="10" t="s">
        <v>615</v>
      </c>
      <c r="G465" s="43" t="s">
        <v>616</v>
      </c>
      <c r="I465" s="20"/>
      <c r="J465" s="200"/>
      <c r="K465" s="200"/>
      <c r="L465" s="200"/>
      <c r="M465" s="200"/>
      <c r="N465" s="200">
        <v>8.8999999999999999E-3</v>
      </c>
      <c r="O465" s="226">
        <f t="shared" si="119"/>
        <v>8.6723001364519096E-3</v>
      </c>
      <c r="P465" s="226">
        <f t="shared" si="119"/>
        <v>8.4504258041240236E-3</v>
      </c>
      <c r="Q465" s="226">
        <f t="shared" si="119"/>
        <v>8.2342279611439893E-3</v>
      </c>
      <c r="R465" s="226">
        <f t="shared" si="119"/>
        <v>8.0235613787646241E-3</v>
      </c>
      <c r="S465" s="226">
        <f t="shared" si="119"/>
        <v>7.8182845438079466E-3</v>
      </c>
      <c r="T465" s="226">
        <f t="shared" si="119"/>
        <v>7.6182595636051136E-3</v>
      </c>
      <c r="U465" s="226">
        <f t="shared" si="119"/>
        <v>7.4233520733683923E-3</v>
      </c>
      <c r="V465" s="226">
        <f t="shared" si="119"/>
        <v>7.2334311459329526E-3</v>
      </c>
      <c r="W465" s="226">
        <f t="shared" si="119"/>
        <v>7.048369203807847E-3</v>
      </c>
      <c r="X465" s="226">
        <f t="shared" si="119"/>
        <v>6.8680419334771047E-3</v>
      </c>
      <c r="Y465" s="226">
        <f t="shared" si="119"/>
        <v>6.6923282018933631E-3</v>
      </c>
      <c r="Z465" s="226">
        <f t="shared" si="119"/>
        <v>6.5211099751079525E-3</v>
      </c>
      <c r="AA465" s="226">
        <f t="shared" si="119"/>
        <v>6.3542722389827644E-3</v>
      </c>
      <c r="AB465" s="226">
        <f t="shared" si="119"/>
        <v>6.1917029219306528E-3</v>
      </c>
      <c r="AC465" s="226">
        <f t="shared" si="119"/>
        <v>6.0332928196324591E-3</v>
      </c>
      <c r="AD465" s="226">
        <f t="shared" si="119"/>
        <v>5.8789355216801011E-3</v>
      </c>
      <c r="AE465" s="226">
        <f t="shared" si="117"/>
        <v>5.7285273400964403E-3</v>
      </c>
      <c r="AF465" s="226">
        <f t="shared" si="117"/>
        <v>5.5819672396839161E-3</v>
      </c>
      <c r="AG465" s="226">
        <f t="shared" si="117"/>
        <v>5.4391567701551589E-3</v>
      </c>
      <c r="AH465" s="227">
        <v>5.3E-3</v>
      </c>
      <c r="AI465" s="226">
        <f t="shared" si="120"/>
        <v>5.1644034520443955E-3</v>
      </c>
      <c r="AJ465" s="226">
        <f t="shared" si="120"/>
        <v>5.0322760406581266E-3</v>
      </c>
      <c r="AK465" s="226">
        <f t="shared" si="120"/>
        <v>4.9035290105688932E-3</v>
      </c>
      <c r="AL465" s="226">
        <f t="shared" si="120"/>
        <v>4.7780758772418552E-3</v>
      </c>
      <c r="AM465" s="226">
        <f t="shared" si="120"/>
        <v>4.6558323687845076E-3</v>
      </c>
      <c r="AN465" s="226">
        <f t="shared" si="120"/>
        <v>4.5367163693378768E-3</v>
      </c>
      <c r="AO465" s="226">
        <f t="shared" si="120"/>
        <v>4.4206478639160088E-3</v>
      </c>
      <c r="AP465" s="226">
        <f t="shared" si="120"/>
        <v>4.3075488846567016E-3</v>
      </c>
      <c r="AQ465" s="226">
        <f t="shared" si="120"/>
        <v>4.1973434584473687E-3</v>
      </c>
      <c r="AR465" s="226">
        <f t="shared" si="120"/>
        <v>4.0899575558908594E-3</v>
      </c>
      <c r="AS465" s="226">
        <f t="shared" si="120"/>
        <v>3.9853190415769461E-3</v>
      </c>
      <c r="AT465" s="226">
        <f t="shared" si="120"/>
        <v>3.8833576256260835E-3</v>
      </c>
      <c r="AU465" s="226">
        <f t="shared" si="120"/>
        <v>3.7840048164728816E-3</v>
      </c>
      <c r="AV465" s="226">
        <f t="shared" si="120"/>
        <v>3.6871938748575792E-3</v>
      </c>
      <c r="AW465" s="226">
        <f t="shared" si="120"/>
        <v>3.5928597689946101E-3</v>
      </c>
      <c r="AX465" s="226">
        <f t="shared" si="120"/>
        <v>3.5009391308881499E-3</v>
      </c>
      <c r="AY465" s="226">
        <f t="shared" si="118"/>
        <v>3.4113702137652958E-3</v>
      </c>
      <c r="AZ465" s="226">
        <f t="shared" si="118"/>
        <v>3.324092850598287E-3</v>
      </c>
      <c r="BA465" s="226">
        <f t="shared" si="118"/>
        <v>3.2390484136879034E-3</v>
      </c>
      <c r="BB465" s="226">
        <f t="shared" si="118"/>
        <v>3.1561797752808927E-3</v>
      </c>
      <c r="BC465" s="226">
        <f t="shared" si="118"/>
        <v>3.075431269194971E-3</v>
      </c>
      <c r="BD465" s="226">
        <f t="shared" si="118"/>
        <v>2.9967486534256196E-3</v>
      </c>
      <c r="BE465" s="226">
        <f t="shared" si="118"/>
        <v>2.9200790737095592E-3</v>
      </c>
    </row>
    <row r="466" spans="5:57" s="10" customFormat="1" x14ac:dyDescent="0.35">
      <c r="E466" s="10" t="s">
        <v>642</v>
      </c>
      <c r="F466" s="10" t="s">
        <v>615</v>
      </c>
      <c r="G466" s="43" t="s">
        <v>616</v>
      </c>
      <c r="I466" s="20"/>
      <c r="J466" s="200"/>
      <c r="K466" s="200"/>
      <c r="L466" s="200"/>
      <c r="M466" s="200"/>
      <c r="N466" s="200">
        <v>8.8000000000000005E-3</v>
      </c>
      <c r="O466" s="226">
        <f t="shared" si="119"/>
        <v>8.5715370308793483E-3</v>
      </c>
      <c r="P466" s="226">
        <f t="shared" si="119"/>
        <v>8.3490053490609031E-3</v>
      </c>
      <c r="Q466" s="226">
        <f t="shared" si="119"/>
        <v>8.1322509682369652E-3</v>
      </c>
      <c r="R466" s="226">
        <f t="shared" si="119"/>
        <v>7.9211238998463159E-3</v>
      </c>
      <c r="S466" s="226">
        <f t="shared" si="119"/>
        <v>7.7154780492859247E-3</v>
      </c>
      <c r="T466" s="226">
        <f t="shared" si="119"/>
        <v>7.5151711148171664E-3</v>
      </c>
      <c r="U466" s="226">
        <f t="shared" si="119"/>
        <v>7.3200644890966107E-3</v>
      </c>
      <c r="V466" s="226">
        <f t="shared" si="119"/>
        <v>7.1300231632632407E-3</v>
      </c>
      <c r="W466" s="226">
        <f t="shared" si="119"/>
        <v>6.9449156335157245E-3</v>
      </c>
      <c r="X466" s="226">
        <f t="shared" si="119"/>
        <v>6.764613810115107E-3</v>
      </c>
      <c r="Y466" s="226">
        <f t="shared" si="119"/>
        <v>6.5889929287499408E-3</v>
      </c>
      <c r="Z466" s="226">
        <f t="shared" si="119"/>
        <v>6.4179314642025332E-3</v>
      </c>
      <c r="AA466" s="226">
        <f t="shared" si="119"/>
        <v>6.2513110462565601E-3</v>
      </c>
      <c r="AB466" s="226">
        <f t="shared" si="119"/>
        <v>6.089016377787867E-3</v>
      </c>
      <c r="AC466" s="226">
        <f t="shared" si="119"/>
        <v>5.9309351549817653E-3</v>
      </c>
      <c r="AD466" s="226">
        <f t="shared" si="119"/>
        <v>5.7769579896216304E-3</v>
      </c>
      <c r="AE466" s="226">
        <f t="shared" si="117"/>
        <v>5.6269783333950133E-3</v>
      </c>
      <c r="AF466" s="226">
        <f t="shared" si="117"/>
        <v>5.4808924041648997E-3</v>
      </c>
      <c r="AG466" s="226">
        <f t="shared" si="117"/>
        <v>5.3385991141550885E-3</v>
      </c>
      <c r="AH466" s="227">
        <v>5.1999999999999998E-3</v>
      </c>
      <c r="AI466" s="226">
        <f t="shared" si="120"/>
        <v>5.0649991546105238E-3</v>
      </c>
      <c r="AJ466" s="226">
        <f t="shared" si="120"/>
        <v>4.9335031608087158E-3</v>
      </c>
      <c r="AK466" s="226">
        <f t="shared" si="120"/>
        <v>4.8054210266854792E-3</v>
      </c>
      <c r="AL466" s="226">
        <f t="shared" si="120"/>
        <v>4.6806641226364593E-3</v>
      </c>
      <c r="AM466" s="226">
        <f t="shared" si="120"/>
        <v>4.5591461200325915E-3</v>
      </c>
      <c r="AN466" s="226">
        <f t="shared" si="120"/>
        <v>4.4407829314828708E-3</v>
      </c>
      <c r="AO466" s="226">
        <f t="shared" si="120"/>
        <v>4.3254926526479975E-3</v>
      </c>
      <c r="AP466" s="226">
        <f t="shared" si="120"/>
        <v>4.2131955055646425E-3</v>
      </c>
      <c r="AQ466" s="226">
        <f t="shared" si="120"/>
        <v>4.1038137834411102E-3</v>
      </c>
      <c r="AR466" s="226">
        <f t="shared" si="120"/>
        <v>3.9972717968861995E-3</v>
      </c>
      <c r="AS466" s="226">
        <f t="shared" si="120"/>
        <v>3.8934958215340559E-3</v>
      </c>
      <c r="AT466" s="226">
        <f t="shared" si="120"/>
        <v>3.7924140470287694E-3</v>
      </c>
      <c r="AU466" s="226">
        <f t="shared" si="120"/>
        <v>3.6939565273334217E-3</v>
      </c>
      <c r="AV466" s="226">
        <f t="shared" si="120"/>
        <v>3.5980551323291938E-3</v>
      </c>
      <c r="AW466" s="226">
        <f t="shared" si="120"/>
        <v>3.5046435006710428E-3</v>
      </c>
      <c r="AX466" s="226">
        <f t="shared" si="120"/>
        <v>3.4136569938673267E-3</v>
      </c>
      <c r="AY466" s="226">
        <f t="shared" si="118"/>
        <v>3.3250326515515986E-3</v>
      </c>
      <c r="AZ466" s="226">
        <f t="shared" si="118"/>
        <v>3.2387091479156222E-3</v>
      </c>
      <c r="BA466" s="226">
        <f t="shared" si="118"/>
        <v>3.1546267492734612E-3</v>
      </c>
      <c r="BB466" s="226">
        <f t="shared" si="118"/>
        <v>3.0727272727272743E-3</v>
      </c>
      <c r="BC466" s="226">
        <f t="shared" si="118"/>
        <v>2.9929540459062202E-3</v>
      </c>
      <c r="BD466" s="226">
        <f t="shared" si="118"/>
        <v>2.9152518677506064E-3</v>
      </c>
      <c r="BE466" s="226">
        <f t="shared" si="118"/>
        <v>2.8395669703141484E-3</v>
      </c>
    </row>
    <row r="467" spans="5:57" s="10" customFormat="1" x14ac:dyDescent="0.35">
      <c r="E467" s="109" t="s">
        <v>643</v>
      </c>
      <c r="F467" s="10" t="s">
        <v>615</v>
      </c>
      <c r="G467" s="43" t="s">
        <v>616</v>
      </c>
      <c r="I467" s="20"/>
      <c r="J467" s="200"/>
      <c r="K467" s="200"/>
      <c r="L467" s="200"/>
      <c r="M467" s="200"/>
      <c r="N467" s="200">
        <v>8.8999999999999999E-3</v>
      </c>
      <c r="O467" s="226">
        <f t="shared" si="119"/>
        <v>8.664044485265119E-3</v>
      </c>
      <c r="P467" s="226">
        <f t="shared" si="119"/>
        <v>8.4343445890621253E-3</v>
      </c>
      <c r="Q467" s="226">
        <f t="shared" si="119"/>
        <v>8.2107344633358878E-3</v>
      </c>
      <c r="R467" s="226">
        <f t="shared" si="119"/>
        <v>7.9930526569709608E-3</v>
      </c>
      <c r="S467" s="226">
        <f t="shared" si="119"/>
        <v>7.7811419992205571E-3</v>
      </c>
      <c r="T467" s="226">
        <f t="shared" si="119"/>
        <v>7.5748494862260297E-3</v>
      </c>
      <c r="U467" s="226">
        <f t="shared" si="119"/>
        <v>7.3740261705449381E-3</v>
      </c>
      <c r="V467" s="226">
        <f t="shared" si="119"/>
        <v>7.178527053607925E-3</v>
      </c>
      <c r="W467" s="226">
        <f t="shared" si="119"/>
        <v>6.9882109810267641E-3</v>
      </c>
      <c r="X467" s="226">
        <f t="shared" si="119"/>
        <v>6.8029405406779863E-3</v>
      </c>
      <c r="Y467" s="226">
        <f t="shared" si="119"/>
        <v>6.6225819634884954E-3</v>
      </c>
      <c r="Z467" s="226">
        <f t="shared" si="119"/>
        <v>6.447005026851544E-3</v>
      </c>
      <c r="AA467" s="226">
        <f t="shared" si="119"/>
        <v>6.2760829606033275E-3</v>
      </c>
      <c r="AB467" s="226">
        <f t="shared" si="119"/>
        <v>6.1096923554923186E-3</v>
      </c>
      <c r="AC467" s="226">
        <f t="shared" si="119"/>
        <v>5.9477130740752445E-3</v>
      </c>
      <c r="AD467" s="226">
        <f t="shared" si="119"/>
        <v>5.7900281639753784E-3</v>
      </c>
      <c r="AE467" s="226">
        <f t="shared" si="117"/>
        <v>5.6365237734405165E-3</v>
      </c>
      <c r="AF467" s="226">
        <f t="shared" si="117"/>
        <v>5.4870890691396676E-3</v>
      </c>
      <c r="AG467" s="226">
        <f t="shared" si="117"/>
        <v>5.3416161561391064E-3</v>
      </c>
      <c r="AH467" s="227">
        <v>5.1999999999999998E-3</v>
      </c>
      <c r="AI467" s="226">
        <f t="shared" si="120"/>
        <v>5.0621383509414173E-3</v>
      </c>
      <c r="AJ467" s="226">
        <f t="shared" si="120"/>
        <v>4.9279316700138256E-3</v>
      </c>
      <c r="AK467" s="226">
        <f t="shared" si="120"/>
        <v>4.7972830572299563E-3</v>
      </c>
      <c r="AL467" s="226">
        <f t="shared" si="120"/>
        <v>4.6700981816010104E-3</v>
      </c>
      <c r="AM467" s="226">
        <f t="shared" si="120"/>
        <v>4.546285213027741E-3</v>
      </c>
      <c r="AN467" s="226">
        <f t="shared" si="120"/>
        <v>4.4257547559972306E-3</v>
      </c>
      <c r="AO467" s="226">
        <f t="shared" si="120"/>
        <v>4.3084197850374916E-3</v>
      </c>
      <c r="AP467" s="226">
        <f t="shared" si="120"/>
        <v>4.1941955818832815E-3</v>
      </c>
      <c r="AQ467" s="226">
        <f t="shared" si="120"/>
        <v>4.0829996743077723E-3</v>
      </c>
      <c r="AR467" s="226">
        <f t="shared" si="120"/>
        <v>3.974751776575902E-3</v>
      </c>
      <c r="AS467" s="226">
        <f t="shared" si="120"/>
        <v>3.8693737314764243E-3</v>
      </c>
      <c r="AT467" s="226">
        <f t="shared" si="120"/>
        <v>3.7667894538907895E-3</v>
      </c>
      <c r="AU467" s="226">
        <f t="shared" si="120"/>
        <v>3.6669248758581241E-3</v>
      </c>
      <c r="AV467" s="226">
        <f t="shared" si="120"/>
        <v>3.5697078930966358E-3</v>
      </c>
      <c r="AW467" s="226">
        <f t="shared" si="120"/>
        <v>3.4750683129428396E-3</v>
      </c>
      <c r="AX467" s="226">
        <f t="shared" si="120"/>
        <v>3.3829378036710077E-3</v>
      </c>
      <c r="AY467" s="226">
        <f t="shared" si="118"/>
        <v>3.2932498451562569E-3</v>
      </c>
      <c r="AZ467" s="226">
        <f t="shared" si="118"/>
        <v>3.2059396808456486E-3</v>
      </c>
      <c r="BA467" s="226">
        <f t="shared" si="118"/>
        <v>3.1209442710026245E-3</v>
      </c>
      <c r="BB467" s="226">
        <f t="shared" si="118"/>
        <v>3.0382022471910175E-3</v>
      </c>
      <c r="BC467" s="226">
        <f t="shared" si="118"/>
        <v>2.957653867965778E-3</v>
      </c>
      <c r="BD467" s="226">
        <f t="shared" si="118"/>
        <v>2.879240975738421E-3</v>
      </c>
      <c r="BE467" s="226">
        <f t="shared" si="118"/>
        <v>2.8029069547860479E-3</v>
      </c>
    </row>
    <row r="468" spans="5:57" s="10" customFormat="1" x14ac:dyDescent="0.35">
      <c r="E468" s="109" t="s">
        <v>644</v>
      </c>
      <c r="F468" s="10" t="s">
        <v>615</v>
      </c>
      <c r="G468" s="43" t="s">
        <v>616</v>
      </c>
      <c r="I468" s="20"/>
      <c r="J468" s="200"/>
      <c r="K468" s="200"/>
      <c r="L468" s="200"/>
      <c r="M468" s="200"/>
      <c r="N468" s="200">
        <v>8.8999999999999999E-3</v>
      </c>
      <c r="O468" s="226">
        <f t="shared" si="119"/>
        <v>8.6723001364519096E-3</v>
      </c>
      <c r="P468" s="226">
        <f t="shared" si="119"/>
        <v>8.4504258041240236E-3</v>
      </c>
      <c r="Q468" s="226">
        <f t="shared" si="119"/>
        <v>8.2342279611439893E-3</v>
      </c>
      <c r="R468" s="226">
        <f t="shared" si="119"/>
        <v>8.0235613787646241E-3</v>
      </c>
      <c r="S468" s="226">
        <f t="shared" si="119"/>
        <v>7.8182845438079466E-3</v>
      </c>
      <c r="T468" s="226">
        <f t="shared" si="119"/>
        <v>7.6182595636051136E-3</v>
      </c>
      <c r="U468" s="226">
        <f t="shared" si="119"/>
        <v>7.4233520733683923E-3</v>
      </c>
      <c r="V468" s="226">
        <f t="shared" si="119"/>
        <v>7.2334311459329526E-3</v>
      </c>
      <c r="W468" s="226">
        <f t="shared" si="119"/>
        <v>7.048369203807847E-3</v>
      </c>
      <c r="X468" s="226">
        <f t="shared" si="119"/>
        <v>6.8680419334771047E-3</v>
      </c>
      <c r="Y468" s="226">
        <f t="shared" si="119"/>
        <v>6.6923282018933631E-3</v>
      </c>
      <c r="Z468" s="226">
        <f t="shared" si="119"/>
        <v>6.5211099751079525E-3</v>
      </c>
      <c r="AA468" s="226">
        <f t="shared" si="119"/>
        <v>6.3542722389827644E-3</v>
      </c>
      <c r="AB468" s="226">
        <f t="shared" si="119"/>
        <v>6.1917029219306528E-3</v>
      </c>
      <c r="AC468" s="226">
        <f t="shared" si="119"/>
        <v>6.0332928196324591E-3</v>
      </c>
      <c r="AD468" s="226">
        <f t="shared" si="119"/>
        <v>5.8789355216801011E-3</v>
      </c>
      <c r="AE468" s="226">
        <f t="shared" si="117"/>
        <v>5.7285273400964403E-3</v>
      </c>
      <c r="AF468" s="226">
        <f t="shared" si="117"/>
        <v>5.5819672396839161E-3</v>
      </c>
      <c r="AG468" s="226">
        <f t="shared" si="117"/>
        <v>5.4391567701551589E-3</v>
      </c>
      <c r="AH468" s="227">
        <v>5.3E-3</v>
      </c>
      <c r="AI468" s="226">
        <f t="shared" si="120"/>
        <v>5.1644034520443955E-3</v>
      </c>
      <c r="AJ468" s="226">
        <f t="shared" si="120"/>
        <v>5.0322760406581266E-3</v>
      </c>
      <c r="AK468" s="226">
        <f t="shared" si="120"/>
        <v>4.9035290105688932E-3</v>
      </c>
      <c r="AL468" s="226">
        <f t="shared" si="120"/>
        <v>4.7780758772418552E-3</v>
      </c>
      <c r="AM468" s="226">
        <f t="shared" si="120"/>
        <v>4.6558323687845076E-3</v>
      </c>
      <c r="AN468" s="226">
        <f t="shared" si="120"/>
        <v>4.5367163693378768E-3</v>
      </c>
      <c r="AO468" s="226">
        <f t="shared" si="120"/>
        <v>4.4206478639160088E-3</v>
      </c>
      <c r="AP468" s="226">
        <f t="shared" si="120"/>
        <v>4.3075488846567016E-3</v>
      </c>
      <c r="AQ468" s="226">
        <f t="shared" si="120"/>
        <v>4.1973434584473687E-3</v>
      </c>
      <c r="AR468" s="226">
        <f t="shared" si="120"/>
        <v>4.0899575558908594E-3</v>
      </c>
      <c r="AS468" s="226">
        <f t="shared" si="120"/>
        <v>3.9853190415769461E-3</v>
      </c>
      <c r="AT468" s="226">
        <f t="shared" si="120"/>
        <v>3.8833576256260835E-3</v>
      </c>
      <c r="AU468" s="226">
        <f t="shared" si="120"/>
        <v>3.7840048164728816E-3</v>
      </c>
      <c r="AV468" s="226">
        <f t="shared" si="120"/>
        <v>3.6871938748575792E-3</v>
      </c>
      <c r="AW468" s="226">
        <f t="shared" si="120"/>
        <v>3.5928597689946101E-3</v>
      </c>
      <c r="AX468" s="226">
        <f t="shared" si="120"/>
        <v>3.5009391308881499E-3</v>
      </c>
      <c r="AY468" s="226">
        <f t="shared" si="118"/>
        <v>3.4113702137652958E-3</v>
      </c>
      <c r="AZ468" s="226">
        <f t="shared" si="118"/>
        <v>3.324092850598287E-3</v>
      </c>
      <c r="BA468" s="226">
        <f t="shared" si="118"/>
        <v>3.2390484136879034E-3</v>
      </c>
      <c r="BB468" s="226">
        <f t="shared" si="118"/>
        <v>3.1561797752808927E-3</v>
      </c>
      <c r="BC468" s="226">
        <f t="shared" si="118"/>
        <v>3.075431269194971E-3</v>
      </c>
      <c r="BD468" s="226">
        <f t="shared" si="118"/>
        <v>2.9967486534256196E-3</v>
      </c>
      <c r="BE468" s="226">
        <f t="shared" si="118"/>
        <v>2.9200790737095592E-3</v>
      </c>
    </row>
    <row r="469" spans="5:57" s="10" customFormat="1" x14ac:dyDescent="0.35">
      <c r="E469" s="109" t="s">
        <v>645</v>
      </c>
      <c r="F469" s="10" t="s">
        <v>615</v>
      </c>
      <c r="G469" s="43" t="s">
        <v>616</v>
      </c>
      <c r="I469" s="20"/>
      <c r="J469" s="200"/>
      <c r="K469" s="200"/>
      <c r="L469" s="200"/>
      <c r="M469" s="200"/>
      <c r="N469" s="200">
        <v>8.8999999999999999E-3</v>
      </c>
      <c r="O469" s="226">
        <f t="shared" si="119"/>
        <v>8.6723001364519096E-3</v>
      </c>
      <c r="P469" s="226">
        <f t="shared" si="119"/>
        <v>8.4504258041240236E-3</v>
      </c>
      <c r="Q469" s="226">
        <f t="shared" si="119"/>
        <v>8.2342279611439893E-3</v>
      </c>
      <c r="R469" s="226">
        <f t="shared" si="119"/>
        <v>8.0235613787646241E-3</v>
      </c>
      <c r="S469" s="226">
        <f t="shared" si="119"/>
        <v>7.8182845438079466E-3</v>
      </c>
      <c r="T469" s="226">
        <f t="shared" si="119"/>
        <v>7.6182595636051136E-3</v>
      </c>
      <c r="U469" s="226">
        <f t="shared" si="119"/>
        <v>7.4233520733683923E-3</v>
      </c>
      <c r="V469" s="226">
        <f t="shared" si="119"/>
        <v>7.2334311459329526E-3</v>
      </c>
      <c r="W469" s="226">
        <f t="shared" si="119"/>
        <v>7.048369203807847E-3</v>
      </c>
      <c r="X469" s="226">
        <f t="shared" si="119"/>
        <v>6.8680419334771047E-3</v>
      </c>
      <c r="Y469" s="226">
        <f t="shared" si="119"/>
        <v>6.6923282018933631E-3</v>
      </c>
      <c r="Z469" s="226">
        <f t="shared" si="119"/>
        <v>6.5211099751079525E-3</v>
      </c>
      <c r="AA469" s="226">
        <f t="shared" si="119"/>
        <v>6.3542722389827644E-3</v>
      </c>
      <c r="AB469" s="226">
        <f t="shared" si="119"/>
        <v>6.1917029219306528E-3</v>
      </c>
      <c r="AC469" s="226">
        <f t="shared" si="119"/>
        <v>6.0332928196324591E-3</v>
      </c>
      <c r="AD469" s="226">
        <f t="shared" si="119"/>
        <v>5.8789355216801011E-3</v>
      </c>
      <c r="AE469" s="226">
        <f t="shared" si="117"/>
        <v>5.7285273400964403E-3</v>
      </c>
      <c r="AF469" s="226">
        <f t="shared" si="117"/>
        <v>5.5819672396839161E-3</v>
      </c>
      <c r="AG469" s="226">
        <f t="shared" si="117"/>
        <v>5.4391567701551589E-3</v>
      </c>
      <c r="AH469" s="227">
        <v>5.3E-3</v>
      </c>
      <c r="AI469" s="226">
        <f t="shared" si="120"/>
        <v>5.1644034520443955E-3</v>
      </c>
      <c r="AJ469" s="226">
        <f t="shared" si="120"/>
        <v>5.0322760406581266E-3</v>
      </c>
      <c r="AK469" s="226">
        <f t="shared" si="120"/>
        <v>4.9035290105688932E-3</v>
      </c>
      <c r="AL469" s="226">
        <f t="shared" si="120"/>
        <v>4.7780758772418552E-3</v>
      </c>
      <c r="AM469" s="226">
        <f t="shared" si="120"/>
        <v>4.6558323687845076E-3</v>
      </c>
      <c r="AN469" s="226">
        <f t="shared" si="120"/>
        <v>4.5367163693378768E-3</v>
      </c>
      <c r="AO469" s="226">
        <f t="shared" si="120"/>
        <v>4.4206478639160088E-3</v>
      </c>
      <c r="AP469" s="226">
        <f t="shared" si="120"/>
        <v>4.3075488846567016E-3</v>
      </c>
      <c r="AQ469" s="226">
        <f t="shared" si="120"/>
        <v>4.1973434584473687E-3</v>
      </c>
      <c r="AR469" s="226">
        <f t="shared" si="120"/>
        <v>4.0899575558908594E-3</v>
      </c>
      <c r="AS469" s="226">
        <f t="shared" si="120"/>
        <v>3.9853190415769461E-3</v>
      </c>
      <c r="AT469" s="226">
        <f t="shared" si="120"/>
        <v>3.8833576256260835E-3</v>
      </c>
      <c r="AU469" s="226">
        <f t="shared" si="120"/>
        <v>3.7840048164728816E-3</v>
      </c>
      <c r="AV469" s="226">
        <f t="shared" si="120"/>
        <v>3.6871938748575792E-3</v>
      </c>
      <c r="AW469" s="226">
        <f t="shared" si="120"/>
        <v>3.5928597689946101E-3</v>
      </c>
      <c r="AX469" s="226">
        <f t="shared" si="120"/>
        <v>3.5009391308881499E-3</v>
      </c>
      <c r="AY469" s="226">
        <f t="shared" si="118"/>
        <v>3.4113702137652958E-3</v>
      </c>
      <c r="AZ469" s="226">
        <f t="shared" si="118"/>
        <v>3.324092850598287E-3</v>
      </c>
      <c r="BA469" s="226">
        <f t="shared" si="118"/>
        <v>3.2390484136879034E-3</v>
      </c>
      <c r="BB469" s="226">
        <f t="shared" si="118"/>
        <v>3.1561797752808927E-3</v>
      </c>
      <c r="BC469" s="226">
        <f t="shared" si="118"/>
        <v>3.075431269194971E-3</v>
      </c>
      <c r="BD469" s="226">
        <f t="shared" si="118"/>
        <v>2.9967486534256196E-3</v>
      </c>
      <c r="BE469" s="226">
        <f t="shared" si="118"/>
        <v>2.9200790737095592E-3</v>
      </c>
    </row>
    <row r="470" spans="5:57" s="10" customFormat="1" x14ac:dyDescent="0.35">
      <c r="E470" s="10" t="s">
        <v>646</v>
      </c>
      <c r="F470" s="10" t="s">
        <v>615</v>
      </c>
      <c r="G470" s="43" t="s">
        <v>616</v>
      </c>
      <c r="I470" s="20"/>
      <c r="J470" s="200"/>
      <c r="K470" s="200"/>
      <c r="L470" s="200"/>
      <c r="M470" s="200"/>
      <c r="N470" s="200">
        <v>8.9999999999999993E-3</v>
      </c>
      <c r="O470" s="226">
        <f t="shared" si="119"/>
        <v>8.764843731295914E-3</v>
      </c>
      <c r="P470" s="226">
        <f t="shared" si="119"/>
        <v>8.5358317371152532E-3</v>
      </c>
      <c r="Q470" s="226">
        <f t="shared" si="119"/>
        <v>8.3128034769390374E-3</v>
      </c>
      <c r="R470" s="226">
        <f t="shared" si="119"/>
        <v>8.0956026049271122E-3</v>
      </c>
      <c r="S470" s="226">
        <f t="shared" si="119"/>
        <v>7.8840768603175865E-3</v>
      </c>
      <c r="T470" s="226">
        <f t="shared" si="119"/>
        <v>7.6780779606899748E-3</v>
      </c>
      <c r="U470" s="226">
        <f t="shared" si="119"/>
        <v>7.4774614980172051E-3</v>
      </c>
      <c r="V470" s="226">
        <f t="shared" si="119"/>
        <v>7.2820868374336286E-3</v>
      </c>
      <c r="W470" s="226">
        <f t="shared" si="119"/>
        <v>7.0918170186480703E-3</v>
      </c>
      <c r="X470" s="226">
        <f t="shared" si="119"/>
        <v>6.9065186599328024E-3</v>
      </c>
      <c r="Y470" s="226">
        <f t="shared" si="119"/>
        <v>6.7260618646211422E-3</v>
      </c>
      <c r="Z470" s="226">
        <f t="shared" si="119"/>
        <v>6.5503201300481251E-3</v>
      </c>
      <c r="AA470" s="226">
        <f t="shared" si="119"/>
        <v>6.3791702588704164E-3</v>
      </c>
      <c r="AB470" s="226">
        <f t="shared" si="119"/>
        <v>6.2124922727033009E-3</v>
      </c>
      <c r="AC470" s="226">
        <f t="shared" si="119"/>
        <v>6.0501693280142037E-3</v>
      </c>
      <c r="AD470" s="226">
        <f t="shared" si="119"/>
        <v>5.8920876342137898E-3</v>
      </c>
      <c r="AE470" s="226">
        <f t="shared" si="117"/>
        <v>5.7381363738872124E-3</v>
      </c>
      <c r="AF470" s="226">
        <f t="shared" si="117"/>
        <v>5.5882076251096008E-3</v>
      </c>
      <c r="AG470" s="226">
        <f t="shared" si="117"/>
        <v>5.4421962857913236E-3</v>
      </c>
      <c r="AH470" s="227">
        <v>5.3E-3</v>
      </c>
      <c r="AI470" s="226">
        <f t="shared" si="120"/>
        <v>5.1615190862075938E-3</v>
      </c>
      <c r="AJ470" s="226">
        <f t="shared" si="120"/>
        <v>5.0266564674123163E-3</v>
      </c>
      <c r="AK470" s="226">
        <f t="shared" si="120"/>
        <v>4.8953176030863228E-3</v>
      </c>
      <c r="AL470" s="226">
        <f t="shared" si="120"/>
        <v>4.7674104229015217E-3</v>
      </c>
      <c r="AM470" s="226">
        <f t="shared" si="120"/>
        <v>4.6428452621870226E-3</v>
      </c>
      <c r="AN470" s="226">
        <f t="shared" si="120"/>
        <v>4.5215347990729847E-3</v>
      </c>
      <c r="AO470" s="226">
        <f t="shared" si="120"/>
        <v>4.4033939932767979E-3</v>
      </c>
      <c r="AP470" s="226">
        <f t="shared" si="120"/>
        <v>4.2883400264886913E-3</v>
      </c>
      <c r="AQ470" s="226">
        <f t="shared" si="120"/>
        <v>4.1762922443149735E-3</v>
      </c>
      <c r="AR470" s="226">
        <f t="shared" si="120"/>
        <v>4.0671720997382046E-3</v>
      </c>
      <c r="AS470" s="226">
        <f t="shared" si="120"/>
        <v>3.960903098054672E-3</v>
      </c>
      <c r="AT470" s="226">
        <f t="shared" si="120"/>
        <v>3.8574107432505621E-3</v>
      </c>
      <c r="AU470" s="226">
        <f t="shared" si="120"/>
        <v>3.7566224857792448E-3</v>
      </c>
      <c r="AV470" s="226">
        <f t="shared" si="120"/>
        <v>3.6584676717030542E-3</v>
      </c>
      <c r="AW470" s="226">
        <f t="shared" si="120"/>
        <v>3.5628774931639193E-3</v>
      </c>
      <c r="AX470" s="226">
        <f t="shared" si="120"/>
        <v>3.46978494014812E-3</v>
      </c>
      <c r="AY470" s="226">
        <f t="shared" si="118"/>
        <v>3.3791247535113578E-3</v>
      </c>
      <c r="AZ470" s="226">
        <f t="shared" si="118"/>
        <v>3.2908333792312085E-3</v>
      </c>
      <c r="BA470" s="226">
        <f t="shared" si="118"/>
        <v>3.2048489238548899E-3</v>
      </c>
      <c r="BB470" s="226">
        <f t="shared" si="118"/>
        <v>3.1211111111111101E-3</v>
      </c>
      <c r="BC470" s="226">
        <f t="shared" si="118"/>
        <v>3.0395612396555824E-3</v>
      </c>
      <c r="BD470" s="226">
        <f t="shared" si="118"/>
        <v>2.9601421419205853E-3</v>
      </c>
      <c r="BE470" s="226">
        <f t="shared" si="118"/>
        <v>2.8827981440397226E-3</v>
      </c>
    </row>
    <row r="471" spans="5:57" s="10" customFormat="1" x14ac:dyDescent="0.35">
      <c r="E471" s="10" t="s">
        <v>647</v>
      </c>
      <c r="F471" s="10" t="s">
        <v>615</v>
      </c>
      <c r="G471" s="43" t="s">
        <v>616</v>
      </c>
      <c r="I471" s="20"/>
      <c r="J471" s="200"/>
      <c r="K471" s="200"/>
      <c r="L471" s="200"/>
      <c r="M471" s="200"/>
      <c r="N471" s="200">
        <v>8.9999999999999993E-3</v>
      </c>
      <c r="O471" s="226">
        <f t="shared" si="119"/>
        <v>8.773039241731442E-3</v>
      </c>
      <c r="P471" s="226">
        <f t="shared" si="119"/>
        <v>8.5518019485510879E-3</v>
      </c>
      <c r="Q471" s="226">
        <f t="shared" si="119"/>
        <v>8.3361437869060116E-3</v>
      </c>
      <c r="R471" s="226">
        <f t="shared" si="119"/>
        <v>8.1259240630269097E-3</v>
      </c>
      <c r="S471" s="226">
        <f t="shared" si="119"/>
        <v>7.9210056311405427E-3</v>
      </c>
      <c r="T471" s="226">
        <f t="shared" si="119"/>
        <v>7.7212548039968564E-3</v>
      </c>
      <c r="U471" s="226">
        <f t="shared" si="119"/>
        <v>7.5265412656524257E-3</v>
      </c>
      <c r="V471" s="226">
        <f t="shared" si="119"/>
        <v>7.3367379864533074E-3</v>
      </c>
      <c r="W471" s="226">
        <f t="shared" si="119"/>
        <v>7.1517211401618437E-3</v>
      </c>
      <c r="X471" s="226">
        <f t="shared" si="119"/>
        <v>6.971370023173354E-3</v>
      </c>
      <c r="Y471" s="226">
        <f t="shared" si="119"/>
        <v>6.7955669757700076E-3</v>
      </c>
      <c r="Z471" s="226">
        <f t="shared" si="119"/>
        <v>6.6241973053605043E-3</v>
      </c>
      <c r="AA471" s="226">
        <f t="shared" si="119"/>
        <v>6.4571492116554871E-3</v>
      </c>
      <c r="AB471" s="226">
        <f t="shared" si="119"/>
        <v>6.2943137137298705E-3</v>
      </c>
      <c r="AC471" s="226">
        <f t="shared" si="119"/>
        <v>6.1355845789245024E-3</v>
      </c>
      <c r="AD471" s="226">
        <f t="shared" si="119"/>
        <v>5.9808582535407721E-3</v>
      </c>
      <c r="AE471" s="226">
        <f t="shared" si="117"/>
        <v>5.8300337952829524E-3</v>
      </c>
      <c r="AF471" s="226">
        <f t="shared" si="117"/>
        <v>5.6830128074042037E-3</v>
      </c>
      <c r="AG471" s="226">
        <f t="shared" si="117"/>
        <v>5.5396993745132723E-3</v>
      </c>
      <c r="AH471" s="227">
        <v>5.4000000000000003E-3</v>
      </c>
      <c r="AI471" s="226">
        <f t="shared" si="120"/>
        <v>5.2638235450388655E-3</v>
      </c>
      <c r="AJ471" s="226">
        <f t="shared" si="120"/>
        <v>5.1310811691306531E-3</v>
      </c>
      <c r="AK471" s="226">
        <f t="shared" si="120"/>
        <v>5.0016862721436071E-3</v>
      </c>
      <c r="AL471" s="226">
        <f t="shared" si="120"/>
        <v>4.875554437816146E-3</v>
      </c>
      <c r="AM471" s="226">
        <f t="shared" si="120"/>
        <v>4.7526033786843254E-3</v>
      </c>
      <c r="AN471" s="226">
        <f t="shared" si="120"/>
        <v>4.6327528823981133E-3</v>
      </c>
      <c r="AO471" s="226">
        <f t="shared" si="120"/>
        <v>4.5159247593914553E-3</v>
      </c>
      <c r="AP471" s="226">
        <f t="shared" si="120"/>
        <v>4.4020427918719839E-3</v>
      </c>
      <c r="AQ471" s="226">
        <f t="shared" si="120"/>
        <v>4.2910326840971055E-3</v>
      </c>
      <c r="AR471" s="226">
        <f t="shared" si="120"/>
        <v>4.1828220139040117E-3</v>
      </c>
      <c r="AS471" s="226">
        <f t="shared" si="120"/>
        <v>4.0773401854620039E-3</v>
      </c>
      <c r="AT471" s="226">
        <f t="shared" si="120"/>
        <v>3.9745183832163014E-3</v>
      </c>
      <c r="AU471" s="226">
        <f t="shared" si="120"/>
        <v>3.874289526993291E-3</v>
      </c>
      <c r="AV471" s="226">
        <f t="shared" si="120"/>
        <v>3.7765882282379207E-3</v>
      </c>
      <c r="AW471" s="226">
        <f t="shared" si="120"/>
        <v>3.6813507473546997E-3</v>
      </c>
      <c r="AX471" s="226">
        <f t="shared" si="120"/>
        <v>3.5885149521244614E-3</v>
      </c>
      <c r="AY471" s="226">
        <f t="shared" si="118"/>
        <v>3.4980202771697695E-3</v>
      </c>
      <c r="AZ471" s="226">
        <f t="shared" si="118"/>
        <v>3.4098076844425204E-3</v>
      </c>
      <c r="BA471" s="226">
        <f t="shared" si="118"/>
        <v>3.3238196247079616E-3</v>
      </c>
      <c r="BB471" s="226">
        <f t="shared" si="118"/>
        <v>3.2400000000000024E-3</v>
      </c>
      <c r="BC471" s="226">
        <f t="shared" si="118"/>
        <v>3.1582941270233214E-3</v>
      </c>
      <c r="BD471" s="226">
        <f t="shared" si="118"/>
        <v>3.0786487014783938E-3</v>
      </c>
      <c r="BE471" s="226">
        <f t="shared" si="118"/>
        <v>3.0010117632861665E-3</v>
      </c>
    </row>
    <row r="472" spans="5:57" s="10" customFormat="1" x14ac:dyDescent="0.35">
      <c r="E472" s="10" t="s">
        <v>648</v>
      </c>
      <c r="F472" s="10" t="s">
        <v>615</v>
      </c>
      <c r="G472" s="43" t="s">
        <v>616</v>
      </c>
      <c r="I472" s="20"/>
      <c r="J472" s="200"/>
      <c r="K472" s="200"/>
      <c r="L472" s="200"/>
      <c r="M472" s="200"/>
      <c r="N472" s="200">
        <v>9.1000000000000004E-3</v>
      </c>
      <c r="O472" s="226">
        <f t="shared" si="119"/>
        <v>8.8656179208907761E-3</v>
      </c>
      <c r="P472" s="226">
        <f t="shared" si="119"/>
        <v>8.6372726504637017E-3</v>
      </c>
      <c r="Q472" s="226">
        <f t="shared" si="119"/>
        <v>8.4148087030297553E-3</v>
      </c>
      <c r="R472" s="226">
        <f t="shared" si="119"/>
        <v>8.1980745976316782E-3</v>
      </c>
      <c r="S472" s="226">
        <f t="shared" si="119"/>
        <v>7.9869227548970169E-3</v>
      </c>
      <c r="T472" s="226">
        <f t="shared" si="119"/>
        <v>7.7812093965478378E-3</v>
      </c>
      <c r="U472" s="226">
        <f t="shared" si="119"/>
        <v>7.5807944474987048E-3</v>
      </c>
      <c r="V472" s="226">
        <f t="shared" si="119"/>
        <v>7.385541440476243E-3</v>
      </c>
      <c r="W472" s="226">
        <f t="shared" si="119"/>
        <v>7.1953174230953475E-3</v>
      </c>
      <c r="X472" s="226">
        <f t="shared" si="119"/>
        <v>7.009992867328764E-3</v>
      </c>
      <c r="Y472" s="226">
        <f t="shared" si="119"/>
        <v>6.8294415813083967E-3</v>
      </c>
      <c r="Z472" s="226">
        <f t="shared" si="119"/>
        <v>6.6535406233982821E-3</v>
      </c>
      <c r="AA472" s="226">
        <f t="shared" si="119"/>
        <v>6.4821702184807255E-3</v>
      </c>
      <c r="AB472" s="226">
        <f t="shared" si="119"/>
        <v>6.3152136763985935E-3</v>
      </c>
      <c r="AC472" s="226">
        <f t="shared" si="119"/>
        <v>6.1525573124982299E-3</v>
      </c>
      <c r="AD472" s="226">
        <f t="shared" ref="AD472:AG487" si="121">AC472*(1+($AH472/$N472)^(1/($AH$6-$N$6))-1)</f>
        <v>5.9940903702188899E-3</v>
      </c>
      <c r="AE472" s="226">
        <f t="shared" si="121"/>
        <v>5.8397049456759805E-3</v>
      </c>
      <c r="AF472" s="226">
        <f t="shared" si="121"/>
        <v>5.6892959141867554E-3</v>
      </c>
      <c r="AG472" s="226">
        <f t="shared" si="121"/>
        <v>5.5427608586884362E-3</v>
      </c>
      <c r="AH472" s="227">
        <v>5.4000000000000003E-3</v>
      </c>
      <c r="AI472" s="226">
        <f t="shared" si="120"/>
        <v>5.2609161288802416E-3</v>
      </c>
      <c r="AJ472" s="226">
        <f t="shared" si="120"/>
        <v>5.1254145398356042E-3</v>
      </c>
      <c r="AK472" s="226">
        <f t="shared" si="120"/>
        <v>4.9934029666330419E-3</v>
      </c>
      <c r="AL472" s="226">
        <f t="shared" si="120"/>
        <v>4.8647915194737429E-3</v>
      </c>
      <c r="AM472" s="226">
        <f t="shared" si="120"/>
        <v>4.7394926237850424E-3</v>
      </c>
      <c r="AN472" s="226">
        <f t="shared" si="120"/>
        <v>4.617420960588826E-3</v>
      </c>
      <c r="AO472" s="226">
        <f t="shared" si="120"/>
        <v>4.498493408405824E-3</v>
      </c>
      <c r="AP472" s="226">
        <f t="shared" si="120"/>
        <v>4.3826289866562311E-3</v>
      </c>
      <c r="AQ472" s="226">
        <f t="shared" si="120"/>
        <v>4.2697488005181174E-3</v>
      </c>
      <c r="AR472" s="226">
        <f t="shared" si="120"/>
        <v>4.1597759872060791E-3</v>
      </c>
      <c r="AS472" s="226">
        <f t="shared" si="120"/>
        <v>4.0526356636335532E-3</v>
      </c>
      <c r="AT472" s="226">
        <f t="shared" si="120"/>
        <v>3.9482548754231558E-3</v>
      </c>
      <c r="AU472" s="226">
        <f t="shared" si="120"/>
        <v>3.8465625472303196E-3</v>
      </c>
      <c r="AV472" s="226">
        <f t="shared" si="120"/>
        <v>3.747489434346417E-3</v>
      </c>
      <c r="AW472" s="226">
        <f t="shared" si="120"/>
        <v>3.6509680755483992E-3</v>
      </c>
      <c r="AX472" s="226">
        <f t="shared" ref="AX472:BE487" si="122">AW472*(1+($AH472/$N472)^(1/($AH$6-$N$6))-1)</f>
        <v>3.5569327471628568E-3</v>
      </c>
      <c r="AY472" s="226">
        <f t="shared" si="122"/>
        <v>3.465319418313218E-3</v>
      </c>
      <c r="AZ472" s="226">
        <f t="shared" si="122"/>
        <v>3.3760657073196119E-3</v>
      </c>
      <c r="BA472" s="226">
        <f t="shared" si="122"/>
        <v>3.2891108392217082E-3</v>
      </c>
      <c r="BB472" s="226">
        <f t="shared" si="122"/>
        <v>3.2043956043956131E-3</v>
      </c>
      <c r="BC472" s="226">
        <f t="shared" si="122"/>
        <v>3.1218623182366349E-3</v>
      </c>
      <c r="BD472" s="226">
        <f t="shared" si="122"/>
        <v>3.0414547818804765E-3</v>
      </c>
      <c r="BE472" s="226">
        <f t="shared" si="122"/>
        <v>2.963118243936099E-3</v>
      </c>
    </row>
    <row r="473" spans="5:57" s="10" customFormat="1" x14ac:dyDescent="0.35">
      <c r="E473" s="10" t="s">
        <v>649</v>
      </c>
      <c r="F473" s="10" t="s">
        <v>615</v>
      </c>
      <c r="G473" s="43" t="s">
        <v>616</v>
      </c>
      <c r="I473" s="20"/>
      <c r="J473" s="200"/>
      <c r="K473" s="200"/>
      <c r="L473" s="200"/>
      <c r="M473" s="200"/>
      <c r="N473" s="200">
        <v>9.1000000000000004E-3</v>
      </c>
      <c r="O473" s="226">
        <f t="shared" ref="O473:AD488" si="123">N473*(1+($AH473/$N473)^(1/($AH$6-$N$6))-1)</f>
        <v>8.8737554758785819E-3</v>
      </c>
      <c r="P473" s="226">
        <f t="shared" si="123"/>
        <v>8.6531358511741895E-3</v>
      </c>
      <c r="Q473" s="226">
        <f t="shared" si="123"/>
        <v>8.4380012794371684E-3</v>
      </c>
      <c r="R473" s="226">
        <f t="shared" si="123"/>
        <v>8.228215391085281E-3</v>
      </c>
      <c r="S473" s="226">
        <f t="shared" si="123"/>
        <v>8.0236452069616972E-3</v>
      </c>
      <c r="T473" s="226">
        <f t="shared" si="123"/>
        <v>7.8241610540421211E-3</v>
      </c>
      <c r="U473" s="226">
        <f t="shared" si="123"/>
        <v>7.6296364832376057E-3</v>
      </c>
      <c r="V473" s="226">
        <f t="shared" si="123"/>
        <v>7.4399481892409572E-3</v>
      </c>
      <c r="W473" s="226">
        <f t="shared" si="123"/>
        <v>7.2549759323659209E-3</v>
      </c>
      <c r="X473" s="226">
        <f t="shared" si="123"/>
        <v>7.0746024623296053E-3</v>
      </c>
      <c r="Y473" s="226">
        <f t="shared" si="123"/>
        <v>6.8987134439298277E-3</v>
      </c>
      <c r="Z473" s="226">
        <f t="shared" si="123"/>
        <v>6.7271973845702748E-3</v>
      </c>
      <c r="AA473" s="226">
        <f t="shared" si="123"/>
        <v>6.5599455635875327E-3</v>
      </c>
      <c r="AB473" s="226">
        <f t="shared" si="123"/>
        <v>6.3968519633351957E-3</v>
      </c>
      <c r="AC473" s="226">
        <f t="shared" si="123"/>
        <v>6.237813201981357E-3</v>
      </c>
      <c r="AD473" s="226">
        <f t="shared" si="123"/>
        <v>6.0827284679768985E-3</v>
      </c>
      <c r="AE473" s="226">
        <f t="shared" si="121"/>
        <v>5.9314994561530266E-3</v>
      </c>
      <c r="AF473" s="226">
        <f t="shared" si="121"/>
        <v>5.784030305407555E-3</v>
      </c>
      <c r="AG473" s="226">
        <f t="shared" si="121"/>
        <v>5.6402275379404346E-3</v>
      </c>
      <c r="AH473" s="227">
        <v>5.4999999999999997E-3</v>
      </c>
      <c r="AI473" s="226">
        <f t="shared" ref="AI473:AX488" si="124">AH473*(1+($AH473/$N473)^(1/($AH$6-$N$6))-1)</f>
        <v>5.3632588041024392E-3</v>
      </c>
      <c r="AJ473" s="226">
        <f t="shared" si="124"/>
        <v>5.2299172726876959E-3</v>
      </c>
      <c r="AK473" s="226">
        <f t="shared" si="124"/>
        <v>5.09989088317631E-3</v>
      </c>
      <c r="AL473" s="226">
        <f t="shared" si="124"/>
        <v>4.973097214392202E-3</v>
      </c>
      <c r="AM473" s="226">
        <f t="shared" si="124"/>
        <v>4.849455894317508E-3</v>
      </c>
      <c r="AN473" s="226">
        <f t="shared" si="124"/>
        <v>4.7288885491463357E-3</v>
      </c>
      <c r="AO473" s="226">
        <f t="shared" si="124"/>
        <v>4.611318753605145E-3</v>
      </c>
      <c r="AP473" s="226">
        <f t="shared" si="124"/>
        <v>4.4966719825082699E-3</v>
      </c>
      <c r="AQ473" s="226">
        <f t="shared" si="124"/>
        <v>4.3848755635178633E-3</v>
      </c>
      <c r="AR473" s="226">
        <f t="shared" si="124"/>
        <v>4.2758586310783324E-3</v>
      </c>
      <c r="AS473" s="226">
        <f t="shared" si="124"/>
        <v>4.1695520814960495E-3</v>
      </c>
      <c r="AT473" s="226">
        <f t="shared" si="124"/>
        <v>4.0658885291358802E-3</v>
      </c>
      <c r="AU473" s="226">
        <f t="shared" si="124"/>
        <v>3.9648022637067508E-3</v>
      </c>
      <c r="AV473" s="226">
        <f t="shared" si="124"/>
        <v>3.8662292086091843E-3</v>
      </c>
      <c r="AW473" s="226">
        <f t="shared" si="124"/>
        <v>3.7701068803184029E-3</v>
      </c>
      <c r="AX473" s="226">
        <f t="shared" si="124"/>
        <v>3.6763743487772467E-3</v>
      </c>
      <c r="AY473" s="226">
        <f t="shared" si="122"/>
        <v>3.5849721987738074E-3</v>
      </c>
      <c r="AZ473" s="226">
        <f t="shared" si="122"/>
        <v>3.4958424922792914E-3</v>
      </c>
      <c r="BA473" s="226">
        <f t="shared" si="122"/>
        <v>3.4089287317222408E-3</v>
      </c>
      <c r="BB473" s="226">
        <f t="shared" si="122"/>
        <v>3.3241758241758313E-3</v>
      </c>
      <c r="BC473" s="226">
        <f t="shared" si="122"/>
        <v>3.2415300464355475E-3</v>
      </c>
      <c r="BD473" s="226">
        <f t="shared" si="122"/>
        <v>3.1609390109650984E-3</v>
      </c>
      <c r="BE473" s="226">
        <f t="shared" si="122"/>
        <v>3.0823516326889859E-3</v>
      </c>
    </row>
    <row r="474" spans="5:57" s="10" customFormat="1" x14ac:dyDescent="0.35">
      <c r="E474" s="10" t="s">
        <v>650</v>
      </c>
      <c r="F474" s="10" t="s">
        <v>615</v>
      </c>
      <c r="G474" s="43" t="s">
        <v>616</v>
      </c>
      <c r="I474" s="20"/>
      <c r="J474" s="200"/>
      <c r="K474" s="200"/>
      <c r="L474" s="200"/>
      <c r="M474" s="200"/>
      <c r="N474" s="200">
        <v>9.1000000000000004E-3</v>
      </c>
      <c r="O474" s="226">
        <f t="shared" si="123"/>
        <v>8.8737554758785819E-3</v>
      </c>
      <c r="P474" s="226">
        <f t="shared" si="123"/>
        <v>8.6531358511741895E-3</v>
      </c>
      <c r="Q474" s="226">
        <f t="shared" si="123"/>
        <v>8.4380012794371684E-3</v>
      </c>
      <c r="R474" s="226">
        <f t="shared" si="123"/>
        <v>8.228215391085281E-3</v>
      </c>
      <c r="S474" s="226">
        <f t="shared" si="123"/>
        <v>8.0236452069616972E-3</v>
      </c>
      <c r="T474" s="226">
        <f t="shared" si="123"/>
        <v>7.8241610540421211E-3</v>
      </c>
      <c r="U474" s="226">
        <f t="shared" si="123"/>
        <v>7.6296364832376057E-3</v>
      </c>
      <c r="V474" s="226">
        <f t="shared" si="123"/>
        <v>7.4399481892409572E-3</v>
      </c>
      <c r="W474" s="226">
        <f t="shared" si="123"/>
        <v>7.2549759323659209E-3</v>
      </c>
      <c r="X474" s="226">
        <f t="shared" si="123"/>
        <v>7.0746024623296053E-3</v>
      </c>
      <c r="Y474" s="226">
        <f t="shared" si="123"/>
        <v>6.8987134439298277E-3</v>
      </c>
      <c r="Z474" s="226">
        <f t="shared" si="123"/>
        <v>6.7271973845702748E-3</v>
      </c>
      <c r="AA474" s="226">
        <f t="shared" si="123"/>
        <v>6.5599455635875327E-3</v>
      </c>
      <c r="AB474" s="226">
        <f t="shared" si="123"/>
        <v>6.3968519633351957E-3</v>
      </c>
      <c r="AC474" s="226">
        <f t="shared" si="123"/>
        <v>6.237813201981357E-3</v>
      </c>
      <c r="AD474" s="226">
        <f t="shared" si="123"/>
        <v>6.0827284679768985E-3</v>
      </c>
      <c r="AE474" s="226">
        <f t="shared" si="121"/>
        <v>5.9314994561530266E-3</v>
      </c>
      <c r="AF474" s="226">
        <f t="shared" si="121"/>
        <v>5.784030305407555E-3</v>
      </c>
      <c r="AG474" s="226">
        <f t="shared" si="121"/>
        <v>5.6402275379404346E-3</v>
      </c>
      <c r="AH474" s="227">
        <v>5.4999999999999997E-3</v>
      </c>
      <c r="AI474" s="226">
        <f t="shared" si="124"/>
        <v>5.3632588041024392E-3</v>
      </c>
      <c r="AJ474" s="226">
        <f t="shared" si="124"/>
        <v>5.2299172726876959E-3</v>
      </c>
      <c r="AK474" s="226">
        <f t="shared" si="124"/>
        <v>5.09989088317631E-3</v>
      </c>
      <c r="AL474" s="226">
        <f t="shared" si="124"/>
        <v>4.973097214392202E-3</v>
      </c>
      <c r="AM474" s="226">
        <f t="shared" si="124"/>
        <v>4.849455894317508E-3</v>
      </c>
      <c r="AN474" s="226">
        <f t="shared" si="124"/>
        <v>4.7288885491463357E-3</v>
      </c>
      <c r="AO474" s="226">
        <f t="shared" si="124"/>
        <v>4.611318753605145E-3</v>
      </c>
      <c r="AP474" s="226">
        <f t="shared" si="124"/>
        <v>4.4966719825082699E-3</v>
      </c>
      <c r="AQ474" s="226">
        <f t="shared" si="124"/>
        <v>4.3848755635178633E-3</v>
      </c>
      <c r="AR474" s="226">
        <f t="shared" si="124"/>
        <v>4.2758586310783324E-3</v>
      </c>
      <c r="AS474" s="226">
        <f t="shared" si="124"/>
        <v>4.1695520814960495E-3</v>
      </c>
      <c r="AT474" s="226">
        <f t="shared" si="124"/>
        <v>4.0658885291358802E-3</v>
      </c>
      <c r="AU474" s="226">
        <f t="shared" si="124"/>
        <v>3.9648022637067508E-3</v>
      </c>
      <c r="AV474" s="226">
        <f t="shared" si="124"/>
        <v>3.8662292086091843E-3</v>
      </c>
      <c r="AW474" s="226">
        <f t="shared" si="124"/>
        <v>3.7701068803184029E-3</v>
      </c>
      <c r="AX474" s="226">
        <f t="shared" si="124"/>
        <v>3.6763743487772467E-3</v>
      </c>
      <c r="AY474" s="226">
        <f t="shared" si="122"/>
        <v>3.5849721987738074E-3</v>
      </c>
      <c r="AZ474" s="226">
        <f t="shared" si="122"/>
        <v>3.4958424922792914E-3</v>
      </c>
      <c r="BA474" s="226">
        <f t="shared" si="122"/>
        <v>3.4089287317222408E-3</v>
      </c>
      <c r="BB474" s="226">
        <f t="shared" si="122"/>
        <v>3.3241758241758313E-3</v>
      </c>
      <c r="BC474" s="226">
        <f t="shared" si="122"/>
        <v>3.2415300464355475E-3</v>
      </c>
      <c r="BD474" s="226">
        <f t="shared" si="122"/>
        <v>3.1609390109650984E-3</v>
      </c>
      <c r="BE474" s="226">
        <f t="shared" si="122"/>
        <v>3.0823516326889859E-3</v>
      </c>
    </row>
    <row r="475" spans="5:57" s="10" customFormat="1" x14ac:dyDescent="0.35">
      <c r="E475" s="10" t="s">
        <v>651</v>
      </c>
      <c r="F475" s="10" t="s">
        <v>615</v>
      </c>
      <c r="G475" s="43" t="s">
        <v>616</v>
      </c>
      <c r="I475" s="20"/>
      <c r="J475" s="200"/>
      <c r="K475" s="200"/>
      <c r="L475" s="200"/>
      <c r="M475" s="200"/>
      <c r="N475" s="200">
        <v>9.1999999999999998E-3</v>
      </c>
      <c r="O475" s="226">
        <f t="shared" si="123"/>
        <v>8.9744498975098327E-3</v>
      </c>
      <c r="P475" s="226">
        <f t="shared" si="123"/>
        <v>8.7544294524906797E-3</v>
      </c>
      <c r="Q475" s="226">
        <f t="shared" si="123"/>
        <v>8.5398030981154397E-3</v>
      </c>
      <c r="R475" s="226">
        <f t="shared" si="123"/>
        <v>8.3304385911561144E-3</v>
      </c>
      <c r="S475" s="226">
        <f t="shared" si="123"/>
        <v>8.1262069305014072E-3</v>
      </c>
      <c r="T475" s="226">
        <f t="shared" si="123"/>
        <v>7.9269822776719609E-3</v>
      </c>
      <c r="U475" s="226">
        <f t="shared" si="123"/>
        <v>7.7326418792842818E-3</v>
      </c>
      <c r="V475" s="226">
        <f t="shared" si="123"/>
        <v>7.5430659914155502E-3</v>
      </c>
      <c r="W475" s="226">
        <f t="shared" si="123"/>
        <v>7.3581378058227382E-3</v>
      </c>
      <c r="X475" s="226">
        <f t="shared" si="123"/>
        <v>7.1777433779705545E-3</v>
      </c>
      <c r="Y475" s="226">
        <f t="shared" si="123"/>
        <v>7.0017715568238834E-3</v>
      </c>
      <c r="Z475" s="226">
        <f t="shared" si="123"/>
        <v>6.8301139163614525E-3</v>
      </c>
      <c r="AA475" s="226">
        <f t="shared" si="123"/>
        <v>6.6626646887685348E-3</v>
      </c>
      <c r="AB475" s="226">
        <f t="shared" si="123"/>
        <v>6.4993206992675174E-3</v>
      </c>
      <c r="AC475" s="226">
        <f t="shared" si="123"/>
        <v>6.3399813025461858E-3</v>
      </c>
      <c r="AD475" s="226">
        <f t="shared" si="123"/>
        <v>6.1845483207445514E-3</v>
      </c>
      <c r="AE475" s="226">
        <f t="shared" si="121"/>
        <v>6.0329259829620162E-3</v>
      </c>
      <c r="AF475" s="226">
        <f t="shared" si="121"/>
        <v>5.8850208662475948E-3</v>
      </c>
      <c r="AG475" s="226">
        <f t="shared" si="121"/>
        <v>5.7407418380368428E-3</v>
      </c>
      <c r="AH475" s="227">
        <v>5.5999999999999999E-3</v>
      </c>
      <c r="AI475" s="226">
        <f t="shared" si="124"/>
        <v>5.4627086332668549E-3</v>
      </c>
      <c r="AJ475" s="226">
        <f t="shared" si="124"/>
        <v>5.3287831449943266E-3</v>
      </c>
      <c r="AK475" s="226">
        <f t="shared" si="124"/>
        <v>5.1981410162441804E-3</v>
      </c>
      <c r="AL475" s="226">
        <f t="shared" si="124"/>
        <v>5.0707017511385042E-3</v>
      </c>
      <c r="AM475" s="226">
        <f t="shared" si="124"/>
        <v>4.9463868272617258E-3</v>
      </c>
      <c r="AN475" s="226">
        <f t="shared" si="124"/>
        <v>4.825119647278585E-3</v>
      </c>
      <c r="AO475" s="226">
        <f t="shared" si="124"/>
        <v>4.7068254917382582E-3</v>
      </c>
      <c r="AP475" s="226">
        <f t="shared" si="124"/>
        <v>4.5914314730355517E-3</v>
      </c>
      <c r="AQ475" s="226">
        <f t="shared" si="124"/>
        <v>4.4788664905007968E-3</v>
      </c>
      <c r="AR475" s="226">
        <f t="shared" si="124"/>
        <v>4.369061186590772E-3</v>
      </c>
      <c r="AS475" s="226">
        <f t="shared" si="124"/>
        <v>4.2619479041536672E-3</v>
      </c>
      <c r="AT475" s="226">
        <f t="shared" si="124"/>
        <v>4.157460644741753E-3</v>
      </c>
      <c r="AU475" s="226">
        <f t="shared" si="124"/>
        <v>4.0555350279460637E-3</v>
      </c>
      <c r="AV475" s="226">
        <f t="shared" si="124"/>
        <v>3.9561082517280532E-3</v>
      </c>
      <c r="AW475" s="226">
        <f t="shared" si="124"/>
        <v>3.859119053723764E-3</v>
      </c>
      <c r="AX475" s="226">
        <f t="shared" si="124"/>
        <v>3.7645076734966823E-3</v>
      </c>
      <c r="AY475" s="226">
        <f t="shared" si="122"/>
        <v>3.6722158157160086E-3</v>
      </c>
      <c r="AZ475" s="226">
        <f t="shared" si="122"/>
        <v>3.5821866142376653E-3</v>
      </c>
      <c r="BA475" s="226">
        <f t="shared" si="122"/>
        <v>3.4943645970659035E-3</v>
      </c>
      <c r="BB475" s="226">
        <f t="shared" si="122"/>
        <v>3.4086956521739223E-3</v>
      </c>
      <c r="BC475" s="226">
        <f t="shared" si="122"/>
        <v>3.3251269941624423E-3</v>
      </c>
      <c r="BD475" s="226">
        <f t="shared" si="122"/>
        <v>3.2436071317356856E-3</v>
      </c>
      <c r="BE475" s="226">
        <f t="shared" si="122"/>
        <v>3.164085835974727E-3</v>
      </c>
    </row>
    <row r="476" spans="5:57" s="10" customFormat="1" x14ac:dyDescent="0.35">
      <c r="E476" s="10" t="s">
        <v>652</v>
      </c>
      <c r="F476" s="10" t="s">
        <v>615</v>
      </c>
      <c r="G476" s="43" t="s">
        <v>616</v>
      </c>
      <c r="I476" s="20"/>
      <c r="J476" s="200"/>
      <c r="K476" s="200"/>
      <c r="L476" s="200"/>
      <c r="M476" s="200"/>
      <c r="N476" s="200">
        <v>9.1999999999999998E-3</v>
      </c>
      <c r="O476" s="226">
        <f t="shared" si="123"/>
        <v>8.9744498975098327E-3</v>
      </c>
      <c r="P476" s="226">
        <f t="shared" si="123"/>
        <v>8.7544294524906797E-3</v>
      </c>
      <c r="Q476" s="226">
        <f t="shared" si="123"/>
        <v>8.5398030981154397E-3</v>
      </c>
      <c r="R476" s="226">
        <f t="shared" si="123"/>
        <v>8.3304385911561144E-3</v>
      </c>
      <c r="S476" s="226">
        <f t="shared" si="123"/>
        <v>8.1262069305014072E-3</v>
      </c>
      <c r="T476" s="226">
        <f t="shared" si="123"/>
        <v>7.9269822776719609E-3</v>
      </c>
      <c r="U476" s="226">
        <f t="shared" si="123"/>
        <v>7.7326418792842818E-3</v>
      </c>
      <c r="V476" s="226">
        <f t="shared" si="123"/>
        <v>7.5430659914155502E-3</v>
      </c>
      <c r="W476" s="226">
        <f t="shared" si="123"/>
        <v>7.3581378058227382E-3</v>
      </c>
      <c r="X476" s="226">
        <f t="shared" si="123"/>
        <v>7.1777433779705545E-3</v>
      </c>
      <c r="Y476" s="226">
        <f t="shared" si="123"/>
        <v>7.0017715568238834E-3</v>
      </c>
      <c r="Z476" s="226">
        <f t="shared" si="123"/>
        <v>6.8301139163614525E-3</v>
      </c>
      <c r="AA476" s="226">
        <f t="shared" si="123"/>
        <v>6.6626646887685348E-3</v>
      </c>
      <c r="AB476" s="226">
        <f t="shared" si="123"/>
        <v>6.4993206992675174E-3</v>
      </c>
      <c r="AC476" s="226">
        <f t="shared" si="123"/>
        <v>6.3399813025461858E-3</v>
      </c>
      <c r="AD476" s="226">
        <f t="shared" si="123"/>
        <v>6.1845483207445514E-3</v>
      </c>
      <c r="AE476" s="226">
        <f t="shared" si="121"/>
        <v>6.0329259829620162E-3</v>
      </c>
      <c r="AF476" s="226">
        <f t="shared" si="121"/>
        <v>5.8850208662475948E-3</v>
      </c>
      <c r="AG476" s="226">
        <f t="shared" si="121"/>
        <v>5.7407418380368428E-3</v>
      </c>
      <c r="AH476" s="227">
        <v>5.5999999999999999E-3</v>
      </c>
      <c r="AI476" s="226">
        <f t="shared" si="124"/>
        <v>5.4627086332668549E-3</v>
      </c>
      <c r="AJ476" s="226">
        <f t="shared" si="124"/>
        <v>5.3287831449943266E-3</v>
      </c>
      <c r="AK476" s="226">
        <f t="shared" si="124"/>
        <v>5.1981410162441804E-3</v>
      </c>
      <c r="AL476" s="226">
        <f t="shared" si="124"/>
        <v>5.0707017511385042E-3</v>
      </c>
      <c r="AM476" s="226">
        <f t="shared" si="124"/>
        <v>4.9463868272617258E-3</v>
      </c>
      <c r="AN476" s="226">
        <f t="shared" si="124"/>
        <v>4.825119647278585E-3</v>
      </c>
      <c r="AO476" s="226">
        <f t="shared" si="124"/>
        <v>4.7068254917382582E-3</v>
      </c>
      <c r="AP476" s="226">
        <f t="shared" si="124"/>
        <v>4.5914314730355517E-3</v>
      </c>
      <c r="AQ476" s="226">
        <f t="shared" si="124"/>
        <v>4.4788664905007968E-3</v>
      </c>
      <c r="AR476" s="226">
        <f t="shared" si="124"/>
        <v>4.369061186590772E-3</v>
      </c>
      <c r="AS476" s="226">
        <f t="shared" si="124"/>
        <v>4.2619479041536672E-3</v>
      </c>
      <c r="AT476" s="226">
        <f t="shared" si="124"/>
        <v>4.157460644741753E-3</v>
      </c>
      <c r="AU476" s="226">
        <f t="shared" si="124"/>
        <v>4.0555350279460637E-3</v>
      </c>
      <c r="AV476" s="226">
        <f t="shared" si="124"/>
        <v>3.9561082517280532E-3</v>
      </c>
      <c r="AW476" s="226">
        <f t="shared" si="124"/>
        <v>3.859119053723764E-3</v>
      </c>
      <c r="AX476" s="226">
        <f t="shared" si="124"/>
        <v>3.7645076734966823E-3</v>
      </c>
      <c r="AY476" s="226">
        <f t="shared" si="122"/>
        <v>3.6722158157160086E-3</v>
      </c>
      <c r="AZ476" s="226">
        <f t="shared" si="122"/>
        <v>3.5821866142376653E-3</v>
      </c>
      <c r="BA476" s="226">
        <f t="shared" si="122"/>
        <v>3.4943645970659035E-3</v>
      </c>
      <c r="BB476" s="226">
        <f t="shared" si="122"/>
        <v>3.4086956521739223E-3</v>
      </c>
      <c r="BC476" s="226">
        <f t="shared" si="122"/>
        <v>3.3251269941624423E-3</v>
      </c>
      <c r="BD476" s="226">
        <f t="shared" si="122"/>
        <v>3.2436071317356856E-3</v>
      </c>
      <c r="BE476" s="226">
        <f t="shared" si="122"/>
        <v>3.164085835974727E-3</v>
      </c>
    </row>
    <row r="477" spans="5:57" s="10" customFormat="1" x14ac:dyDescent="0.35">
      <c r="E477" s="10" t="s">
        <v>653</v>
      </c>
      <c r="F477" s="10" t="s">
        <v>615</v>
      </c>
      <c r="G477" s="43" t="s">
        <v>616</v>
      </c>
      <c r="I477" s="20"/>
      <c r="J477" s="200"/>
      <c r="K477" s="200"/>
      <c r="L477" s="200"/>
      <c r="M477" s="200"/>
      <c r="N477" s="200">
        <v>9.1999999999999998E-3</v>
      </c>
      <c r="O477" s="226">
        <f t="shared" si="123"/>
        <v>8.9823956112798711E-3</v>
      </c>
      <c r="P477" s="226">
        <f t="shared" si="123"/>
        <v>8.7699381432108578E-3</v>
      </c>
      <c r="Q477" s="226">
        <f t="shared" si="123"/>
        <v>8.5625058574753422E-3</v>
      </c>
      <c r="R477" s="226">
        <f t="shared" si="123"/>
        <v>8.3599798951896412E-3</v>
      </c>
      <c r="S477" s="226">
        <f t="shared" si="123"/>
        <v>8.1622442087977594E-3</v>
      </c>
      <c r="T477" s="226">
        <f t="shared" si="123"/>
        <v>7.969185495576037E-3</v>
      </c>
      <c r="U477" s="226">
        <f t="shared" si="123"/>
        <v>7.7806931327105873E-3</v>
      </c>
      <c r="V477" s="226">
        <f t="shared" si="123"/>
        <v>7.5966591139103277E-3</v>
      </c>
      <c r="W477" s="226">
        <f t="shared" si="123"/>
        <v>7.416977987519279E-3</v>
      </c>
      <c r="X477" s="226">
        <f t="shared" si="123"/>
        <v>7.2415467960926724E-3</v>
      </c>
      <c r="Y477" s="226">
        <f t="shared" si="123"/>
        <v>7.0702650174022429E-3</v>
      </c>
      <c r="Z477" s="226">
        <f t="shared" si="123"/>
        <v>6.9030345068369029E-3</v>
      </c>
      <c r="AA477" s="226">
        <f t="shared" si="123"/>
        <v>6.7397594411657945E-3</v>
      </c>
      <c r="AB477" s="226">
        <f t="shared" si="123"/>
        <v>6.5803462636314907E-3</v>
      </c>
      <c r="AC477" s="226">
        <f t="shared" si="123"/>
        <v>6.424703630341891E-3</v>
      </c>
      <c r="AD477" s="226">
        <f t="shared" si="123"/>
        <v>6.2727423579300931E-3</v>
      </c>
      <c r="AE477" s="226">
        <f t="shared" si="121"/>
        <v>6.1243753724522414E-3</v>
      </c>
      <c r="AF477" s="226">
        <f t="shared" si="121"/>
        <v>5.9795176594940802E-3</v>
      </c>
      <c r="AG477" s="226">
        <f t="shared" si="121"/>
        <v>5.8380862154576206E-3</v>
      </c>
      <c r="AH477" s="227">
        <v>5.7000000000000002E-3</v>
      </c>
      <c r="AI477" s="226">
        <f t="shared" si="124"/>
        <v>5.5651798895973116E-3</v>
      </c>
      <c r="AJ477" s="226">
        <f t="shared" si="124"/>
        <v>5.4335486322067269E-3</v>
      </c>
      <c r="AK477" s="226">
        <f t="shared" si="124"/>
        <v>5.3050308030010273E-3</v>
      </c>
      <c r="AL477" s="226">
        <f t="shared" si="124"/>
        <v>5.1795527611501043E-3</v>
      </c>
      <c r="AM477" s="226">
        <f t="shared" si="124"/>
        <v>5.0570426076247E-3</v>
      </c>
      <c r="AN477" s="226">
        <f t="shared" si="124"/>
        <v>4.9374301439981984E-3</v>
      </c>
      <c r="AO477" s="226">
        <f t="shared" si="124"/>
        <v>4.8206468322228649E-3</v>
      </c>
      <c r="AP477" s="226">
        <f t="shared" si="124"/>
        <v>4.7066257553574865E-3</v>
      </c>
      <c r="AQ477" s="226">
        <f t="shared" si="124"/>
        <v>4.5953015792239019E-3</v>
      </c>
      <c r="AR477" s="226">
        <f t="shared" si="124"/>
        <v>4.4866105149704606E-3</v>
      </c>
      <c r="AS477" s="226">
        <f t="shared" si="124"/>
        <v>4.3804902825209553E-3</v>
      </c>
      <c r="AT477" s="226">
        <f t="shared" si="124"/>
        <v>4.2768800748880821E-3</v>
      </c>
      <c r="AU477" s="226">
        <f t="shared" si="124"/>
        <v>4.1757205233309818E-3</v>
      </c>
      <c r="AV477" s="226">
        <f t="shared" si="124"/>
        <v>4.0769536633369022E-3</v>
      </c>
      <c r="AW477" s="226">
        <f t="shared" si="124"/>
        <v>3.9805229014074767E-3</v>
      </c>
      <c r="AX477" s="226">
        <f t="shared" si="124"/>
        <v>3.8863729826306018E-3</v>
      </c>
      <c r="AY477" s="226">
        <f t="shared" si="122"/>
        <v>3.7944499590193241E-3</v>
      </c>
      <c r="AZ477" s="226">
        <f t="shared" si="122"/>
        <v>3.7047011585995939E-3</v>
      </c>
      <c r="BA477" s="226">
        <f t="shared" si="122"/>
        <v>3.6170751552291789E-3</v>
      </c>
      <c r="BB477" s="226">
        <f t="shared" si="122"/>
        <v>3.5315217391304384E-3</v>
      </c>
      <c r="BC477" s="226">
        <f t="shared" si="122"/>
        <v>3.4479918881200771E-3</v>
      </c>
      <c r="BD477" s="226">
        <f t="shared" si="122"/>
        <v>3.3664377395193888E-3</v>
      </c>
      <c r="BE477" s="226">
        <f t="shared" si="122"/>
        <v>3.2868125627289009E-3</v>
      </c>
    </row>
    <row r="478" spans="5:57" s="10" customFormat="1" x14ac:dyDescent="0.35">
      <c r="E478" s="10" t="s">
        <v>654</v>
      </c>
      <c r="F478" s="10" t="s">
        <v>615</v>
      </c>
      <c r="G478" s="43" t="s">
        <v>616</v>
      </c>
      <c r="I478" s="20"/>
      <c r="J478" s="200"/>
      <c r="K478" s="200"/>
      <c r="L478" s="200"/>
      <c r="M478" s="200"/>
      <c r="N478" s="200">
        <v>9.1000000000000004E-3</v>
      </c>
      <c r="O478" s="226">
        <f t="shared" si="123"/>
        <v>8.8896173120759925E-3</v>
      </c>
      <c r="P478" s="226">
        <f t="shared" si="123"/>
        <v>8.6840984566111199E-3</v>
      </c>
      <c r="Q478" s="226">
        <f t="shared" si="123"/>
        <v>8.4833309867761112E-3</v>
      </c>
      <c r="R478" s="226">
        <f t="shared" si="123"/>
        <v>8.287205055397321E-3</v>
      </c>
      <c r="S478" s="226">
        <f t="shared" si="123"/>
        <v>8.0956133548553515E-3</v>
      </c>
      <c r="T478" s="226">
        <f t="shared" si="123"/>
        <v>7.9084510583731574E-3</v>
      </c>
      <c r="U478" s="226">
        <f t="shared" si="123"/>
        <v>7.7256157626615076E-3</v>
      </c>
      <c r="V478" s="226">
        <f t="shared" si="123"/>
        <v>7.5470074318904285E-3</v>
      </c>
      <c r="W478" s="226">
        <f t="shared" si="123"/>
        <v>7.3725283429559698E-3</v>
      </c>
      <c r="X478" s="226">
        <f t="shared" si="123"/>
        <v>7.2020830320123422E-3</v>
      </c>
      <c r="Y478" s="226">
        <f t="shared" si="123"/>
        <v>7.0355782422401826E-3</v>
      </c>
      <c r="Z478" s="226">
        <f t="shared" si="123"/>
        <v>6.8729228728223631E-3</v>
      </c>
      <c r="AA478" s="226">
        <f t="shared" si="123"/>
        <v>6.7140279290994215E-3</v>
      </c>
      <c r="AB478" s="226">
        <f t="shared" si="123"/>
        <v>6.5588064738773552E-3</v>
      </c>
      <c r="AC478" s="226">
        <f t="shared" si="123"/>
        <v>6.4071735798611239E-3</v>
      </c>
      <c r="AD478" s="226">
        <f t="shared" si="123"/>
        <v>6.2590462831878411E-3</v>
      </c>
      <c r="AE478" s="226">
        <f t="shared" si="121"/>
        <v>6.114343538034233E-3</v>
      </c>
      <c r="AF478" s="226">
        <f t="shared" si="121"/>
        <v>5.9729861722735257E-3</v>
      </c>
      <c r="AG478" s="226">
        <f t="shared" si="121"/>
        <v>5.8348968441574991E-3</v>
      </c>
      <c r="AH478" s="227">
        <v>5.7000000000000002E-3</v>
      </c>
      <c r="AI478" s="226">
        <f t="shared" si="124"/>
        <v>5.5682218328388083E-3</v>
      </c>
      <c r="AJ478" s="226">
        <f t="shared" si="124"/>
        <v>5.439490242053118E-3</v>
      </c>
      <c r="AK478" s="226">
        <f t="shared" si="124"/>
        <v>5.3137347939147053E-3</v>
      </c>
      <c r="AL478" s="226">
        <f t="shared" si="124"/>
        <v>5.1908866830510676E-3</v>
      </c>
      <c r="AM478" s="226">
        <f t="shared" si="124"/>
        <v>5.0708786947995044E-3</v>
      </c>
      <c r="AN478" s="226">
        <f t="shared" si="124"/>
        <v>4.9536451684315365E-3</v>
      </c>
      <c r="AO478" s="226">
        <f t="shared" si="124"/>
        <v>4.839121961227536E-3</v>
      </c>
      <c r="AP478" s="226">
        <f t="shared" si="124"/>
        <v>4.7272464133819156E-3</v>
      </c>
      <c r="AQ478" s="226">
        <f t="shared" si="124"/>
        <v>4.6179573137196716E-3</v>
      </c>
      <c r="AR478" s="226">
        <f t="shared" si="124"/>
        <v>4.5111948662055314E-3</v>
      </c>
      <c r="AS478" s="226">
        <f t="shared" si="124"/>
        <v>4.4069006572273655E-3</v>
      </c>
      <c r="AT478" s="226">
        <f t="shared" si="124"/>
        <v>4.3050176236359835E-3</v>
      </c>
      <c r="AU478" s="226">
        <f t="shared" si="124"/>
        <v>4.2054900215238115E-3</v>
      </c>
      <c r="AV478" s="226">
        <f t="shared" si="124"/>
        <v>4.1082633957253744E-3</v>
      </c>
      <c r="AW478" s="226">
        <f t="shared" si="124"/>
        <v>4.0132845500228994E-3</v>
      </c>
      <c r="AX478" s="226">
        <f t="shared" si="124"/>
        <v>3.9205015180407334E-3</v>
      </c>
      <c r="AY478" s="226">
        <f t="shared" si="122"/>
        <v>3.8298635348126492E-3</v>
      </c>
      <c r="AZ478" s="226">
        <f t="shared" si="122"/>
        <v>3.7413210090064919E-3</v>
      </c>
      <c r="BA478" s="226">
        <f t="shared" si="122"/>
        <v>3.6548254957909591E-3</v>
      </c>
      <c r="BB478" s="226">
        <f t="shared" si="122"/>
        <v>3.5703296703296734E-3</v>
      </c>
      <c r="BC478" s="226">
        <f t="shared" si="122"/>
        <v>3.4877873018880476E-3</v>
      </c>
      <c r="BD478" s="226">
        <f t="shared" si="122"/>
        <v>3.4071532285387691E-3</v>
      </c>
      <c r="BE478" s="226">
        <f t="shared" si="122"/>
        <v>3.3283833324520714E-3</v>
      </c>
    </row>
    <row r="479" spans="5:57" s="10" customFormat="1" x14ac:dyDescent="0.35">
      <c r="E479" s="10" t="s">
        <v>655</v>
      </c>
      <c r="F479" s="10" t="s">
        <v>615</v>
      </c>
      <c r="G479" s="43" t="s">
        <v>616</v>
      </c>
      <c r="I479" s="20"/>
      <c r="J479" s="200"/>
      <c r="K479" s="200"/>
      <c r="L479" s="200"/>
      <c r="M479" s="200"/>
      <c r="N479" s="200">
        <v>9.1000000000000004E-3</v>
      </c>
      <c r="O479" s="226">
        <f t="shared" si="123"/>
        <v>8.8973509709887339E-3</v>
      </c>
      <c r="P479" s="226">
        <f t="shared" si="123"/>
        <v>8.6992147583466115E-3</v>
      </c>
      <c r="Q479" s="226">
        <f t="shared" si="123"/>
        <v>8.5054908656060149E-3</v>
      </c>
      <c r="R479" s="226">
        <f t="shared" si="123"/>
        <v>8.3160810342676351E-3</v>
      </c>
      <c r="S479" s="226">
        <f t="shared" si="123"/>
        <v>8.1308891939628723E-3</v>
      </c>
      <c r="T479" s="226">
        <f t="shared" si="123"/>
        <v>7.9498214137260839E-3</v>
      </c>
      <c r="U479" s="226">
        <f t="shared" si="123"/>
        <v>7.7727858543519554E-3</v>
      </c>
      <c r="V479" s="226">
        <f t="shared" si="123"/>
        <v>7.5996927218138308E-3</v>
      </c>
      <c r="W479" s="226">
        <f t="shared" si="123"/>
        <v>7.4304542217193733E-3</v>
      </c>
      <c r="X479" s="226">
        <f t="shared" si="123"/>
        <v>7.2649845147804608E-3</v>
      </c>
      <c r="Y479" s="226">
        <f t="shared" si="123"/>
        <v>7.1031996732747304E-3</v>
      </c>
      <c r="Z479" s="226">
        <f t="shared" si="123"/>
        <v>6.9450176384766782E-3</v>
      </c>
      <c r="AA479" s="226">
        <f t="shared" si="123"/>
        <v>6.7903581790367418E-3</v>
      </c>
      <c r="AB479" s="226">
        <f t="shared" si="123"/>
        <v>6.6391428502872354E-3</v>
      </c>
      <c r="AC479" s="226">
        <f t="shared" si="123"/>
        <v>6.4912949544545101E-3</v>
      </c>
      <c r="AD479" s="226">
        <f t="shared" si="123"/>
        <v>6.3467395017571537E-3</v>
      </c>
      <c r="AE479" s="226">
        <f t="shared" si="121"/>
        <v>6.2054031723705015E-3</v>
      </c>
      <c r="AF479" s="226">
        <f t="shared" si="121"/>
        <v>6.0672142792381591E-3</v>
      </c>
      <c r="AG479" s="226">
        <f t="shared" si="121"/>
        <v>5.9321027317116859E-3</v>
      </c>
      <c r="AH479" s="227">
        <v>5.7999999999999996E-3</v>
      </c>
      <c r="AI479" s="226">
        <f t="shared" si="124"/>
        <v>5.670839080410401E-3</v>
      </c>
      <c r="AJ479" s="226">
        <f t="shared" si="124"/>
        <v>5.5445544613637729E-3</v>
      </c>
      <c r="AK479" s="226">
        <f t="shared" si="124"/>
        <v>5.4210820901664696E-3</v>
      </c>
      <c r="AL479" s="226">
        <f t="shared" si="124"/>
        <v>5.3003593405222277E-3</v>
      </c>
      <c r="AM479" s="226">
        <f t="shared" si="124"/>
        <v>5.182324980767543E-3</v>
      </c>
      <c r="AN479" s="226">
        <f t="shared" si="124"/>
        <v>5.0669191428144248E-3</v>
      </c>
      <c r="AO479" s="226">
        <f t="shared" si="124"/>
        <v>4.954083291784761E-3</v>
      </c>
      <c r="AP479" s="226">
        <f t="shared" si="124"/>
        <v>4.8437601963209013E-3</v>
      </c>
      <c r="AQ479" s="226">
        <f t="shared" si="124"/>
        <v>4.7358938995574005E-3</v>
      </c>
      <c r="AR479" s="226">
        <f t="shared" si="124"/>
        <v>4.6304296907391925E-3</v>
      </c>
      <c r="AS479" s="226">
        <f t="shared" si="124"/>
        <v>4.5273140774718034E-3</v>
      </c>
      <c r="AT479" s="226">
        <f t="shared" si="124"/>
        <v>4.4264947585895284E-3</v>
      </c>
      <c r="AU479" s="226">
        <f t="shared" si="124"/>
        <v>4.3279205976278108E-3</v>
      </c>
      <c r="AV479" s="226">
        <f t="shared" si="124"/>
        <v>4.2315415968863668E-3</v>
      </c>
      <c r="AW479" s="226">
        <f t="shared" si="124"/>
        <v>4.1373088720699043E-3</v>
      </c>
      <c r="AX479" s="226">
        <f t="shared" si="124"/>
        <v>4.045174627493567E-3</v>
      </c>
      <c r="AY479" s="226">
        <f t="shared" si="122"/>
        <v>3.9550921318405353E-3</v>
      </c>
      <c r="AZ479" s="226">
        <f t="shared" si="122"/>
        <v>3.8670156944594818E-3</v>
      </c>
      <c r="BA479" s="226">
        <f t="shared" si="122"/>
        <v>3.7809006421898614E-3</v>
      </c>
      <c r="BB479" s="226">
        <f t="shared" si="122"/>
        <v>3.6967032967032843E-3</v>
      </c>
      <c r="BC479" s="226">
        <f t="shared" si="122"/>
        <v>3.6143809523494744E-3</v>
      </c>
      <c r="BD479" s="226">
        <f t="shared" si="122"/>
        <v>3.5338918544955801E-3</v>
      </c>
      <c r="BE479" s="226">
        <f t="shared" si="122"/>
        <v>3.455195178347849E-3</v>
      </c>
    </row>
    <row r="480" spans="5:57" s="10" customFormat="1" x14ac:dyDescent="0.35">
      <c r="E480" s="10" t="s">
        <v>656</v>
      </c>
      <c r="F480" s="10" t="s">
        <v>615</v>
      </c>
      <c r="G480" s="43" t="s">
        <v>616</v>
      </c>
      <c r="I480" s="20"/>
      <c r="J480" s="200"/>
      <c r="K480" s="200"/>
      <c r="L480" s="200"/>
      <c r="M480" s="200"/>
      <c r="N480" s="200">
        <v>9.1000000000000004E-3</v>
      </c>
      <c r="O480" s="226">
        <f t="shared" si="123"/>
        <v>8.8973509709887339E-3</v>
      </c>
      <c r="P480" s="226">
        <f t="shared" si="123"/>
        <v>8.6992147583466115E-3</v>
      </c>
      <c r="Q480" s="226">
        <f t="shared" si="123"/>
        <v>8.5054908656060149E-3</v>
      </c>
      <c r="R480" s="226">
        <f t="shared" si="123"/>
        <v>8.3160810342676351E-3</v>
      </c>
      <c r="S480" s="226">
        <f t="shared" si="123"/>
        <v>8.1308891939628723E-3</v>
      </c>
      <c r="T480" s="226">
        <f t="shared" si="123"/>
        <v>7.9498214137260839E-3</v>
      </c>
      <c r="U480" s="226">
        <f t="shared" si="123"/>
        <v>7.7727858543519554E-3</v>
      </c>
      <c r="V480" s="226">
        <f t="shared" si="123"/>
        <v>7.5996927218138308E-3</v>
      </c>
      <c r="W480" s="226">
        <f t="shared" si="123"/>
        <v>7.4304542217193733E-3</v>
      </c>
      <c r="X480" s="226">
        <f t="shared" si="123"/>
        <v>7.2649845147804608E-3</v>
      </c>
      <c r="Y480" s="226">
        <f t="shared" si="123"/>
        <v>7.1031996732747304E-3</v>
      </c>
      <c r="Z480" s="226">
        <f t="shared" si="123"/>
        <v>6.9450176384766782E-3</v>
      </c>
      <c r="AA480" s="226">
        <f t="shared" si="123"/>
        <v>6.7903581790367418E-3</v>
      </c>
      <c r="AB480" s="226">
        <f t="shared" si="123"/>
        <v>6.6391428502872354E-3</v>
      </c>
      <c r="AC480" s="226">
        <f t="shared" si="123"/>
        <v>6.4912949544545101E-3</v>
      </c>
      <c r="AD480" s="226">
        <f t="shared" si="123"/>
        <v>6.3467395017571537E-3</v>
      </c>
      <c r="AE480" s="226">
        <f t="shared" si="121"/>
        <v>6.2054031723705015E-3</v>
      </c>
      <c r="AF480" s="226">
        <f t="shared" si="121"/>
        <v>6.0672142792381591E-3</v>
      </c>
      <c r="AG480" s="226">
        <f t="shared" si="121"/>
        <v>5.9321027317116859E-3</v>
      </c>
      <c r="AH480" s="227">
        <v>5.7999999999999996E-3</v>
      </c>
      <c r="AI480" s="226">
        <f t="shared" si="124"/>
        <v>5.670839080410401E-3</v>
      </c>
      <c r="AJ480" s="226">
        <f t="shared" si="124"/>
        <v>5.5445544613637729E-3</v>
      </c>
      <c r="AK480" s="226">
        <f t="shared" si="124"/>
        <v>5.4210820901664696E-3</v>
      </c>
      <c r="AL480" s="226">
        <f t="shared" si="124"/>
        <v>5.3003593405222277E-3</v>
      </c>
      <c r="AM480" s="226">
        <f t="shared" si="124"/>
        <v>5.182324980767543E-3</v>
      </c>
      <c r="AN480" s="226">
        <f t="shared" si="124"/>
        <v>5.0669191428144248E-3</v>
      </c>
      <c r="AO480" s="226">
        <f t="shared" si="124"/>
        <v>4.954083291784761E-3</v>
      </c>
      <c r="AP480" s="226">
        <f t="shared" si="124"/>
        <v>4.8437601963209013E-3</v>
      </c>
      <c r="AQ480" s="226">
        <f t="shared" si="124"/>
        <v>4.7358938995574005E-3</v>
      </c>
      <c r="AR480" s="226">
        <f t="shared" si="124"/>
        <v>4.6304296907391925E-3</v>
      </c>
      <c r="AS480" s="226">
        <f t="shared" si="124"/>
        <v>4.5273140774718034E-3</v>
      </c>
      <c r="AT480" s="226">
        <f t="shared" si="124"/>
        <v>4.4264947585895284E-3</v>
      </c>
      <c r="AU480" s="226">
        <f t="shared" si="124"/>
        <v>4.3279205976278108E-3</v>
      </c>
      <c r="AV480" s="226">
        <f t="shared" si="124"/>
        <v>4.2315415968863668E-3</v>
      </c>
      <c r="AW480" s="226">
        <f t="shared" si="124"/>
        <v>4.1373088720699043E-3</v>
      </c>
      <c r="AX480" s="226">
        <f t="shared" si="124"/>
        <v>4.045174627493567E-3</v>
      </c>
      <c r="AY480" s="226">
        <f t="shared" si="122"/>
        <v>3.9550921318405353E-3</v>
      </c>
      <c r="AZ480" s="226">
        <f t="shared" si="122"/>
        <v>3.8670156944594818E-3</v>
      </c>
      <c r="BA480" s="226">
        <f t="shared" si="122"/>
        <v>3.7809006421898614E-3</v>
      </c>
      <c r="BB480" s="226">
        <f t="shared" si="122"/>
        <v>3.6967032967032843E-3</v>
      </c>
      <c r="BC480" s="226">
        <f t="shared" si="122"/>
        <v>3.6143809523494744E-3</v>
      </c>
      <c r="BD480" s="226">
        <f t="shared" si="122"/>
        <v>3.5338918544955801E-3</v>
      </c>
      <c r="BE480" s="226">
        <f t="shared" si="122"/>
        <v>3.455195178347849E-3</v>
      </c>
    </row>
    <row r="481" spans="2:57" s="10" customFormat="1" x14ac:dyDescent="0.35">
      <c r="E481" s="10" t="s">
        <v>657</v>
      </c>
      <c r="F481" s="10" t="s">
        <v>615</v>
      </c>
      <c r="G481" s="43" t="s">
        <v>616</v>
      </c>
      <c r="I481" s="20"/>
      <c r="J481" s="200"/>
      <c r="K481" s="200"/>
      <c r="L481" s="200"/>
      <c r="M481" s="200"/>
      <c r="N481" s="200">
        <v>8.9999999999999993E-3</v>
      </c>
      <c r="O481" s="226">
        <f t="shared" si="123"/>
        <v>8.8119694847568139E-3</v>
      </c>
      <c r="P481" s="226">
        <f t="shared" si="123"/>
        <v>8.6278673555872532E-3</v>
      </c>
      <c r="Q481" s="226">
        <f t="shared" si="123"/>
        <v>8.4476115395515951E-3</v>
      </c>
      <c r="R481" s="226">
        <f t="shared" si="123"/>
        <v>8.2711216784009112E-3</v>
      </c>
      <c r="S481" s="226">
        <f t="shared" si="123"/>
        <v>8.0983190927532665E-3</v>
      </c>
      <c r="T481" s="226">
        <f t="shared" si="123"/>
        <v>7.9291267470183637E-3</v>
      </c>
      <c r="U481" s="226">
        <f t="shared" si="123"/>
        <v>7.763469215054988E-3</v>
      </c>
      <c r="V481" s="226">
        <f t="shared" si="123"/>
        <v>7.6012726465459445E-3</v>
      </c>
      <c r="W481" s="226">
        <f t="shared" si="123"/>
        <v>7.4424647340755046E-3</v>
      </c>
      <c r="X481" s="226">
        <f t="shared" si="123"/>
        <v>7.2869746808946765E-3</v>
      </c>
      <c r="Y481" s="226">
        <f t="shared" si="123"/>
        <v>7.1347331693599357E-3</v>
      </c>
      <c r="Z481" s="226">
        <f t="shared" si="123"/>
        <v>6.9856723300313365E-3</v>
      </c>
      <c r="AA481" s="226">
        <f t="shared" si="123"/>
        <v>6.8397257114162415E-3</v>
      </c>
      <c r="AB481" s="226">
        <f t="shared" si="123"/>
        <v>6.6968282503451684E-3</v>
      </c>
      <c r="AC481" s="226">
        <f t="shared" si="123"/>
        <v>6.5569162429665552E-3</v>
      </c>
      <c r="AD481" s="226">
        <f t="shared" si="123"/>
        <v>6.4199273163475096E-3</v>
      </c>
      <c r="AE481" s="226">
        <f t="shared" si="121"/>
        <v>6.2858004006678854E-3</v>
      </c>
      <c r="AF481" s="226">
        <f t="shared" si="121"/>
        <v>6.1544757019952852E-3</v>
      </c>
      <c r="AG481" s="226">
        <f t="shared" si="121"/>
        <v>6.0258946756288588E-3</v>
      </c>
      <c r="AH481" s="227">
        <v>5.8999999999999999E-3</v>
      </c>
      <c r="AI481" s="226">
        <f t="shared" si="124"/>
        <v>5.7767355511183565E-3</v>
      </c>
      <c r="AJ481" s="226">
        <f t="shared" si="124"/>
        <v>5.6560463775516441E-3</v>
      </c>
      <c r="AK481" s="226">
        <f t="shared" si="124"/>
        <v>5.5378786759282678E-3</v>
      </c>
      <c r="AL481" s="226">
        <f t="shared" si="124"/>
        <v>5.4221797669517079E-3</v>
      </c>
      <c r="AM481" s="226">
        <f t="shared" si="124"/>
        <v>5.3088980719160298E-3</v>
      </c>
      <c r="AN481" s="226">
        <f t="shared" si="124"/>
        <v>5.1979830897120388E-3</v>
      </c>
      <c r="AO481" s="226">
        <f t="shared" si="124"/>
        <v>5.0893853743138257E-3</v>
      </c>
      <c r="AP481" s="226">
        <f t="shared" si="124"/>
        <v>4.9830565127356747E-3</v>
      </c>
      <c r="AQ481" s="226">
        <f t="shared" si="124"/>
        <v>4.8789491034494968E-3</v>
      </c>
      <c r="AR481" s="226">
        <f t="shared" si="124"/>
        <v>4.7770167352531763E-3</v>
      </c>
      <c r="AS481" s="226">
        <f t="shared" si="124"/>
        <v>4.677213966580402E-3</v>
      </c>
      <c r="AT481" s="226">
        <f t="shared" si="124"/>
        <v>4.5794963052427648E-3</v>
      </c>
      <c r="AU481" s="226">
        <f t="shared" si="124"/>
        <v>4.4838201885950913E-3</v>
      </c>
      <c r="AV481" s="226">
        <f t="shared" si="124"/>
        <v>4.3901429641151658E-3</v>
      </c>
      <c r="AW481" s="226">
        <f t="shared" si="124"/>
        <v>4.2984228703891857E-3</v>
      </c>
      <c r="AX481" s="226">
        <f t="shared" si="124"/>
        <v>4.2086190184944779E-3</v>
      </c>
      <c r="AY481" s="226">
        <f t="shared" si="122"/>
        <v>4.1206913737711686E-3</v>
      </c>
      <c r="AZ481" s="226">
        <f t="shared" si="122"/>
        <v>4.0346007379746867E-3</v>
      </c>
      <c r="BA481" s="226">
        <f t="shared" si="122"/>
        <v>3.950308731801141E-3</v>
      </c>
      <c r="BB481" s="226">
        <f t="shared" si="122"/>
        <v>3.8677777777777829E-3</v>
      </c>
      <c r="BC481" s="226">
        <f t="shared" si="122"/>
        <v>3.7869710835109279E-3</v>
      </c>
      <c r="BD481" s="226">
        <f t="shared" si="122"/>
        <v>3.7078526252838609E-3</v>
      </c>
      <c r="BE481" s="226">
        <f t="shared" si="122"/>
        <v>3.6303871319974253E-3</v>
      </c>
    </row>
    <row r="482" spans="2:57" s="10" customFormat="1" x14ac:dyDescent="0.35">
      <c r="E482" s="10" t="s">
        <v>658</v>
      </c>
      <c r="F482" s="10" t="s">
        <v>615</v>
      </c>
      <c r="G482" s="43" t="s">
        <v>616</v>
      </c>
      <c r="I482" s="20"/>
      <c r="J482" s="200"/>
      <c r="K482" s="200"/>
      <c r="L482" s="200"/>
      <c r="M482" s="200"/>
      <c r="N482" s="200">
        <v>8.6999999999999994E-3</v>
      </c>
      <c r="O482" s="226">
        <f t="shared" si="123"/>
        <v>8.5179881737747157E-3</v>
      </c>
      <c r="P482" s="226">
        <f t="shared" si="123"/>
        <v>8.3397841986857391E-3</v>
      </c>
      <c r="Q482" s="226">
        <f t="shared" si="123"/>
        <v>8.165308411061882E-3</v>
      </c>
      <c r="R482" s="226">
        <f t="shared" si="123"/>
        <v>7.994482813867625E-3</v>
      </c>
      <c r="S482" s="226">
        <f t="shared" si="123"/>
        <v>7.827231041835591E-3</v>
      </c>
      <c r="T482" s="226">
        <f t="shared" si="123"/>
        <v>7.6634783273284964E-3</v>
      </c>
      <c r="U482" s="226">
        <f t="shared" si="123"/>
        <v>7.5031514669152847E-3</v>
      </c>
      <c r="V482" s="226">
        <f t="shared" si="123"/>
        <v>7.3461787886465301E-3</v>
      </c>
      <c r="W482" s="226">
        <f t="shared" si="123"/>
        <v>7.1924901200144621E-3</v>
      </c>
      <c r="X482" s="226">
        <f t="shared" si="123"/>
        <v>7.0420167565832968E-3</v>
      </c>
      <c r="Y482" s="226">
        <f t="shared" si="123"/>
        <v>6.8946914312758515E-3</v>
      </c>
      <c r="Z482" s="226">
        <f t="shared" si="123"/>
        <v>6.7504482843027099E-3</v>
      </c>
      <c r="AA482" s="226">
        <f t="shared" si="123"/>
        <v>6.6092228337204951E-3</v>
      </c>
      <c r="AB482" s="226">
        <f t="shared" si="123"/>
        <v>6.4709519466060921E-3</v>
      </c>
      <c r="AC482" s="226">
        <f t="shared" si="123"/>
        <v>6.3355738108339284E-3</v>
      </c>
      <c r="AD482" s="226">
        <f t="shared" si="123"/>
        <v>6.2030279074437025E-3</v>
      </c>
      <c r="AE482" s="226">
        <f t="shared" si="121"/>
        <v>6.0732549835862048E-3</v>
      </c>
      <c r="AF482" s="226">
        <f t="shared" si="121"/>
        <v>5.9461970260351327E-3</v>
      </c>
      <c r="AG482" s="226">
        <f t="shared" si="121"/>
        <v>5.8217972352530636E-3</v>
      </c>
      <c r="AH482" s="227">
        <v>5.7000000000000002E-3</v>
      </c>
      <c r="AI482" s="226">
        <f t="shared" si="124"/>
        <v>5.5807508724730901E-3</v>
      </c>
      <c r="AJ482" s="226">
        <f t="shared" si="124"/>
        <v>5.463996543966519E-3</v>
      </c>
      <c r="AK482" s="226">
        <f t="shared" si="124"/>
        <v>5.3496848210405441E-3</v>
      </c>
      <c r="AL482" s="226">
        <f t="shared" si="124"/>
        <v>5.2377646021891343E-3</v>
      </c>
      <c r="AM482" s="226">
        <f t="shared" si="124"/>
        <v>5.1281858549957334E-3</v>
      </c>
      <c r="AN482" s="226">
        <f t="shared" si="124"/>
        <v>5.0208995937669476E-3</v>
      </c>
      <c r="AO482" s="226">
        <f t="shared" si="124"/>
        <v>4.9158578576341538E-3</v>
      </c>
      <c r="AP482" s="226">
        <f t="shared" si="124"/>
        <v>4.8130136891132453E-3</v>
      </c>
      <c r="AQ482" s="226">
        <f t="shared" si="124"/>
        <v>4.7123211131129246E-3</v>
      </c>
      <c r="AR482" s="226">
        <f t="shared" si="124"/>
        <v>4.6137351163821607E-3</v>
      </c>
      <c r="AS482" s="226">
        <f t="shared" si="124"/>
        <v>4.5172116273876281E-3</v>
      </c>
      <c r="AT482" s="226">
        <f t="shared" si="124"/>
        <v>4.4227074966121218E-3</v>
      </c>
      <c r="AU482" s="226">
        <f t="shared" si="124"/>
        <v>4.3301804772651539E-3</v>
      </c>
      <c r="AV482" s="226">
        <f t="shared" si="124"/>
        <v>4.2395892063970967E-3</v>
      </c>
      <c r="AW482" s="226">
        <f t="shared" si="124"/>
        <v>4.1508931864084374E-3</v>
      </c>
      <c r="AX482" s="226">
        <f t="shared" si="124"/>
        <v>4.064052766945876E-3</v>
      </c>
      <c r="AY482" s="226">
        <f t="shared" si="122"/>
        <v>3.979029127177171E-3</v>
      </c>
      <c r="AZ482" s="226">
        <f t="shared" si="122"/>
        <v>3.8957842584368134E-3</v>
      </c>
      <c r="BA482" s="226">
        <f t="shared" si="122"/>
        <v>3.8142809472347678E-3</v>
      </c>
      <c r="BB482" s="226">
        <f t="shared" si="122"/>
        <v>3.734482758620687E-3</v>
      </c>
      <c r="BC482" s="226">
        <f t="shared" si="122"/>
        <v>3.6563540198961599E-3</v>
      </c>
      <c r="BD482" s="226">
        <f t="shared" si="122"/>
        <v>3.5798598046677165E-3</v>
      </c>
      <c r="BE482" s="226">
        <f t="shared" si="122"/>
        <v>3.5049659172334568E-3</v>
      </c>
    </row>
    <row r="483" spans="2:57" s="10" customFormat="1" x14ac:dyDescent="0.35">
      <c r="E483" s="10" t="s">
        <v>659</v>
      </c>
      <c r="F483" s="10" t="s">
        <v>615</v>
      </c>
      <c r="G483" s="43" t="s">
        <v>616</v>
      </c>
      <c r="I483" s="20"/>
      <c r="J483" s="200"/>
      <c r="K483" s="200"/>
      <c r="L483" s="200"/>
      <c r="M483" s="200"/>
      <c r="N483" s="200">
        <v>8.3999999999999995E-3</v>
      </c>
      <c r="O483" s="226">
        <f t="shared" si="123"/>
        <v>8.2240067145361966E-3</v>
      </c>
      <c r="P483" s="226">
        <f t="shared" si="123"/>
        <v>8.051700766754339E-3</v>
      </c>
      <c r="Q483" s="226">
        <f t="shared" si="123"/>
        <v>7.8830049010980875E-3</v>
      </c>
      <c r="R483" s="226">
        <f t="shared" si="123"/>
        <v>7.7178434806371935E-3</v>
      </c>
      <c r="S483" s="226">
        <f t="shared" si="123"/>
        <v>7.5561424531547256E-3</v>
      </c>
      <c r="T483" s="226">
        <f t="shared" si="123"/>
        <v>7.3978293179448188E-3</v>
      </c>
      <c r="U483" s="226">
        <f t="shared" si="123"/>
        <v>7.2428330933060631E-3</v>
      </c>
      <c r="V483" s="226">
        <f t="shared" si="123"/>
        <v>7.0910842847159575E-3</v>
      </c>
      <c r="W483" s="226">
        <f t="shared" si="123"/>
        <v>6.9425148536721602E-3</v>
      </c>
      <c r="X483" s="226">
        <f t="shared" si="123"/>
        <v>6.797058187186563E-3</v>
      </c>
      <c r="Y483" s="226">
        <f t="shared" si="123"/>
        <v>6.6546490679185158E-3</v>
      </c>
      <c r="Z483" s="226">
        <f t="shared" si="123"/>
        <v>6.5152236449338005E-3</v>
      </c>
      <c r="AA483" s="226">
        <f t="shared" si="123"/>
        <v>6.3787194050762587E-3</v>
      </c>
      <c r="AB483" s="226">
        <f t="shared" si="123"/>
        <v>6.2450751449392248E-3</v>
      </c>
      <c r="AC483" s="226">
        <f t="shared" si="123"/>
        <v>6.1142309434242025E-3</v>
      </c>
      <c r="AD483" s="226">
        <f t="shared" si="123"/>
        <v>5.9861281348744799E-3</v>
      </c>
      <c r="AE483" s="226">
        <f t="shared" si="121"/>
        <v>5.860709282771639E-3</v>
      </c>
      <c r="AF483" s="226">
        <f t="shared" si="121"/>
        <v>5.7379181539831646E-3</v>
      </c>
      <c r="AG483" s="226">
        <f t="shared" si="121"/>
        <v>5.6176996935496061E-3</v>
      </c>
      <c r="AH483" s="227">
        <v>5.4999999999999997E-3</v>
      </c>
      <c r="AI483" s="226">
        <f t="shared" si="124"/>
        <v>5.3847663011844151E-3</v>
      </c>
      <c r="AJ483" s="226">
        <f t="shared" si="124"/>
        <v>5.2719469306129613E-3</v>
      </c>
      <c r="AK483" s="226">
        <f t="shared" si="124"/>
        <v>5.1614913042904156E-3</v>
      </c>
      <c r="AL483" s="226">
        <f t="shared" si="124"/>
        <v>5.0533498980362586E-3</v>
      </c>
      <c r="AM483" s="226">
        <f t="shared" si="124"/>
        <v>4.947474225279881E-3</v>
      </c>
      <c r="AN483" s="226">
        <f t="shared" si="124"/>
        <v>4.8438168153210137E-3</v>
      </c>
      <c r="AO483" s="226">
        <f t="shared" si="124"/>
        <v>4.7423311920456379E-3</v>
      </c>
      <c r="AP483" s="226">
        <f t="shared" si="124"/>
        <v>4.6429718530878305E-3</v>
      </c>
      <c r="AQ483" s="226">
        <f t="shared" si="124"/>
        <v>4.5456942494282015E-3</v>
      </c>
      <c r="AR483" s="226">
        <f t="shared" si="124"/>
        <v>4.4504547654197748E-3</v>
      </c>
      <c r="AS483" s="226">
        <f t="shared" si="124"/>
        <v>4.3572106992323624E-3</v>
      </c>
      <c r="AT483" s="226">
        <f t="shared" si="124"/>
        <v>4.2659202437066559E-3</v>
      </c>
      <c r="AU483" s="226">
        <f t="shared" si="124"/>
        <v>4.1765424676094556E-3</v>
      </c>
      <c r="AV483" s="226">
        <f t="shared" si="124"/>
        <v>4.0890372972816362E-3</v>
      </c>
      <c r="AW483" s="226">
        <f t="shared" si="124"/>
        <v>4.0033654986706101E-3</v>
      </c>
      <c r="AX483" s="226">
        <f t="shared" si="124"/>
        <v>3.9194886597392438E-3</v>
      </c>
      <c r="AY483" s="226">
        <f t="shared" si="122"/>
        <v>3.8373691732433361E-3</v>
      </c>
      <c r="AZ483" s="226">
        <f t="shared" si="122"/>
        <v>3.7569702198699301E-3</v>
      </c>
      <c r="BA483" s="226">
        <f t="shared" si="122"/>
        <v>3.6782557517289097E-3</v>
      </c>
      <c r="BB483" s="226">
        <f t="shared" si="122"/>
        <v>3.6011904761904692E-3</v>
      </c>
      <c r="BC483" s="226">
        <f t="shared" si="122"/>
        <v>3.5257398400612172E-3</v>
      </c>
      <c r="BD483" s="226">
        <f t="shared" si="122"/>
        <v>3.4518700140918129E-3</v>
      </c>
      <c r="BE483" s="226">
        <f t="shared" si="122"/>
        <v>3.3795478778091939E-3</v>
      </c>
    </row>
    <row r="484" spans="2:57" s="10" customFormat="1" x14ac:dyDescent="0.35">
      <c r="E484" s="10" t="s">
        <v>660</v>
      </c>
      <c r="F484" s="10" t="s">
        <v>615</v>
      </c>
      <c r="G484" s="43" t="s">
        <v>616</v>
      </c>
      <c r="I484" s="20"/>
      <c r="J484" s="200"/>
      <c r="K484" s="200"/>
      <c r="L484" s="200"/>
      <c r="M484" s="200"/>
      <c r="N484" s="200">
        <v>8.0999999999999996E-3</v>
      </c>
      <c r="O484" s="226">
        <f t="shared" si="123"/>
        <v>7.930025090366364E-3</v>
      </c>
      <c r="P484" s="226">
        <f t="shared" si="123"/>
        <v>7.7636170288691445E-3</v>
      </c>
      <c r="Q484" s="226">
        <f t="shared" si="123"/>
        <v>7.6007009667812212E-3</v>
      </c>
      <c r="R484" s="226">
        <f t="shared" si="123"/>
        <v>7.441203626042836E-3</v>
      </c>
      <c r="S484" s="226">
        <f t="shared" si="123"/>
        <v>7.2850532663018353E-3</v>
      </c>
      <c r="T484" s="226">
        <f t="shared" si="123"/>
        <v>7.1321796526455546E-3</v>
      </c>
      <c r="U484" s="226">
        <f t="shared" si="123"/>
        <v>6.9825140240098414E-3</v>
      </c>
      <c r="V484" s="226">
        <f t="shared" si="123"/>
        <v>6.8359890622509941E-3</v>
      </c>
      <c r="W484" s="226">
        <f t="shared" si="123"/>
        <v>6.6925388618667191E-3</v>
      </c>
      <c r="X484" s="226">
        <f t="shared" si="123"/>
        <v>6.5520989003524741E-3</v>
      </c>
      <c r="Y484" s="226">
        <f t="shared" si="123"/>
        <v>6.4146060091798754E-3</v>
      </c>
      <c r="Z484" s="226">
        <f t="shared" si="123"/>
        <v>6.2799983453841078E-3</v>
      </c>
      <c r="AA484" s="226">
        <f t="shared" si="123"/>
        <v>6.1482153637475593E-3</v>
      </c>
      <c r="AB484" s="226">
        <f t="shared" si="123"/>
        <v>6.0191977895671742E-3</v>
      </c>
      <c r="AC484" s="226">
        <f t="shared" si="123"/>
        <v>5.8928875919932663E-3</v>
      </c>
      <c r="AD484" s="226">
        <f t="shared" si="123"/>
        <v>5.7692279579278066E-3</v>
      </c>
      <c r="AE484" s="226">
        <f t="shared" si="121"/>
        <v>5.6481632664704459E-3</v>
      </c>
      <c r="AF484" s="226">
        <f t="shared" si="121"/>
        <v>5.5296390639007756E-3</v>
      </c>
      <c r="AG484" s="226">
        <f t="shared" si="121"/>
        <v>5.4136020391855715E-3</v>
      </c>
      <c r="AH484" s="227">
        <v>5.3E-3</v>
      </c>
      <c r="AI484" s="226">
        <f t="shared" si="124"/>
        <v>5.1887818492520662E-3</v>
      </c>
      <c r="AJ484" s="226">
        <f t="shared" si="124"/>
        <v>5.0798975620995647E-3</v>
      </c>
      <c r="AK484" s="226">
        <f t="shared" si="124"/>
        <v>4.9732981634494416E-3</v>
      </c>
      <c r="AL484" s="226">
        <f t="shared" si="124"/>
        <v>4.8689357059292634E-3</v>
      </c>
      <c r="AM484" s="226">
        <f t="shared" si="124"/>
        <v>4.7667632483209543E-3</v>
      </c>
      <c r="AN484" s="226">
        <f t="shared" si="124"/>
        <v>4.6667348344470918E-3</v>
      </c>
      <c r="AO484" s="226">
        <f t="shared" si="124"/>
        <v>4.5688054725002668E-3</v>
      </c>
      <c r="AP484" s="226">
        <f t="shared" si="124"/>
        <v>4.4729311148062065E-3</v>
      </c>
      <c r="AQ484" s="226">
        <f t="shared" si="124"/>
        <v>4.3790686380115575E-3</v>
      </c>
      <c r="AR484" s="226">
        <f t="shared" si="124"/>
        <v>4.2871758236874219E-3</v>
      </c>
      <c r="AS484" s="226">
        <f t="shared" si="124"/>
        <v>4.1972113393399192E-3</v>
      </c>
      <c r="AT484" s="226">
        <f t="shared" si="124"/>
        <v>4.1091347198192315E-3</v>
      </c>
      <c r="AU484" s="226">
        <f t="shared" si="124"/>
        <v>4.0229063491187744E-3</v>
      </c>
      <c r="AV484" s="226">
        <f t="shared" si="124"/>
        <v>3.9384874425563007E-3</v>
      </c>
      <c r="AW484" s="226">
        <f t="shared" si="124"/>
        <v>3.8558400293289287E-3</v>
      </c>
      <c r="AX484" s="226">
        <f t="shared" si="124"/>
        <v>3.7749269354342453E-3</v>
      </c>
      <c r="AY484" s="226">
        <f t="shared" si="122"/>
        <v>3.6957117669497996E-3</v>
      </c>
      <c r="AZ484" s="226">
        <f t="shared" si="122"/>
        <v>3.618158893663472E-3</v>
      </c>
      <c r="BA484" s="226">
        <f t="shared" si="122"/>
        <v>3.5422334330473511E-3</v>
      </c>
      <c r="BB484" s="226">
        <f t="shared" si="122"/>
        <v>3.4679012345679113E-3</v>
      </c>
      <c r="BC484" s="226">
        <f t="shared" si="122"/>
        <v>3.3951288643254357E-3</v>
      </c>
      <c r="BD484" s="226">
        <f t="shared" si="122"/>
        <v>3.3238835900157738E-3</v>
      </c>
      <c r="BE484" s="226">
        <f t="shared" si="122"/>
        <v>3.2541333662076686E-3</v>
      </c>
    </row>
    <row r="485" spans="2:57" s="10" customFormat="1" x14ac:dyDescent="0.35">
      <c r="E485" s="10" t="s">
        <v>661</v>
      </c>
      <c r="F485" s="10" t="s">
        <v>615</v>
      </c>
      <c r="G485" s="43" t="s">
        <v>616</v>
      </c>
      <c r="I485" s="20"/>
      <c r="J485" s="200"/>
      <c r="K485" s="200"/>
      <c r="L485" s="200"/>
      <c r="M485" s="200"/>
      <c r="N485" s="200">
        <v>7.7999999999999996E-3</v>
      </c>
      <c r="O485" s="226">
        <f t="shared" si="123"/>
        <v>7.636043281992219E-3</v>
      </c>
      <c r="P485" s="226">
        <f t="shared" si="123"/>
        <v>7.4755329492895515E-3</v>
      </c>
      <c r="Q485" s="226">
        <f t="shared" si="123"/>
        <v>7.3183965585556362E-3</v>
      </c>
      <c r="R485" s="226">
        <f t="shared" si="123"/>
        <v>7.1645631892197107E-3</v>
      </c>
      <c r="S485" s="226">
        <f t="shared" si="123"/>
        <v>7.0139634114679385E-3</v>
      </c>
      <c r="T485" s="226">
        <f t="shared" si="123"/>
        <v>6.8665292549075609E-3</v>
      </c>
      <c r="U485" s="226">
        <f t="shared" si="123"/>
        <v>6.7221941778897332E-3</v>
      </c>
      <c r="V485" s="226">
        <f t="shared" si="123"/>
        <v>6.5808930374771932E-3</v>
      </c>
      <c r="W485" s="226">
        <f t="shared" si="123"/>
        <v>6.4425620600432167E-3</v>
      </c>
      <c r="X485" s="226">
        <f t="shared" si="123"/>
        <v>6.3071388124885837E-3</v>
      </c>
      <c r="Y485" s="226">
        <f t="shared" si="123"/>
        <v>6.174562174063568E-3</v>
      </c>
      <c r="Z485" s="226">
        <f t="shared" si="123"/>
        <v>6.0447723087822284E-3</v>
      </c>
      <c r="AA485" s="226">
        <f t="shared" si="123"/>
        <v>5.9177106384165554E-3</v>
      </c>
      <c r="AB485" s="226">
        <f t="shared" si="123"/>
        <v>5.7933198160582851E-3</v>
      </c>
      <c r="AC485" s="226">
        <f t="shared" si="123"/>
        <v>5.6715437002364446E-3</v>
      </c>
      <c r="AD485" s="226">
        <f t="shared" si="123"/>
        <v>5.5523273295789476E-3</v>
      </c>
      <c r="AE485" s="226">
        <f t="shared" si="121"/>
        <v>5.4356168980068103E-3</v>
      </c>
      <c r="AF485" s="226">
        <f t="shared" si="121"/>
        <v>5.3213597304497809E-3</v>
      </c>
      <c r="AG485" s="226">
        <f t="shared" si="121"/>
        <v>5.209504259072433E-3</v>
      </c>
      <c r="AH485" s="227">
        <v>5.1000000000000004E-3</v>
      </c>
      <c r="AI485" s="226">
        <f t="shared" si="124"/>
        <v>4.9927975305333744E-3</v>
      </c>
      <c r="AJ485" s="226">
        <f t="shared" si="124"/>
        <v>4.8878484668431685E-3</v>
      </c>
      <c r="AK485" s="226">
        <f t="shared" si="124"/>
        <v>4.7851054421325315E-3</v>
      </c>
      <c r="AL485" s="226">
        <f t="shared" si="124"/>
        <v>4.684522085259042E-3</v>
      </c>
      <c r="AM485" s="226">
        <f t="shared" si="124"/>
        <v>4.5860529998059604E-3</v>
      </c>
      <c r="AN485" s="226">
        <f t="shared" si="124"/>
        <v>4.4896537435934062E-3</v>
      </c>
      <c r="AO485" s="226">
        <f t="shared" si="124"/>
        <v>4.3952808086202113E-3</v>
      </c>
      <c r="AP485" s="226">
        <f t="shared" si="124"/>
        <v>4.3028916014273963E-3</v>
      </c>
      <c r="AQ485" s="226">
        <f t="shared" si="124"/>
        <v>4.2124444238744113E-3</v>
      </c>
      <c r="AR485" s="226">
        <f t="shared" si="124"/>
        <v>4.1238984543194596E-3</v>
      </c>
      <c r="AS485" s="226">
        <f t="shared" si="124"/>
        <v>4.0372137291954111E-3</v>
      </c>
      <c r="AT485" s="226">
        <f t="shared" si="124"/>
        <v>3.9523511249729961E-3</v>
      </c>
      <c r="AU485" s="226">
        <f t="shared" si="124"/>
        <v>3.8692723405031331E-3</v>
      </c>
      <c r="AV485" s="226">
        <f t="shared" si="124"/>
        <v>3.787939879730418E-3</v>
      </c>
      <c r="AW485" s="226">
        <f t="shared" si="124"/>
        <v>3.7083170347699838E-3</v>
      </c>
      <c r="AX485" s="226">
        <f t="shared" si="124"/>
        <v>3.6303678693400824E-3</v>
      </c>
      <c r="AY485" s="226">
        <f t="shared" si="122"/>
        <v>3.5540572025429158E-3</v>
      </c>
      <c r="AZ485" s="226">
        <f t="shared" si="122"/>
        <v>3.4793505929863965E-3</v>
      </c>
      <c r="BA485" s="226">
        <f t="shared" si="122"/>
        <v>3.4062143232396688E-3</v>
      </c>
      <c r="BB485" s="226">
        <f t="shared" si="122"/>
        <v>3.3346153846153777E-3</v>
      </c>
      <c r="BC485" s="226">
        <f t="shared" si="122"/>
        <v>3.2645214622718148E-3</v>
      </c>
      <c r="BD485" s="226">
        <f t="shared" si="122"/>
        <v>3.1959009206282188E-3</v>
      </c>
      <c r="BE485" s="226">
        <f t="shared" si="122"/>
        <v>3.1287227890866485E-3</v>
      </c>
    </row>
    <row r="486" spans="2:57" s="10" customFormat="1" x14ac:dyDescent="0.35">
      <c r="E486" s="10" t="s">
        <v>662</v>
      </c>
      <c r="F486" s="10" t="s">
        <v>615</v>
      </c>
      <c r="G486" s="43" t="s">
        <v>616</v>
      </c>
      <c r="I486" s="20"/>
      <c r="J486" s="200"/>
      <c r="K486" s="200"/>
      <c r="L486" s="200"/>
      <c r="M486" s="200"/>
      <c r="N486" s="200">
        <v>7.4999999999999997E-3</v>
      </c>
      <c r="O486" s="226">
        <f t="shared" si="123"/>
        <v>7.3420612670161405E-3</v>
      </c>
      <c r="P486" s="226">
        <f t="shared" si="123"/>
        <v>7.1874484864824879E-3</v>
      </c>
      <c r="Q486" s="226">
        <f t="shared" si="123"/>
        <v>7.0360916188369144E-3</v>
      </c>
      <c r="R486" s="226">
        <f t="shared" si="123"/>
        <v>6.8879220994452544E-3</v>
      </c>
      <c r="S486" s="226">
        <f t="shared" si="123"/>
        <v>6.7428728075415341E-3</v>
      </c>
      <c r="T486" s="226">
        <f t="shared" si="123"/>
        <v>6.6008780358222776E-3</v>
      </c>
      <c r="U486" s="226">
        <f t="shared" si="123"/>
        <v>6.4618734606811104E-3</v>
      </c>
      <c r="V486" s="226">
        <f t="shared" si="123"/>
        <v>6.3257961130701772E-3</v>
      </c>
      <c r="W486" s="226">
        <f t="shared" si="123"/>
        <v>6.192584349975174E-3</v>
      </c>
      <c r="X486" s="226">
        <f t="shared" si="123"/>
        <v>6.0621778264910737E-3</v>
      </c>
      <c r="Y486" s="226">
        <f t="shared" si="123"/>
        <v>5.9345174684858944E-3</v>
      </c>
      <c r="Z486" s="226">
        <f t="shared" si="123"/>
        <v>5.8095454458401289E-3</v>
      </c>
      <c r="AA486" s="226">
        <f t="shared" si="123"/>
        <v>5.6872051462497101E-3</v>
      </c>
      <c r="AB486" s="226">
        <f t="shared" si="123"/>
        <v>5.5674411495806484E-3</v>
      </c>
      <c r="AC486" s="226">
        <f t="shared" si="123"/>
        <v>5.4501992027637192E-3</v>
      </c>
      <c r="AD486" s="226">
        <f t="shared" si="123"/>
        <v>5.335426195217834E-3</v>
      </c>
      <c r="AE486" s="226">
        <f t="shared" si="121"/>
        <v>5.2230701347909542E-3</v>
      </c>
      <c r="AF486" s="226">
        <f t="shared" si="121"/>
        <v>5.1130801242076588E-3</v>
      </c>
      <c r="AG486" s="226">
        <f t="shared" si="121"/>
        <v>5.0054063380126843E-3</v>
      </c>
      <c r="AH486" s="227">
        <v>4.8999999999999998E-3</v>
      </c>
      <c r="AI486" s="226">
        <f t="shared" si="124"/>
        <v>4.7968133611172121E-3</v>
      </c>
      <c r="AJ486" s="226">
        <f t="shared" si="124"/>
        <v>4.6957996778352259E-3</v>
      </c>
      <c r="AK486" s="226">
        <f t="shared" si="124"/>
        <v>4.5969131909734517E-3</v>
      </c>
      <c r="AL486" s="226">
        <f t="shared" si="124"/>
        <v>4.5001091049709004E-3</v>
      </c>
      <c r="AM486" s="226">
        <f t="shared" si="124"/>
        <v>4.4053435675938026E-3</v>
      </c>
      <c r="AN486" s="226">
        <f t="shared" si="124"/>
        <v>4.3125736500705548E-3</v>
      </c>
      <c r="AO486" s="226">
        <f t="shared" si="124"/>
        <v>4.2217573276449923E-3</v>
      </c>
      <c r="AP486" s="226">
        <f t="shared" si="124"/>
        <v>4.1328534605391829E-3</v>
      </c>
      <c r="AQ486" s="226">
        <f t="shared" si="124"/>
        <v>4.0458217753171141E-3</v>
      </c>
      <c r="AR486" s="226">
        <f t="shared" si="124"/>
        <v>3.9606228466408351E-3</v>
      </c>
      <c r="AS486" s="226">
        <f t="shared" si="124"/>
        <v>3.8772180794107848E-3</v>
      </c>
      <c r="AT486" s="226">
        <f t="shared" si="124"/>
        <v>3.795569691282218E-3</v>
      </c>
      <c r="AU486" s="226">
        <f t="shared" si="124"/>
        <v>3.7156406955498114E-3</v>
      </c>
      <c r="AV486" s="226">
        <f t="shared" si="124"/>
        <v>3.6373948843926914E-3</v>
      </c>
      <c r="AW486" s="226">
        <f t="shared" si="124"/>
        <v>3.560796812472298E-3</v>
      </c>
      <c r="AX486" s="226">
        <f t="shared" si="124"/>
        <v>3.4858117808756529E-3</v>
      </c>
      <c r="AY486" s="226">
        <f t="shared" si="122"/>
        <v>3.4124058213967582E-3</v>
      </c>
      <c r="AZ486" s="226">
        <f t="shared" si="122"/>
        <v>3.3405456811490051E-3</v>
      </c>
      <c r="BA486" s="226">
        <f t="shared" si="122"/>
        <v>3.2701988075016218E-3</v>
      </c>
      <c r="BB486" s="226">
        <f t="shared" si="122"/>
        <v>3.2013333333333373E-3</v>
      </c>
      <c r="BC486" s="226">
        <f t="shared" si="122"/>
        <v>3.1339180625965827E-3</v>
      </c>
      <c r="BD486" s="226">
        <f t="shared" si="122"/>
        <v>3.067922456185685E-3</v>
      </c>
      <c r="BE486" s="226">
        <f t="shared" si="122"/>
        <v>3.0033166181026591E-3</v>
      </c>
    </row>
    <row r="487" spans="2:57" s="10" customFormat="1" x14ac:dyDescent="0.35">
      <c r="E487" s="10" t="s">
        <v>663</v>
      </c>
      <c r="F487" s="10" t="s">
        <v>615</v>
      </c>
      <c r="G487" s="43" t="s">
        <v>616</v>
      </c>
      <c r="I487" s="20"/>
      <c r="J487" s="200"/>
      <c r="K487" s="200"/>
      <c r="L487" s="200"/>
      <c r="M487" s="200"/>
      <c r="N487" s="200">
        <v>7.7999999999999996E-3</v>
      </c>
      <c r="O487" s="226">
        <f t="shared" si="123"/>
        <v>7.636043281992219E-3</v>
      </c>
      <c r="P487" s="226">
        <f t="shared" si="123"/>
        <v>7.4755329492895515E-3</v>
      </c>
      <c r="Q487" s="226">
        <f t="shared" si="123"/>
        <v>7.3183965585556362E-3</v>
      </c>
      <c r="R487" s="226">
        <f t="shared" si="123"/>
        <v>7.1645631892197107E-3</v>
      </c>
      <c r="S487" s="226">
        <f t="shared" si="123"/>
        <v>7.0139634114679385E-3</v>
      </c>
      <c r="T487" s="226">
        <f t="shared" si="123"/>
        <v>6.8665292549075609E-3</v>
      </c>
      <c r="U487" s="226">
        <f t="shared" si="123"/>
        <v>6.7221941778897332E-3</v>
      </c>
      <c r="V487" s="226">
        <f t="shared" si="123"/>
        <v>6.5808930374771932E-3</v>
      </c>
      <c r="W487" s="226">
        <f t="shared" si="123"/>
        <v>6.4425620600432167E-3</v>
      </c>
      <c r="X487" s="226">
        <f t="shared" si="123"/>
        <v>6.3071388124885837E-3</v>
      </c>
      <c r="Y487" s="226">
        <f t="shared" si="123"/>
        <v>6.174562174063568E-3</v>
      </c>
      <c r="Z487" s="226">
        <f t="shared" si="123"/>
        <v>6.0447723087822284E-3</v>
      </c>
      <c r="AA487" s="226">
        <f t="shared" si="123"/>
        <v>5.9177106384165554E-3</v>
      </c>
      <c r="AB487" s="226">
        <f t="shared" si="123"/>
        <v>5.7933198160582851E-3</v>
      </c>
      <c r="AC487" s="226">
        <f t="shared" si="123"/>
        <v>5.6715437002364446E-3</v>
      </c>
      <c r="AD487" s="226">
        <f t="shared" si="123"/>
        <v>5.5523273295789476E-3</v>
      </c>
      <c r="AE487" s="226">
        <f t="shared" si="121"/>
        <v>5.4356168980068103E-3</v>
      </c>
      <c r="AF487" s="226">
        <f t="shared" si="121"/>
        <v>5.3213597304497809E-3</v>
      </c>
      <c r="AG487" s="226">
        <f t="shared" si="121"/>
        <v>5.209504259072433E-3</v>
      </c>
      <c r="AH487" s="227">
        <v>5.1000000000000004E-3</v>
      </c>
      <c r="AI487" s="226">
        <f t="shared" si="124"/>
        <v>4.9927975305333744E-3</v>
      </c>
      <c r="AJ487" s="226">
        <f t="shared" si="124"/>
        <v>4.8878484668431685E-3</v>
      </c>
      <c r="AK487" s="226">
        <f t="shared" si="124"/>
        <v>4.7851054421325315E-3</v>
      </c>
      <c r="AL487" s="226">
        <f t="shared" si="124"/>
        <v>4.684522085259042E-3</v>
      </c>
      <c r="AM487" s="226">
        <f t="shared" si="124"/>
        <v>4.5860529998059604E-3</v>
      </c>
      <c r="AN487" s="226">
        <f t="shared" si="124"/>
        <v>4.4896537435934062E-3</v>
      </c>
      <c r="AO487" s="226">
        <f t="shared" si="124"/>
        <v>4.3952808086202113E-3</v>
      </c>
      <c r="AP487" s="226">
        <f t="shared" si="124"/>
        <v>4.3028916014273963E-3</v>
      </c>
      <c r="AQ487" s="226">
        <f t="shared" si="124"/>
        <v>4.2124444238744113E-3</v>
      </c>
      <c r="AR487" s="226">
        <f t="shared" si="124"/>
        <v>4.1238984543194596E-3</v>
      </c>
      <c r="AS487" s="226">
        <f t="shared" si="124"/>
        <v>4.0372137291954111E-3</v>
      </c>
      <c r="AT487" s="226">
        <f t="shared" si="124"/>
        <v>3.9523511249729961E-3</v>
      </c>
      <c r="AU487" s="226">
        <f t="shared" si="124"/>
        <v>3.8692723405031331E-3</v>
      </c>
      <c r="AV487" s="226">
        <f t="shared" si="124"/>
        <v>3.787939879730418E-3</v>
      </c>
      <c r="AW487" s="226">
        <f t="shared" si="124"/>
        <v>3.7083170347699838E-3</v>
      </c>
      <c r="AX487" s="226">
        <f t="shared" si="124"/>
        <v>3.6303678693400824E-3</v>
      </c>
      <c r="AY487" s="226">
        <f t="shared" si="122"/>
        <v>3.5540572025429158E-3</v>
      </c>
      <c r="AZ487" s="226">
        <f t="shared" si="122"/>
        <v>3.4793505929863965E-3</v>
      </c>
      <c r="BA487" s="226">
        <f t="shared" si="122"/>
        <v>3.4062143232396688E-3</v>
      </c>
      <c r="BB487" s="226">
        <f t="shared" si="122"/>
        <v>3.3346153846153777E-3</v>
      </c>
      <c r="BC487" s="226">
        <f t="shared" si="122"/>
        <v>3.2645214622718148E-3</v>
      </c>
      <c r="BD487" s="226">
        <f t="shared" si="122"/>
        <v>3.1959009206282188E-3</v>
      </c>
      <c r="BE487" s="226">
        <f t="shared" si="122"/>
        <v>3.1287227890866485E-3</v>
      </c>
    </row>
    <row r="488" spans="2:57" s="10" customFormat="1" x14ac:dyDescent="0.35">
      <c r="E488" s="10" t="s">
        <v>664</v>
      </c>
      <c r="F488" s="10" t="s">
        <v>615</v>
      </c>
      <c r="G488" s="43" t="s">
        <v>616</v>
      </c>
      <c r="I488" s="20"/>
      <c r="J488" s="200"/>
      <c r="K488" s="200"/>
      <c r="L488" s="200"/>
      <c r="M488" s="200"/>
      <c r="N488" s="200">
        <v>8.0999999999999996E-3</v>
      </c>
      <c r="O488" s="226">
        <f t="shared" si="123"/>
        <v>7.930025090366364E-3</v>
      </c>
      <c r="P488" s="226">
        <f t="shared" si="123"/>
        <v>7.7636170288691445E-3</v>
      </c>
      <c r="Q488" s="226">
        <f t="shared" si="123"/>
        <v>7.6007009667812212E-3</v>
      </c>
      <c r="R488" s="226">
        <f t="shared" si="123"/>
        <v>7.441203626042836E-3</v>
      </c>
      <c r="S488" s="226">
        <f t="shared" si="123"/>
        <v>7.2850532663018353E-3</v>
      </c>
      <c r="T488" s="226">
        <f t="shared" si="123"/>
        <v>7.1321796526455546E-3</v>
      </c>
      <c r="U488" s="226">
        <f t="shared" si="123"/>
        <v>6.9825140240098414E-3</v>
      </c>
      <c r="V488" s="226">
        <f t="shared" si="123"/>
        <v>6.8359890622509941E-3</v>
      </c>
      <c r="W488" s="226">
        <f t="shared" si="123"/>
        <v>6.6925388618667191E-3</v>
      </c>
      <c r="X488" s="226">
        <f t="shared" si="123"/>
        <v>6.5520989003524741E-3</v>
      </c>
      <c r="Y488" s="226">
        <f t="shared" si="123"/>
        <v>6.4146060091798754E-3</v>
      </c>
      <c r="Z488" s="226">
        <f t="shared" si="123"/>
        <v>6.2799983453841078E-3</v>
      </c>
      <c r="AA488" s="226">
        <f t="shared" si="123"/>
        <v>6.1482153637475593E-3</v>
      </c>
      <c r="AB488" s="226">
        <f t="shared" si="123"/>
        <v>6.0191977895671742E-3</v>
      </c>
      <c r="AC488" s="226">
        <f t="shared" si="123"/>
        <v>5.8928875919932663E-3</v>
      </c>
      <c r="AD488" s="226">
        <f t="shared" ref="AD488:AG503" si="125">AC488*(1+($AH488/$N488)^(1/($AH$6-$N$6))-1)</f>
        <v>5.7692279579278066E-3</v>
      </c>
      <c r="AE488" s="226">
        <f t="shared" si="125"/>
        <v>5.6481632664704459E-3</v>
      </c>
      <c r="AF488" s="226">
        <f t="shared" si="125"/>
        <v>5.5296390639007756E-3</v>
      </c>
      <c r="AG488" s="226">
        <f t="shared" si="125"/>
        <v>5.4136020391855715E-3</v>
      </c>
      <c r="AH488" s="227">
        <v>5.3E-3</v>
      </c>
      <c r="AI488" s="226">
        <f t="shared" si="124"/>
        <v>5.1887818492520662E-3</v>
      </c>
      <c r="AJ488" s="226">
        <f t="shared" si="124"/>
        <v>5.0798975620995647E-3</v>
      </c>
      <c r="AK488" s="226">
        <f t="shared" si="124"/>
        <v>4.9732981634494416E-3</v>
      </c>
      <c r="AL488" s="226">
        <f t="shared" si="124"/>
        <v>4.8689357059292634E-3</v>
      </c>
      <c r="AM488" s="226">
        <f t="shared" si="124"/>
        <v>4.7667632483209543E-3</v>
      </c>
      <c r="AN488" s="226">
        <f t="shared" si="124"/>
        <v>4.6667348344470918E-3</v>
      </c>
      <c r="AO488" s="226">
        <f t="shared" si="124"/>
        <v>4.5688054725002668E-3</v>
      </c>
      <c r="AP488" s="226">
        <f t="shared" si="124"/>
        <v>4.4729311148062065E-3</v>
      </c>
      <c r="AQ488" s="226">
        <f t="shared" si="124"/>
        <v>4.3790686380115575E-3</v>
      </c>
      <c r="AR488" s="226">
        <f t="shared" si="124"/>
        <v>4.2871758236874219E-3</v>
      </c>
      <c r="AS488" s="226">
        <f t="shared" si="124"/>
        <v>4.1972113393399192E-3</v>
      </c>
      <c r="AT488" s="226">
        <f t="shared" si="124"/>
        <v>4.1091347198192315E-3</v>
      </c>
      <c r="AU488" s="226">
        <f t="shared" si="124"/>
        <v>4.0229063491187744E-3</v>
      </c>
      <c r="AV488" s="226">
        <f t="shared" si="124"/>
        <v>3.9384874425563007E-3</v>
      </c>
      <c r="AW488" s="226">
        <f t="shared" si="124"/>
        <v>3.8558400293289287E-3</v>
      </c>
      <c r="AX488" s="226">
        <f t="shared" ref="AX488:BE503" si="126">AW488*(1+($AH488/$N488)^(1/($AH$6-$N$6))-1)</f>
        <v>3.7749269354342453E-3</v>
      </c>
      <c r="AY488" s="226">
        <f t="shared" si="126"/>
        <v>3.6957117669497996E-3</v>
      </c>
      <c r="AZ488" s="226">
        <f t="shared" si="126"/>
        <v>3.618158893663472E-3</v>
      </c>
      <c r="BA488" s="226">
        <f t="shared" si="126"/>
        <v>3.5422334330473511E-3</v>
      </c>
      <c r="BB488" s="226">
        <f t="shared" si="126"/>
        <v>3.4679012345679113E-3</v>
      </c>
      <c r="BC488" s="226">
        <f t="shared" si="126"/>
        <v>3.3951288643254357E-3</v>
      </c>
      <c r="BD488" s="226">
        <f t="shared" si="126"/>
        <v>3.3238835900157738E-3</v>
      </c>
      <c r="BE488" s="226">
        <f t="shared" si="126"/>
        <v>3.2541333662076686E-3</v>
      </c>
    </row>
    <row r="489" spans="2:57" s="10" customFormat="1" x14ac:dyDescent="0.35">
      <c r="E489" s="10" t="s">
        <v>665</v>
      </c>
      <c r="F489" s="10" t="s">
        <v>615</v>
      </c>
      <c r="G489" s="43" t="s">
        <v>616</v>
      </c>
      <c r="I489" s="20"/>
      <c r="J489" s="200"/>
      <c r="K489" s="200"/>
      <c r="L489" s="200"/>
      <c r="M489" s="200"/>
      <c r="N489" s="200">
        <v>8.5000000000000006E-3</v>
      </c>
      <c r="O489" s="226">
        <f t="shared" ref="O489:AD504" si="127">N489*(1+($AH489/$N489)^(1/($AH$6-$N$6))-1)</f>
        <v>8.3244851091955237E-3</v>
      </c>
      <c r="P489" s="226">
        <f t="shared" si="127"/>
        <v>8.1525943921432944E-3</v>
      </c>
      <c r="Q489" s="226">
        <f t="shared" si="127"/>
        <v>7.9842530139656205E-3</v>
      </c>
      <c r="R489" s="226">
        <f t="shared" si="127"/>
        <v>7.8193876850360319E-3</v>
      </c>
      <c r="S489" s="226">
        <f t="shared" si="127"/>
        <v>7.6579266290716817E-3</v>
      </c>
      <c r="T489" s="226">
        <f t="shared" si="127"/>
        <v>7.4997995518845976E-3</v>
      </c>
      <c r="U489" s="226">
        <f t="shared" si="127"/>
        <v>7.3449376107781869E-3</v>
      </c>
      <c r="V489" s="226">
        <f t="shared" si="127"/>
        <v>7.1932733845756656E-3</v>
      </c>
      <c r="W489" s="226">
        <f t="shared" si="127"/>
        <v>7.0447408442673651E-3</v>
      </c>
      <c r="X489" s="226">
        <f t="shared" si="127"/>
        <v>6.899275324264138E-3</v>
      </c>
      <c r="Y489" s="226">
        <f t="shared" si="127"/>
        <v>6.7568134942443446E-3</v>
      </c>
      <c r="Z489" s="226">
        <f t="shared" si="127"/>
        <v>6.617293331582166E-3</v>
      </c>
      <c r="AA489" s="226">
        <f t="shared" si="127"/>
        <v>6.4806540943452432E-3</v>
      </c>
      <c r="AB489" s="226">
        <f t="shared" si="127"/>
        <v>6.3468362948498787E-3</v>
      </c>
      <c r="AC489" s="226">
        <f t="shared" si="127"/>
        <v>6.2157816737622934E-3</v>
      </c>
      <c r="AD489" s="226">
        <f t="shared" si="127"/>
        <v>6.0874331747346622E-3</v>
      </c>
      <c r="AE489" s="226">
        <f t="shared" si="125"/>
        <v>5.961734919564885E-3</v>
      </c>
      <c r="AF489" s="226">
        <f t="shared" si="125"/>
        <v>5.8386321838692764E-3</v>
      </c>
      <c r="AG489" s="226">
        <f t="shared" si="125"/>
        <v>5.7180713732575914E-3</v>
      </c>
      <c r="AH489" s="227">
        <v>5.5999999999999999E-3</v>
      </c>
      <c r="AI489" s="226">
        <f t="shared" ref="AI489:AX504" si="128">AH489*(1+($AH489/$N489)^(1/($AH$6-$N$6))-1)</f>
        <v>5.4843666601758732E-3</v>
      </c>
      <c r="AJ489" s="226">
        <f t="shared" si="128"/>
        <v>5.3711210112944042E-3</v>
      </c>
      <c r="AK489" s="226">
        <f t="shared" si="128"/>
        <v>5.2602137503773485E-3</v>
      </c>
      <c r="AL489" s="226">
        <f t="shared" si="128"/>
        <v>5.1515965924943258E-3</v>
      </c>
      <c r="AM489" s="226">
        <f t="shared" si="128"/>
        <v>5.0452222497413424E-3</v>
      </c>
      <c r="AN489" s="226">
        <f t="shared" si="128"/>
        <v>4.9410444106533806E-3</v>
      </c>
      <c r="AO489" s="226">
        <f t="shared" si="128"/>
        <v>4.8390177200420981E-3</v>
      </c>
      <c r="AP489" s="226">
        <f t="shared" si="128"/>
        <v>4.739097759249849E-3</v>
      </c>
      <c r="AQ489" s="226">
        <f t="shared" si="128"/>
        <v>4.6412410268114393E-3</v>
      </c>
      <c r="AR489" s="226">
        <f t="shared" si="128"/>
        <v>4.545404919515196E-3</v>
      </c>
      <c r="AS489" s="226">
        <f t="shared" si="128"/>
        <v>4.4515477138550967E-3</v>
      </c>
      <c r="AT489" s="226">
        <f t="shared" si="128"/>
        <v>4.3596285478658967E-3</v>
      </c>
      <c r="AU489" s="226">
        <f t="shared" si="128"/>
        <v>4.2696074033333363E-3</v>
      </c>
      <c r="AV489" s="226">
        <f t="shared" si="128"/>
        <v>4.1814450883716847E-3</v>
      </c>
      <c r="AW489" s="226">
        <f t="shared" si="128"/>
        <v>4.0951032203610403E-3</v>
      </c>
      <c r="AX489" s="226">
        <f t="shared" si="128"/>
        <v>4.0105442092369537E-3</v>
      </c>
      <c r="AY489" s="226">
        <f t="shared" si="126"/>
        <v>3.9277312411251002E-3</v>
      </c>
      <c r="AZ489" s="226">
        <f t="shared" si="126"/>
        <v>3.8466282623138759E-3</v>
      </c>
      <c r="BA489" s="226">
        <f t="shared" si="126"/>
        <v>3.7671999635579419E-3</v>
      </c>
      <c r="BB489" s="226">
        <f t="shared" si="126"/>
        <v>3.6894117647058825E-3</v>
      </c>
      <c r="BC489" s="226">
        <f t="shared" si="126"/>
        <v>3.6132297996452813E-3</v>
      </c>
      <c r="BD489" s="226">
        <f t="shared" si="126"/>
        <v>3.5386209015586664E-3</v>
      </c>
      <c r="BE489" s="226">
        <f t="shared" si="126"/>
        <v>3.4655525884839003E-3</v>
      </c>
    </row>
    <row r="490" spans="2:57" s="10" customFormat="1" x14ac:dyDescent="0.35">
      <c r="E490" s="10" t="s">
        <v>666</v>
      </c>
      <c r="F490" s="10" t="s">
        <v>615</v>
      </c>
      <c r="G490" s="43" t="s">
        <v>616</v>
      </c>
      <c r="I490" s="20"/>
      <c r="J490" s="200"/>
      <c r="K490" s="200"/>
      <c r="L490" s="200"/>
      <c r="M490" s="200"/>
      <c r="N490" s="200">
        <v>8.8000000000000005E-3</v>
      </c>
      <c r="O490" s="226">
        <f t="shared" si="127"/>
        <v>8.6184653164270396E-3</v>
      </c>
      <c r="P490" s="226">
        <f t="shared" si="127"/>
        <v>8.4406755011881621E-3</v>
      </c>
      <c r="Q490" s="226">
        <f t="shared" si="127"/>
        <v>8.2665533016142712E-3</v>
      </c>
      <c r="R490" s="226">
        <f t="shared" si="127"/>
        <v>8.0960230586770467E-3</v>
      </c>
      <c r="S490" s="226">
        <f t="shared" si="127"/>
        <v>7.9290106741138257E-3</v>
      </c>
      <c r="T490" s="226">
        <f t="shared" si="127"/>
        <v>7.7654435782306564E-3</v>
      </c>
      <c r="U490" s="226">
        <f t="shared" si="127"/>
        <v>7.6052506983695436E-3</v>
      </c>
      <c r="V490" s="226">
        <f t="shared" si="127"/>
        <v>7.4483624280261848E-3</v>
      </c>
      <c r="W490" s="226">
        <f t="shared" si="127"/>
        <v>7.2947105966047676E-3</v>
      </c>
      <c r="X490" s="226">
        <f t="shared" si="127"/>
        <v>7.1442284397967024E-3</v>
      </c>
      <c r="Y490" s="226">
        <f t="shared" si="127"/>
        <v>6.9968505705704015E-3</v>
      </c>
      <c r="Z490" s="226">
        <f t="shared" si="127"/>
        <v>6.8525129507595161E-3</v>
      </c>
      <c r="AA490" s="226">
        <f t="shared" si="127"/>
        <v>6.7111528632372713E-3</v>
      </c>
      <c r="AB490" s="226">
        <f t="shared" si="127"/>
        <v>6.5727088846648223E-3</v>
      </c>
      <c r="AC490" s="226">
        <f t="shared" si="127"/>
        <v>6.4371208588017747E-3</v>
      </c>
      <c r="AD490" s="226">
        <f t="shared" si="127"/>
        <v>6.3043298703672869E-3</v>
      </c>
      <c r="AE490" s="226">
        <f t="shared" si="125"/>
        <v>6.1742782194403895E-3</v>
      </c>
      <c r="AF490" s="226">
        <f t="shared" si="125"/>
        <v>6.0469093963883966E-3</v>
      </c>
      <c r="AG490" s="226">
        <f t="shared" si="125"/>
        <v>5.9221680573125178E-3</v>
      </c>
      <c r="AH490" s="227">
        <v>5.7999999999999996E-3</v>
      </c>
      <c r="AI490" s="226">
        <f t="shared" si="128"/>
        <v>5.6803521403723661E-3</v>
      </c>
      <c r="AJ490" s="226">
        <f t="shared" si="128"/>
        <v>5.5631724894194693E-3</v>
      </c>
      <c r="AK490" s="226">
        <f t="shared" si="128"/>
        <v>5.4484101306094043E-3</v>
      </c>
      <c r="AL490" s="226">
        <f t="shared" si="128"/>
        <v>5.3360151977644163E-3</v>
      </c>
      <c r="AM490" s="226">
        <f t="shared" si="128"/>
        <v>5.2259388533932027E-3</v>
      </c>
      <c r="AN490" s="226">
        <f t="shared" si="128"/>
        <v>5.1181332674702052E-3</v>
      </c>
      <c r="AO490" s="226">
        <f t="shared" si="128"/>
        <v>5.012551596652654E-3</v>
      </c>
      <c r="AP490" s="226">
        <f t="shared" si="128"/>
        <v>4.9091479639263493E-3</v>
      </c>
      <c r="AQ490" s="226">
        <f t="shared" si="128"/>
        <v>4.8078774386713244E-3</v>
      </c>
      <c r="AR490" s="226">
        <f t="shared" si="128"/>
        <v>4.7086960171387358E-3</v>
      </c>
      <c r="AS490" s="226">
        <f t="shared" si="128"/>
        <v>4.6115606033304921E-3</v>
      </c>
      <c r="AT490" s="226">
        <f t="shared" si="128"/>
        <v>4.5164289902733176E-3</v>
      </c>
      <c r="AU490" s="226">
        <f t="shared" si="128"/>
        <v>4.4232598416791107E-3</v>
      </c>
      <c r="AV490" s="226">
        <f t="shared" si="128"/>
        <v>4.3320126739836325E-3</v>
      </c>
      <c r="AW490" s="226">
        <f t="shared" si="128"/>
        <v>4.2426478387557146E-3</v>
      </c>
      <c r="AX490" s="226">
        <f t="shared" si="128"/>
        <v>4.1551265054693481E-3</v>
      </c>
      <c r="AY490" s="226">
        <f t="shared" si="126"/>
        <v>4.069410644631166E-3</v>
      </c>
      <c r="AZ490" s="226">
        <f t="shared" si="126"/>
        <v>3.985463011255989E-3</v>
      </c>
      <c r="BA490" s="226">
        <f t="shared" si="126"/>
        <v>3.9032471286832506E-3</v>
      </c>
      <c r="BB490" s="226">
        <f t="shared" si="126"/>
        <v>3.8227272727272749E-3</v>
      </c>
      <c r="BC490" s="226">
        <f t="shared" si="126"/>
        <v>3.7438684561545161E-3</v>
      </c>
      <c r="BD490" s="226">
        <f t="shared" si="126"/>
        <v>3.6666364134810159E-3</v>
      </c>
      <c r="BE490" s="226">
        <f t="shared" si="126"/>
        <v>3.5909975860834733E-3</v>
      </c>
    </row>
    <row r="491" spans="2:57" s="10" customFormat="1" x14ac:dyDescent="0.35">
      <c r="E491" s="10" t="s">
        <v>667</v>
      </c>
      <c r="F491" s="10" t="s">
        <v>615</v>
      </c>
      <c r="G491" s="43" t="s">
        <v>616</v>
      </c>
      <c r="I491" s="20"/>
      <c r="J491" s="200"/>
      <c r="K491" s="200"/>
      <c r="L491" s="200"/>
      <c r="M491" s="200"/>
      <c r="N491" s="200">
        <v>9.1000000000000004E-3</v>
      </c>
      <c r="O491" s="226">
        <f t="shared" si="127"/>
        <v>8.9198143304706698E-3</v>
      </c>
      <c r="P491" s="226">
        <f t="shared" si="127"/>
        <v>8.7431964494582327E-3</v>
      </c>
      <c r="Q491" s="226">
        <f t="shared" si="127"/>
        <v>8.5700757125272316E-3</v>
      </c>
      <c r="R491" s="226">
        <f t="shared" si="127"/>
        <v>8.400382874046047E-3</v>
      </c>
      <c r="S491" s="226">
        <f t="shared" si="127"/>
        <v>8.2340500594897045E-3</v>
      </c>
      <c r="T491" s="226">
        <f t="shared" si="127"/>
        <v>8.0710107382911123E-3</v>
      </c>
      <c r="U491" s="226">
        <f t="shared" si="127"/>
        <v>7.9111996972298579E-3</v>
      </c>
      <c r="V491" s="226">
        <f t="shared" si="127"/>
        <v>7.754553014347923E-3</v>
      </c>
      <c r="W491" s="226">
        <f t="shared" si="127"/>
        <v>7.6010080333818817E-3</v>
      </c>
      <c r="X491" s="226">
        <f t="shared" si="127"/>
        <v>7.450503338701361E-3</v>
      </c>
      <c r="Y491" s="226">
        <f t="shared" si="127"/>
        <v>7.3029787307437319E-3</v>
      </c>
      <c r="Z491" s="226">
        <f t="shared" si="127"/>
        <v>7.1583752019352123E-3</v>
      </c>
      <c r="AA491" s="226">
        <f t="shared" si="127"/>
        <v>7.0166349130887443E-3</v>
      </c>
      <c r="AB491" s="226">
        <f t="shared" si="127"/>
        <v>6.8777011702692084E-3</v>
      </c>
      <c r="AC491" s="226">
        <f t="shared" si="127"/>
        <v>6.741518402116722E-3</v>
      </c>
      <c r="AD491" s="226">
        <f t="shared" si="127"/>
        <v>6.6080321376189516E-3</v>
      </c>
      <c r="AE491" s="226">
        <f t="shared" si="125"/>
        <v>6.4771889843235437E-3</v>
      </c>
      <c r="AF491" s="226">
        <f t="shared" si="125"/>
        <v>6.3489366069819668E-3</v>
      </c>
      <c r="AG491" s="226">
        <f t="shared" si="125"/>
        <v>6.2232237066162169E-3</v>
      </c>
      <c r="AH491" s="227">
        <v>6.1000000000000004E-3</v>
      </c>
      <c r="AI491" s="226">
        <f t="shared" si="128"/>
        <v>5.9792161995462726E-3</v>
      </c>
      <c r="AJ491" s="226">
        <f t="shared" si="128"/>
        <v>5.8608239935928801E-3</v>
      </c>
      <c r="AK491" s="226">
        <f t="shared" si="128"/>
        <v>5.7447760270786926E-3</v>
      </c>
      <c r="AL491" s="226">
        <f t="shared" si="128"/>
        <v>5.6310258826022938E-3</v>
      </c>
      <c r="AM491" s="226">
        <f t="shared" si="128"/>
        <v>5.5195280618557351E-3</v>
      </c>
      <c r="AN491" s="226">
        <f t="shared" si="128"/>
        <v>5.4102379674259102E-3</v>
      </c>
      <c r="AO491" s="226">
        <f t="shared" si="128"/>
        <v>5.3031118849562785E-3</v>
      </c>
      <c r="AP491" s="226">
        <f t="shared" si="128"/>
        <v>5.1981069656617945E-3</v>
      </c>
      <c r="AQ491" s="226">
        <f t="shared" si="128"/>
        <v>5.0951812091900523E-3</v>
      </c>
      <c r="AR491" s="226">
        <f t="shared" si="128"/>
        <v>4.9942934468217908E-3</v>
      </c>
      <c r="AS491" s="226">
        <f t="shared" si="128"/>
        <v>4.8954033250040397E-3</v>
      </c>
      <c r="AT491" s="226">
        <f t="shared" si="128"/>
        <v>4.7984712892093183E-3</v>
      </c>
      <c r="AU491" s="226">
        <f t="shared" si="128"/>
        <v>4.7034585681144329E-3</v>
      </c>
      <c r="AV491" s="226">
        <f t="shared" si="128"/>
        <v>4.610327158092546E-3</v>
      </c>
      <c r="AW491" s="226">
        <f t="shared" si="128"/>
        <v>4.519039808012308E-3</v>
      </c>
      <c r="AX491" s="226">
        <f t="shared" si="128"/>
        <v>4.4295600043379787E-3</v>
      </c>
      <c r="AY491" s="226">
        <f t="shared" si="126"/>
        <v>4.3418519565245738E-3</v>
      </c>
      <c r="AZ491" s="226">
        <f t="shared" si="126"/>
        <v>4.2558805827021982E-3</v>
      </c>
      <c r="BA491" s="226">
        <f t="shared" si="126"/>
        <v>4.171611495643838E-3</v>
      </c>
      <c r="BB491" s="226">
        <f t="shared" si="126"/>
        <v>4.0890109890109987E-3</v>
      </c>
      <c r="BC491" s="226">
        <f t="shared" si="126"/>
        <v>4.0080460238716862E-3</v>
      </c>
      <c r="BD491" s="226">
        <f t="shared" si="126"/>
        <v>3.9286842154853466E-3</v>
      </c>
      <c r="BE491" s="226">
        <f t="shared" si="126"/>
        <v>3.8508938203494626E-3</v>
      </c>
    </row>
    <row r="492" spans="2:57" s="10" customFormat="1" x14ac:dyDescent="0.35">
      <c r="E492" s="10" t="s">
        <v>668</v>
      </c>
      <c r="F492" s="10" t="s">
        <v>615</v>
      </c>
      <c r="G492" s="43" t="s">
        <v>616</v>
      </c>
      <c r="I492" s="20"/>
      <c r="J492" s="200"/>
      <c r="K492" s="200"/>
      <c r="L492" s="200"/>
      <c r="M492" s="200"/>
      <c r="N492" s="200">
        <v>9.5999999999999992E-3</v>
      </c>
      <c r="O492" s="226">
        <f t="shared" si="127"/>
        <v>9.4073363070005522E-3</v>
      </c>
      <c r="P492" s="226">
        <f t="shared" si="127"/>
        <v>9.2185392076052902E-3</v>
      </c>
      <c r="Q492" s="226">
        <f t="shared" si="127"/>
        <v>9.0335311026263909E-3</v>
      </c>
      <c r="R492" s="226">
        <f t="shared" si="127"/>
        <v>8.8522359502245813E-3</v>
      </c>
      <c r="S492" s="226">
        <f t="shared" si="127"/>
        <v>8.6745792346545041E-3</v>
      </c>
      <c r="T492" s="226">
        <f t="shared" si="127"/>
        <v>8.5004879356373325E-3</v>
      </c>
      <c r="U492" s="226">
        <f t="shared" si="127"/>
        <v>8.3298904983480481E-3</v>
      </c>
      <c r="V492" s="226">
        <f t="shared" si="127"/>
        <v>8.1627168040050539E-3</v>
      </c>
      <c r="W492" s="226">
        <f t="shared" si="127"/>
        <v>7.9988981410500266E-3</v>
      </c>
      <c r="X492" s="226">
        <f t="shared" si="127"/>
        <v>7.8383671769061605E-3</v>
      </c>
      <c r="Y492" s="226">
        <f t="shared" si="127"/>
        <v>7.6810579303032032E-3</v>
      </c>
      <c r="Z492" s="226">
        <f t="shared" si="127"/>
        <v>7.5269057441579006E-3</v>
      </c>
      <c r="AA492" s="226">
        <f t="shared" si="127"/>
        <v>7.3758472589987118E-3</v>
      </c>
      <c r="AB492" s="226">
        <f t="shared" si="127"/>
        <v>7.2278203869238639E-3</v>
      </c>
      <c r="AC492" s="226">
        <f t="shared" si="127"/>
        <v>7.082764286082047E-3</v>
      </c>
      <c r="AD492" s="226">
        <f t="shared" si="127"/>
        <v>6.9406193356652598E-3</v>
      </c>
      <c r="AE492" s="226">
        <f t="shared" si="125"/>
        <v>6.8013271114035264E-3</v>
      </c>
      <c r="AF492" s="226">
        <f t="shared" si="125"/>
        <v>6.6648303615514156E-3</v>
      </c>
      <c r="AG492" s="226">
        <f t="shared" si="125"/>
        <v>6.5310729833564845E-3</v>
      </c>
      <c r="AH492" s="227">
        <v>6.4000000000000003E-3</v>
      </c>
      <c r="AI492" s="226">
        <f t="shared" si="128"/>
        <v>6.2715575380003687E-3</v>
      </c>
      <c r="AJ492" s="226">
        <f t="shared" si="128"/>
        <v>6.1456928050701949E-3</v>
      </c>
      <c r="AK492" s="226">
        <f t="shared" si="128"/>
        <v>6.0223540684175951E-3</v>
      </c>
      <c r="AL492" s="226">
        <f t="shared" si="128"/>
        <v>5.9014906334830556E-3</v>
      </c>
      <c r="AM492" s="226">
        <f t="shared" si="128"/>
        <v>5.7830528231030045E-3</v>
      </c>
      <c r="AN492" s="226">
        <f t="shared" si="128"/>
        <v>5.6669919570915559E-3</v>
      </c>
      <c r="AO492" s="226">
        <f t="shared" si="128"/>
        <v>5.5532603322320327E-3</v>
      </c>
      <c r="AP492" s="226">
        <f t="shared" si="128"/>
        <v>5.4418112026700365E-3</v>
      </c>
      <c r="AQ492" s="226">
        <f t="shared" si="128"/>
        <v>5.3325987607000186E-3</v>
      </c>
      <c r="AR492" s="226">
        <f t="shared" si="128"/>
        <v>5.2255781179374418E-3</v>
      </c>
      <c r="AS492" s="226">
        <f t="shared" si="128"/>
        <v>5.1207052868688036E-3</v>
      </c>
      <c r="AT492" s="226">
        <f t="shared" si="128"/>
        <v>5.0179371627719349E-3</v>
      </c>
      <c r="AU492" s="226">
        <f t="shared" si="128"/>
        <v>4.9172315059991421E-3</v>
      </c>
      <c r="AV492" s="226">
        <f t="shared" si="128"/>
        <v>4.8185469246159098E-3</v>
      </c>
      <c r="AW492" s="226">
        <f t="shared" si="128"/>
        <v>4.7218428573880316E-3</v>
      </c>
      <c r="AX492" s="226">
        <f t="shared" si="128"/>
        <v>4.6270795571101732E-3</v>
      </c>
      <c r="AY492" s="226">
        <f t="shared" si="126"/>
        <v>4.5342180742690176E-3</v>
      </c>
      <c r="AZ492" s="226">
        <f t="shared" si="126"/>
        <v>4.4432202410342771E-3</v>
      </c>
      <c r="BA492" s="226">
        <f t="shared" si="126"/>
        <v>4.35404865557099E-3</v>
      </c>
      <c r="BB492" s="226">
        <f t="shared" si="126"/>
        <v>4.2666666666666582E-3</v>
      </c>
      <c r="BC492" s="226">
        <f t="shared" si="126"/>
        <v>4.1810383586669041E-3</v>
      </c>
      <c r="BD492" s="226">
        <f t="shared" si="126"/>
        <v>4.0971285367134552E-3</v>
      </c>
      <c r="BE492" s="226">
        <f t="shared" si="126"/>
        <v>4.0149027122783889E-3</v>
      </c>
    </row>
    <row r="493" spans="2:57" s="10" customFormat="1" x14ac:dyDescent="0.35">
      <c r="E493" s="10" t="s">
        <v>669</v>
      </c>
      <c r="F493" s="10" t="s">
        <v>615</v>
      </c>
      <c r="G493" s="43" t="s">
        <v>616</v>
      </c>
      <c r="I493" s="20"/>
      <c r="J493" s="200"/>
      <c r="K493" s="200"/>
      <c r="L493" s="200"/>
      <c r="M493" s="200"/>
      <c r="N493" s="200">
        <v>1.01E-2</v>
      </c>
      <c r="O493" s="226">
        <f t="shared" si="127"/>
        <v>9.8948461331564066E-3</v>
      </c>
      <c r="P493" s="226">
        <f t="shared" si="127"/>
        <v>9.6938594058257714E-3</v>
      </c>
      <c r="Q493" s="226">
        <f t="shared" si="127"/>
        <v>9.4969551739699995E-3</v>
      </c>
      <c r="R493" s="226">
        <f t="shared" si="127"/>
        <v>9.3040505128630466E-3</v>
      </c>
      <c r="S493" s="226">
        <f t="shared" si="127"/>
        <v>9.1150641821678008E-3</v>
      </c>
      <c r="T493" s="226">
        <f t="shared" si="127"/>
        <v>8.9299165917223287E-3</v>
      </c>
      <c r="U493" s="226">
        <f t="shared" si="127"/>
        <v>8.7485297680210804E-3</v>
      </c>
      <c r="V493" s="226">
        <f t="shared" si="127"/>
        <v>8.5708273213769403E-3</v>
      </c>
      <c r="W493" s="226">
        <f t="shared" si="127"/>
        <v>8.396734413750287E-3</v>
      </c>
      <c r="X493" s="226">
        <f t="shared" si="127"/>
        <v>8.2261777272315192E-3</v>
      </c>
      <c r="Y493" s="226">
        <f t="shared" si="127"/>
        <v>8.059085433163778E-3</v>
      </c>
      <c r="Z493" s="226">
        <f t="shared" si="127"/>
        <v>7.8953871618928449E-3</v>
      </c>
      <c r="AA493" s="226">
        <f t="shared" si="127"/>
        <v>7.7350139731314996E-3</v>
      </c>
      <c r="AB493" s="226">
        <f t="shared" si="127"/>
        <v>7.577898326925841E-3</v>
      </c>
      <c r="AC493" s="226">
        <f t="shared" si="127"/>
        <v>7.4239740552113423E-3</v>
      </c>
      <c r="AD493" s="226">
        <f t="shared" si="127"/>
        <v>7.2731763339466769E-3</v>
      </c>
      <c r="AE493" s="226">
        <f t="shared" si="125"/>
        <v>7.1254416558135603E-3</v>
      </c>
      <c r="AF493" s="226">
        <f t="shared" si="125"/>
        <v>6.9807078034711274E-3</v>
      </c>
      <c r="AG493" s="226">
        <f t="shared" si="125"/>
        <v>6.8389138233535679E-3</v>
      </c>
      <c r="AH493" s="227">
        <v>6.7000000000000002E-3</v>
      </c>
      <c r="AI493" s="226">
        <f t="shared" si="128"/>
        <v>6.5639078309057347E-3</v>
      </c>
      <c r="AJ493" s="226">
        <f t="shared" si="128"/>
        <v>6.4305800018844223E-3</v>
      </c>
      <c r="AK493" s="226">
        <f t="shared" si="128"/>
        <v>6.299960362930593E-3</v>
      </c>
      <c r="AL493" s="226">
        <f t="shared" si="128"/>
        <v>6.1719939045725156E-3</v>
      </c>
      <c r="AM493" s="226">
        <f t="shared" si="128"/>
        <v>6.0466267347053732E-3</v>
      </c>
      <c r="AN493" s="226">
        <f t="shared" si="128"/>
        <v>5.9238060558950111E-3</v>
      </c>
      <c r="AO493" s="226">
        <f t="shared" si="128"/>
        <v>5.803480143142698E-3</v>
      </c>
      <c r="AP493" s="226">
        <f t="shared" si="128"/>
        <v>5.6855983221015356E-3</v>
      </c>
      <c r="AQ493" s="226">
        <f t="shared" si="128"/>
        <v>5.5701109477353395E-3</v>
      </c>
      <c r="AR493" s="226">
        <f t="shared" si="128"/>
        <v>5.4569693834110086E-3</v>
      </c>
      <c r="AS493" s="226">
        <f t="shared" si="128"/>
        <v>5.3461259804155762E-3</v>
      </c>
      <c r="AT493" s="226">
        <f t="shared" si="128"/>
        <v>5.2375340578893134E-3</v>
      </c>
      <c r="AU493" s="226">
        <f t="shared" si="128"/>
        <v>5.131147883166441E-3</v>
      </c>
      <c r="AV493" s="226">
        <f t="shared" si="128"/>
        <v>5.0269226525151622E-3</v>
      </c>
      <c r="AW493" s="226">
        <f t="shared" si="128"/>
        <v>4.9248144722689111E-3</v>
      </c>
      <c r="AX493" s="226">
        <f t="shared" si="128"/>
        <v>4.8247803403408656E-3</v>
      </c>
      <c r="AY493" s="226">
        <f t="shared" si="126"/>
        <v>4.7267781281139466E-3</v>
      </c>
      <c r="AZ493" s="226">
        <f t="shared" si="126"/>
        <v>4.6307665626986695E-3</v>
      </c>
      <c r="BA493" s="226">
        <f t="shared" si="126"/>
        <v>4.5367052095513774E-3</v>
      </c>
      <c r="BB493" s="226">
        <f t="shared" si="126"/>
        <v>4.4445544554455414E-3</v>
      </c>
      <c r="BC493" s="226">
        <f t="shared" si="126"/>
        <v>4.3542754917889493E-3</v>
      </c>
      <c r="BD493" s="226">
        <f t="shared" si="126"/>
        <v>4.265830298279762E-3</v>
      </c>
      <c r="BE493" s="226">
        <f t="shared" si="126"/>
        <v>4.179181626894549E-3</v>
      </c>
    </row>
    <row r="494" spans="2:57" s="10" customFormat="1" x14ac:dyDescent="0.35">
      <c r="E494" s="10" t="s">
        <v>670</v>
      </c>
      <c r="F494" s="10" t="s">
        <v>615</v>
      </c>
      <c r="G494" s="43" t="s">
        <v>616</v>
      </c>
      <c r="I494" s="20"/>
      <c r="J494" s="200"/>
      <c r="K494" s="200"/>
      <c r="L494" s="200"/>
      <c r="M494" s="200"/>
      <c r="N494" s="200">
        <v>1.0500000000000001E-2</v>
      </c>
      <c r="O494" s="226">
        <f t="shared" si="127"/>
        <v>1.0296574154057903E-2</v>
      </c>
      <c r="P494" s="226">
        <f t="shared" si="127"/>
        <v>1.0097089458096497E-2</v>
      </c>
      <c r="Q494" s="226">
        <f t="shared" si="127"/>
        <v>9.9014695567092286E-3</v>
      </c>
      <c r="R494" s="226">
        <f t="shared" si="127"/>
        <v>9.7096395737908004E-3</v>
      </c>
      <c r="S494" s="226">
        <f t="shared" si="127"/>
        <v>9.5215260838773467E-3</v>
      </c>
      <c r="T494" s="226">
        <f t="shared" si="127"/>
        <v>9.3370570840418717E-3</v>
      </c>
      <c r="U494" s="226">
        <f t="shared" si="127"/>
        <v>9.1561619663341701E-3</v>
      </c>
      <c r="V494" s="226">
        <f t="shared" si="127"/>
        <v>8.9787714907547042E-3</v>
      </c>
      <c r="W494" s="226">
        <f t="shared" si="127"/>
        <v>8.8048177587520798E-3</v>
      </c>
      <c r="X494" s="226">
        <f t="shared" si="127"/>
        <v>8.6342341872339707E-3</v>
      </c>
      <c r="Y494" s="226">
        <f t="shared" si="127"/>
        <v>8.466955483081566E-3</v>
      </c>
      <c r="Z494" s="226">
        <f t="shared" si="127"/>
        <v>8.302917618157761E-3</v>
      </c>
      <c r="AA494" s="226">
        <f t="shared" si="127"/>
        <v>8.1420578047995424E-3</v>
      </c>
      <c r="AB494" s="226">
        <f t="shared" si="127"/>
        <v>7.9843144717851797E-3</v>
      </c>
      <c r="AC494" s="226">
        <f t="shared" si="127"/>
        <v>7.8296272407670248E-3</v>
      </c>
      <c r="AD494" s="226">
        <f t="shared" si="127"/>
        <v>7.6779369031608992E-3</v>
      </c>
      <c r="AE494" s="226">
        <f t="shared" si="125"/>
        <v>7.5291853974832276E-3</v>
      </c>
      <c r="AF494" s="226">
        <f t="shared" si="125"/>
        <v>7.3833157871272363E-3</v>
      </c>
      <c r="AG494" s="226">
        <f t="shared" si="125"/>
        <v>7.2402722385697124E-3</v>
      </c>
      <c r="AH494" s="227">
        <v>7.1000000000000004E-3</v>
      </c>
      <c r="AI494" s="226">
        <f t="shared" si="128"/>
        <v>6.9624453803629627E-3</v>
      </c>
      <c r="AJ494" s="226">
        <f t="shared" si="128"/>
        <v>6.8275557288081075E-3</v>
      </c>
      <c r="AK494" s="226">
        <f t="shared" si="128"/>
        <v>6.6952794145367167E-3</v>
      </c>
      <c r="AL494" s="226">
        <f t="shared" si="128"/>
        <v>6.565565807039494E-3</v>
      </c>
      <c r="AM494" s="226">
        <f t="shared" si="128"/>
        <v>6.438365256717064E-3</v>
      </c>
      <c r="AN494" s="226">
        <f t="shared" si="128"/>
        <v>6.3136290758759326E-3</v>
      </c>
      <c r="AO494" s="226">
        <f t="shared" si="128"/>
        <v>6.1913095200926294E-3</v>
      </c>
      <c r="AP494" s="226">
        <f t="shared" si="128"/>
        <v>6.0713597699388958E-3</v>
      </c>
      <c r="AQ494" s="226">
        <f t="shared" si="128"/>
        <v>5.9537339130609299E-3</v>
      </c>
      <c r="AR494" s="226">
        <f t="shared" si="128"/>
        <v>5.8383869266058278E-3</v>
      </c>
      <c r="AS494" s="226">
        <f t="shared" si="128"/>
        <v>5.7252746599884873E-3</v>
      </c>
      <c r="AT494" s="226">
        <f t="shared" si="128"/>
        <v>5.6143538179923907E-3</v>
      </c>
      <c r="AU494" s="226">
        <f t="shared" si="128"/>
        <v>5.5055819441977866E-3</v>
      </c>
      <c r="AV494" s="226">
        <f t="shared" si="128"/>
        <v>5.3989174047309324E-3</v>
      </c>
      <c r="AW494" s="226">
        <f t="shared" si="128"/>
        <v>5.29431937232818E-3</v>
      </c>
      <c r="AX494" s="226">
        <f t="shared" si="128"/>
        <v>5.1917478107087996E-3</v>
      </c>
      <c r="AY494" s="226">
        <f t="shared" si="126"/>
        <v>5.0911634592505648E-3</v>
      </c>
      <c r="AZ494" s="226">
        <f t="shared" si="126"/>
        <v>4.9925278179622275E-3</v>
      </c>
      <c r="BA494" s="226">
        <f t="shared" si="126"/>
        <v>4.8958031327471403E-3</v>
      </c>
      <c r="BB494" s="226">
        <f t="shared" si="126"/>
        <v>4.8009523809523728E-3</v>
      </c>
      <c r="BC494" s="226">
        <f t="shared" si="126"/>
        <v>4.7079392571978051E-3</v>
      </c>
      <c r="BD494" s="226">
        <f t="shared" si="126"/>
        <v>4.6167281594797598E-3</v>
      </c>
      <c r="BE494" s="226">
        <f t="shared" si="126"/>
        <v>4.5272841755438671E-3</v>
      </c>
    </row>
    <row r="495" spans="2:57" s="10" customFormat="1" x14ac:dyDescent="0.35">
      <c r="E495" s="10" t="s">
        <v>671</v>
      </c>
      <c r="F495" s="10" t="s">
        <v>615</v>
      </c>
      <c r="G495" s="43" t="s">
        <v>616</v>
      </c>
      <c r="I495" s="20"/>
      <c r="J495" s="200"/>
      <c r="K495" s="200"/>
      <c r="L495" s="200"/>
      <c r="M495" s="200"/>
      <c r="N495" s="200">
        <v>1.11E-2</v>
      </c>
      <c r="O495" s="226">
        <f t="shared" si="127"/>
        <v>1.0877232604969389E-2</v>
      </c>
      <c r="P495" s="226">
        <f t="shared" si="127"/>
        <v>1.0658935958793619E-2</v>
      </c>
      <c r="Q495" s="226">
        <f t="shared" si="127"/>
        <v>1.0445020337411766E-2</v>
      </c>
      <c r="R495" s="226">
        <f t="shared" si="127"/>
        <v>1.0235397817447174E-2</v>
      </c>
      <c r="S495" s="226">
        <f t="shared" si="127"/>
        <v>1.0029982240069273E-2</v>
      </c>
      <c r="T495" s="226">
        <f t="shared" si="127"/>
        <v>9.8286891755806679E-3</v>
      </c>
      <c r="U495" s="226">
        <f t="shared" si="127"/>
        <v>9.6314358887149322E-3</v>
      </c>
      <c r="V495" s="226">
        <f t="shared" si="127"/>
        <v>9.4381413046308454E-3</v>
      </c>
      <c r="W495" s="226">
        <f t="shared" si="127"/>
        <v>9.2487259755890949E-3</v>
      </c>
      <c r="X495" s="226">
        <f t="shared" si="127"/>
        <v>9.0631120482977494E-3</v>
      </c>
      <c r="Y495" s="226">
        <f t="shared" si="127"/>
        <v>8.8812232319130796E-3</v>
      </c>
      <c r="Z495" s="226">
        <f t="shared" si="127"/>
        <v>8.7029847666825737E-3</v>
      </c>
      <c r="AA495" s="226">
        <f t="shared" si="127"/>
        <v>8.5283233932172617E-3</v>
      </c>
      <c r="AB495" s="226">
        <f t="shared" si="127"/>
        <v>8.357167322380718E-3</v>
      </c>
      <c r="AC495" s="226">
        <f t="shared" si="127"/>
        <v>8.1894462057823664E-3</v>
      </c>
      <c r="AD495" s="226">
        <f t="shared" si="127"/>
        <v>8.0250911068629558E-3</v>
      </c>
      <c r="AE495" s="226">
        <f t="shared" si="125"/>
        <v>7.8640344725603266E-3</v>
      </c>
      <c r="AF495" s="226">
        <f t="shared" si="125"/>
        <v>7.7062101055438235E-3</v>
      </c>
      <c r="AG495" s="226">
        <f t="shared" si="125"/>
        <v>7.5515531370059343E-3</v>
      </c>
      <c r="AH495" s="227">
        <v>7.4000000000000003E-3</v>
      </c>
      <c r="AI495" s="226">
        <f t="shared" si="128"/>
        <v>7.251488403312926E-3</v>
      </c>
      <c r="AJ495" s="226">
        <f t="shared" si="128"/>
        <v>7.1059573058624122E-3</v>
      </c>
      <c r="AK495" s="226">
        <f t="shared" si="128"/>
        <v>6.9633468916078436E-3</v>
      </c>
      <c r="AL495" s="226">
        <f t="shared" si="128"/>
        <v>6.8235985449647818E-3</v>
      </c>
      <c r="AM495" s="226">
        <f t="shared" si="128"/>
        <v>6.6866548267128477E-3</v>
      </c>
      <c r="AN495" s="226">
        <f t="shared" si="128"/>
        <v>6.5524594503871105E-3</v>
      </c>
      <c r="AO495" s="226">
        <f t="shared" si="128"/>
        <v>6.4209572591432864E-3</v>
      </c>
      <c r="AP495" s="226">
        <f t="shared" si="128"/>
        <v>6.2920942030872283E-3</v>
      </c>
      <c r="AQ495" s="226">
        <f t="shared" si="128"/>
        <v>6.1658173170593949E-3</v>
      </c>
      <c r="AR495" s="226">
        <f t="shared" si="128"/>
        <v>6.0420746988651651E-3</v>
      </c>
      <c r="AS495" s="226">
        <f t="shared" si="128"/>
        <v>5.9208154879420516E-3</v>
      </c>
      <c r="AT495" s="226">
        <f t="shared" si="128"/>
        <v>5.8019898444550471E-3</v>
      </c>
      <c r="AU495" s="226">
        <f t="shared" si="128"/>
        <v>5.6855489288115055E-3</v>
      </c>
      <c r="AV495" s="226">
        <f t="shared" si="128"/>
        <v>5.5714448815871436E-3</v>
      </c>
      <c r="AW495" s="226">
        <f t="shared" si="128"/>
        <v>5.4596308038549098E-3</v>
      </c>
      <c r="AX495" s="226">
        <f t="shared" si="128"/>
        <v>5.3500607379086363E-3</v>
      </c>
      <c r="AY495" s="226">
        <f t="shared" si="126"/>
        <v>5.2426896483735502E-3</v>
      </c>
      <c r="AZ495" s="226">
        <f t="shared" si="126"/>
        <v>5.1374734036958815E-3</v>
      </c>
      <c r="BA495" s="226">
        <f t="shared" si="126"/>
        <v>5.0343687580039556E-3</v>
      </c>
      <c r="BB495" s="226">
        <f t="shared" si="126"/>
        <v>4.9333333333333217E-3</v>
      </c>
      <c r="BC495" s="226">
        <f t="shared" si="126"/>
        <v>4.8343256022086063E-3</v>
      </c>
      <c r="BD495" s="226">
        <f t="shared" si="126"/>
        <v>4.7373048705749302E-3</v>
      </c>
      <c r="BE495" s="226">
        <f t="shared" si="126"/>
        <v>4.6422312610718847E-3</v>
      </c>
    </row>
    <row r="496" spans="2:57" s="10" customFormat="1" x14ac:dyDescent="0.35">
      <c r="B496" s="13"/>
      <c r="D496" s="169"/>
      <c r="E496" s="10" t="s">
        <v>672</v>
      </c>
      <c r="F496" s="10" t="s">
        <v>615</v>
      </c>
      <c r="G496" s="43" t="s">
        <v>616</v>
      </c>
      <c r="I496" s="20"/>
      <c r="J496" s="200"/>
      <c r="K496" s="200"/>
      <c r="L496" s="200"/>
      <c r="M496" s="200"/>
      <c r="N496" s="200">
        <v>1.1599999999999999E-2</v>
      </c>
      <c r="O496" s="226">
        <f t="shared" si="127"/>
        <v>1.137207774042593E-2</v>
      </c>
      <c r="P496" s="226">
        <f t="shared" si="127"/>
        <v>1.1148633804680255E-2</v>
      </c>
      <c r="Q496" s="226">
        <f t="shared" si="127"/>
        <v>1.0929580200548654E-2</v>
      </c>
      <c r="R496" s="226">
        <f t="shared" si="127"/>
        <v>1.0714830664729252E-2</v>
      </c>
      <c r="S496" s="226">
        <f t="shared" si="127"/>
        <v>1.050430062886213E-2</v>
      </c>
      <c r="T496" s="226">
        <f t="shared" si="127"/>
        <v>1.0297907186226305E-2</v>
      </c>
      <c r="U496" s="226">
        <f t="shared" si="127"/>
        <v>1.0095569059091069E-2</v>
      </c>
      <c r="V496" s="226">
        <f t="shared" si="127"/>
        <v>9.8972065667088192E-3</v>
      </c>
      <c r="W496" s="226">
        <f t="shared" si="127"/>
        <v>9.702741593936786E-3</v>
      </c>
      <c r="X496" s="226">
        <f t="shared" si="127"/>
        <v>9.5120975604752883E-3</v>
      </c>
      <c r="Y496" s="226">
        <f t="shared" si="127"/>
        <v>9.3251993907104164E-3</v>
      </c>
      <c r="Z496" s="226">
        <f t="shared" si="127"/>
        <v>9.1419734841492566E-3</v>
      </c>
      <c r="AA496" s="226">
        <f t="shared" si="127"/>
        <v>8.9623476864360216E-3</v>
      </c>
      <c r="AB496" s="226">
        <f t="shared" si="127"/>
        <v>8.7862512609376657E-3</v>
      </c>
      <c r="AC496" s="226">
        <f t="shared" si="127"/>
        <v>8.6136148608878024E-3</v>
      </c>
      <c r="AD496" s="226">
        <f t="shared" si="127"/>
        <v>8.4443705020779466E-3</v>
      </c>
      <c r="AE496" s="226">
        <f t="shared" si="125"/>
        <v>8.278451536085342E-3</v>
      </c>
      <c r="AF496" s="226">
        <f t="shared" si="125"/>
        <v>8.1157926240268078E-3</v>
      </c>
      <c r="AG496" s="226">
        <f t="shared" si="125"/>
        <v>7.9563297108282954E-3</v>
      </c>
      <c r="AH496" s="227">
        <v>7.7999999999999996E-3</v>
      </c>
      <c r="AI496" s="226">
        <f t="shared" si="128"/>
        <v>7.6467419289070913E-3</v>
      </c>
      <c r="AJ496" s="226">
        <f t="shared" si="128"/>
        <v>7.4964951445263776E-3</v>
      </c>
      <c r="AK496" s="226">
        <f t="shared" si="128"/>
        <v>7.349200479679267E-3</v>
      </c>
      <c r="AL496" s="226">
        <f t="shared" si="128"/>
        <v>7.2047999297317391E-3</v>
      </c>
      <c r="AM496" s="226">
        <f t="shared" si="128"/>
        <v>7.0632366297521225E-3</v>
      </c>
      <c r="AN496" s="226">
        <f t="shared" si="128"/>
        <v>6.924454832117689E-3</v>
      </c>
      <c r="AO496" s="226">
        <f t="shared" si="128"/>
        <v>6.7883998845612373E-3</v>
      </c>
      <c r="AP496" s="226">
        <f t="shared" si="128"/>
        <v>6.6550182086490351E-3</v>
      </c>
      <c r="AQ496" s="226">
        <f t="shared" si="128"/>
        <v>6.5242572786816336E-3</v>
      </c>
      <c r="AR496" s="226">
        <f t="shared" si="128"/>
        <v>6.396065601009247E-3</v>
      </c>
      <c r="AS496" s="226">
        <f t="shared" si="128"/>
        <v>6.2703926937535568E-3</v>
      </c>
      <c r="AT496" s="226">
        <f t="shared" si="128"/>
        <v>6.1471890669279501E-3</v>
      </c>
      <c r="AU496" s="226">
        <f t="shared" si="128"/>
        <v>6.026406202948361E-3</v>
      </c>
      <c r="AV496" s="226">
        <f t="shared" si="128"/>
        <v>5.9079965375270528E-3</v>
      </c>
      <c r="AW496" s="226">
        <f t="shared" si="128"/>
        <v>5.7919134409417997E-3</v>
      </c>
      <c r="AX496" s="226">
        <f t="shared" si="128"/>
        <v>5.678111199673104E-3</v>
      </c>
      <c r="AY496" s="226">
        <f t="shared" si="126"/>
        <v>5.5665449984022147E-3</v>
      </c>
      <c r="AZ496" s="226">
        <f t="shared" si="126"/>
        <v>5.4571709023628562E-3</v>
      </c>
      <c r="BA496" s="226">
        <f t="shared" si="126"/>
        <v>5.3499458400397184E-3</v>
      </c>
      <c r="BB496" s="226">
        <f t="shared" si="126"/>
        <v>5.244827586206896E-3</v>
      </c>
      <c r="BC496" s="226">
        <f t="shared" si="126"/>
        <v>5.1417747452995955E-3</v>
      </c>
      <c r="BD496" s="226">
        <f t="shared" si="126"/>
        <v>5.0407467351125642E-3</v>
      </c>
      <c r="BE496" s="226">
        <f t="shared" si="126"/>
        <v>4.9417037708188172E-3</v>
      </c>
    </row>
    <row r="497" spans="2:57" s="10" customFormat="1" x14ac:dyDescent="0.35">
      <c r="B497" s="13"/>
      <c r="D497" s="169"/>
      <c r="E497" s="10" t="s">
        <v>673</v>
      </c>
      <c r="F497" s="10" t="s">
        <v>615</v>
      </c>
      <c r="G497" s="43" t="s">
        <v>616</v>
      </c>
      <c r="I497" s="20"/>
      <c r="J497" s="200"/>
      <c r="K497" s="200"/>
      <c r="L497" s="200"/>
      <c r="M497" s="200"/>
      <c r="N497" s="200">
        <v>1.18E-2</v>
      </c>
      <c r="O497" s="226">
        <f t="shared" si="127"/>
        <v>1.1572905485038447E-2</v>
      </c>
      <c r="P497" s="226">
        <f t="shared" si="127"/>
        <v>1.1350181471663811E-2</v>
      </c>
      <c r="Q497" s="226">
        <f t="shared" si="127"/>
        <v>1.1131743848271177E-2</v>
      </c>
      <c r="R497" s="226">
        <f t="shared" si="127"/>
        <v>1.0917510122008516E-2</v>
      </c>
      <c r="S497" s="226">
        <f t="shared" si="127"/>
        <v>1.0707399387623315E-2</v>
      </c>
      <c r="T497" s="226">
        <f t="shared" si="127"/>
        <v>1.0501332296908743E-2</v>
      </c>
      <c r="U497" s="226">
        <f t="shared" si="127"/>
        <v>1.0299231028737846E-2</v>
      </c>
      <c r="V497" s="226">
        <f t="shared" si="127"/>
        <v>1.0101019259674439E-2</v>
      </c>
      <c r="W497" s="226">
        <f t="shared" si="127"/>
        <v>9.9066221351496019E-3</v>
      </c>
      <c r="X497" s="226">
        <f t="shared" si="127"/>
        <v>9.7159662411928915E-3</v>
      </c>
      <c r="Y497" s="226">
        <f t="shared" si="127"/>
        <v>9.5289795767075931E-3</v>
      </c>
      <c r="Z497" s="226">
        <f t="shared" si="127"/>
        <v>9.3455915262795463E-3</v>
      </c>
      <c r="AA497" s="226">
        <f t="shared" si="127"/>
        <v>9.1657328335092714E-3</v>
      </c>
      <c r="AB497" s="226">
        <f t="shared" si="127"/>
        <v>8.9893355748573243E-3</v>
      </c>
      <c r="AC497" s="226">
        <f t="shared" si="127"/>
        <v>8.8163331339930137E-3</v>
      </c>
      <c r="AD497" s="226">
        <f t="shared" si="127"/>
        <v>8.6466601766367751E-3</v>
      </c>
      <c r="AE497" s="226">
        <f t="shared" si="125"/>
        <v>8.4802526258867163E-3</v>
      </c>
      <c r="AF497" s="226">
        <f t="shared" si="125"/>
        <v>8.3170476380200059E-3</v>
      </c>
      <c r="AG497" s="226">
        <f t="shared" si="125"/>
        <v>8.1569835787599822E-3</v>
      </c>
      <c r="AH497" s="227">
        <v>8.0000000000000002E-3</v>
      </c>
      <c r="AI497" s="226">
        <f t="shared" si="128"/>
        <v>7.8460376169752193E-3</v>
      </c>
      <c r="AJ497" s="226">
        <f t="shared" si="128"/>
        <v>7.6950382858737712E-3</v>
      </c>
      <c r="AK497" s="226">
        <f t="shared" si="128"/>
        <v>7.5469449818787639E-3</v>
      </c>
      <c r="AL497" s="226">
        <f t="shared" si="128"/>
        <v>7.4017017776328922E-3</v>
      </c>
      <c r="AM497" s="226">
        <f t="shared" si="128"/>
        <v>7.2592538221175019E-3</v>
      </c>
      <c r="AN497" s="226">
        <f t="shared" si="128"/>
        <v>7.1195473199381311E-3</v>
      </c>
      <c r="AO497" s="226">
        <f t="shared" si="128"/>
        <v>6.9825295110087096E-3</v>
      </c>
      <c r="AP497" s="226">
        <f t="shared" si="128"/>
        <v>6.8481486506267392E-3</v>
      </c>
      <c r="AQ497" s="226">
        <f t="shared" si="128"/>
        <v>6.7163539899319346E-3</v>
      </c>
      <c r="AR497" s="226">
        <f t="shared" si="128"/>
        <v>6.5870957567409445E-3</v>
      </c>
      <c r="AS497" s="226">
        <f t="shared" si="128"/>
        <v>6.4603251367509112E-3</v>
      </c>
      <c r="AT497" s="226">
        <f t="shared" si="128"/>
        <v>6.3359942551047778E-3</v>
      </c>
      <c r="AU497" s="226">
        <f t="shared" si="128"/>
        <v>6.2140561583113709E-3</v>
      </c>
      <c r="AV497" s="226">
        <f t="shared" si="128"/>
        <v>6.0944647965134411E-3</v>
      </c>
      <c r="AW497" s="226">
        <f t="shared" si="128"/>
        <v>5.9771750060969601E-3</v>
      </c>
      <c r="AX497" s="226">
        <f t="shared" si="128"/>
        <v>5.8621424926351036E-3</v>
      </c>
      <c r="AY497" s="226">
        <f t="shared" si="126"/>
        <v>5.7493238141604871E-3</v>
      </c>
      <c r="AZ497" s="226">
        <f t="shared" si="126"/>
        <v>5.6386763647593274E-3</v>
      </c>
      <c r="BA497" s="226">
        <f t="shared" si="126"/>
        <v>5.5301583584813447E-3</v>
      </c>
      <c r="BB497" s="226">
        <f t="shared" si="126"/>
        <v>5.4237288135593198E-3</v>
      </c>
      <c r="BC497" s="226">
        <f t="shared" si="126"/>
        <v>5.3193475369323496E-3</v>
      </c>
      <c r="BD497" s="226">
        <f t="shared" si="126"/>
        <v>5.2169751090669616E-3</v>
      </c>
      <c r="BE497" s="226">
        <f t="shared" si="126"/>
        <v>5.1165728690703467E-3</v>
      </c>
    </row>
    <row r="498" spans="2:57" s="10" customFormat="1" x14ac:dyDescent="0.35">
      <c r="B498" s="13"/>
      <c r="D498" s="169"/>
      <c r="E498" s="10" t="s">
        <v>674</v>
      </c>
      <c r="F498" s="10" t="s">
        <v>615</v>
      </c>
      <c r="G498" s="43" t="s">
        <v>616</v>
      </c>
      <c r="I498" s="20"/>
      <c r="J498" s="200"/>
      <c r="K498" s="200"/>
      <c r="L498" s="200"/>
      <c r="M498" s="200"/>
      <c r="N498" s="200">
        <v>1.21E-2</v>
      </c>
      <c r="O498" s="226">
        <f t="shared" si="127"/>
        <v>1.186688665886068E-2</v>
      </c>
      <c r="P498" s="226">
        <f t="shared" si="127"/>
        <v>1.1638264378036826E-2</v>
      </c>
      <c r="Q498" s="226">
        <f t="shared" si="127"/>
        <v>1.141404663471229E-2</v>
      </c>
      <c r="R498" s="226">
        <f t="shared" si="127"/>
        <v>1.1194148572981894E-2</v>
      </c>
      <c r="S498" s="226">
        <f t="shared" si="127"/>
        <v>1.0978486971737452E-2</v>
      </c>
      <c r="T498" s="226">
        <f t="shared" si="127"/>
        <v>1.0766980213172475E-2</v>
      </c>
      <c r="U498" s="226">
        <f t="shared" si="127"/>
        <v>1.0559548251893668E-2</v>
      </c>
      <c r="V498" s="226">
        <f t="shared" si="127"/>
        <v>1.0356112584627486E-2</v>
      </c>
      <c r="W498" s="226">
        <f t="shared" si="127"/>
        <v>1.015659622051034E-2</v>
      </c>
      <c r="X498" s="226">
        <f t="shared" si="127"/>
        <v>9.9609236519511528E-3</v>
      </c>
      <c r="Y498" s="226">
        <f t="shared" si="127"/>
        <v>9.7690208260552847E-3</v>
      </c>
      <c r="Z498" s="226">
        <f t="shared" si="127"/>
        <v>9.5808151165989747E-3</v>
      </c>
      <c r="AA498" s="226">
        <f t="shared" si="127"/>
        <v>9.3962352965437281E-3</v>
      </c>
      <c r="AB498" s="226">
        <f t="shared" si="127"/>
        <v>9.2152115110802138E-3</v>
      </c>
      <c r="AC498" s="226">
        <f t="shared" si="127"/>
        <v>9.0376752511915001E-3</v>
      </c>
      <c r="AD498" s="226">
        <f t="shared" si="127"/>
        <v>8.8635593277256002E-3</v>
      </c>
      <c r="AE498" s="226">
        <f t="shared" si="125"/>
        <v>8.6927978459675256E-3</v>
      </c>
      <c r="AF498" s="226">
        <f t="shared" si="125"/>
        <v>8.5253261807012298E-3</v>
      </c>
      <c r="AG498" s="226">
        <f t="shared" si="125"/>
        <v>8.3610809517519914E-3</v>
      </c>
      <c r="AH498" s="227">
        <v>8.2000000000000007E-3</v>
      </c>
      <c r="AI498" s="226">
        <f t="shared" si="128"/>
        <v>8.0420223638559985E-3</v>
      </c>
      <c r="AJ498" s="226">
        <f t="shared" si="128"/>
        <v>7.8870882561902465E-3</v>
      </c>
      <c r="AK498" s="226">
        <f t="shared" si="128"/>
        <v>7.73513904170585E-3</v>
      </c>
      <c r="AL498" s="226">
        <f t="shared" si="128"/>
        <v>7.5861172147480612E-3</v>
      </c>
      <c r="AM498" s="226">
        <f t="shared" si="128"/>
        <v>7.4399663775410836E-3</v>
      </c>
      <c r="AN498" s="226">
        <f t="shared" si="128"/>
        <v>7.2966312188441577E-3</v>
      </c>
      <c r="AO498" s="226">
        <f t="shared" si="128"/>
        <v>7.1560574930188492E-3</v>
      </c>
      <c r="AP498" s="226">
        <f t="shared" si="128"/>
        <v>7.0181919994996185E-3</v>
      </c>
      <c r="AQ498" s="226">
        <f t="shared" si="128"/>
        <v>6.8829825626598997E-3</v>
      </c>
      <c r="AR498" s="226">
        <f t="shared" si="128"/>
        <v>6.7503780120660708E-3</v>
      </c>
      <c r="AS498" s="226">
        <f t="shared" si="128"/>
        <v>6.6203281631118461E-3</v>
      </c>
      <c r="AT498" s="226">
        <f t="shared" si="128"/>
        <v>6.4927837980257525E-3</v>
      </c>
      <c r="AU498" s="226">
        <f t="shared" si="128"/>
        <v>6.3676966472445105E-3</v>
      </c>
      <c r="AV498" s="226">
        <f t="shared" si="128"/>
        <v>6.24501937114527E-3</v>
      </c>
      <c r="AW498" s="226">
        <f t="shared" si="128"/>
        <v>6.1247055421297788E-3</v>
      </c>
      <c r="AX498" s="226">
        <f t="shared" si="128"/>
        <v>6.0067096270537143E-3</v>
      </c>
      <c r="AY498" s="226">
        <f t="shared" si="126"/>
        <v>5.8909869699945239E-3</v>
      </c>
      <c r="AZ498" s="226">
        <f t="shared" si="126"/>
        <v>5.7774937753512492E-3</v>
      </c>
      <c r="BA498" s="226">
        <f t="shared" si="126"/>
        <v>5.6661870912699478E-3</v>
      </c>
      <c r="BB498" s="226">
        <f t="shared" si="126"/>
        <v>5.5570247933884251E-3</v>
      </c>
      <c r="BC498" s="226">
        <f t="shared" si="126"/>
        <v>5.4499655688941429E-3</v>
      </c>
      <c r="BD498" s="226">
        <f t="shared" si="126"/>
        <v>5.3449689008892532E-3</v>
      </c>
      <c r="BE498" s="226">
        <f t="shared" si="126"/>
        <v>5.2419950530568525E-3</v>
      </c>
    </row>
    <row r="499" spans="2:57" s="10" customFormat="1" x14ac:dyDescent="0.35">
      <c r="B499" s="13"/>
      <c r="D499" s="169"/>
      <c r="E499" s="10" t="s">
        <v>675</v>
      </c>
      <c r="F499" s="10" t="s">
        <v>615</v>
      </c>
      <c r="G499" s="43" t="s">
        <v>616</v>
      </c>
      <c r="I499" s="20"/>
      <c r="J499" s="200"/>
      <c r="K499" s="200"/>
      <c r="L499" s="200"/>
      <c r="M499" s="200"/>
      <c r="N499" s="200">
        <v>1.23E-2</v>
      </c>
      <c r="O499" s="226">
        <f t="shared" si="127"/>
        <v>1.2060456886082741E-2</v>
      </c>
      <c r="P499" s="226">
        <f t="shared" si="127"/>
        <v>1.1825578886265091E-2</v>
      </c>
      <c r="Q499" s="226">
        <f t="shared" si="127"/>
        <v>1.1595275147217112E-2</v>
      </c>
      <c r="R499" s="226">
        <f t="shared" si="127"/>
        <v>1.1369456584982007E-2</v>
      </c>
      <c r="S499" s="226">
        <f t="shared" si="127"/>
        <v>1.1148035850517482E-2</v>
      </c>
      <c r="T499" s="226">
        <f t="shared" si="127"/>
        <v>1.0930927295908197E-2</v>
      </c>
      <c r="U499" s="226">
        <f t="shared" si="127"/>
        <v>1.0718046941236245E-2</v>
      </c>
      <c r="V499" s="226">
        <f t="shared" si="127"/>
        <v>1.0509312442096809E-2</v>
      </c>
      <c r="W499" s="226">
        <f t="shared" si="127"/>
        <v>1.0304643057746463E-2</v>
      </c>
      <c r="X499" s="226">
        <f t="shared" si="127"/>
        <v>1.0103959619871792E-2</v>
      </c>
      <c r="Y499" s="226">
        <f t="shared" si="127"/>
        <v>9.9071845019662371E-3</v>
      </c>
      <c r="Z499" s="226">
        <f t="shared" si="127"/>
        <v>9.7142415893033268E-3</v>
      </c>
      <c r="AA499" s="226">
        <f t="shared" si="127"/>
        <v>9.5250562494946876E-3</v>
      </c>
      <c r="AB499" s="226">
        <f t="shared" si="127"/>
        <v>9.3395553036214347E-3</v>
      </c>
      <c r="AC499" s="226">
        <f t="shared" si="127"/>
        <v>9.1576669979277821E-3</v>
      </c>
      <c r="AD499" s="226">
        <f t="shared" si="127"/>
        <v>8.979320976065918E-3</v>
      </c>
      <c r="AE499" s="226">
        <f t="shared" si="125"/>
        <v>8.8044482518814145E-3</v>
      </c>
      <c r="AF499" s="226">
        <f t="shared" si="125"/>
        <v>8.6329811827286478E-3</v>
      </c>
      <c r="AG499" s="226">
        <f t="shared" si="125"/>
        <v>8.4648534433058899E-3</v>
      </c>
      <c r="AH499" s="227">
        <v>8.3000000000000001E-3</v>
      </c>
      <c r="AI499" s="226">
        <f t="shared" si="128"/>
        <v>8.1383570857306298E-3</v>
      </c>
      <c r="AJ499" s="226">
        <f t="shared" si="128"/>
        <v>7.9798621752845723E-3</v>
      </c>
      <c r="AK499" s="226">
        <f t="shared" si="128"/>
        <v>7.8244539611302451E-3</v>
      </c>
      <c r="AL499" s="226">
        <f t="shared" si="128"/>
        <v>7.6720723297033049E-3</v>
      </c>
      <c r="AM499" s="226">
        <f t="shared" si="128"/>
        <v>7.5226583381540722E-3</v>
      </c>
      <c r="AN499" s="226">
        <f t="shared" si="128"/>
        <v>7.3761541915478073E-3</v>
      </c>
      <c r="AO499" s="226">
        <f t="shared" si="128"/>
        <v>7.2325032205090107E-3</v>
      </c>
      <c r="AP499" s="226">
        <f t="shared" si="128"/>
        <v>7.0916498593010975E-3</v>
      </c>
      <c r="AQ499" s="226">
        <f t="shared" si="128"/>
        <v>6.9535396243329776E-3</v>
      </c>
      <c r="AR499" s="226">
        <f t="shared" si="128"/>
        <v>6.8181190930842158E-3</v>
      </c>
      <c r="AS499" s="226">
        <f t="shared" si="128"/>
        <v>6.6853358834406294E-3</v>
      </c>
      <c r="AT499" s="226">
        <f t="shared" si="128"/>
        <v>6.5551386334323242E-3</v>
      </c>
      <c r="AU499" s="226">
        <f t="shared" si="128"/>
        <v>6.4274769813663325E-3</v>
      </c>
      <c r="AV499" s="226">
        <f t="shared" si="128"/>
        <v>6.3023015463461703E-3</v>
      </c>
      <c r="AW499" s="226">
        <f t="shared" si="128"/>
        <v>6.1795639091707785E-3</v>
      </c>
      <c r="AX499" s="226">
        <f t="shared" si="128"/>
        <v>6.0592165936054557E-3</v>
      </c>
      <c r="AY499" s="226">
        <f t="shared" si="126"/>
        <v>5.9412130480175386E-3</v>
      </c>
      <c r="AZ499" s="226">
        <f t="shared" si="126"/>
        <v>5.8255076273697366E-3</v>
      </c>
      <c r="BA499" s="226">
        <f t="shared" si="126"/>
        <v>5.712055575564136E-3</v>
      </c>
      <c r="BB499" s="226">
        <f t="shared" si="126"/>
        <v>5.6008130081300648E-3</v>
      </c>
      <c r="BC499" s="226">
        <f t="shared" si="126"/>
        <v>5.491736895249108E-3</v>
      </c>
      <c r="BD499" s="226">
        <f t="shared" si="126"/>
        <v>5.3847850451107125E-3</v>
      </c>
      <c r="BE499" s="226">
        <f t="shared" si="126"/>
        <v>5.2799160875919397E-3</v>
      </c>
    </row>
    <row r="500" spans="2:57" s="10" customFormat="1" x14ac:dyDescent="0.35">
      <c r="B500" s="13"/>
      <c r="D500" s="169"/>
      <c r="E500" s="10" t="s">
        <v>676</v>
      </c>
      <c r="F500" s="10" t="s">
        <v>615</v>
      </c>
      <c r="G500" s="43" t="s">
        <v>616</v>
      </c>
      <c r="I500" s="20"/>
      <c r="J500" s="200"/>
      <c r="K500" s="200"/>
      <c r="L500" s="200"/>
      <c r="M500" s="200"/>
      <c r="N500" s="200">
        <v>1.26E-2</v>
      </c>
      <c r="O500" s="226">
        <f t="shared" si="127"/>
        <v>1.2354437143654813E-2</v>
      </c>
      <c r="P500" s="226">
        <f t="shared" si="127"/>
        <v>1.2113660090199818E-2</v>
      </c>
      <c r="Q500" s="226">
        <f t="shared" si="127"/>
        <v>1.187757556856933E-2</v>
      </c>
      <c r="R500" s="226">
        <f t="shared" si="127"/>
        <v>1.1646092125468244E-2</v>
      </c>
      <c r="S500" s="226">
        <f t="shared" si="127"/>
        <v>1.1419120089945294E-2</v>
      </c>
      <c r="T500" s="226">
        <f t="shared" si="127"/>
        <v>1.1196571538656748E-2</v>
      </c>
      <c r="U500" s="226">
        <f t="shared" si="127"/>
        <v>1.0978360261807084E-2</v>
      </c>
      <c r="V500" s="226">
        <f t="shared" si="127"/>
        <v>1.0764401729753447E-2</v>
      </c>
      <c r="W500" s="226">
        <f t="shared" si="127"/>
        <v>1.055461306026096E-2</v>
      </c>
      <c r="X500" s="226">
        <f t="shared" si="127"/>
        <v>1.0348912986396208E-2</v>
      </c>
      <c r="Y500" s="226">
        <f t="shared" si="127"/>
        <v>1.0147221825046427E-2</v>
      </c>
      <c r="Z500" s="226">
        <f t="shared" si="127"/>
        <v>9.9494614460522504E-3</v>
      </c>
      <c r="AA500" s="226">
        <f t="shared" si="127"/>
        <v>9.7555552419420211E-3</v>
      </c>
      <c r="AB500" s="226">
        <f t="shared" si="127"/>
        <v>9.5654280982559459E-3</v>
      </c>
      <c r="AC500" s="226">
        <f t="shared" si="127"/>
        <v>9.3790063644486263E-3</v>
      </c>
      <c r="AD500" s="226">
        <f t="shared" si="127"/>
        <v>9.1962178253586508E-3</v>
      </c>
      <c r="AE500" s="226">
        <f t="shared" si="125"/>
        <v>9.0169916732342394E-3</v>
      </c>
      <c r="AF500" s="226">
        <f t="shared" si="125"/>
        <v>8.8412584803040685E-3</v>
      </c>
      <c r="AG500" s="226">
        <f t="shared" si="125"/>
        <v>8.6689501718826747E-3</v>
      </c>
      <c r="AH500" s="227">
        <v>8.5000000000000006E-3</v>
      </c>
      <c r="AI500" s="226">
        <f t="shared" si="128"/>
        <v>8.3343425175449147E-3</v>
      </c>
      <c r="AJ500" s="226">
        <f t="shared" si="128"/>
        <v>8.1719135529125762E-3</v>
      </c>
      <c r="AK500" s="226">
        <f t="shared" si="128"/>
        <v>8.0126501851459763E-3</v>
      </c>
      <c r="AL500" s="226">
        <f t="shared" si="128"/>
        <v>7.8564907195619108E-3</v>
      </c>
      <c r="AM500" s="226">
        <f t="shared" si="128"/>
        <v>7.7033746638519845E-3</v>
      </c>
      <c r="AN500" s="226">
        <f t="shared" si="128"/>
        <v>7.5532427046493943E-3</v>
      </c>
      <c r="AO500" s="226">
        <f t="shared" si="128"/>
        <v>7.4060366845523987E-3</v>
      </c>
      <c r="AP500" s="226">
        <f t="shared" si="128"/>
        <v>7.2616995795955798E-3</v>
      </c>
      <c r="AQ500" s="226">
        <f t="shared" si="128"/>
        <v>7.1201754771601728E-3</v>
      </c>
      <c r="AR500" s="226">
        <f t="shared" si="128"/>
        <v>6.9814095543149031E-3</v>
      </c>
      <c r="AS500" s="226">
        <f t="shared" si="128"/>
        <v>6.8453480565789397E-3</v>
      </c>
      <c r="AT500" s="226">
        <f t="shared" si="128"/>
        <v>6.7119382770987413E-3</v>
      </c>
      <c r="AU500" s="226">
        <f t="shared" si="128"/>
        <v>6.5811285362307285E-3</v>
      </c>
      <c r="AV500" s="226">
        <f t="shared" si="128"/>
        <v>6.4528681615218684E-3</v>
      </c>
      <c r="AW500" s="226">
        <f t="shared" si="128"/>
        <v>6.3271074680804219E-3</v>
      </c>
      <c r="AX500" s="226">
        <f t="shared" si="128"/>
        <v>6.2037977393292485E-3</v>
      </c>
      <c r="AY500" s="226">
        <f t="shared" si="126"/>
        <v>6.0828912081342086E-3</v>
      </c>
      <c r="AZ500" s="226">
        <f t="shared" si="126"/>
        <v>5.9643410383003626E-3</v>
      </c>
      <c r="BA500" s="226">
        <f t="shared" si="126"/>
        <v>5.8481013064287874E-3</v>
      </c>
      <c r="BB500" s="226">
        <f t="shared" si="126"/>
        <v>5.7341269841269882E-3</v>
      </c>
      <c r="BC500" s="226">
        <f t="shared" si="126"/>
        <v>5.6223739205660175E-3</v>
      </c>
      <c r="BD500" s="226">
        <f t="shared" si="126"/>
        <v>5.5127988253775356E-3</v>
      </c>
      <c r="BE500" s="226">
        <f t="shared" si="126"/>
        <v>5.4053592518841943E-3</v>
      </c>
    </row>
    <row r="501" spans="2:57" s="10" customFormat="1" x14ac:dyDescent="0.35">
      <c r="B501" s="13"/>
      <c r="D501" s="169"/>
      <c r="E501" s="10" t="s">
        <v>677</v>
      </c>
      <c r="F501" s="10" t="s">
        <v>615</v>
      </c>
      <c r="G501" s="43" t="s">
        <v>616</v>
      </c>
      <c r="I501" s="20"/>
      <c r="J501" s="200"/>
      <c r="K501" s="200"/>
      <c r="L501" s="200"/>
      <c r="M501" s="200"/>
      <c r="N501" s="200">
        <v>1.2800000000000001E-2</v>
      </c>
      <c r="O501" s="226">
        <f t="shared" si="127"/>
        <v>1.2555251994596438E-2</v>
      </c>
      <c r="P501" s="226">
        <f t="shared" si="127"/>
        <v>1.2315183800610769E-2</v>
      </c>
      <c r="Q501" s="226">
        <f t="shared" si="127"/>
        <v>1.2079705935659383E-2</v>
      </c>
      <c r="R501" s="226">
        <f t="shared" si="127"/>
        <v>1.1848730628345773E-2</v>
      </c>
      <c r="S501" s="226">
        <f t="shared" si="127"/>
        <v>1.1622171785544857E-2</v>
      </c>
      <c r="T501" s="226">
        <f t="shared" si="127"/>
        <v>1.1399944960312852E-2</v>
      </c>
      <c r="U501" s="226">
        <f t="shared" si="127"/>
        <v>1.1181967320410746E-2</v>
      </c>
      <c r="V501" s="226">
        <f t="shared" si="127"/>
        <v>1.0968157617429626E-2</v>
      </c>
      <c r="W501" s="226">
        <f t="shared" si="127"/>
        <v>1.0758436156506361E-2</v>
      </c>
      <c r="X501" s="226">
        <f t="shared" si="127"/>
        <v>1.0552724766618353E-2</v>
      </c>
      <c r="Y501" s="226">
        <f t="shared" si="127"/>
        <v>1.0350946771446275E-2</v>
      </c>
      <c r="Z501" s="226">
        <f t="shared" si="127"/>
        <v>1.0153026960793936E-2</v>
      </c>
      <c r="AA501" s="226">
        <f t="shared" si="127"/>
        <v>9.9588915625546462E-3</v>
      </c>
      <c r="AB501" s="226">
        <f t="shared" si="127"/>
        <v>9.768468215213582E-3</v>
      </c>
      <c r="AC501" s="226">
        <f t="shared" si="127"/>
        <v>9.5816859408759548E-3</v>
      </c>
      <c r="AD501" s="226">
        <f t="shared" si="127"/>
        <v>9.3984751188108968E-3</v>
      </c>
      <c r="AE501" s="226">
        <f t="shared" si="125"/>
        <v>9.2187674595012106E-3</v>
      </c>
      <c r="AF501" s="226">
        <f t="shared" si="125"/>
        <v>9.042495979189321E-3</v>
      </c>
      <c r="AG501" s="226">
        <f t="shared" si="125"/>
        <v>8.8695949749099216E-3</v>
      </c>
      <c r="AH501" s="227">
        <v>8.6999999999999994E-3</v>
      </c>
      <c r="AI501" s="226">
        <f t="shared" si="128"/>
        <v>8.5336478400772665E-3</v>
      </c>
      <c r="AJ501" s="226">
        <f t="shared" si="128"/>
        <v>8.370476489477632E-3</v>
      </c>
      <c r="AK501" s="226">
        <f t="shared" si="128"/>
        <v>8.2104251281434858E-3</v>
      </c>
      <c r="AL501" s="226">
        <f t="shared" si="128"/>
        <v>8.053434098953767E-3</v>
      </c>
      <c r="AM501" s="226">
        <f t="shared" si="128"/>
        <v>7.8994448854875186E-3</v>
      </c>
      <c r="AN501" s="226">
        <f t="shared" si="128"/>
        <v>7.7484000902126402E-3</v>
      </c>
      <c r="AO501" s="226">
        <f t="shared" si="128"/>
        <v>7.6002434130916776E-3</v>
      </c>
      <c r="AP501" s="226">
        <f t="shared" si="128"/>
        <v>7.4549196305966972E-3</v>
      </c>
      <c r="AQ501" s="226">
        <f t="shared" si="128"/>
        <v>7.312374575125416E-3</v>
      </c>
      <c r="AR501" s="226">
        <f t="shared" si="128"/>
        <v>7.1725551148109105E-3</v>
      </c>
      <c r="AS501" s="226">
        <f t="shared" si="128"/>
        <v>7.0354091337173881E-3</v>
      </c>
      <c r="AT501" s="226">
        <f t="shared" si="128"/>
        <v>6.9008855124146279E-3</v>
      </c>
      <c r="AU501" s="226">
        <f t="shared" si="128"/>
        <v>6.7689341089238611E-3</v>
      </c>
      <c r="AV501" s="226">
        <f t="shared" si="128"/>
        <v>6.639505740027982E-3</v>
      </c>
      <c r="AW501" s="226">
        <f t="shared" si="128"/>
        <v>6.5125521629391262E-3</v>
      </c>
      <c r="AX501" s="226">
        <f t="shared" si="128"/>
        <v>6.3880260573167822E-3</v>
      </c>
      <c r="AY501" s="226">
        <f t="shared" si="126"/>
        <v>6.2658810076297302E-3</v>
      </c>
      <c r="AZ501" s="226">
        <f t="shared" si="126"/>
        <v>6.1460714858552427E-3</v>
      </c>
      <c r="BA501" s="226">
        <f t="shared" si="126"/>
        <v>6.0285528345090881E-3</v>
      </c>
      <c r="BB501" s="226">
        <f t="shared" si="126"/>
        <v>5.9132812500000183E-3</v>
      </c>
      <c r="BC501" s="226">
        <f t="shared" si="126"/>
        <v>5.8002137663025347E-3</v>
      </c>
      <c r="BD501" s="226">
        <f t="shared" si="126"/>
        <v>5.6893082389418452E-3</v>
      </c>
      <c r="BE501" s="226">
        <f t="shared" si="126"/>
        <v>5.5805233292850432E-3</v>
      </c>
    </row>
    <row r="502" spans="2:57" s="10" customFormat="1" x14ac:dyDescent="0.35">
      <c r="B502" s="13"/>
      <c r="D502" s="169"/>
      <c r="E502" s="10" t="s">
        <v>678</v>
      </c>
      <c r="F502" s="10" t="s">
        <v>615</v>
      </c>
      <c r="G502" s="43" t="s">
        <v>616</v>
      </c>
      <c r="I502" s="20"/>
      <c r="J502" s="200"/>
      <c r="K502" s="200"/>
      <c r="L502" s="200"/>
      <c r="M502" s="200"/>
      <c r="N502" s="200">
        <v>1.2699999999999999E-2</v>
      </c>
      <c r="O502" s="226">
        <f t="shared" si="127"/>
        <v>1.2462050233828993E-2</v>
      </c>
      <c r="P502" s="226">
        <f t="shared" si="127"/>
        <v>1.2228558742557266E-2</v>
      </c>
      <c r="Q502" s="226">
        <f t="shared" si="127"/>
        <v>1.1999441995045462E-2</v>
      </c>
      <c r="R502" s="226">
        <f t="shared" si="127"/>
        <v>1.1774618025210532E-2</v>
      </c>
      <c r="S502" s="226">
        <f t="shared" si="127"/>
        <v>1.1554006402702519E-2</v>
      </c>
      <c r="T502" s="226">
        <f t="shared" si="127"/>
        <v>1.1337528204130757E-2</v>
      </c>
      <c r="U502" s="226">
        <f t="shared" si="127"/>
        <v>1.1125105984829175E-2</v>
      </c>
      <c r="V502" s="226">
        <f t="shared" si="127"/>
        <v>1.0916663751150611E-2</v>
      </c>
      <c r="W502" s="226">
        <f t="shared" si="127"/>
        <v>1.0712126933280233E-2</v>
      </c>
      <c r="X502" s="226">
        <f t="shared" si="127"/>
        <v>1.051142235855833E-2</v>
      </c>
      <c r="Y502" s="226">
        <f t="shared" si="127"/>
        <v>1.0314478225302926E-2</v>
      </c>
      <c r="Z502" s="226">
        <f t="shared" si="127"/>
        <v>1.0121224077122865E-2</v>
      </c>
      <c r="AA502" s="226">
        <f t="shared" si="127"/>
        <v>9.9315907777121765E-3</v>
      </c>
      <c r="AB502" s="226">
        <f t="shared" si="127"/>
        <v>9.7455104861166857E-3</v>
      </c>
      <c r="AC502" s="226">
        <f t="shared" si="127"/>
        <v>9.5629166324640441E-3</v>
      </c>
      <c r="AD502" s="226">
        <f t="shared" si="127"/>
        <v>9.3837438941484809E-3</v>
      </c>
      <c r="AE502" s="226">
        <f t="shared" si="125"/>
        <v>9.2079281724617695E-3</v>
      </c>
      <c r="AF502" s="226">
        <f t="shared" si="125"/>
        <v>9.0354065696620287E-3</v>
      </c>
      <c r="AG502" s="226">
        <f t="shared" si="125"/>
        <v>8.8661173664721822E-3</v>
      </c>
      <c r="AH502" s="227">
        <v>8.6999999999999994E-3</v>
      </c>
      <c r="AI502" s="226">
        <f t="shared" si="128"/>
        <v>8.5369950420718307E-3</v>
      </c>
      <c r="AJ502" s="226">
        <f t="shared" si="128"/>
        <v>8.3770441779723002E-3</v>
      </c>
      <c r="AK502" s="226">
        <f t="shared" si="128"/>
        <v>8.2200901855823249E-3</v>
      </c>
      <c r="AL502" s="226">
        <f t="shared" si="128"/>
        <v>8.0660769149080019E-3</v>
      </c>
      <c r="AM502" s="226">
        <f t="shared" si="128"/>
        <v>7.9149492679930645E-3</v>
      </c>
      <c r="AN502" s="226">
        <f t="shared" si="128"/>
        <v>7.7666531792076844E-3</v>
      </c>
      <c r="AO502" s="226">
        <f t="shared" si="128"/>
        <v>7.6211355959066003E-3</v>
      </c>
      <c r="AP502" s="226">
        <f t="shared" si="128"/>
        <v>7.4783444594496316E-3</v>
      </c>
      <c r="AQ502" s="226">
        <f t="shared" si="128"/>
        <v>7.3382286865777985E-3</v>
      </c>
      <c r="AR502" s="226">
        <f t="shared" si="128"/>
        <v>7.2007381511383847E-3</v>
      </c>
      <c r="AS502" s="226">
        <f t="shared" si="128"/>
        <v>7.0658236661523986E-3</v>
      </c>
      <c r="AT502" s="226">
        <f t="shared" si="128"/>
        <v>6.9334369662180269E-3</v>
      </c>
      <c r="AU502" s="226">
        <f t="shared" si="128"/>
        <v>6.8035306902437757E-3</v>
      </c>
      <c r="AV502" s="226">
        <f t="shared" si="128"/>
        <v>6.6760583645051321E-3</v>
      </c>
      <c r="AW502" s="226">
        <f t="shared" si="128"/>
        <v>6.5509743860186764E-3</v>
      </c>
      <c r="AX502" s="226">
        <f t="shared" si="128"/>
        <v>6.4282340062277003E-3</v>
      </c>
      <c r="AY502" s="226">
        <f t="shared" si="126"/>
        <v>6.3077933149934965E-3</v>
      </c>
      <c r="AZ502" s="226">
        <f t="shared" si="126"/>
        <v>6.1896092248865881E-3</v>
      </c>
      <c r="BA502" s="226">
        <f t="shared" si="126"/>
        <v>6.0736394557722841E-3</v>
      </c>
      <c r="BB502" s="226">
        <f t="shared" si="126"/>
        <v>5.9598425196850388E-3</v>
      </c>
      <c r="BC502" s="226">
        <f t="shared" si="126"/>
        <v>5.8481777059862143E-3</v>
      </c>
      <c r="BD502" s="226">
        <f t="shared" si="126"/>
        <v>5.7386050667999223E-3</v>
      </c>
      <c r="BE502" s="226">
        <f t="shared" si="126"/>
        <v>5.6310854027217493E-3</v>
      </c>
    </row>
    <row r="503" spans="2:57" s="10" customFormat="1" x14ac:dyDescent="0.35">
      <c r="B503" s="13"/>
      <c r="D503" s="169"/>
      <c r="E503" s="10" t="s">
        <v>679</v>
      </c>
      <c r="F503" s="10" t="s">
        <v>615</v>
      </c>
      <c r="G503" s="43" t="s">
        <v>616</v>
      </c>
      <c r="I503" s="20"/>
      <c r="J503" s="200"/>
      <c r="K503" s="200"/>
      <c r="L503" s="200"/>
      <c r="M503" s="200"/>
      <c r="N503" s="200">
        <v>1.2500000000000001E-2</v>
      </c>
      <c r="O503" s="226">
        <f t="shared" si="127"/>
        <v>1.2275536302724994E-2</v>
      </c>
      <c r="P503" s="226">
        <f t="shared" si="127"/>
        <v>1.2055103321561537E-2</v>
      </c>
      <c r="Q503" s="226">
        <f t="shared" si="127"/>
        <v>1.1838628676554344E-2</v>
      </c>
      <c r="R503" s="226">
        <f t="shared" si="127"/>
        <v>1.1626041287481919E-2</v>
      </c>
      <c r="S503" s="226">
        <f t="shared" si="127"/>
        <v>1.1417271350517113E-2</v>
      </c>
      <c r="T503" s="226">
        <f t="shared" si="127"/>
        <v>1.1212250315306786E-2</v>
      </c>
      <c r="U503" s="226">
        <f t="shared" si="127"/>
        <v>1.1010910862463056E-2</v>
      </c>
      <c r="V503" s="226">
        <f t="shared" si="127"/>
        <v>1.0813186881458737E-2</v>
      </c>
      <c r="W503" s="226">
        <f t="shared" si="127"/>
        <v>1.061901344891971E-2</v>
      </c>
      <c r="X503" s="226">
        <f t="shared" si="127"/>
        <v>1.0428326807307106E-2</v>
      </c>
      <c r="Y503" s="226">
        <f t="shared" si="127"/>
        <v>1.0241064343982288E-2</v>
      </c>
      <c r="Z503" s="226">
        <f t="shared" si="127"/>
        <v>1.0057164570647767E-2</v>
      </c>
      <c r="AA503" s="226">
        <f t="shared" si="127"/>
        <v>9.8765671031573032E-3</v>
      </c>
      <c r="AB503" s="226">
        <f t="shared" si="127"/>
        <v>9.6992126416885517E-3</v>
      </c>
      <c r="AC503" s="226">
        <f t="shared" si="127"/>
        <v>9.5250429512717602E-3</v>
      </c>
      <c r="AD503" s="226">
        <f t="shared" si="127"/>
        <v>9.3540008426681032E-3</v>
      </c>
      <c r="AE503" s="226">
        <f t="shared" si="125"/>
        <v>9.1860301535913978E-3</v>
      </c>
      <c r="AF503" s="226">
        <f t="shared" si="125"/>
        <v>9.0210757302670117E-3</v>
      </c>
      <c r="AG503" s="226">
        <f t="shared" si="125"/>
        <v>8.8590834093219255E-3</v>
      </c>
      <c r="AH503" s="227">
        <v>8.6999999999999994E-3</v>
      </c>
      <c r="AI503" s="226">
        <f t="shared" si="128"/>
        <v>8.5437732666965947E-3</v>
      </c>
      <c r="AJ503" s="226">
        <f t="shared" si="128"/>
        <v>8.3903519118068287E-3</v>
      </c>
      <c r="AK503" s="226">
        <f t="shared" si="128"/>
        <v>8.2396855588818228E-3</v>
      </c>
      <c r="AL503" s="226">
        <f t="shared" si="128"/>
        <v>8.0917247360874148E-3</v>
      </c>
      <c r="AM503" s="226">
        <f t="shared" si="128"/>
        <v>7.9464208599599098E-3</v>
      </c>
      <c r="AN503" s="226">
        <f t="shared" si="128"/>
        <v>7.8037262194535226E-3</v>
      </c>
      <c r="AO503" s="226">
        <f t="shared" si="128"/>
        <v>7.663593960274287E-3</v>
      </c>
      <c r="AP503" s="226">
        <f t="shared" si="128"/>
        <v>7.5259780694952811E-3</v>
      </c>
      <c r="AQ503" s="226">
        <f t="shared" si="128"/>
        <v>7.3908333604481187E-3</v>
      </c>
      <c r="AR503" s="226">
        <f t="shared" si="128"/>
        <v>7.2581154578857466E-3</v>
      </c>
      <c r="AS503" s="226">
        <f t="shared" si="128"/>
        <v>7.1277807834116734E-3</v>
      </c>
      <c r="AT503" s="226">
        <f t="shared" si="128"/>
        <v>6.9997865411708469E-3</v>
      </c>
      <c r="AU503" s="226">
        <f t="shared" si="128"/>
        <v>6.8740907037974832E-3</v>
      </c>
      <c r="AV503" s="226">
        <f t="shared" si="128"/>
        <v>6.750651998615232E-3</v>
      </c>
      <c r="AW503" s="226">
        <f t="shared" si="128"/>
        <v>6.6294298940851445E-3</v>
      </c>
      <c r="AX503" s="226">
        <f t="shared" si="128"/>
        <v>6.5103845864969995E-3</v>
      </c>
      <c r="AY503" s="226">
        <f t="shared" si="126"/>
        <v>6.3934769868996127E-3</v>
      </c>
      <c r="AZ503" s="226">
        <f t="shared" si="126"/>
        <v>6.2786687082658403E-3</v>
      </c>
      <c r="BA503" s="226">
        <f t="shared" si="126"/>
        <v>6.165922052888061E-3</v>
      </c>
      <c r="BB503" s="226">
        <f t="shared" si="126"/>
        <v>6.055200000000001E-3</v>
      </c>
      <c r="BC503" s="226">
        <f t="shared" si="126"/>
        <v>5.9464661936208313E-3</v>
      </c>
      <c r="BD503" s="226">
        <f t="shared" si="126"/>
        <v>5.8396849306175539E-3</v>
      </c>
      <c r="BE503" s="226">
        <f t="shared" si="126"/>
        <v>5.734821148981749E-3</v>
      </c>
    </row>
    <row r="504" spans="2:57" s="10" customFormat="1" x14ac:dyDescent="0.35">
      <c r="B504" s="13"/>
      <c r="D504" s="169"/>
      <c r="E504" s="10" t="s">
        <v>680</v>
      </c>
      <c r="F504" s="10" t="s">
        <v>615</v>
      </c>
      <c r="G504" s="43" t="s">
        <v>616</v>
      </c>
      <c r="I504" s="20"/>
      <c r="J504" s="200"/>
      <c r="K504" s="200"/>
      <c r="L504" s="200"/>
      <c r="M504" s="200"/>
      <c r="N504" s="200">
        <v>1.24E-2</v>
      </c>
      <c r="O504" s="226">
        <f t="shared" si="127"/>
        <v>1.2182223515549165E-2</v>
      </c>
      <c r="P504" s="226">
        <f t="shared" si="127"/>
        <v>1.1968271756677343E-2</v>
      </c>
      <c r="Q504" s="226">
        <f t="shared" si="127"/>
        <v>1.1758077551183681E-2</v>
      </c>
      <c r="R504" s="226">
        <f t="shared" si="127"/>
        <v>1.1551574906587142E-2</v>
      </c>
      <c r="S504" s="226">
        <f t="shared" si="127"/>
        <v>1.1348698989407543E-2</v>
      </c>
      <c r="T504" s="226">
        <f t="shared" si="127"/>
        <v>1.1149386104810453E-2</v>
      </c>
      <c r="U504" s="226">
        <f t="shared" si="127"/>
        <v>1.0953573676609598E-2</v>
      </c>
      <c r="V504" s="226">
        <f t="shared" si="127"/>
        <v>1.0761200227620464E-2</v>
      </c>
      <c r="W504" s="226">
        <f t="shared" si="127"/>
        <v>1.0572205360358956E-2</v>
      </c>
      <c r="X504" s="226">
        <f t="shared" si="127"/>
        <v>1.0386529738079017E-2</v>
      </c>
      <c r="Y504" s="226">
        <f t="shared" si="127"/>
        <v>1.0204115066143299E-2</v>
      </c>
      <c r="Z504" s="226">
        <f t="shared" si="127"/>
        <v>1.0024904073721001E-2</v>
      </c>
      <c r="AA504" s="226">
        <f t="shared" si="127"/>
        <v>9.8488404958071447E-3</v>
      </c>
      <c r="AB504" s="226">
        <f t="shared" si="127"/>
        <v>9.6758690555576368E-3</v>
      </c>
      <c r="AC504" s="226">
        <f t="shared" si="127"/>
        <v>9.5059354469345745E-3</v>
      </c>
      <c r="AD504" s="226">
        <f t="shared" ref="AD504:AG506" si="129">AC504*(1+($AH504/$N504)^(1/($AH$6-$N$6))-1)</f>
        <v>9.3389863176563497E-3</v>
      </c>
      <c r="AE504" s="226">
        <f t="shared" si="129"/>
        <v>9.1749692524471845E-3</v>
      </c>
      <c r="AF504" s="226">
        <f t="shared" si="129"/>
        <v>9.0138327565808581E-3</v>
      </c>
      <c r="AG504" s="226">
        <f t="shared" si="129"/>
        <v>8.8555262397134425E-3</v>
      </c>
      <c r="AH504" s="227">
        <v>8.6999999999999994E-3</v>
      </c>
      <c r="AI504" s="226">
        <f t="shared" si="128"/>
        <v>8.5472052084901388E-3</v>
      </c>
      <c r="AJ504" s="226">
        <f t="shared" si="128"/>
        <v>8.3970938937978114E-3</v>
      </c>
      <c r="AK504" s="226">
        <f t="shared" si="128"/>
        <v>8.2496189270401619E-3</v>
      </c>
      <c r="AL504" s="226">
        <f t="shared" si="128"/>
        <v>8.1047340070409778E-3</v>
      </c>
      <c r="AM504" s="226">
        <f t="shared" si="128"/>
        <v>7.9623936457940015E-3</v>
      </c>
      <c r="AN504" s="226">
        <f t="shared" si="128"/>
        <v>7.8225531541815264E-3</v>
      </c>
      <c r="AO504" s="226">
        <f t="shared" si="128"/>
        <v>7.6851686279438289E-3</v>
      </c>
      <c r="AP504" s="226">
        <f t="shared" si="128"/>
        <v>7.5501969338950016E-3</v>
      </c>
      <c r="AQ504" s="226">
        <f t="shared" si="128"/>
        <v>7.4175956963808782E-3</v>
      </c>
      <c r="AR504" s="226">
        <f t="shared" si="128"/>
        <v>7.2873232839747917E-3</v>
      </c>
      <c r="AS504" s="226">
        <f t="shared" si="128"/>
        <v>7.1593387964069893E-3</v>
      </c>
      <c r="AT504" s="226">
        <f t="shared" si="128"/>
        <v>7.0336020517236027E-3</v>
      </c>
      <c r="AU504" s="226">
        <f t="shared" si="128"/>
        <v>6.9100735736711393E-3</v>
      </c>
      <c r="AV504" s="226">
        <f t="shared" si="128"/>
        <v>6.7887145793025325E-3</v>
      </c>
      <c r="AW504" s="226">
        <f t="shared" si="128"/>
        <v>6.6694869668008682E-3</v>
      </c>
      <c r="AX504" s="226">
        <f t="shared" ref="AX504:BE506" si="130">AW504*(1+($AH504/$N504)^(1/($AH$6-$N$6))-1)</f>
        <v>6.5523533035169524E-3</v>
      </c>
      <c r="AY504" s="226">
        <f t="shared" si="130"/>
        <v>6.4372768142169738E-3</v>
      </c>
      <c r="AZ504" s="226">
        <f t="shared" si="130"/>
        <v>6.3242213695365668E-3</v>
      </c>
      <c r="BA504" s="226">
        <f t="shared" si="130"/>
        <v>6.2131514746376539E-3</v>
      </c>
      <c r="BB504" s="226">
        <f t="shared" si="130"/>
        <v>6.1040322580645E-3</v>
      </c>
      <c r="BC504" s="226">
        <f t="shared" si="130"/>
        <v>5.9968294607954855E-3</v>
      </c>
      <c r="BD504" s="226">
        <f t="shared" si="130"/>
        <v>5.8915094254871599E-3</v>
      </c>
      <c r="BE504" s="226">
        <f t="shared" si="130"/>
        <v>5.7880390859071955E-3</v>
      </c>
    </row>
    <row r="505" spans="2:57" s="10" customFormat="1" x14ac:dyDescent="0.35">
      <c r="B505" s="13"/>
      <c r="E505" s="10" t="s">
        <v>681</v>
      </c>
      <c r="F505" s="10" t="s">
        <v>615</v>
      </c>
      <c r="G505" s="43" t="s">
        <v>616</v>
      </c>
      <c r="I505" s="20"/>
      <c r="J505" s="200"/>
      <c r="K505" s="200"/>
      <c r="L505" s="200"/>
      <c r="M505" s="200"/>
      <c r="N505" s="200">
        <v>1.23E-2</v>
      </c>
      <c r="O505" s="226">
        <f t="shared" ref="O505:AD506" si="131">N505*(1+($AH505/$N505)^(1/($AH$6-$N$6))-1)</f>
        <v>1.2095783071029091E-2</v>
      </c>
      <c r="P505" s="226">
        <f t="shared" si="131"/>
        <v>1.1894956756210889E-2</v>
      </c>
      <c r="Q505" s="226">
        <f t="shared" si="131"/>
        <v>1.1697464761170633E-2</v>
      </c>
      <c r="R505" s="226">
        <f t="shared" si="131"/>
        <v>1.1503251726189195E-2</v>
      </c>
      <c r="S505" s="226">
        <f t="shared" si="131"/>
        <v>1.1312263210684993E-2</v>
      </c>
      <c r="T505" s="226">
        <f t="shared" si="131"/>
        <v>1.1124445677953555E-2</v>
      </c>
      <c r="U505" s="226">
        <f t="shared" si="131"/>
        <v>1.0939746480160434E-2</v>
      </c>
      <c r="V505" s="226">
        <f t="shared" si="131"/>
        <v>1.0758113843583305E-2</v>
      </c>
      <c r="W505" s="226">
        <f t="shared" si="131"/>
        <v>1.0579496854099077E-2</v>
      </c>
      <c r="X505" s="226">
        <f t="shared" si="131"/>
        <v>1.0403845442911962E-2</v>
      </c>
      <c r="Y505" s="226">
        <f t="shared" si="131"/>
        <v>1.0231110372518509E-2</v>
      </c>
      <c r="Z505" s="226">
        <f t="shared" si="131"/>
        <v>1.0061243222905651E-2</v>
      </c>
      <c r="AA505" s="226">
        <f t="shared" si="131"/>
        <v>9.8941963779779138E-3</v>
      </c>
      <c r="AB505" s="226">
        <f t="shared" si="131"/>
        <v>9.7299230122099671E-3</v>
      </c>
      <c r="AC505" s="226">
        <f t="shared" si="131"/>
        <v>9.5683770775207878E-3</v>
      </c>
      <c r="AD505" s="226">
        <f t="shared" si="131"/>
        <v>9.4095132903657518E-3</v>
      </c>
      <c r="AE505" s="226">
        <f t="shared" si="129"/>
        <v>9.2532871190430313E-3</v>
      </c>
      <c r="AF505" s="226">
        <f t="shared" si="129"/>
        <v>9.0996547712107519E-3</v>
      </c>
      <c r="AG505" s="226">
        <f t="shared" si="129"/>
        <v>8.9485731816113905E-3</v>
      </c>
      <c r="AH505" s="227">
        <v>8.8000000000000005E-3</v>
      </c>
      <c r="AI505" s="226">
        <f t="shared" ref="AI505:AX506" si="132">AH505*(1+($AH505/$N505)^(1/($AH$6-$N$6))-1)</f>
        <v>8.653893579272846E-3</v>
      </c>
      <c r="AJ505" s="226">
        <f t="shared" si="132"/>
        <v>8.5102129637931578E-3</v>
      </c>
      <c r="AK505" s="226">
        <f t="shared" si="132"/>
        <v>8.3689178779106973E-3</v>
      </c>
      <c r="AL505" s="226">
        <f t="shared" si="132"/>
        <v>8.2299687146719439E-3</v>
      </c>
      <c r="AM505" s="226">
        <f t="shared" si="132"/>
        <v>8.0933265247177186E-3</v>
      </c>
      <c r="AN505" s="226">
        <f t="shared" si="132"/>
        <v>7.9589530053651453E-3</v>
      </c>
      <c r="AO505" s="226">
        <f t="shared" si="132"/>
        <v>7.82681048987088E-3</v>
      </c>
      <c r="AP505" s="226">
        <f t="shared" si="132"/>
        <v>7.6968619368726092E-3</v>
      </c>
      <c r="AQ505" s="226">
        <f t="shared" si="132"/>
        <v>7.5690709200058439E-3</v>
      </c>
      <c r="AR505" s="226">
        <f t="shared" si="132"/>
        <v>7.4434016176931116E-3</v>
      </c>
      <c r="AS505" s="226">
        <f t="shared" si="132"/>
        <v>7.3198188031026734E-3</v>
      </c>
      <c r="AT505" s="226">
        <f t="shared" si="132"/>
        <v>7.1982878342739627E-3</v>
      </c>
      <c r="AU505" s="226">
        <f t="shared" si="132"/>
        <v>7.0787746444069639E-3</v>
      </c>
      <c r="AV505" s="226">
        <f t="shared" si="132"/>
        <v>6.9612457323128228E-3</v>
      </c>
      <c r="AW505" s="226">
        <f t="shared" si="132"/>
        <v>6.8456681530230041E-3</v>
      </c>
      <c r="AX505" s="226">
        <f t="shared" si="132"/>
        <v>6.7320095085543607E-3</v>
      </c>
      <c r="AY505" s="226">
        <f t="shared" si="130"/>
        <v>6.6202379388275367E-3</v>
      </c>
      <c r="AZ505" s="226">
        <f t="shared" si="130"/>
        <v>6.5103221127361492E-3</v>
      </c>
      <c r="BA505" s="226">
        <f t="shared" si="130"/>
        <v>6.4022312193642485E-3</v>
      </c>
      <c r="BB505" s="226">
        <f t="shared" si="130"/>
        <v>6.2959349593495941E-3</v>
      </c>
      <c r="BC505" s="226">
        <f t="shared" si="130"/>
        <v>6.1914035363903287E-3</v>
      </c>
      <c r="BD505" s="226">
        <f t="shared" si="130"/>
        <v>6.0886076488926655E-3</v>
      </c>
      <c r="BE505" s="226">
        <f t="shared" si="130"/>
        <v>5.9875184817572468E-3</v>
      </c>
    </row>
    <row r="506" spans="2:57" s="10" customFormat="1" x14ac:dyDescent="0.35">
      <c r="B506" s="13"/>
      <c r="E506" s="10" t="s">
        <v>682</v>
      </c>
      <c r="F506" s="10" t="s">
        <v>615</v>
      </c>
      <c r="G506" s="43" t="s">
        <v>616</v>
      </c>
      <c r="I506" s="20"/>
      <c r="J506" s="200"/>
      <c r="K506" s="200"/>
      <c r="L506" s="200"/>
      <c r="M506" s="200"/>
      <c r="N506" s="200">
        <v>1.2200000000000001E-2</v>
      </c>
      <c r="O506" s="226">
        <f t="shared" si="131"/>
        <v>1.2002341313638023E-2</v>
      </c>
      <c r="P506" s="226">
        <f t="shared" si="131"/>
        <v>1.1807885000742795E-2</v>
      </c>
      <c r="Q506" s="226">
        <f t="shared" si="131"/>
        <v>1.1616579177959179E-2</v>
      </c>
      <c r="R506" s="226">
        <f t="shared" si="131"/>
        <v>1.1428372802521859E-2</v>
      </c>
      <c r="S506" s="226">
        <f t="shared" si="131"/>
        <v>1.1243215658636497E-2</v>
      </c>
      <c r="T506" s="226">
        <f t="shared" si="131"/>
        <v>1.1061058344081538E-2</v>
      </c>
      <c r="U506" s="226">
        <f t="shared" si="131"/>
        <v>1.0881852257027085E-2</v>
      </c>
      <c r="V506" s="226">
        <f t="shared" si="131"/>
        <v>1.0705549583067324E-2</v>
      </c>
      <c r="W506" s="226">
        <f t="shared" si="131"/>
        <v>1.0532103282463054E-2</v>
      </c>
      <c r="X506" s="226">
        <f t="shared" si="131"/>
        <v>1.0361467077590896E-2</v>
      </c>
      <c r="Y506" s="226">
        <f t="shared" si="131"/>
        <v>1.0193595440595856E-2</v>
      </c>
      <c r="Z506" s="226">
        <f t="shared" si="131"/>
        <v>1.0028443581243921E-2</v>
      </c>
      <c r="AA506" s="226">
        <f t="shared" si="131"/>
        <v>9.8659674349714718E-3</v>
      </c>
      <c r="AB506" s="226">
        <f t="shared" si="131"/>
        <v>9.706123651128315E-3</v>
      </c>
      <c r="AC506" s="226">
        <f t="shared" si="131"/>
        <v>9.5488695814111898E-3</v>
      </c>
      <c r="AD506" s="226">
        <f t="shared" si="131"/>
        <v>9.3941632684846673E-3</v>
      </c>
      <c r="AE506" s="226">
        <f t="shared" si="129"/>
        <v>9.241963434786421E-3</v>
      </c>
      <c r="AF506" s="226">
        <f t="shared" si="129"/>
        <v>9.0922294715138543E-3</v>
      </c>
      <c r="AG506" s="226">
        <f t="shared" si="129"/>
        <v>8.9449214277891754E-3</v>
      </c>
      <c r="AH506" s="227">
        <v>8.8000000000000005E-3</v>
      </c>
      <c r="AI506" s="226">
        <f t="shared" si="132"/>
        <v>8.6574265213126729E-3</v>
      </c>
      <c r="AJ506" s="226">
        <f t="shared" si="132"/>
        <v>8.5171629513554597E-3</v>
      </c>
      <c r="AK506" s="226">
        <f t="shared" si="132"/>
        <v>8.3791718660689175E-3</v>
      </c>
      <c r="AL506" s="226">
        <f t="shared" si="132"/>
        <v>8.2434164477206869E-3</v>
      </c>
      <c r="AM506" s="226">
        <f t="shared" si="132"/>
        <v>8.1098604750820657E-3</v>
      </c>
      <c r="AN506" s="226">
        <f t="shared" si="132"/>
        <v>7.9784683137637345E-3</v>
      </c>
      <c r="AO506" s="226">
        <f t="shared" si="132"/>
        <v>7.849204906708063E-3</v>
      </c>
      <c r="AP506" s="226">
        <f t="shared" si="132"/>
        <v>7.7220357648354479E-3</v>
      </c>
      <c r="AQ506" s="226">
        <f t="shared" si="132"/>
        <v>7.5969269578422035E-3</v>
      </c>
      <c r="AR506" s="226">
        <f t="shared" si="132"/>
        <v>7.4738451051475328E-3</v>
      </c>
      <c r="AS506" s="226">
        <f t="shared" si="132"/>
        <v>7.3527573669871765E-3</v>
      </c>
      <c r="AT506" s="226">
        <f t="shared" si="132"/>
        <v>7.2336314356513543E-3</v>
      </c>
      <c r="AU506" s="226">
        <f t="shared" si="132"/>
        <v>7.1164355268646699E-3</v>
      </c>
      <c r="AV506" s="226">
        <f t="shared" si="132"/>
        <v>7.0011383713056725E-3</v>
      </c>
      <c r="AW506" s="226">
        <f t="shared" si="132"/>
        <v>6.8877092062638113E-3</v>
      </c>
      <c r="AX506" s="226">
        <f t="shared" si="132"/>
        <v>6.7761177674315652E-3</v>
      </c>
      <c r="AY506" s="226">
        <f t="shared" si="130"/>
        <v>6.6663342808295509E-3</v>
      </c>
      <c r="AZ506" s="226">
        <f t="shared" si="130"/>
        <v>6.558329454862454E-3</v>
      </c>
      <c r="BA506" s="226">
        <f t="shared" si="130"/>
        <v>6.4520744725036694E-3</v>
      </c>
      <c r="BB506" s="226">
        <f t="shared" si="130"/>
        <v>6.3475409836065613E-3</v>
      </c>
      <c r="BC506" s="226">
        <f t="shared" si="130"/>
        <v>6.2447010973402921E-3</v>
      </c>
      <c r="BD506" s="226">
        <f t="shared" si="130"/>
        <v>6.143527374748204E-3</v>
      </c>
      <c r="BE506" s="226">
        <f t="shared" si="130"/>
        <v>6.0439928214267632E-3</v>
      </c>
    </row>
    <row r="507" spans="2:57" s="10" customFormat="1" ht="5.25" customHeight="1" x14ac:dyDescent="0.35">
      <c r="B507" s="13"/>
      <c r="D507" s="169"/>
      <c r="E507" s="109"/>
      <c r="G507" s="302"/>
      <c r="I507" s="122"/>
      <c r="J507" s="226"/>
      <c r="K507" s="226"/>
      <c r="L507" s="226"/>
      <c r="M507" s="226"/>
      <c r="N507" s="226"/>
      <c r="O507" s="226"/>
      <c r="P507" s="226"/>
      <c r="Q507" s="226"/>
      <c r="R507" s="226"/>
      <c r="S507" s="226"/>
      <c r="T507" s="226"/>
      <c r="U507" s="226"/>
      <c r="V507" s="226"/>
      <c r="W507" s="226"/>
      <c r="X507" s="226"/>
      <c r="Y507" s="226"/>
      <c r="Z507" s="226"/>
      <c r="AA507" s="226"/>
      <c r="AB507" s="226"/>
      <c r="AC507" s="226"/>
      <c r="AD507" s="226"/>
      <c r="AE507" s="226"/>
      <c r="AF507" s="226"/>
      <c r="AG507" s="226"/>
      <c r="AH507" s="226"/>
      <c r="AI507" s="226"/>
      <c r="AJ507" s="226"/>
      <c r="AK507" s="226"/>
      <c r="AL507" s="226"/>
      <c r="AM507" s="226"/>
      <c r="AN507" s="226"/>
      <c r="AO507" s="226"/>
      <c r="AP507" s="226"/>
      <c r="AQ507" s="226"/>
      <c r="AR507" s="226"/>
      <c r="AS507" s="226"/>
      <c r="AT507" s="170"/>
      <c r="AU507" s="170"/>
      <c r="AV507" s="170"/>
      <c r="AW507" s="170"/>
      <c r="AX507" s="170"/>
      <c r="AY507" s="170"/>
      <c r="AZ507" s="170"/>
      <c r="BA507" s="170"/>
      <c r="BB507" s="170"/>
      <c r="BC507" s="170"/>
      <c r="BD507" s="170"/>
      <c r="BE507" s="170"/>
    </row>
    <row r="508" spans="2:57" s="4" customFormat="1" ht="15" customHeight="1" x14ac:dyDescent="0.35">
      <c r="B508" s="2" t="s">
        <v>687</v>
      </c>
      <c r="E508" s="26"/>
      <c r="G508" s="43"/>
      <c r="I508" s="29"/>
      <c r="J508" s="150"/>
      <c r="K508" s="150"/>
      <c r="L508" s="150"/>
      <c r="M508" s="150"/>
      <c r="N508" s="150"/>
      <c r="O508" s="150"/>
      <c r="P508" s="150"/>
      <c r="Q508" s="150"/>
      <c r="R508" s="150"/>
      <c r="S508" s="150"/>
      <c r="T508" s="150"/>
      <c r="U508" s="150"/>
      <c r="V508" s="150"/>
      <c r="W508" s="150"/>
      <c r="X508" s="150"/>
      <c r="Y508" s="150"/>
      <c r="Z508" s="150"/>
      <c r="AA508" s="150"/>
      <c r="AB508" s="150"/>
      <c r="AC508" s="150"/>
      <c r="AD508" s="150"/>
      <c r="AE508" s="150"/>
      <c r="AF508" s="150"/>
      <c r="AG508" s="150"/>
      <c r="AH508" s="150"/>
      <c r="AI508" s="150"/>
      <c r="AJ508" s="150"/>
      <c r="AK508" s="150"/>
      <c r="AL508" s="150"/>
      <c r="AM508" s="150"/>
      <c r="AN508" s="150"/>
      <c r="AO508" s="150"/>
      <c r="AP508" s="150"/>
      <c r="AQ508" s="150"/>
      <c r="AR508" s="150"/>
      <c r="AS508" s="150"/>
      <c r="AT508" s="228"/>
      <c r="AU508" s="228"/>
      <c r="AV508" s="228"/>
      <c r="AW508" s="228"/>
      <c r="AX508" s="228"/>
      <c r="AY508" s="228"/>
      <c r="AZ508" s="228"/>
      <c r="BA508" s="228"/>
      <c r="BB508" s="228"/>
      <c r="BC508" s="228"/>
      <c r="BD508" s="228"/>
      <c r="BE508" s="228"/>
    </row>
    <row r="509" spans="2:57" s="4" customFormat="1" ht="5.25" customHeight="1" x14ac:dyDescent="0.35">
      <c r="B509" s="2"/>
      <c r="E509" s="26"/>
      <c r="G509" s="43"/>
      <c r="I509" s="29"/>
      <c r="J509" s="150"/>
      <c r="K509" s="150"/>
      <c r="L509" s="150"/>
      <c r="M509" s="150"/>
      <c r="N509" s="150"/>
      <c r="O509" s="150"/>
      <c r="P509" s="150"/>
      <c r="Q509" s="150"/>
      <c r="R509" s="150"/>
      <c r="S509" s="150"/>
      <c r="T509" s="150"/>
      <c r="U509" s="150"/>
      <c r="V509" s="150"/>
      <c r="W509" s="150"/>
      <c r="X509" s="150"/>
      <c r="Y509" s="150"/>
      <c r="Z509" s="150"/>
      <c r="AA509" s="150"/>
      <c r="AB509" s="150"/>
      <c r="AC509" s="150"/>
      <c r="AD509" s="150"/>
      <c r="AE509" s="150"/>
      <c r="AF509" s="150"/>
      <c r="AG509" s="150"/>
      <c r="AH509" s="150"/>
      <c r="AI509" s="150"/>
      <c r="AJ509" s="150"/>
      <c r="AK509" s="150"/>
      <c r="AL509" s="150"/>
      <c r="AM509" s="150"/>
      <c r="AN509" s="150"/>
      <c r="AO509" s="150"/>
      <c r="AP509" s="150"/>
      <c r="AQ509" s="150"/>
      <c r="AR509" s="150"/>
      <c r="AS509" s="150"/>
      <c r="AT509" s="228"/>
      <c r="AU509" s="228"/>
      <c r="AV509" s="228"/>
      <c r="AW509" s="228"/>
      <c r="AX509" s="228"/>
      <c r="AY509" s="228"/>
      <c r="AZ509" s="228"/>
      <c r="BA509" s="228"/>
      <c r="BB509" s="228"/>
      <c r="BC509" s="228"/>
      <c r="BD509" s="228"/>
      <c r="BE509" s="228"/>
    </row>
    <row r="510" spans="2:57" s="4" customFormat="1" ht="32.15" customHeight="1" x14ac:dyDescent="0.35">
      <c r="B510" s="2"/>
      <c r="E510" s="675" t="s">
        <v>688</v>
      </c>
      <c r="F510" s="676"/>
      <c r="G510" s="677"/>
      <c r="I510" s="29"/>
      <c r="J510" s="150"/>
      <c r="K510" s="150"/>
      <c r="L510" s="150"/>
      <c r="M510" s="150"/>
      <c r="N510" s="150"/>
      <c r="O510" s="150"/>
      <c r="P510" s="150"/>
      <c r="Q510" s="150"/>
      <c r="R510" s="150"/>
      <c r="S510" s="150"/>
      <c r="T510" s="150"/>
      <c r="U510" s="150"/>
      <c r="V510" s="150"/>
      <c r="W510" s="150"/>
      <c r="X510" s="150"/>
      <c r="Y510" s="150"/>
      <c r="Z510" s="150"/>
      <c r="AA510" s="150"/>
      <c r="AB510" s="150"/>
      <c r="AC510" s="150"/>
      <c r="AD510" s="150"/>
      <c r="AE510" s="150"/>
      <c r="AF510" s="150"/>
      <c r="AG510" s="150"/>
      <c r="AH510" s="150"/>
      <c r="AI510" s="150"/>
      <c r="AJ510" s="150"/>
      <c r="AK510" s="150"/>
      <c r="AL510" s="150"/>
      <c r="AM510" s="150"/>
      <c r="AN510" s="150"/>
      <c r="AO510" s="150"/>
      <c r="AP510" s="150"/>
      <c r="AQ510" s="150"/>
      <c r="AR510" s="150"/>
      <c r="AS510" s="150"/>
      <c r="AT510" s="228"/>
      <c r="AU510" s="228"/>
      <c r="AV510" s="228"/>
      <c r="AW510" s="228"/>
      <c r="AX510" s="228"/>
      <c r="AY510" s="228"/>
      <c r="AZ510" s="228"/>
      <c r="BA510" s="228"/>
      <c r="BB510" s="228"/>
      <c r="BC510" s="228"/>
      <c r="BD510" s="228"/>
      <c r="BE510" s="228"/>
    </row>
    <row r="511" spans="2:57" s="4" customFormat="1" ht="5.25" customHeight="1" x14ac:dyDescent="0.35">
      <c r="E511" s="26"/>
      <c r="G511" s="43"/>
      <c r="I511" s="119"/>
      <c r="J511" s="119"/>
      <c r="K511" s="119"/>
      <c r="L511" s="119"/>
      <c r="M511" s="119"/>
      <c r="N511" s="119"/>
      <c r="O511" s="119"/>
      <c r="P511" s="119"/>
      <c r="Q511" s="119"/>
      <c r="R511" s="119"/>
      <c r="S511" s="119"/>
      <c r="T511" s="119"/>
      <c r="U511" s="119"/>
      <c r="V511" s="119"/>
      <c r="W511" s="119"/>
      <c r="X511" s="119"/>
      <c r="Y511" s="119"/>
      <c r="Z511" s="119"/>
      <c r="AA511" s="119"/>
      <c r="AB511" s="119"/>
      <c r="AC511" s="119"/>
      <c r="AD511" s="119"/>
      <c r="AE511" s="119"/>
      <c r="AF511" s="119"/>
      <c r="AG511" s="119"/>
      <c r="AH511" s="119"/>
      <c r="AI511" s="119"/>
      <c r="AJ511" s="119"/>
      <c r="AK511" s="119"/>
      <c r="AL511" s="119"/>
      <c r="AM511" s="119"/>
      <c r="AN511" s="119"/>
      <c r="AO511" s="21"/>
      <c r="AP511" s="21"/>
      <c r="AQ511" s="21"/>
      <c r="AR511" s="21"/>
      <c r="AS511" s="21"/>
      <c r="AT511" s="21"/>
      <c r="AU511" s="21"/>
      <c r="AV511" s="21"/>
      <c r="AW511" s="21"/>
      <c r="AX511" s="21"/>
      <c r="AY511" s="21"/>
      <c r="AZ511" s="21"/>
      <c r="BA511" s="21"/>
      <c r="BB511" s="21"/>
      <c r="BC511" s="21"/>
      <c r="BD511" s="21"/>
      <c r="BE511" s="21"/>
    </row>
    <row r="512" spans="2:57" s="10" customFormat="1" ht="15" customHeight="1" x14ac:dyDescent="0.35">
      <c r="D512" s="168" t="s">
        <v>613</v>
      </c>
      <c r="E512" s="109"/>
      <c r="G512" s="302"/>
      <c r="I512" s="122"/>
      <c r="J512" s="226"/>
      <c r="K512" s="226"/>
      <c r="L512" s="226"/>
      <c r="M512" s="226"/>
      <c r="N512" s="226"/>
      <c r="O512" s="226"/>
      <c r="P512" s="226"/>
      <c r="Q512" s="226"/>
      <c r="R512" s="226"/>
      <c r="S512" s="226"/>
      <c r="T512" s="226"/>
      <c r="U512" s="226"/>
      <c r="V512" s="226"/>
      <c r="W512" s="226"/>
      <c r="X512" s="226"/>
      <c r="Y512" s="226"/>
      <c r="Z512" s="226"/>
      <c r="AA512" s="226"/>
      <c r="AB512" s="226"/>
      <c r="AC512" s="226"/>
      <c r="AD512" s="226"/>
      <c r="AE512" s="226"/>
      <c r="AF512" s="226"/>
      <c r="AG512" s="226"/>
      <c r="AH512" s="226"/>
      <c r="AI512" s="226"/>
      <c r="AJ512" s="226"/>
      <c r="AK512" s="226"/>
      <c r="AL512" s="226"/>
      <c r="AM512" s="226"/>
      <c r="AN512" s="226"/>
      <c r="AO512" s="226"/>
      <c r="AP512" s="226"/>
      <c r="AQ512" s="226"/>
      <c r="AR512" s="226"/>
      <c r="AS512" s="226"/>
      <c r="AT512" s="170"/>
      <c r="AU512" s="170"/>
      <c r="AV512" s="170"/>
      <c r="AW512" s="170"/>
      <c r="AX512" s="170"/>
      <c r="AY512" s="170"/>
      <c r="AZ512" s="170"/>
      <c r="BA512" s="170"/>
      <c r="BB512" s="170"/>
      <c r="BC512" s="170"/>
      <c r="BD512" s="170"/>
      <c r="BE512" s="170"/>
    </row>
    <row r="513" spans="4:57" s="10" customFormat="1" ht="5.25" customHeight="1" x14ac:dyDescent="0.35">
      <c r="D513" s="169"/>
      <c r="E513" s="109"/>
      <c r="G513" s="302"/>
      <c r="I513" s="122"/>
      <c r="J513" s="226"/>
      <c r="K513" s="226"/>
      <c r="L513" s="226"/>
      <c r="M513" s="226"/>
      <c r="N513" s="226"/>
      <c r="O513" s="226"/>
      <c r="P513" s="226"/>
      <c r="Q513" s="226"/>
      <c r="R513" s="226"/>
      <c r="S513" s="226"/>
      <c r="T513" s="226"/>
      <c r="U513" s="226"/>
      <c r="V513" s="226"/>
      <c r="W513" s="226"/>
      <c r="X513" s="226"/>
      <c r="Y513" s="226"/>
      <c r="Z513" s="226"/>
      <c r="AA513" s="226"/>
      <c r="AB513" s="226"/>
      <c r="AC513" s="226"/>
      <c r="AD513" s="226"/>
      <c r="AE513" s="226"/>
      <c r="AF513" s="226"/>
      <c r="AG513" s="226"/>
      <c r="AH513" s="226"/>
      <c r="AI513" s="226"/>
      <c r="AJ513" s="226"/>
      <c r="AK513" s="226"/>
      <c r="AL513" s="226"/>
      <c r="AM513" s="226"/>
      <c r="AN513" s="226"/>
      <c r="AO513" s="226"/>
      <c r="AP513" s="226"/>
      <c r="AQ513" s="226"/>
      <c r="AR513" s="226"/>
      <c r="AS513" s="226"/>
      <c r="AT513" s="170"/>
      <c r="AU513" s="170"/>
      <c r="AV513" s="170"/>
      <c r="AW513" s="170"/>
      <c r="AX513" s="170"/>
      <c r="AY513" s="170"/>
      <c r="AZ513" s="170"/>
      <c r="BA513" s="170"/>
      <c r="BB513" s="170"/>
      <c r="BC513" s="170"/>
      <c r="BD513" s="170"/>
      <c r="BE513" s="170"/>
    </row>
    <row r="514" spans="4:57" s="10" customFormat="1" x14ac:dyDescent="0.35">
      <c r="E514" s="169" t="s">
        <v>614</v>
      </c>
      <c r="F514" s="10" t="s">
        <v>615</v>
      </c>
      <c r="G514" s="43" t="s">
        <v>616</v>
      </c>
      <c r="I514" s="20"/>
      <c r="J514" s="200"/>
      <c r="K514" s="200"/>
      <c r="L514" s="200"/>
      <c r="M514" s="200"/>
      <c r="N514" s="200">
        <v>0.53969999999999996</v>
      </c>
      <c r="O514" s="226">
        <f>N514*(1+($AH514/$N514)^(1/($AH$6-$N$6))-1)</f>
        <v>0.53117396484864943</v>
      </c>
      <c r="P514" s="226">
        <f t="shared" ref="P514:AG529" si="133">O514*(1+($AH514/$N514)^(1/($AH$6-$N$6))-1)</f>
        <v>0.52278262170286138</v>
      </c>
      <c r="Q514" s="226">
        <f t="shared" si="133"/>
        <v>0.51452384273463136</v>
      </c>
      <c r="R514" s="226">
        <f t="shared" si="133"/>
        <v>0.50639553373080815</v>
      </c>
      <c r="S514" s="226">
        <f t="shared" si="133"/>
        <v>0.49839563356205557</v>
      </c>
      <c r="T514" s="226">
        <f t="shared" si="133"/>
        <v>0.49052211366020326</v>
      </c>
      <c r="U514" s="226">
        <f t="shared" si="133"/>
        <v>0.48277297750385412</v>
      </c>
      <c r="V514" s="226">
        <f t="shared" si="133"/>
        <v>0.47514626011211797</v>
      </c>
      <c r="W514" s="226">
        <f t="shared" si="133"/>
        <v>0.46764002754634321</v>
      </c>
      <c r="X514" s="226">
        <f t="shared" si="133"/>
        <v>0.46025237641971983</v>
      </c>
      <c r="Y514" s="226">
        <f t="shared" si="133"/>
        <v>0.45298143341462971</v>
      </c>
      <c r="Z514" s="226">
        <f t="shared" si="133"/>
        <v>0.44582535480762159</v>
      </c>
      <c r="AA514" s="226">
        <f t="shared" si="133"/>
        <v>0.43878232600189043</v>
      </c>
      <c r="AB514" s="226">
        <f t="shared" si="133"/>
        <v>0.43185056106714254</v>
      </c>
      <c r="AC514" s="226">
        <f t="shared" si="133"/>
        <v>0.42502830228672955</v>
      </c>
      <c r="AD514" s="226">
        <f t="shared" si="133"/>
        <v>0.4183138197119371</v>
      </c>
      <c r="AE514" s="226">
        <f t="shared" si="133"/>
        <v>0.4117054107233144</v>
      </c>
      <c r="AF514" s="226">
        <f t="shared" si="133"/>
        <v>0.40520139959893386</v>
      </c>
      <c r="AG514" s="226">
        <f t="shared" si="133"/>
        <v>0.39880013708947132</v>
      </c>
      <c r="AH514" s="227">
        <v>0.39250000000000002</v>
      </c>
      <c r="AI514" s="226">
        <f>AH514*(1+($AH514/$N514)^(1/($AH$6-$N$6))-1)</f>
        <v>0.38629939077838604</v>
      </c>
      <c r="AJ514" s="226">
        <f t="shared" ref="AJ514:BB529" si="134">AI514*(1+($AH514/$N514)^(1/($AH$6-$N$6))-1)</f>
        <v>0.38019673711019669</v>
      </c>
      <c r="AK514" s="226">
        <f t="shared" si="134"/>
        <v>0.37419049151999789</v>
      </c>
      <c r="AL514" s="226">
        <f t="shared" si="134"/>
        <v>0.36827913097895543</v>
      </c>
      <c r="AM514" s="226">
        <f t="shared" si="134"/>
        <v>0.36246115651863414</v>
      </c>
      <c r="AN514" s="226">
        <f t="shared" si="134"/>
        <v>0.35673509285089833</v>
      </c>
      <c r="AO514" s="226">
        <f t="shared" si="134"/>
        <v>0.35109948799381652</v>
      </c>
      <c r="AP514" s="226">
        <f t="shared" si="134"/>
        <v>0.34555291290347662</v>
      </c>
      <c r="AQ514" s="226">
        <f t="shared" si="134"/>
        <v>0.34009396111161705</v>
      </c>
      <c r="AR514" s="226">
        <f t="shared" si="134"/>
        <v>0.33472124836898287</v>
      </c>
      <c r="AS514" s="226">
        <f t="shared" si="134"/>
        <v>0.32943341229431572</v>
      </c>
      <c r="AT514" s="226">
        <f t="shared" si="134"/>
        <v>0.32422911202888921</v>
      </c>
      <c r="AU514" s="226">
        <f t="shared" si="134"/>
        <v>0.3191070278965018</v>
      </c>
      <c r="AV514" s="226">
        <f t="shared" si="134"/>
        <v>0.31406586106884093</v>
      </c>
      <c r="AW514" s="226">
        <f t="shared" si="134"/>
        <v>0.30910433323613368</v>
      </c>
      <c r="AX514" s="226">
        <f t="shared" si="134"/>
        <v>0.30422118628300038</v>
      </c>
      <c r="AY514" s="226">
        <f t="shared" si="134"/>
        <v>0.29941518196942912</v>
      </c>
      <c r="AZ514" s="226">
        <f t="shared" si="134"/>
        <v>0.29468510161678996</v>
      </c>
      <c r="BA514" s="226">
        <f t="shared" si="134"/>
        <v>0.29002974579880952</v>
      </c>
      <c r="BB514" s="226">
        <f t="shared" si="134"/>
        <v>0.28544793403742746</v>
      </c>
      <c r="BC514" s="226">
        <f>BB514*(1+($AH514/$N514)^(1/($AH$6-$N$6))-1)</f>
        <v>0.2809385045034577</v>
      </c>
      <c r="BD514" s="226">
        <f>BC514*(1+($AH514/$N514)^(1/($AH$6-$N$6))-1)</f>
        <v>0.27650031372197853</v>
      </c>
      <c r="BE514" s="226">
        <f>BD514*(1+($AH514/$N514)^(1/($AH$6-$N$6))-1)</f>
        <v>0.27213223628237687</v>
      </c>
    </row>
    <row r="515" spans="4:57" s="10" customFormat="1" x14ac:dyDescent="0.35">
      <c r="D515" s="169"/>
      <c r="E515" s="10" t="s">
        <v>617</v>
      </c>
      <c r="F515" s="10" t="s">
        <v>615</v>
      </c>
      <c r="G515" s="43" t="s">
        <v>616</v>
      </c>
      <c r="I515" s="20"/>
      <c r="J515" s="200"/>
      <c r="K515" s="200"/>
      <c r="L515" s="200"/>
      <c r="M515" s="200"/>
      <c r="N515" s="200">
        <v>4.1913</v>
      </c>
      <c r="O515" s="226">
        <f t="shared" ref="O515:AD530" si="135">N515*(1+($AH515/$N515)^(1/($AH$6-$N$6))-1)</f>
        <v>3.8726584168682261</v>
      </c>
      <c r="P515" s="226">
        <f t="shared" si="135"/>
        <v>3.5782414080930294</v>
      </c>
      <c r="Q515" s="226">
        <f t="shared" si="135"/>
        <v>3.3062073119647564</v>
      </c>
      <c r="R515" s="226">
        <f t="shared" si="135"/>
        <v>3.0548544782267046</v>
      </c>
      <c r="S515" s="226">
        <f t="shared" si="135"/>
        <v>2.8226106237712023</v>
      </c>
      <c r="T515" s="226">
        <f t="shared" si="135"/>
        <v>2.6080229975638156</v>
      </c>
      <c r="U515" s="226">
        <f t="shared" si="135"/>
        <v>2.4097492932744999</v>
      </c>
      <c r="V515" s="226">
        <f t="shared" si="135"/>
        <v>2.2265492527716346</v>
      </c>
      <c r="W515" s="226">
        <f t="shared" si="135"/>
        <v>2.057276907956417</v>
      </c>
      <c r="X515" s="226">
        <f t="shared" si="135"/>
        <v>1.900873412408097</v>
      </c>
      <c r="Y515" s="226">
        <f t="shared" si="135"/>
        <v>1.7563604179999626</v>
      </c>
      <c r="Z515" s="226">
        <f t="shared" si="135"/>
        <v>1.6228339550549353</v>
      </c>
      <c r="AA515" s="226">
        <f t="shared" si="135"/>
        <v>1.4994587777594177</v>
      </c>
      <c r="AB515" s="226">
        <f t="shared" si="135"/>
        <v>1.3854631394643551</v>
      </c>
      <c r="AC515" s="226">
        <f t="shared" si="135"/>
        <v>1.2801339651915424</v>
      </c>
      <c r="AD515" s="226">
        <f t="shared" si="135"/>
        <v>1.1828123911478357</v>
      </c>
      <c r="AE515" s="226">
        <f t="shared" si="133"/>
        <v>1.0928896433456678</v>
      </c>
      <c r="AF515" s="226">
        <f t="shared" si="133"/>
        <v>1.009803229549475</v>
      </c>
      <c r="AG515" s="226">
        <f t="shared" si="133"/>
        <v>0.93303342072757656</v>
      </c>
      <c r="AH515" s="227">
        <v>0.86209999999999998</v>
      </c>
      <c r="AI515" s="226">
        <f t="shared" ref="AI515:AX530" si="136">AH515*(1+($AH515/$N515)^(1/($AH$6-$N$6))-1)</f>
        <v>0.79655925874599709</v>
      </c>
      <c r="AJ515" s="226">
        <f t="shared" si="136"/>
        <v>0.73600122108104904</v>
      </c>
      <c r="AK515" s="226">
        <f t="shared" si="136"/>
        <v>0.68004707934168795</v>
      </c>
      <c r="AL515" s="226">
        <f t="shared" si="136"/>
        <v>0.62834682453635915</v>
      </c>
      <c r="AM515" s="226">
        <f t="shared" si="136"/>
        <v>0.58057705694012685</v>
      </c>
      <c r="AN515" s="226">
        <f t="shared" si="136"/>
        <v>0.53643896313787265</v>
      </c>
      <c r="AO515" s="226">
        <f t="shared" si="136"/>
        <v>0.49565644686182009</v>
      </c>
      <c r="AP515" s="226">
        <f t="shared" si="136"/>
        <v>0.45797440193124478</v>
      </c>
      <c r="AQ515" s="226">
        <f t="shared" si="136"/>
        <v>0.42315711649111898</v>
      </c>
      <c r="AR515" s="226">
        <f t="shared" si="136"/>
        <v>0.39098679856775231</v>
      </c>
      <c r="AS515" s="226">
        <f t="shared" si="136"/>
        <v>0.36126221371836126</v>
      </c>
      <c r="AT515" s="226">
        <f t="shared" si="136"/>
        <v>0.33379742625268044</v>
      </c>
      <c r="AU515" s="226">
        <f t="shared" si="136"/>
        <v>0.30842063615260035</v>
      </c>
      <c r="AV515" s="226">
        <f t="shared" si="136"/>
        <v>0.28497310441443474</v>
      </c>
      <c r="AW515" s="226">
        <f t="shared" si="136"/>
        <v>0.26330816009152974</v>
      </c>
      <c r="AX515" s="226">
        <f t="shared" si="136"/>
        <v>0.24329028282598453</v>
      </c>
      <c r="AY515" s="226">
        <f t="shared" si="134"/>
        <v>0.22479425513046075</v>
      </c>
      <c r="AZ515" s="226">
        <f t="shared" si="134"/>
        <v>0.2077043791173627</v>
      </c>
      <c r="BA515" s="226">
        <f t="shared" si="134"/>
        <v>0.19191375277580788</v>
      </c>
      <c r="BB515" s="226">
        <f t="shared" si="134"/>
        <v>0.17732360126929597</v>
      </c>
      <c r="BC515" s="226">
        <f t="shared" ref="BB515:BE530" si="137">BB515*(1+($AH515/$N515)^(1/($AH$6-$N$6))-1)</f>
        <v>0.16384265907115317</v>
      </c>
      <c r="BD515" s="226">
        <f t="shared" si="137"/>
        <v>0.1513865990728348</v>
      </c>
      <c r="BE515" s="226">
        <f t="shared" si="137"/>
        <v>0.13987750509399691</v>
      </c>
    </row>
    <row r="516" spans="4:57" s="10" customFormat="1" x14ac:dyDescent="0.35">
      <c r="D516" s="169"/>
      <c r="E516" s="10" t="s">
        <v>618</v>
      </c>
      <c r="F516" s="10" t="s">
        <v>615</v>
      </c>
      <c r="G516" s="43" t="s">
        <v>616</v>
      </c>
      <c r="I516" s="20"/>
      <c r="J516" s="200"/>
      <c r="K516" s="200"/>
      <c r="L516" s="200"/>
      <c r="M516" s="200"/>
      <c r="N516" s="200">
        <v>3.8723000000000001</v>
      </c>
      <c r="O516" s="226">
        <f t="shared" si="135"/>
        <v>3.5770806207260368</v>
      </c>
      <c r="P516" s="226">
        <f t="shared" si="135"/>
        <v>3.30436840306117</v>
      </c>
      <c r="Q516" s="226">
        <f t="shared" si="135"/>
        <v>3.0524474287450745</v>
      </c>
      <c r="R516" s="226">
        <f t="shared" si="135"/>
        <v>2.8197325990106723</v>
      </c>
      <c r="S516" s="226">
        <f t="shared" si="135"/>
        <v>2.6047596610672046</v>
      </c>
      <c r="T516" s="226">
        <f t="shared" si="135"/>
        <v>2.406175994951945</v>
      </c>
      <c r="U516" s="226">
        <f t="shared" si="135"/>
        <v>2.2227321027809808</v>
      </c>
      <c r="V516" s="226">
        <f t="shared" si="135"/>
        <v>2.0532737468490252</v>
      </c>
      <c r="W516" s="226">
        <f t="shared" si="135"/>
        <v>1.8967346871108091</v>
      </c>
      <c r="X516" s="226">
        <f t="shared" si="135"/>
        <v>1.7521299723479424</v>
      </c>
      <c r="Y516" s="226">
        <f t="shared" si="135"/>
        <v>1.6185497428089435</v>
      </c>
      <c r="Z516" s="226">
        <f t="shared" si="135"/>
        <v>1.4951535053283533</v>
      </c>
      <c r="AA516" s="226">
        <f t="shared" si="135"/>
        <v>1.381164844903715</v>
      </c>
      <c r="AB516" s="226">
        <f t="shared" si="135"/>
        <v>1.2758665394554041</v>
      </c>
      <c r="AC516" s="226">
        <f t="shared" si="135"/>
        <v>1.1785960470311487</v>
      </c>
      <c r="AD516" s="226">
        <f t="shared" si="135"/>
        <v>1.0887413370605157</v>
      </c>
      <c r="AE516" s="226">
        <f t="shared" si="133"/>
        <v>1.0057370394294152</v>
      </c>
      <c r="AF516" s="226">
        <f t="shared" si="133"/>
        <v>0.92906088714442037</v>
      </c>
      <c r="AG516" s="226">
        <f t="shared" si="133"/>
        <v>0.85823043020397327</v>
      </c>
      <c r="AH516" s="227">
        <v>0.79279999999999995</v>
      </c>
      <c r="AI516" s="226">
        <f t="shared" si="136"/>
        <v>0.73235790514980803</v>
      </c>
      <c r="AJ516" s="226">
        <f t="shared" si="136"/>
        <v>0.67652384111429775</v>
      </c>
      <c r="AK516" s="226">
        <f t="shared" si="136"/>
        <v>0.62494649730369412</v>
      </c>
      <c r="AL516" s="226">
        <f t="shared" si="136"/>
        <v>0.57730134661458576</v>
      </c>
      <c r="AM516" s="226">
        <f t="shared" si="136"/>
        <v>0.53328860348993601</v>
      </c>
      <c r="AN516" s="226">
        <f t="shared" si="136"/>
        <v>0.49263133765408196</v>
      </c>
      <c r="AO516" s="226">
        <f t="shared" si="136"/>
        <v>0.4550737316542523</v>
      </c>
      <c r="AP516" s="226">
        <f t="shared" si="136"/>
        <v>0.42037947124497244</v>
      </c>
      <c r="AQ516" s="226">
        <f t="shared" si="136"/>
        <v>0.38833025848757818</v>
      </c>
      <c r="AR516" s="226">
        <f t="shared" si="136"/>
        <v>0.35872443820919053</v>
      </c>
      <c r="AS516" s="226">
        <f t="shared" si="136"/>
        <v>0.33137572917876457</v>
      </c>
      <c r="AT516" s="226">
        <f t="shared" si="136"/>
        <v>0.3061120520167131</v>
      </c>
      <c r="AU516" s="226">
        <f t="shared" si="136"/>
        <v>0.28277444646325567</v>
      </c>
      <c r="AV516" s="226">
        <f t="shared" si="136"/>
        <v>0.26121607119289414</v>
      </c>
      <c r="AW516" s="226">
        <f t="shared" si="136"/>
        <v>0.24130127988180006</v>
      </c>
      <c r="AX516" s="226">
        <f t="shared" si="136"/>
        <v>0.22290476771468545</v>
      </c>
      <c r="AY516" s="226">
        <f t="shared" si="134"/>
        <v>0.20591078296093795</v>
      </c>
      <c r="AZ516" s="226">
        <f t="shared" si="134"/>
        <v>0.19021239865921963</v>
      </c>
      <c r="BA516" s="226">
        <f t="shared" si="134"/>
        <v>0.17571083982793423</v>
      </c>
      <c r="BB516" s="226">
        <f t="shared" si="137"/>
        <v>0.16231486196833927</v>
      </c>
      <c r="BC516" s="226">
        <f t="shared" si="137"/>
        <v>0.14994017694981485</v>
      </c>
      <c r="BD516" s="226">
        <f t="shared" si="137"/>
        <v>0.13850892266493181</v>
      </c>
      <c r="BE516" s="226">
        <f t="shared" si="137"/>
        <v>0.12794917311736406</v>
      </c>
    </row>
    <row r="517" spans="4:57" s="10" customFormat="1" x14ac:dyDescent="0.35">
      <c r="D517" s="169"/>
      <c r="E517" s="10" t="s">
        <v>619</v>
      </c>
      <c r="F517" s="10" t="s">
        <v>615</v>
      </c>
      <c r="G517" s="43" t="s">
        <v>616</v>
      </c>
      <c r="I517" s="20"/>
      <c r="J517" s="200"/>
      <c r="K517" s="200"/>
      <c r="L517" s="200"/>
      <c r="M517" s="200"/>
      <c r="N517" s="200">
        <v>3.5775999999999999</v>
      </c>
      <c r="O517" s="226">
        <f t="shared" si="135"/>
        <v>3.304064898810632</v>
      </c>
      <c r="P517" s="226">
        <f t="shared" si="135"/>
        <v>3.0514436649017536</v>
      </c>
      <c r="Q517" s="226">
        <f t="shared" si="135"/>
        <v>2.8181372718861688</v>
      </c>
      <c r="R517" s="226">
        <f t="shared" si="135"/>
        <v>2.6026689512715357</v>
      </c>
      <c r="S517" s="226">
        <f t="shared" si="135"/>
        <v>2.4036748449017669</v>
      </c>
      <c r="T517" s="226">
        <f t="shared" si="135"/>
        <v>2.2198953720913512</v>
      </c>
      <c r="U517" s="226">
        <f t="shared" si="135"/>
        <v>2.0501672568088107</v>
      </c>
      <c r="V517" s="226">
        <f t="shared" si="135"/>
        <v>1.8934161644434466</v>
      </c>
      <c r="W517" s="226">
        <f t="shared" si="135"/>
        <v>1.7486499015480355</v>
      </c>
      <c r="X517" s="226">
        <f t="shared" si="135"/>
        <v>1.6149521355136214</v>
      </c>
      <c r="Y517" s="226">
        <f t="shared" si="135"/>
        <v>1.4914765944235879</v>
      </c>
      <c r="Z517" s="226">
        <f t="shared" si="135"/>
        <v>1.3774417103736021</v>
      </c>
      <c r="AA517" s="226">
        <f t="shared" si="135"/>
        <v>1.2721256723510452</v>
      </c>
      <c r="AB517" s="226">
        <f t="shared" si="135"/>
        <v>1.1748618573599519</v>
      </c>
      <c r="AC517" s="226">
        <f t="shared" si="135"/>
        <v>1.0850346108716684</v>
      </c>
      <c r="AD517" s="226">
        <f t="shared" si="135"/>
        <v>1.0020753498925907</v>
      </c>
      <c r="AE517" s="226">
        <f t="shared" si="133"/>
        <v>0.92545896398241612</v>
      </c>
      <c r="AF517" s="226">
        <f t="shared" si="133"/>
        <v>0.85470049144229487</v>
      </c>
      <c r="AG517" s="226">
        <f t="shared" si="133"/>
        <v>0.78935204963402383</v>
      </c>
      <c r="AH517" s="227">
        <v>0.72899999999999998</v>
      </c>
      <c r="AI517" s="226">
        <f t="shared" si="136"/>
        <v>0.67326232983926404</v>
      </c>
      <c r="AJ517" s="226">
        <f t="shared" si="136"/>
        <v>0.62178623426693269</v>
      </c>
      <c r="AK517" s="226">
        <f t="shared" si="136"/>
        <v>0.57424588305149182</v>
      </c>
      <c r="AL517" s="226">
        <f t="shared" si="136"/>
        <v>0.53034035819458558</v>
      </c>
      <c r="AM517" s="226">
        <f t="shared" si="136"/>
        <v>0.4897917491987332</v>
      </c>
      <c r="AN517" s="226">
        <f t="shared" si="136"/>
        <v>0.45234339396651246</v>
      </c>
      <c r="AO517" s="226">
        <f t="shared" si="136"/>
        <v>0.41775825419656276</v>
      </c>
      <c r="AP517" s="226">
        <f t="shared" si="136"/>
        <v>0.38581741499308825</v>
      </c>
      <c r="AQ517" s="226">
        <f t="shared" si="136"/>
        <v>0.35631869919178161</v>
      </c>
      <c r="AR517" s="226">
        <f t="shared" si="136"/>
        <v>0.32907538763121369</v>
      </c>
      <c r="AS517" s="226">
        <f t="shared" si="136"/>
        <v>0.30391503726934138</v>
      </c>
      <c r="AT517" s="226">
        <f t="shared" si="136"/>
        <v>0.28067838966412006</v>
      </c>
      <c r="AU517" s="226">
        <f t="shared" si="136"/>
        <v>0.25921836290918832</v>
      </c>
      <c r="AV517" s="226">
        <f t="shared" si="136"/>
        <v>0.23939912064384086</v>
      </c>
      <c r="AW517" s="226">
        <f t="shared" si="136"/>
        <v>0.22109521224436673</v>
      </c>
      <c r="AX517" s="226">
        <f t="shared" si="136"/>
        <v>0.2041907787543881</v>
      </c>
      <c r="AY517" s="226">
        <f t="shared" si="134"/>
        <v>0.18857881952794653</v>
      </c>
      <c r="AZ517" s="226">
        <f t="shared" si="134"/>
        <v>0.17416051494337911</v>
      </c>
      <c r="BA517" s="226">
        <f t="shared" si="134"/>
        <v>0.16084460090094016</v>
      </c>
      <c r="BB517" s="226">
        <f t="shared" si="137"/>
        <v>0.14854679114490199</v>
      </c>
      <c r="BC517" s="226">
        <f t="shared" si="137"/>
        <v>0.13718924375358474</v>
      </c>
      <c r="BD517" s="226">
        <f t="shared" si="137"/>
        <v>0.12670006842033629</v>
      </c>
      <c r="BE517" s="226">
        <f t="shared" si="137"/>
        <v>0.11701287140668007</v>
      </c>
    </row>
    <row r="518" spans="4:57" s="10" customFormat="1" x14ac:dyDescent="0.35">
      <c r="D518" s="169"/>
      <c r="E518" s="10" t="s">
        <v>620</v>
      </c>
      <c r="F518" s="10" t="s">
        <v>615</v>
      </c>
      <c r="G518" s="43" t="s">
        <v>616</v>
      </c>
      <c r="I518" s="20"/>
      <c r="J518" s="200"/>
      <c r="K518" s="200"/>
      <c r="L518" s="200"/>
      <c r="M518" s="200"/>
      <c r="N518" s="200">
        <v>3.3052999999999999</v>
      </c>
      <c r="O518" s="226">
        <f t="shared" si="135"/>
        <v>3.0518770947490768</v>
      </c>
      <c r="P518" s="226">
        <f t="shared" si="135"/>
        <v>2.8178845494974936</v>
      </c>
      <c r="Q518" s="226">
        <f t="shared" si="135"/>
        <v>2.6018326058931782</v>
      </c>
      <c r="R518" s="226">
        <f t="shared" si="135"/>
        <v>2.4023457278603129</v>
      </c>
      <c r="S518" s="226">
        <f t="shared" si="135"/>
        <v>2.2181538439854744</v>
      </c>
      <c r="T518" s="226">
        <f t="shared" si="135"/>
        <v>2.0480842613647434</v>
      </c>
      <c r="U518" s="226">
        <f t="shared" si="135"/>
        <v>1.8910541994297467</v>
      </c>
      <c r="V518" s="226">
        <f t="shared" si="135"/>
        <v>1.7460638962178008</v>
      </c>
      <c r="W518" s="226">
        <f t="shared" si="135"/>
        <v>1.6121902431959083</v>
      </c>
      <c r="X518" s="226">
        <f t="shared" si="135"/>
        <v>1.4885809081134953</v>
      </c>
      <c r="Y518" s="226">
        <f t="shared" si="135"/>
        <v>1.3744489084659053</v>
      </c>
      <c r="Z518" s="226">
        <f t="shared" si="135"/>
        <v>1.2690676010195645</v>
      </c>
      <c r="AA518" s="226">
        <f t="shared" si="135"/>
        <v>1.1717660554986746</v>
      </c>
      <c r="AB518" s="226">
        <f t="shared" si="135"/>
        <v>1.0819247829791185</v>
      </c>
      <c r="AC518" s="226">
        <f t="shared" si="135"/>
        <v>0.99897179179358542</v>
      </c>
      <c r="AD518" s="226">
        <f t="shared" si="135"/>
        <v>0.92237894583707591</v>
      </c>
      <c r="AE518" s="226">
        <f t="shared" si="133"/>
        <v>0.85165860208724509</v>
      </c>
      <c r="AF518" s="226">
        <f t="shared" si="133"/>
        <v>0.78636050593171014</v>
      </c>
      <c r="AG518" s="226">
        <f t="shared" si="133"/>
        <v>0.72606892453583083</v>
      </c>
      <c r="AH518" s="227">
        <v>0.6704</v>
      </c>
      <c r="AI518" s="226">
        <f t="shared" si="136"/>
        <v>0.6189993054548093</v>
      </c>
      <c r="AJ518" s="226">
        <f t="shared" si="136"/>
        <v>0.57153958853451114</v>
      </c>
      <c r="AK518" s="226">
        <f t="shared" si="136"/>
        <v>0.5277186878621567</v>
      </c>
      <c r="AL518" s="226">
        <f t="shared" si="136"/>
        <v>0.48725760928132206</v>
      </c>
      <c r="AM518" s="226">
        <f t="shared" si="136"/>
        <v>0.44989874958638004</v>
      </c>
      <c r="AN518" s="226">
        <f t="shared" si="136"/>
        <v>0.4154042564423574</v>
      </c>
      <c r="AO518" s="226">
        <f t="shared" si="136"/>
        <v>0.38355451405249213</v>
      </c>
      <c r="AP518" s="226">
        <f t="shared" si="136"/>
        <v>0.35414674493220394</v>
      </c>
      <c r="AQ518" s="226">
        <f t="shared" si="136"/>
        <v>0.32699371888740414</v>
      </c>
      <c r="AR518" s="226">
        <f t="shared" si="136"/>
        <v>0.30192256097760789</v>
      </c>
      <c r="AS518" s="226">
        <f t="shared" si="136"/>
        <v>0.27877365087451761</v>
      </c>
      <c r="AT518" s="226">
        <f t="shared" si="136"/>
        <v>0.25739960660863348</v>
      </c>
      <c r="AU518" s="226">
        <f t="shared" si="136"/>
        <v>0.23766434623371907</v>
      </c>
      <c r="AV518" s="226">
        <f t="shared" si="136"/>
        <v>0.21944222143502898</v>
      </c>
      <c r="AW518" s="226">
        <f t="shared" si="136"/>
        <v>0.2026172175652497</v>
      </c>
      <c r="AX518" s="226">
        <f t="shared" si="136"/>
        <v>0.18708221501502917</v>
      </c>
      <c r="AY518" s="226">
        <f t="shared" si="134"/>
        <v>0.1727383072154689</v>
      </c>
      <c r="AZ518" s="226">
        <f t="shared" si="134"/>
        <v>0.15949417093051121</v>
      </c>
      <c r="BA518" s="226">
        <f t="shared" si="134"/>
        <v>0.14726548483006724</v>
      </c>
      <c r="BB518" s="226">
        <f t="shared" si="137"/>
        <v>0.13597439264212019</v>
      </c>
      <c r="BC518" s="226">
        <f t="shared" si="137"/>
        <v>0.12554900746585909</v>
      </c>
      <c r="BD518" s="226">
        <f t="shared" si="137"/>
        <v>0.1159229540899574</v>
      </c>
      <c r="BE518" s="226">
        <f t="shared" si="137"/>
        <v>0.10703494640207842</v>
      </c>
    </row>
    <row r="519" spans="4:57" s="10" customFormat="1" x14ac:dyDescent="0.35">
      <c r="D519" s="169"/>
      <c r="E519" s="10" t="s">
        <v>621</v>
      </c>
      <c r="F519" s="10" t="s">
        <v>615</v>
      </c>
      <c r="G519" s="43" t="s">
        <v>616</v>
      </c>
      <c r="I519" s="20"/>
      <c r="J519" s="200"/>
      <c r="K519" s="200"/>
      <c r="L519" s="200"/>
      <c r="M519" s="200"/>
      <c r="N519" s="200">
        <v>3.0537000000000001</v>
      </c>
      <c r="O519" s="226">
        <f t="shared" si="135"/>
        <v>2.8189132090794522</v>
      </c>
      <c r="P519" s="226">
        <f t="shared" si="135"/>
        <v>2.6021782363436534</v>
      </c>
      <c r="Q519" s="226">
        <f t="shared" si="135"/>
        <v>2.4021071496244546</v>
      </c>
      <c r="R519" s="226">
        <f t="shared" si="135"/>
        <v>2.2174187293121679</v>
      </c>
      <c r="S519" s="226">
        <f t="shared" si="135"/>
        <v>2.0469302636533531</v>
      </c>
      <c r="T519" s="226">
        <f t="shared" si="135"/>
        <v>1.8895499748753717</v>
      </c>
      <c r="U519" s="226">
        <f t="shared" si="135"/>
        <v>1.7442700276359604</v>
      </c>
      <c r="V519" s="226">
        <f t="shared" si="135"/>
        <v>1.6101600750251792</v>
      </c>
      <c r="W519" s="226">
        <f t="shared" si="135"/>
        <v>1.4863613007894814</v>
      </c>
      <c r="X519" s="226">
        <f t="shared" si="135"/>
        <v>1.3720809196253678</v>
      </c>
      <c r="Y519" s="226">
        <f t="shared" si="135"/>
        <v>1.2665871003234868</v>
      </c>
      <c r="Z519" s="226">
        <f t="shared" si="135"/>
        <v>1.1692042792518971</v>
      </c>
      <c r="AA519" s="226">
        <f t="shared" si="135"/>
        <v>1.0793088341668773</v>
      </c>
      <c r="AB519" s="226">
        <f t="shared" si="135"/>
        <v>0.99632509064713437</v>
      </c>
      <c r="AC519" s="226">
        <f t="shared" si="135"/>
        <v>0.919721635577329</v>
      </c>
      <c r="AD519" s="226">
        <f t="shared" si="135"/>
        <v>0.84900791407312137</v>
      </c>
      <c r="AE519" s="226">
        <f t="shared" si="133"/>
        <v>0.78373108805505265</v>
      </c>
      <c r="AF519" s="226">
        <f t="shared" si="133"/>
        <v>0.72347313635412747</v>
      </c>
      <c r="AG519" s="226">
        <f t="shared" si="133"/>
        <v>0.66784817777869121</v>
      </c>
      <c r="AH519" s="227">
        <v>0.61650000000000005</v>
      </c>
      <c r="AI519" s="226">
        <f t="shared" si="136"/>
        <v>0.56909977843189652</v>
      </c>
      <c r="AJ519" s="226">
        <f t="shared" si="136"/>
        <v>0.52534397049672943</v>
      </c>
      <c r="AK519" s="226">
        <f t="shared" si="136"/>
        <v>0.48495237179273554</v>
      </c>
      <c r="AL519" s="226">
        <f t="shared" si="136"/>
        <v>0.44766632171495291</v>
      </c>
      <c r="AM519" s="226">
        <f t="shared" si="136"/>
        <v>0.41324704703877013</v>
      </c>
      <c r="AN519" s="226">
        <f t="shared" si="136"/>
        <v>0.3814741328587179</v>
      </c>
      <c r="AO519" s="226">
        <f t="shared" si="136"/>
        <v>0.35214411109066696</v>
      </c>
      <c r="AP519" s="226">
        <f t="shared" si="136"/>
        <v>0.32506915749845205</v>
      </c>
      <c r="AQ519" s="226">
        <f t="shared" si="136"/>
        <v>0.30007588890091214</v>
      </c>
      <c r="AR519" s="226">
        <f t="shared" si="136"/>
        <v>0.27700425285687508</v>
      </c>
      <c r="AS519" s="226">
        <f t="shared" si="136"/>
        <v>0.25570650271782747</v>
      </c>
      <c r="AT519" s="226">
        <f t="shared" si="136"/>
        <v>0.23604625148468894</v>
      </c>
      <c r="AU519" s="226">
        <f t="shared" si="136"/>
        <v>0.21789759840975861</v>
      </c>
      <c r="AV519" s="226">
        <f t="shared" si="136"/>
        <v>0.20114432275074773</v>
      </c>
      <c r="AW519" s="226">
        <f t="shared" si="136"/>
        <v>0.18567913951384332</v>
      </c>
      <c r="AX519" s="226">
        <f t="shared" si="136"/>
        <v>0.17140301241971359</v>
      </c>
      <c r="AY519" s="226">
        <f t="shared" si="134"/>
        <v>0.15822451969281201</v>
      </c>
      <c r="AZ519" s="226">
        <f t="shared" si="134"/>
        <v>0.14605926861260754</v>
      </c>
      <c r="BA519" s="226">
        <f t="shared" si="134"/>
        <v>0.13482935507763147</v>
      </c>
      <c r="BB519" s="226">
        <f t="shared" si="137"/>
        <v>0.1244628647214851</v>
      </c>
      <c r="BC519" s="226">
        <f t="shared" si="137"/>
        <v>0.11489341238604424</v>
      </c>
      <c r="BD519" s="226">
        <f t="shared" si="137"/>
        <v>0.10605971700272876</v>
      </c>
      <c r="BE519" s="226">
        <f t="shared" si="137"/>
        <v>9.790520915945268E-2</v>
      </c>
    </row>
    <row r="520" spans="4:57" s="10" customFormat="1" x14ac:dyDescent="0.35">
      <c r="D520" s="169"/>
      <c r="E520" s="10" t="s">
        <v>622</v>
      </c>
      <c r="F520" s="10" t="s">
        <v>615</v>
      </c>
      <c r="G520" s="43" t="s">
        <v>616</v>
      </c>
      <c r="I520" s="20"/>
      <c r="J520" s="200"/>
      <c r="K520" s="200"/>
      <c r="L520" s="200"/>
      <c r="M520" s="200"/>
      <c r="N520" s="200">
        <v>2.8212999999999999</v>
      </c>
      <c r="O520" s="226">
        <f t="shared" si="135"/>
        <v>2.6037670587217274</v>
      </c>
      <c r="P520" s="226">
        <f t="shared" si="135"/>
        <v>2.4030067330962308</v>
      </c>
      <c r="Q520" s="226">
        <f t="shared" si="135"/>
        <v>2.2177257907781804</v>
      </c>
      <c r="R520" s="226">
        <f t="shared" si="135"/>
        <v>2.0467307125459255</v>
      </c>
      <c r="S520" s="226">
        <f t="shared" si="135"/>
        <v>1.8889200040410909</v>
      </c>
      <c r="T520" s="226">
        <f t="shared" si="135"/>
        <v>1.7432771003022383</v>
      </c>
      <c r="U520" s="226">
        <f t="shared" si="135"/>
        <v>1.6088638173859218</v>
      </c>
      <c r="V520" s="226">
        <f t="shared" si="135"/>
        <v>1.4848143088926211</v>
      </c>
      <c r="W520" s="226">
        <f t="shared" si="135"/>
        <v>1.3703294884674706</v>
      </c>
      <c r="X520" s="226">
        <f t="shared" si="135"/>
        <v>1.2646718823473559</v>
      </c>
      <c r="Y520" s="226">
        <f t="shared" si="135"/>
        <v>1.167160878796174</v>
      </c>
      <c r="Z520" s="226">
        <f t="shared" si="135"/>
        <v>1.0771683438266688</v>
      </c>
      <c r="AA520" s="226">
        <f t="shared" si="135"/>
        <v>0.99411457496675992</v>
      </c>
      <c r="AB520" s="226">
        <f t="shared" si="135"/>
        <v>0.91746456700584866</v>
      </c>
      <c r="AC520" s="226">
        <f t="shared" si="135"/>
        <v>0.84672456566626086</v>
      </c>
      <c r="AD520" s="226">
        <f t="shared" si="135"/>
        <v>0.78143888699970665</v>
      </c>
      <c r="AE520" s="226">
        <f t="shared" si="133"/>
        <v>0.72118698202034759</v>
      </c>
      <c r="AF520" s="226">
        <f t="shared" si="133"/>
        <v>0.66558072766579934</v>
      </c>
      <c r="AG520" s="226">
        <f t="shared" si="133"/>
        <v>0.61426192663532608</v>
      </c>
      <c r="AH520" s="227">
        <v>0.56689999999999996</v>
      </c>
      <c r="AI520" s="226">
        <f t="shared" si="136"/>
        <v>0.52318985772138626</v>
      </c>
      <c r="AJ520" s="226">
        <f t="shared" si="136"/>
        <v>0.48284993336130616</v>
      </c>
      <c r="AK520" s="226">
        <f t="shared" si="136"/>
        <v>0.44562037032295404</v>
      </c>
      <c r="AL520" s="226">
        <f t="shared" si="136"/>
        <v>0.41126134793970331</v>
      </c>
      <c r="AM520" s="226">
        <f t="shared" si="136"/>
        <v>0.37955153662882157</v>
      </c>
      <c r="AN520" s="226">
        <f t="shared" si="136"/>
        <v>0.35028667215869946</v>
      </c>
      <c r="AO520" s="226">
        <f t="shared" si="136"/>
        <v>0.32327823984548931</v>
      </c>
      <c r="AP520" s="226">
        <f t="shared" si="136"/>
        <v>0.29835226020317829</v>
      </c>
      <c r="AQ520" s="226">
        <f t="shared" si="136"/>
        <v>0.27534816822465141</v>
      </c>
      <c r="AR520" s="226">
        <f t="shared" si="136"/>
        <v>0.25411777907443944</v>
      </c>
      <c r="AS520" s="226">
        <f t="shared" si="136"/>
        <v>0.23452433353048274</v>
      </c>
      <c r="AT520" s="226">
        <f t="shared" si="136"/>
        <v>0.21644161702595913</v>
      </c>
      <c r="AU520" s="226">
        <f t="shared" si="136"/>
        <v>0.19975314661633153</v>
      </c>
      <c r="AV520" s="226">
        <f t="shared" si="136"/>
        <v>0.18435142063432303</v>
      </c>
      <c r="AW520" s="226">
        <f t="shared" si="136"/>
        <v>0.17013722619934188</v>
      </c>
      <c r="AX520" s="226">
        <f t="shared" si="136"/>
        <v>0.15701900012055919</v>
      </c>
      <c r="AY520" s="226">
        <f t="shared" si="134"/>
        <v>0.14491223907678552</v>
      </c>
      <c r="AZ520" s="226">
        <f t="shared" si="134"/>
        <v>0.13373895527371837</v>
      </c>
      <c r="BA520" s="226">
        <f t="shared" si="134"/>
        <v>0.12342717407208249</v>
      </c>
      <c r="BB520" s="226">
        <f t="shared" si="137"/>
        <v>0.11391047035054794</v>
      </c>
      <c r="BC520" s="226">
        <f t="shared" si="137"/>
        <v>0.10512754061682726</v>
      </c>
      <c r="BD520" s="226">
        <f t="shared" si="137"/>
        <v>9.7021808110631713E-2</v>
      </c>
      <c r="BE520" s="226">
        <f t="shared" si="137"/>
        <v>8.9541058354688757E-2</v>
      </c>
    </row>
    <row r="521" spans="4:57" s="10" customFormat="1" x14ac:dyDescent="0.35">
      <c r="D521" s="169"/>
      <c r="E521" s="109" t="s">
        <v>623</v>
      </c>
      <c r="F521" s="10" t="s">
        <v>615</v>
      </c>
      <c r="G521" s="43" t="s">
        <v>616</v>
      </c>
      <c r="I521" s="20"/>
      <c r="J521" s="200"/>
      <c r="K521" s="200"/>
      <c r="L521" s="200"/>
      <c r="M521" s="200"/>
      <c r="N521" s="200">
        <v>2.5832999999999999</v>
      </c>
      <c r="O521" s="226">
        <f t="shared" si="135"/>
        <v>2.3807717850213028</v>
      </c>
      <c r="P521" s="226">
        <f t="shared" si="135"/>
        <v>2.1941215857056946</v>
      </c>
      <c r="Q521" s="226">
        <f t="shared" si="135"/>
        <v>2.0221045810220719</v>
      </c>
      <c r="R521" s="226">
        <f t="shared" si="135"/>
        <v>1.8635735427010693</v>
      </c>
      <c r="S521" s="226">
        <f t="shared" si="135"/>
        <v>1.7174711840571744</v>
      </c>
      <c r="T521" s="226">
        <f t="shared" si="135"/>
        <v>1.5828231086557698</v>
      </c>
      <c r="U521" s="226">
        <f t="shared" si="135"/>
        <v>1.458731311797842</v>
      </c>
      <c r="V521" s="226">
        <f t="shared" si="135"/>
        <v>1.3443681914819863</v>
      </c>
      <c r="W521" s="226">
        <f t="shared" si="135"/>
        <v>1.2389710289011844</v>
      </c>
      <c r="X521" s="226">
        <f t="shared" si="135"/>
        <v>1.1418369016632808</v>
      </c>
      <c r="Y521" s="226">
        <f t="shared" si="135"/>
        <v>1.0523179958100426</v>
      </c>
      <c r="Z521" s="226">
        <f t="shared" si="135"/>
        <v>0.96981728536937839</v>
      </c>
      <c r="AA521" s="226">
        <f t="shared" si="135"/>
        <v>0.89378455062647366</v>
      </c>
      <c r="AB521" s="226">
        <f t="shared" si="135"/>
        <v>0.82371270855860834</v>
      </c>
      <c r="AC521" s="226">
        <f t="shared" si="135"/>
        <v>0.75913443096032607</v>
      </c>
      <c r="AD521" s="226">
        <f t="shared" si="135"/>
        <v>0.69961902770431106</v>
      </c>
      <c r="AE521" s="226">
        <f t="shared" si="133"/>
        <v>0.64476957435158955</v>
      </c>
      <c r="AF521" s="226">
        <f t="shared" si="133"/>
        <v>0.59422026495430635</v>
      </c>
      <c r="AG521" s="226">
        <f t="shared" si="133"/>
        <v>0.54763397239619693</v>
      </c>
      <c r="AH521" s="227">
        <v>0.50470000000000004</v>
      </c>
      <c r="AI521" s="226">
        <f t="shared" si="136"/>
        <v>0.46513200940667043</v>
      </c>
      <c r="AJ521" s="226">
        <f t="shared" si="136"/>
        <v>0.42866611090684947</v>
      </c>
      <c r="AK521" s="226">
        <f t="shared" si="136"/>
        <v>0.39505910348849915</v>
      </c>
      <c r="AL521" s="226">
        <f t="shared" si="136"/>
        <v>0.36408685286309367</v>
      </c>
      <c r="AM521" s="226">
        <f t="shared" si="136"/>
        <v>0.33554279665298498</v>
      </c>
      <c r="AN521" s="226">
        <f t="shared" si="136"/>
        <v>0.3092365667706295</v>
      </c>
      <c r="AO521" s="226">
        <f t="shared" si="136"/>
        <v>0.28499271980194751</v>
      </c>
      <c r="AP521" s="226">
        <f t="shared" si="136"/>
        <v>0.26264956692639596</v>
      </c>
      <c r="AQ521" s="226">
        <f t="shared" si="136"/>
        <v>0.24205809557017299</v>
      </c>
      <c r="AR521" s="226">
        <f t="shared" si="136"/>
        <v>0.22308097560076567</v>
      </c>
      <c r="AS521" s="226">
        <f t="shared" si="136"/>
        <v>0.20559164343488123</v>
      </c>
      <c r="AT521" s="226">
        <f t="shared" si="136"/>
        <v>0.18947345795142859</v>
      </c>
      <c r="AU521" s="226">
        <f t="shared" si="136"/>
        <v>0.17461892258010353</v>
      </c>
      <c r="AV521" s="226">
        <f t="shared" si="136"/>
        <v>0.16092896837747447</v>
      </c>
      <c r="AW521" s="226">
        <f t="shared" si="136"/>
        <v>0.14831229330920789</v>
      </c>
      <c r="AX521" s="226">
        <f t="shared" si="136"/>
        <v>0.13668475333192659</v>
      </c>
      <c r="AY521" s="226">
        <f t="shared" si="134"/>
        <v>0.1259688012136598</v>
      </c>
      <c r="AZ521" s="226">
        <f t="shared" si="134"/>
        <v>0.11609296935022589</v>
      </c>
      <c r="BA521" s="226">
        <f t="shared" si="134"/>
        <v>0.10699139312830903</v>
      </c>
      <c r="BB521" s="226">
        <f t="shared" si="137"/>
        <v>9.8603371656408575E-2</v>
      </c>
      <c r="BC521" s="226">
        <f t="shared" si="137"/>
        <v>9.0872962934055973E-2</v>
      </c>
      <c r="BD521" s="226">
        <f t="shared" si="137"/>
        <v>8.3748610759372566E-2</v>
      </c>
      <c r="BE521" s="226">
        <f t="shared" si="137"/>
        <v>7.7182800886713018E-2</v>
      </c>
    </row>
    <row r="522" spans="4:57" s="10" customFormat="1" x14ac:dyDescent="0.35">
      <c r="D522" s="168"/>
      <c r="E522" s="109" t="s">
        <v>624</v>
      </c>
      <c r="F522" s="10" t="s">
        <v>615</v>
      </c>
      <c r="G522" s="43" t="s">
        <v>616</v>
      </c>
      <c r="I522" s="20"/>
      <c r="J522" s="200"/>
      <c r="K522" s="200"/>
      <c r="L522" s="200"/>
      <c r="M522" s="200"/>
      <c r="N522" s="200">
        <v>2.3654999999999999</v>
      </c>
      <c r="O522" s="226">
        <f t="shared" si="135"/>
        <v>2.1769759222669345</v>
      </c>
      <c r="P522" s="226">
        <f t="shared" si="135"/>
        <v>2.0034767136461511</v>
      </c>
      <c r="Q522" s="226">
        <f t="shared" si="135"/>
        <v>1.8438049319087537</v>
      </c>
      <c r="R522" s="226">
        <f t="shared" si="135"/>
        <v>1.696858567796399</v>
      </c>
      <c r="S522" s="226">
        <f t="shared" si="135"/>
        <v>1.5616234392665886</v>
      </c>
      <c r="T522" s="226">
        <f t="shared" si="135"/>
        <v>1.4371661918964465</v>
      </c>
      <c r="U522" s="226">
        <f t="shared" si="135"/>
        <v>1.3226278571357535</v>
      </c>
      <c r="V522" s="226">
        <f t="shared" si="135"/>
        <v>1.2172179239501359</v>
      </c>
      <c r="W522" s="226">
        <f t="shared" si="135"/>
        <v>1.1202088829385715</v>
      </c>
      <c r="X522" s="226">
        <f t="shared" si="135"/>
        <v>1.0309312052702639</v>
      </c>
      <c r="Y522" s="226">
        <f t="shared" si="135"/>
        <v>0.94876872178693528</v>
      </c>
      <c r="Z522" s="226">
        <f t="shared" si="135"/>
        <v>0.87315437037841226</v>
      </c>
      <c r="AA522" s="226">
        <f t="shared" si="135"/>
        <v>0.80356628228110283</v>
      </c>
      <c r="AB522" s="226">
        <f t="shared" si="135"/>
        <v>0.7395241802881064</v>
      </c>
      <c r="AC522" s="226">
        <f t="shared" si="135"/>
        <v>0.68058606401242838</v>
      </c>
      <c r="AD522" s="226">
        <f t="shared" si="135"/>
        <v>0.6263451593259266</v>
      </c>
      <c r="AE522" s="226">
        <f t="shared" si="133"/>
        <v>0.57642711091988552</v>
      </c>
      <c r="AF522" s="226">
        <f t="shared" si="133"/>
        <v>0.53048739861106842</v>
      </c>
      <c r="AG522" s="226">
        <f t="shared" si="133"/>
        <v>0.48820895956132643</v>
      </c>
      <c r="AH522" s="227">
        <v>0.44929999999999998</v>
      </c>
      <c r="AI522" s="226">
        <f t="shared" si="136"/>
        <v>0.41349198134624127</v>
      </c>
      <c r="AJ522" s="226">
        <f t="shared" si="136"/>
        <v>0.38053776683205059</v>
      </c>
      <c r="AK522" s="226">
        <f t="shared" si="136"/>
        <v>0.35020991583453948</v>
      </c>
      <c r="AL522" s="226">
        <f t="shared" si="136"/>
        <v>0.32229911414539086</v>
      </c>
      <c r="AM522" s="226">
        <f t="shared" si="136"/>
        <v>0.29661272934368138</v>
      </c>
      <c r="AN522" s="226">
        <f t="shared" si="136"/>
        <v>0.2729734813016586</v>
      </c>
      <c r="AO522" s="226">
        <f t="shared" si="136"/>
        <v>0.25121821864768296</v>
      </c>
      <c r="AP522" s="226">
        <f t="shared" si="136"/>
        <v>0.2311967927418288</v>
      </c>
      <c r="AQ522" s="226">
        <f t="shared" si="136"/>
        <v>0.21277102139264431</v>
      </c>
      <c r="AR522" s="226">
        <f t="shared" si="136"/>
        <v>0.19581373516293787</v>
      </c>
      <c r="AS522" s="226">
        <f t="shared" si="136"/>
        <v>0.18020789968246459</v>
      </c>
      <c r="AT522" s="226">
        <f t="shared" si="136"/>
        <v>0.16584580790996431</v>
      </c>
      <c r="AU522" s="226">
        <f t="shared" si="136"/>
        <v>0.15262833676977358</v>
      </c>
      <c r="AV522" s="226">
        <f t="shared" si="136"/>
        <v>0.14046426303252849</v>
      </c>
      <c r="AW522" s="226">
        <f t="shared" si="136"/>
        <v>0.12926963371836145</v>
      </c>
      <c r="AX522" s="226">
        <f t="shared" si="136"/>
        <v>0.1189671866772939</v>
      </c>
      <c r="AY522" s="226">
        <f t="shared" si="134"/>
        <v>0.10948581734783533</v>
      </c>
      <c r="AZ522" s="226">
        <f t="shared" si="134"/>
        <v>0.10076008801350791</v>
      </c>
      <c r="BA522" s="226">
        <f t="shared" si="134"/>
        <v>9.2729776170325046E-2</v>
      </c>
      <c r="BB522" s="226">
        <f t="shared" si="137"/>
        <v>8.5339458888184228E-2</v>
      </c>
      <c r="BC522" s="226">
        <f t="shared" si="137"/>
        <v>7.8538130297554853E-2</v>
      </c>
      <c r="BD522" s="226">
        <f t="shared" si="137"/>
        <v>7.2278849561462757E-2</v>
      </c>
      <c r="BE522" s="226">
        <f t="shared" si="137"/>
        <v>6.651841690317413E-2</v>
      </c>
    </row>
    <row r="523" spans="4:57" s="10" customFormat="1" x14ac:dyDescent="0.35">
      <c r="D523" s="169"/>
      <c r="E523" s="109" t="s">
        <v>625</v>
      </c>
      <c r="F523" s="10" t="s">
        <v>615</v>
      </c>
      <c r="G523" s="43" t="s">
        <v>616</v>
      </c>
      <c r="I523" s="20"/>
      <c r="J523" s="200"/>
      <c r="K523" s="200"/>
      <c r="L523" s="200"/>
      <c r="M523" s="200"/>
      <c r="N523" s="200">
        <v>2.1659999999999999</v>
      </c>
      <c r="O523" s="226">
        <f t="shared" si="135"/>
        <v>1.9905749260155425</v>
      </c>
      <c r="P523" s="226">
        <f t="shared" si="135"/>
        <v>1.8293575882187363</v>
      </c>
      <c r="Q523" s="226">
        <f t="shared" si="135"/>
        <v>1.6811972972412201</v>
      </c>
      <c r="R523" s="226">
        <f t="shared" si="135"/>
        <v>1.545036558436506</v>
      </c>
      <c r="S523" s="226">
        <f t="shared" si="135"/>
        <v>1.4199035240078748</v>
      </c>
      <c r="T523" s="226">
        <f t="shared" si="135"/>
        <v>1.3049050564409896</v>
      </c>
      <c r="U523" s="226">
        <f t="shared" si="135"/>
        <v>1.1992203537314545</v>
      </c>
      <c r="V523" s="226">
        <f t="shared" si="135"/>
        <v>1.1020950909073512</v>
      </c>
      <c r="W523" s="226">
        <f t="shared" si="135"/>
        <v>1.0128360360318529</v>
      </c>
      <c r="X523" s="226">
        <f t="shared" si="135"/>
        <v>0.93080610225760896</v>
      </c>
      <c r="Y523" s="226">
        <f t="shared" si="135"/>
        <v>0.85541980061692313</v>
      </c>
      <c r="Z523" s="226">
        <f t="shared" si="135"/>
        <v>0.78613906109199538</v>
      </c>
      <c r="AA523" s="226">
        <f t="shared" si="135"/>
        <v>0.72246939213810102</v>
      </c>
      <c r="AB523" s="226">
        <f t="shared" si="135"/>
        <v>0.66395635124828922</v>
      </c>
      <c r="AC523" s="226">
        <f t="shared" si="135"/>
        <v>0.61018230136824236</v>
      </c>
      <c r="AD523" s="226">
        <f t="shared" si="135"/>
        <v>0.56076343001019513</v>
      </c>
      <c r="AE523" s="226">
        <f t="shared" si="133"/>
        <v>0.51534700978982739</v>
      </c>
      <c r="AF523" s="226">
        <f t="shared" si="133"/>
        <v>0.47360888083320257</v>
      </c>
      <c r="AG523" s="226">
        <f t="shared" si="133"/>
        <v>0.43525113708442115</v>
      </c>
      <c r="AH523" s="227">
        <v>0.4</v>
      </c>
      <c r="AI523" s="226">
        <f t="shared" si="136"/>
        <v>0.36760386445347049</v>
      </c>
      <c r="AJ523" s="226">
        <f t="shared" si="136"/>
        <v>0.33783150290281377</v>
      </c>
      <c r="AK523" s="226">
        <f t="shared" si="136"/>
        <v>0.31047041500299544</v>
      </c>
      <c r="AL523" s="226">
        <f t="shared" si="136"/>
        <v>0.28532531088393465</v>
      </c>
      <c r="AM523" s="226">
        <f t="shared" si="136"/>
        <v>0.26221671726830559</v>
      </c>
      <c r="AN523" s="226">
        <f t="shared" si="136"/>
        <v>0.24097969648033049</v>
      </c>
      <c r="AO523" s="226">
        <f t="shared" si="136"/>
        <v>0.22146266920248467</v>
      </c>
      <c r="AP523" s="226">
        <f t="shared" si="136"/>
        <v>0.20352633257753486</v>
      </c>
      <c r="AQ523" s="226">
        <f t="shared" si="136"/>
        <v>0.18704266593386021</v>
      </c>
      <c r="AR523" s="226">
        <f t="shared" si="136"/>
        <v>0.17189401703741627</v>
      </c>
      <c r="AS523" s="226">
        <f t="shared" si="136"/>
        <v>0.15797226234846229</v>
      </c>
      <c r="AT523" s="226">
        <f t="shared" si="136"/>
        <v>0.14517803528938053</v>
      </c>
      <c r="AU523" s="226">
        <f t="shared" si="136"/>
        <v>0.13342001701534648</v>
      </c>
      <c r="AV523" s="226">
        <f t="shared" si="136"/>
        <v>0.12261428462572288</v>
      </c>
      <c r="AW523" s="226">
        <f t="shared" si="136"/>
        <v>0.11268371216403371</v>
      </c>
      <c r="AX523" s="226">
        <f t="shared" si="136"/>
        <v>0.10355742013115332</v>
      </c>
      <c r="AY523" s="226">
        <f t="shared" si="134"/>
        <v>9.5170269582608949E-2</v>
      </c>
      <c r="AZ523" s="226">
        <f t="shared" si="134"/>
        <v>8.746239719911407E-2</v>
      </c>
      <c r="BA523" s="226">
        <f t="shared" si="134"/>
        <v>8.037878801189681E-2</v>
      </c>
      <c r="BB523" s="226">
        <f t="shared" si="137"/>
        <v>7.3868882733148886E-2</v>
      </c>
      <c r="BC523" s="226">
        <f t="shared" si="137"/>
        <v>6.7886216888914427E-2</v>
      </c>
      <c r="BD523" s="226">
        <f t="shared" si="137"/>
        <v>6.2388089178728498E-2</v>
      </c>
      <c r="BE523" s="226">
        <f t="shared" si="137"/>
        <v>5.7335256694920851E-2</v>
      </c>
    </row>
    <row r="524" spans="4:57" s="10" customFormat="1" x14ac:dyDescent="0.35">
      <c r="D524" s="169"/>
      <c r="E524" s="10" t="s">
        <v>626</v>
      </c>
      <c r="F524" s="10" t="s">
        <v>615</v>
      </c>
      <c r="G524" s="43" t="s">
        <v>616</v>
      </c>
      <c r="I524" s="20"/>
      <c r="J524" s="200"/>
      <c r="K524" s="200"/>
      <c r="L524" s="200"/>
      <c r="M524" s="200"/>
      <c r="N524" s="200">
        <v>1.9833000000000001</v>
      </c>
      <c r="O524" s="226">
        <f t="shared" si="135"/>
        <v>1.8201098080995568</v>
      </c>
      <c r="P524" s="226">
        <f t="shared" si="135"/>
        <v>1.6703472563607147</v>
      </c>
      <c r="Q524" s="226">
        <f t="shared" si="135"/>
        <v>1.5329074896557866</v>
      </c>
      <c r="R524" s="226">
        <f t="shared" si="135"/>
        <v>1.4067765627145501</v>
      </c>
      <c r="S524" s="226">
        <f t="shared" si="135"/>
        <v>1.2910239598655442</v>
      </c>
      <c r="T524" s="226">
        <f t="shared" si="135"/>
        <v>1.1847957302691501</v>
      </c>
      <c r="U524" s="226">
        <f t="shared" si="135"/>
        <v>1.0873081879984656</v>
      </c>
      <c r="V524" s="226">
        <f t="shared" si="135"/>
        <v>0.99784213049108261</v>
      </c>
      <c r="W524" s="226">
        <f t="shared" si="135"/>
        <v>0.91573753271909308</v>
      </c>
      <c r="X524" s="226">
        <f t="shared" si="135"/>
        <v>0.84038867793420569</v>
      </c>
      <c r="Y524" s="226">
        <f t="shared" si="135"/>
        <v>0.77123968906563167</v>
      </c>
      <c r="Z524" s="226">
        <f t="shared" si="135"/>
        <v>0.70778042780416917</v>
      </c>
      <c r="AA524" s="226">
        <f t="shared" si="135"/>
        <v>0.64954273111847349</v>
      </c>
      <c r="AB524" s="226">
        <f t="shared" si="135"/>
        <v>0.59609695743886792</v>
      </c>
      <c r="AC524" s="226">
        <f t="shared" si="135"/>
        <v>0.54704881702858243</v>
      </c>
      <c r="AD524" s="226">
        <f t="shared" si="135"/>
        <v>0.50203646315886796</v>
      </c>
      <c r="AE524" s="226">
        <f t="shared" si="133"/>
        <v>0.4607278226284815</v>
      </c>
      <c r="AF524" s="226">
        <f t="shared" si="133"/>
        <v>0.42281814593377304</v>
      </c>
      <c r="AG524" s="226">
        <f t="shared" si="133"/>
        <v>0.38802775901604902</v>
      </c>
      <c r="AH524" s="227">
        <v>0.35610000000000003</v>
      </c>
      <c r="AI524" s="226">
        <f t="shared" si="136"/>
        <v>0.32679932570173559</v>
      </c>
      <c r="AJ524" s="226">
        <f t="shared" si="136"/>
        <v>0.29990957393740258</v>
      </c>
      <c r="AK524" s="226">
        <f t="shared" si="136"/>
        <v>0.27523236881279972</v>
      </c>
      <c r="AL524" s="226">
        <f t="shared" si="136"/>
        <v>0.25258565722918941</v>
      </c>
      <c r="AM524" s="226">
        <f t="shared" si="136"/>
        <v>0.23180236580856167</v>
      </c>
      <c r="AN524" s="226">
        <f t="shared" si="136"/>
        <v>0.21272916832997754</v>
      </c>
      <c r="AO524" s="226">
        <f t="shared" si="136"/>
        <v>0.19522535458390244</v>
      </c>
      <c r="AP524" s="226">
        <f t="shared" si="136"/>
        <v>0.1791617922996393</v>
      </c>
      <c r="AQ524" s="226">
        <f t="shared" si="136"/>
        <v>0.16441997448760609</v>
      </c>
      <c r="AR524" s="226">
        <f t="shared" si="136"/>
        <v>0.15089114516834101</v>
      </c>
      <c r="AS524" s="226">
        <f t="shared" si="136"/>
        <v>0.13847549703840645</v>
      </c>
      <c r="AT524" s="226">
        <f t="shared" si="136"/>
        <v>0.12708143515406883</v>
      </c>
      <c r="AU524" s="226">
        <f t="shared" si="136"/>
        <v>0.11662490120066984</v>
      </c>
      <c r="AV524" s="226">
        <f t="shared" si="136"/>
        <v>0.10702875336256792</v>
      </c>
      <c r="AW524" s="226">
        <f t="shared" si="136"/>
        <v>9.8222197218715418E-2</v>
      </c>
      <c r="AX524" s="226">
        <f t="shared" si="136"/>
        <v>9.0140263465372336E-2</v>
      </c>
      <c r="AY524" s="226">
        <f t="shared" si="134"/>
        <v>8.2723328612919034E-2</v>
      </c>
      <c r="AZ524" s="226">
        <f t="shared" si="134"/>
        <v>7.5916675120766719E-2</v>
      </c>
      <c r="BA524" s="226">
        <f t="shared" si="134"/>
        <v>6.9670087725313926E-2</v>
      </c>
      <c r="BB524" s="226">
        <f t="shared" si="137"/>
        <v>6.3937482982907481E-2</v>
      </c>
      <c r="BC524" s="226">
        <f t="shared" si="137"/>
        <v>5.8676569294805837E-2</v>
      </c>
      <c r="BD524" s="226">
        <f t="shared" si="137"/>
        <v>5.3848534906019964E-2</v>
      </c>
      <c r="BE524" s="226">
        <f t="shared" si="137"/>
        <v>4.941776157628109E-2</v>
      </c>
    </row>
    <row r="525" spans="4:57" s="10" customFormat="1" x14ac:dyDescent="0.35">
      <c r="D525" s="169"/>
      <c r="E525" s="10" t="s">
        <v>627</v>
      </c>
      <c r="F525" s="10" t="s">
        <v>615</v>
      </c>
      <c r="G525" s="43" t="s">
        <v>616</v>
      </c>
      <c r="I525" s="20"/>
      <c r="J525" s="200"/>
      <c r="K525" s="200"/>
      <c r="L525" s="200"/>
      <c r="M525" s="200"/>
      <c r="N525" s="200">
        <v>1.8160000000000001</v>
      </c>
      <c r="O525" s="226">
        <f t="shared" si="135"/>
        <v>1.6642549757813874</v>
      </c>
      <c r="P525" s="226">
        <f t="shared" si="135"/>
        <v>1.5251897711525915</v>
      </c>
      <c r="Q525" s="226">
        <f t="shared" si="135"/>
        <v>1.3977448599402951</v>
      </c>
      <c r="R525" s="226">
        <f t="shared" si="135"/>
        <v>1.2809492500156907</v>
      </c>
      <c r="S525" s="226">
        <f t="shared" si="135"/>
        <v>1.1739130853865911</v>
      </c>
      <c r="T525" s="226">
        <f t="shared" si="135"/>
        <v>1.0758208664589839</v>
      </c>
      <c r="U525" s="226">
        <f t="shared" si="135"/>
        <v>0.98592523681377053</v>
      </c>
      <c r="V525" s="226">
        <f t="shared" si="135"/>
        <v>0.9035412891606609</v>
      </c>
      <c r="W525" s="226">
        <f t="shared" si="135"/>
        <v>0.82804134708676169</v>
      </c>
      <c r="X525" s="226">
        <f t="shared" si="135"/>
        <v>0.7588501828424371</v>
      </c>
      <c r="Y525" s="226">
        <f t="shared" si="135"/>
        <v>0.69544063472915274</v>
      </c>
      <c r="Z525" s="226">
        <f t="shared" si="135"/>
        <v>0.63732959069854556</v>
      </c>
      <c r="AA525" s="226">
        <f t="shared" si="135"/>
        <v>0.58407430756209766</v>
      </c>
      <c r="AB525" s="226">
        <f t="shared" si="135"/>
        <v>0.53526903776778045</v>
      </c>
      <c r="AC525" s="226">
        <f t="shared" si="135"/>
        <v>0.49054193804336121</v>
      </c>
      <c r="AD525" s="226">
        <f t="shared" si="135"/>
        <v>0.44955223635358421</v>
      </c>
      <c r="AE525" s="226">
        <f t="shared" si="133"/>
        <v>0.41198763558651036</v>
      </c>
      <c r="AF525" s="226">
        <f t="shared" si="133"/>
        <v>0.37756193418791784</v>
      </c>
      <c r="AG525" s="226">
        <f t="shared" si="133"/>
        <v>0.34601284561557649</v>
      </c>
      <c r="AH525" s="227">
        <v>0.31709999999999999</v>
      </c>
      <c r="AI525" s="226">
        <f t="shared" si="136"/>
        <v>0.29060311278649664</v>
      </c>
      <c r="AJ525" s="226">
        <f t="shared" si="136"/>
        <v>0.26632030640555437</v>
      </c>
      <c r="AK525" s="226">
        <f t="shared" si="136"/>
        <v>0.24406657218450856</v>
      </c>
      <c r="AL525" s="226">
        <f t="shared" si="136"/>
        <v>0.22367236078192484</v>
      </c>
      <c r="AM525" s="226">
        <f t="shared" si="136"/>
        <v>0.20498229040533483</v>
      </c>
      <c r="AN525" s="226">
        <f t="shared" si="136"/>
        <v>0.18785396297034351</v>
      </c>
      <c r="AO525" s="226">
        <f t="shared" si="136"/>
        <v>0.1721568791815235</v>
      </c>
      <c r="AP525" s="226">
        <f t="shared" si="136"/>
        <v>0.15777144426918813</v>
      </c>
      <c r="AQ525" s="226">
        <f t="shared" si="136"/>
        <v>0.1445880568068349</v>
      </c>
      <c r="AR525" s="226">
        <f t="shared" si="136"/>
        <v>0.13250627366703571</v>
      </c>
      <c r="AS525" s="226">
        <f t="shared" si="136"/>
        <v>0.12143404475364229</v>
      </c>
      <c r="AT525" s="226">
        <f t="shared" si="136"/>
        <v>0.11128701167979563</v>
      </c>
      <c r="AU525" s="226">
        <f t="shared" si="136"/>
        <v>0.10198786504842579</v>
      </c>
      <c r="AV525" s="226">
        <f t="shared" si="136"/>
        <v>9.3465755438415885E-2</v>
      </c>
      <c r="AW525" s="226">
        <f t="shared" si="136"/>
        <v>8.5655753608782983E-2</v>
      </c>
      <c r="AX525" s="226">
        <f t="shared" si="136"/>
        <v>7.8498355808216735E-2</v>
      </c>
      <c r="AY525" s="226">
        <f t="shared" si="134"/>
        <v>7.1939030420970523E-2</v>
      </c>
      <c r="AZ525" s="226">
        <f t="shared" si="134"/>
        <v>6.5927802495037879E-2</v>
      </c>
      <c r="BA525" s="226">
        <f t="shared" si="134"/>
        <v>6.0418872987169248E-2</v>
      </c>
      <c r="BB525" s="226">
        <f t="shared" si="137"/>
        <v>5.5370269823788586E-2</v>
      </c>
      <c r="BC525" s="226">
        <f t="shared" si="137"/>
        <v>5.0743528119272109E-2</v>
      </c>
      <c r="BD525" s="226">
        <f t="shared" si="137"/>
        <v>4.6503397115198977E-2</v>
      </c>
      <c r="BE525" s="226">
        <f t="shared" si="137"/>
        <v>4.2617571607768565E-2</v>
      </c>
    </row>
    <row r="526" spans="4:57" s="10" customFormat="1" x14ac:dyDescent="0.35">
      <c r="D526" s="169"/>
      <c r="E526" s="10" t="s">
        <v>628</v>
      </c>
      <c r="F526" s="10" t="s">
        <v>615</v>
      </c>
      <c r="G526" s="43" t="s">
        <v>616</v>
      </c>
      <c r="I526" s="20"/>
      <c r="J526" s="200"/>
      <c r="K526" s="200"/>
      <c r="L526" s="200"/>
      <c r="M526" s="200"/>
      <c r="N526" s="200">
        <v>1.5686</v>
      </c>
      <c r="O526" s="226">
        <f t="shared" si="135"/>
        <v>1.4294185796283505</v>
      </c>
      <c r="P526" s="226">
        <f t="shared" si="135"/>
        <v>1.3025866860810476</v>
      </c>
      <c r="Q526" s="226">
        <f t="shared" si="135"/>
        <v>1.1870085494458569</v>
      </c>
      <c r="R526" s="226">
        <f t="shared" si="135"/>
        <v>1.0816856271551736</v>
      </c>
      <c r="S526" s="226">
        <f t="shared" si="135"/>
        <v>0.98570797703209856</v>
      </c>
      <c r="T526" s="226">
        <f t="shared" si="135"/>
        <v>0.8982463958036192</v>
      </c>
      <c r="U526" s="226">
        <f t="shared" si="135"/>
        <v>0.81854525516122312</v>
      </c>
      <c r="V526" s="226">
        <f t="shared" si="135"/>
        <v>0.74591597347576266</v>
      </c>
      <c r="W526" s="226">
        <f t="shared" si="135"/>
        <v>0.6797310667651556</v>
      </c>
      <c r="X526" s="226">
        <f t="shared" si="135"/>
        <v>0.61941872751798566</v>
      </c>
      <c r="Y526" s="226">
        <f t="shared" si="135"/>
        <v>0.56445788453650347</v>
      </c>
      <c r="Z526" s="226">
        <f t="shared" si="135"/>
        <v>0.51437370111831715</v>
      </c>
      <c r="AA526" s="226">
        <f t="shared" si="135"/>
        <v>0.46873347268310761</v>
      </c>
      <c r="AB526" s="226">
        <f t="shared" si="135"/>
        <v>0.42714288840172887</v>
      </c>
      <c r="AC526" s="226">
        <f t="shared" si="135"/>
        <v>0.38924262452986763</v>
      </c>
      <c r="AD526" s="226">
        <f t="shared" si="135"/>
        <v>0.35470524001421316</v>
      </c>
      <c r="AE526" s="226">
        <f t="shared" si="133"/>
        <v>0.32323234755058633</v>
      </c>
      <c r="AF526" s="226">
        <f t="shared" si="133"/>
        <v>0.29455203565325544</v>
      </c>
      <c r="AG526" s="226">
        <f t="shared" si="133"/>
        <v>0.26841651946328932</v>
      </c>
      <c r="AH526" s="227">
        <v>0.24460000000000001</v>
      </c>
      <c r="AI526" s="226">
        <f t="shared" si="136"/>
        <v>0.22289671336038158</v>
      </c>
      <c r="AJ526" s="226">
        <f t="shared" si="136"/>
        <v>0.20311915301251066</v>
      </c>
      <c r="AK526" s="226">
        <f t="shared" si="136"/>
        <v>0.18509644982433798</v>
      </c>
      <c r="AL526" s="226">
        <f t="shared" si="136"/>
        <v>0.16867289583205117</v>
      </c>
      <c r="AM526" s="226">
        <f t="shared" si="136"/>
        <v>0.1537065989940401</v>
      </c>
      <c r="AN526" s="226">
        <f t="shared" si="136"/>
        <v>0.14006825730815073</v>
      </c>
      <c r="AO526" s="226">
        <f t="shared" si="136"/>
        <v>0.12764004170115717</v>
      </c>
      <c r="AP526" s="226">
        <f t="shared" si="136"/>
        <v>0.11631457803912502</v>
      </c>
      <c r="AQ526" s="226">
        <f t="shared" si="136"/>
        <v>0.10599401946369821</v>
      </c>
      <c r="AR526" s="226">
        <f t="shared" si="136"/>
        <v>9.6589201039716466E-2</v>
      </c>
      <c r="AS526" s="226">
        <f t="shared" si="136"/>
        <v>8.8018869410702985E-2</v>
      </c>
      <c r="AT526" s="226">
        <f t="shared" si="136"/>
        <v>8.0208980806796087E-2</v>
      </c>
      <c r="AU526" s="226">
        <f t="shared" si="136"/>
        <v>7.309206134023212E-2</v>
      </c>
      <c r="AV526" s="226">
        <f t="shared" si="136"/>
        <v>6.6606624061623654E-2</v>
      </c>
      <c r="AW526" s="226">
        <f t="shared" si="136"/>
        <v>6.0696637740664035E-2</v>
      </c>
      <c r="AX526" s="226">
        <f t="shared" si="136"/>
        <v>5.5311042781764963E-2</v>
      </c>
      <c r="AY526" s="226">
        <f t="shared" si="134"/>
        <v>5.0403310092358412E-2</v>
      </c>
      <c r="AZ526" s="226">
        <f t="shared" si="134"/>
        <v>4.5931039092685366E-2</v>
      </c>
      <c r="BA526" s="226">
        <f t="shared" si="134"/>
        <v>4.1855591394058755E-2</v>
      </c>
      <c r="BB526" s="226">
        <f t="shared" si="137"/>
        <v>3.8141756980747211E-2</v>
      </c>
      <c r="BC526" s="226">
        <f t="shared" si="137"/>
        <v>3.4757450011442946E-2</v>
      </c>
      <c r="BD526" s="226">
        <f t="shared" si="137"/>
        <v>3.1673431612176575E-2</v>
      </c>
      <c r="BE526" s="226">
        <f t="shared" si="137"/>
        <v>2.8863057265735775E-2</v>
      </c>
    </row>
    <row r="527" spans="4:57" s="10" customFormat="1" x14ac:dyDescent="0.35">
      <c r="D527" s="169"/>
      <c r="E527" s="10" t="s">
        <v>629</v>
      </c>
      <c r="F527" s="10" t="s">
        <v>615</v>
      </c>
      <c r="G527" s="43" t="s">
        <v>616</v>
      </c>
      <c r="I527" s="20"/>
      <c r="J527" s="200"/>
      <c r="K527" s="200"/>
      <c r="L527" s="200"/>
      <c r="M527" s="200"/>
      <c r="N527" s="200">
        <v>1.3549</v>
      </c>
      <c r="O527" s="226">
        <f t="shared" si="135"/>
        <v>1.2277557595434341</v>
      </c>
      <c r="P527" s="226">
        <f t="shared" si="135"/>
        <v>1.1125427744424494</v>
      </c>
      <c r="Q527" s="226">
        <f t="shared" si="135"/>
        <v>1.0081414119567118</v>
      </c>
      <c r="R527" s="226">
        <f t="shared" si="135"/>
        <v>0.91353710603299343</v>
      </c>
      <c r="S527" s="226">
        <f t="shared" si="135"/>
        <v>0.82781049781433946</v>
      </c>
      <c r="T527" s="226">
        <f t="shared" si="135"/>
        <v>0.75012850136694409</v>
      </c>
      <c r="U527" s="226">
        <f t="shared" si="135"/>
        <v>0.67973620780201516</v>
      </c>
      <c r="V527" s="226">
        <f t="shared" si="135"/>
        <v>0.61594954911737887</v>
      </c>
      <c r="W527" s="226">
        <f t="shared" si="135"/>
        <v>0.55814865046648698</v>
      </c>
      <c r="X527" s="226">
        <f t="shared" si="135"/>
        <v>0.50577180625258278</v>
      </c>
      <c r="Y527" s="226">
        <f t="shared" si="135"/>
        <v>0.45831002150807759</v>
      </c>
      <c r="Z527" s="226">
        <f t="shared" si="135"/>
        <v>0.4153020655125968</v>
      </c>
      <c r="AA527" s="226">
        <f t="shared" si="135"/>
        <v>0.37632998958105784</v>
      </c>
      <c r="AB527" s="226">
        <f t="shared" si="135"/>
        <v>0.3410150654639193</v>
      </c>
      <c r="AC527" s="226">
        <f t="shared" si="135"/>
        <v>0.30901410488922293</v>
      </c>
      <c r="AD527" s="226">
        <f t="shared" si="135"/>
        <v>0.28001612447996332</v>
      </c>
      <c r="AE527" s="226">
        <f t="shared" si="133"/>
        <v>0.25373932363665669</v>
      </c>
      <c r="AF527" s="226">
        <f t="shared" si="133"/>
        <v>0.22992834601635592</v>
      </c>
      <c r="AG527" s="226">
        <f t="shared" si="133"/>
        <v>0.20835179799533293</v>
      </c>
      <c r="AH527" s="227">
        <v>0.1888</v>
      </c>
      <c r="AI527" s="226">
        <f t="shared" si="136"/>
        <v>0.17108294885364259</v>
      </c>
      <c r="AJ527" s="226">
        <f t="shared" si="136"/>
        <v>0.15502847133717207</v>
      </c>
      <c r="AK527" s="226">
        <f t="shared" si="136"/>
        <v>0.14048055102031676</v>
      </c>
      <c r="AL527" s="226">
        <f t="shared" si="136"/>
        <v>0.12729781210349778</v>
      </c>
      <c r="AM527" s="226">
        <f t="shared" si="136"/>
        <v>0.11535214553645823</v>
      </c>
      <c r="AN527" s="226">
        <f t="shared" si="136"/>
        <v>0.10452746406235074</v>
      </c>
      <c r="AO527" s="226">
        <f t="shared" si="136"/>
        <v>9.4718574088877724E-2</v>
      </c>
      <c r="AP527" s="226">
        <f t="shared" si="136"/>
        <v>8.5830153423397379E-2</v>
      </c>
      <c r="AQ527" s="226">
        <f t="shared" si="136"/>
        <v>7.7775824937687449E-2</v>
      </c>
      <c r="AR527" s="226">
        <f t="shared" si="136"/>
        <v>7.0477317160297884E-2</v>
      </c>
      <c r="AS527" s="226">
        <f t="shared" si="136"/>
        <v>6.3863703639180036E-2</v>
      </c>
      <c r="AT527" s="226">
        <f t="shared" si="136"/>
        <v>5.7870713682764967E-2</v>
      </c>
      <c r="AU527" s="226">
        <f t="shared" si="136"/>
        <v>5.2440107781315005E-2</v>
      </c>
      <c r="AV527" s="226">
        <f t="shared" si="136"/>
        <v>4.7519111638931251E-2</v>
      </c>
      <c r="AW527" s="226">
        <f t="shared" si="136"/>
        <v>4.3059903316174826E-2</v>
      </c>
      <c r="AX527" s="226">
        <f t="shared" si="136"/>
        <v>3.9019148499385238E-2</v>
      </c>
      <c r="AY527" s="226">
        <f t="shared" si="134"/>
        <v>3.5357579380471446E-2</v>
      </c>
      <c r="AZ527" s="226">
        <f t="shared" si="134"/>
        <v>3.203961305475532E-2</v>
      </c>
      <c r="BA527" s="226">
        <f t="shared" si="134"/>
        <v>2.9033005728480953E-2</v>
      </c>
      <c r="BB527" s="226">
        <f t="shared" si="137"/>
        <v>2.6308539375599679E-2</v>
      </c>
      <c r="BC527" s="226">
        <f t="shared" si="137"/>
        <v>2.3839737798780517E-2</v>
      </c>
      <c r="BD527" s="226">
        <f t="shared" si="137"/>
        <v>2.1602609335344372E-2</v>
      </c>
      <c r="BE527" s="226">
        <f t="shared" si="137"/>
        <v>1.9575413707753935E-2</v>
      </c>
    </row>
    <row r="528" spans="4:57" s="10" customFormat="1" x14ac:dyDescent="0.35">
      <c r="E528" s="10" t="s">
        <v>630</v>
      </c>
      <c r="F528" s="10" t="s">
        <v>615</v>
      </c>
      <c r="G528" s="43" t="s">
        <v>616</v>
      </c>
      <c r="I528" s="20"/>
      <c r="J528" s="200"/>
      <c r="K528" s="200"/>
      <c r="L528" s="200"/>
      <c r="M528" s="200"/>
      <c r="N528" s="200">
        <v>1.1702999999999999</v>
      </c>
      <c r="O528" s="226">
        <f t="shared" si="135"/>
        <v>1.0544850175500302</v>
      </c>
      <c r="P528" s="226">
        <f t="shared" si="135"/>
        <v>0.95013129303382693</v>
      </c>
      <c r="Q528" s="226">
        <f t="shared" si="135"/>
        <v>0.85610459985440324</v>
      </c>
      <c r="R528" s="226">
        <f t="shared" si="135"/>
        <v>0.77138295650870048</v>
      </c>
      <c r="S528" s="226">
        <f t="shared" si="135"/>
        <v>0.69504551861221175</v>
      </c>
      <c r="T528" s="226">
        <f t="shared" si="135"/>
        <v>0.62626257018872777</v>
      </c>
      <c r="U528" s="226">
        <f t="shared" si="135"/>
        <v>0.56428650543996217</v>
      </c>
      <c r="V528" s="226">
        <f t="shared" si="135"/>
        <v>0.50844370297539421</v>
      </c>
      <c r="W528" s="226">
        <f t="shared" si="135"/>
        <v>0.45812720418286851</v>
      </c>
      <c r="X528" s="226">
        <f t="shared" si="135"/>
        <v>0.41279011616074379</v>
      </c>
      <c r="Y528" s="226">
        <f t="shared" si="135"/>
        <v>0.37193966750768265</v>
      </c>
      <c r="Z528" s="226">
        <f t="shared" si="135"/>
        <v>0.33513185236212184</v>
      </c>
      <c r="AA528" s="226">
        <f t="shared" si="135"/>
        <v>0.30196660447718215</v>
      </c>
      <c r="AB528" s="226">
        <f t="shared" si="135"/>
        <v>0.2720834488777617</v>
      </c>
      <c r="AC528" s="226">
        <f t="shared" si="135"/>
        <v>0.24515758383742575</v>
      </c>
      <c r="AD528" s="226">
        <f t="shared" si="135"/>
        <v>0.2208963505898752</v>
      </c>
      <c r="AE528" s="226">
        <f t="shared" si="133"/>
        <v>0.19903605240408631</v>
      </c>
      <c r="AF528" s="226">
        <f t="shared" si="133"/>
        <v>0.17933908844946742</v>
      </c>
      <c r="AG528" s="226">
        <f t="shared" si="133"/>
        <v>0.1615913712988491</v>
      </c>
      <c r="AH528" s="227">
        <v>0.14560000000000001</v>
      </c>
      <c r="AI528" s="226">
        <f t="shared" si="136"/>
        <v>0.13119116342415144</v>
      </c>
      <c r="AJ528" s="226">
        <f t="shared" si="136"/>
        <v>0.11820825110290116</v>
      </c>
      <c r="AK528" s="226">
        <f t="shared" si="136"/>
        <v>0.10651015102008128</v>
      </c>
      <c r="AL528" s="226">
        <f t="shared" si="136"/>
        <v>9.5969715857187721E-2</v>
      </c>
      <c r="AM528" s="226">
        <f t="shared" si="136"/>
        <v>8.6472381021907227E-2</v>
      </c>
      <c r="AN528" s="226">
        <f t="shared" si="136"/>
        <v>7.7914919439014574E-2</v>
      </c>
      <c r="AO528" s="226">
        <f t="shared" si="136"/>
        <v>7.0204319569391174E-2</v>
      </c>
      <c r="AP528" s="226">
        <f t="shared" si="136"/>
        <v>6.32567744622895E-2</v>
      </c>
      <c r="AQ528" s="226">
        <f t="shared" si="136"/>
        <v>5.6996770852794719E-2</v>
      </c>
      <c r="AR528" s="226">
        <f t="shared" si="136"/>
        <v>5.1356268403831749E-2</v>
      </c>
      <c r="AS528" s="226">
        <f t="shared" si="136"/>
        <v>4.6273960171852167E-2</v>
      </c>
      <c r="AT528" s="226">
        <f t="shared" si="136"/>
        <v>4.1694606258160252E-2</v>
      </c>
      <c r="AU528" s="226">
        <f t="shared" si="136"/>
        <v>3.7568433403296353E-2</v>
      </c>
      <c r="AV528" s="226">
        <f t="shared" si="136"/>
        <v>3.3850593998634625E-2</v>
      </c>
      <c r="AW528" s="226">
        <f t="shared" si="136"/>
        <v>3.0500678635161229E-2</v>
      </c>
      <c r="AX528" s="226">
        <f t="shared" si="136"/>
        <v>2.748227689129781E-2</v>
      </c>
      <c r="AY528" s="226">
        <f t="shared" si="134"/>
        <v>2.4762581585948018E-2</v>
      </c>
      <c r="AZ528" s="226">
        <f t="shared" si="134"/>
        <v>2.2312032195370805E-2</v>
      </c>
      <c r="BA528" s="226">
        <f t="shared" si="134"/>
        <v>2.0103993558158104E-2</v>
      </c>
      <c r="BB528" s="226">
        <f t="shared" si="137"/>
        <v>1.8114466376142908E-2</v>
      </c>
      <c r="BC528" s="226">
        <f t="shared" si="137"/>
        <v>1.6321826364655633E-2</v>
      </c>
      <c r="BD528" s="226">
        <f t="shared" si="137"/>
        <v>1.4706589216937916E-2</v>
      </c>
      <c r="BE528" s="226">
        <f t="shared" si="137"/>
        <v>1.3251198828098665E-2</v>
      </c>
    </row>
    <row r="529" spans="5:57" s="10" customFormat="1" x14ac:dyDescent="0.35">
      <c r="E529" s="10" t="s">
        <v>631</v>
      </c>
      <c r="F529" s="10" t="s">
        <v>615</v>
      </c>
      <c r="G529" s="43" t="s">
        <v>616</v>
      </c>
      <c r="I529" s="20"/>
      <c r="J529" s="200"/>
      <c r="K529" s="200"/>
      <c r="L529" s="200"/>
      <c r="M529" s="200"/>
      <c r="N529" s="200">
        <v>1.0107999999999999</v>
      </c>
      <c r="O529" s="226">
        <f t="shared" si="135"/>
        <v>0.90567063607930343</v>
      </c>
      <c r="P529" s="226">
        <f t="shared" si="135"/>
        <v>0.81147536709169976</v>
      </c>
      <c r="Q529" s="226">
        <f t="shared" si="135"/>
        <v>0.72707698048736258</v>
      </c>
      <c r="R529" s="226">
        <f t="shared" si="135"/>
        <v>0.65145654075643944</v>
      </c>
      <c r="S529" s="226">
        <f t="shared" si="135"/>
        <v>0.58370108789563435</v>
      </c>
      <c r="T529" s="226">
        <f t="shared" si="135"/>
        <v>0.52299261530928043</v>
      </c>
      <c r="U529" s="226">
        <f t="shared" si="135"/>
        <v>0.46859819407591463</v>
      </c>
      <c r="V529" s="226">
        <f t="shared" si="135"/>
        <v>0.41986112435135192</v>
      </c>
      <c r="W529" s="226">
        <f t="shared" si="135"/>
        <v>0.37619300707979864</v>
      </c>
      <c r="X529" s="226">
        <f t="shared" si="135"/>
        <v>0.33706664029535732</v>
      </c>
      <c r="Y529" s="226">
        <f t="shared" si="135"/>
        <v>0.30200965425149395</v>
      </c>
      <c r="Z529" s="226">
        <f t="shared" si="135"/>
        <v>0.27059880853585383</v>
      </c>
      <c r="AA529" s="226">
        <f t="shared" si="135"/>
        <v>0.24245488231991336</v>
      </c>
      <c r="AB529" s="226">
        <f t="shared" si="135"/>
        <v>0.21723809605382727</v>
      </c>
      <c r="AC529" s="226">
        <f t="shared" si="135"/>
        <v>0.19464400933293091</v>
      </c>
      <c r="AD529" s="226">
        <f t="shared" si="135"/>
        <v>0.17439984541114112</v>
      </c>
      <c r="AE529" s="226">
        <f t="shared" si="133"/>
        <v>0.15626119798737673</v>
      </c>
      <c r="AF529" s="226">
        <f t="shared" si="133"/>
        <v>0.1400090805062737</v>
      </c>
      <c r="AG529" s="226">
        <f t="shared" si="133"/>
        <v>0.12544728234961944</v>
      </c>
      <c r="AH529" s="227">
        <v>0.1124</v>
      </c>
      <c r="AI529" s="226">
        <f t="shared" si="136"/>
        <v>0.10070971457787269</v>
      </c>
      <c r="AJ529" s="226">
        <f t="shared" si="136"/>
        <v>9.0235290127727602E-2</v>
      </c>
      <c r="AK529" s="226">
        <f t="shared" si="136"/>
        <v>8.085026969408346E-2</v>
      </c>
      <c r="AL529" s="226">
        <f t="shared" si="136"/>
        <v>7.2441348615971318E-2</v>
      </c>
      <c r="AM529" s="226">
        <f t="shared" si="136"/>
        <v>6.4907006608101822E-2</v>
      </c>
      <c r="AN529" s="226">
        <f t="shared" si="136"/>
        <v>5.8156282113932659E-2</v>
      </c>
      <c r="AO529" s="226">
        <f t="shared" si="136"/>
        <v>5.2107674133491107E-2</v>
      </c>
      <c r="AP529" s="226">
        <f t="shared" si="136"/>
        <v>4.6688158267799727E-2</v>
      </c>
      <c r="AQ529" s="226">
        <f t="shared" si="136"/>
        <v>4.1832305100682005E-2</v>
      </c>
      <c r="AR529" s="226">
        <f t="shared" si="136"/>
        <v>3.7481490274236411E-2</v>
      </c>
      <c r="AS529" s="226">
        <f t="shared" si="136"/>
        <v>3.3583186721278115E-2</v>
      </c>
      <c r="AT529" s="226">
        <f t="shared" si="136"/>
        <v>3.0090330509922804E-2</v>
      </c>
      <c r="AU529" s="226">
        <f t="shared" si="136"/>
        <v>2.6960752644200888E-2</v>
      </c>
      <c r="AV529" s="226">
        <f t="shared" si="136"/>
        <v>2.4156669960872759E-2</v>
      </c>
      <c r="AW529" s="226">
        <f t="shared" si="136"/>
        <v>2.1644228976079774E-2</v>
      </c>
      <c r="AX529" s="226">
        <f t="shared" si="136"/>
        <v>1.9393097174725229E-2</v>
      </c>
      <c r="AY529" s="226">
        <f t="shared" si="134"/>
        <v>1.7376096808252021E-2</v>
      </c>
      <c r="AZ529" s="226">
        <f t="shared" si="134"/>
        <v>1.5568876779684571E-2</v>
      </c>
      <c r="BA529" s="226">
        <f t="shared" si="134"/>
        <v>1.394961865462725E-2</v>
      </c>
      <c r="BB529" s="226">
        <f t="shared" si="137"/>
        <v>1.2498773248911733E-2</v>
      </c>
      <c r="BC529" s="226">
        <f t="shared" si="137"/>
        <v>1.1198824612735331E-2</v>
      </c>
      <c r="BD529" s="226">
        <f t="shared" si="137"/>
        <v>1.0034078561888175E-2</v>
      </c>
      <c r="BE529" s="226">
        <f t="shared" si="137"/>
        <v>8.9904732030223252E-3</v>
      </c>
    </row>
    <row r="530" spans="5:57" s="10" customFormat="1" x14ac:dyDescent="0.35">
      <c r="E530" s="10" t="s">
        <v>632</v>
      </c>
      <c r="F530" s="10" t="s">
        <v>615</v>
      </c>
      <c r="G530" s="43" t="s">
        <v>616</v>
      </c>
      <c r="I530" s="20"/>
      <c r="J530" s="200"/>
      <c r="K530" s="200"/>
      <c r="L530" s="200"/>
      <c r="M530" s="200"/>
      <c r="N530" s="200">
        <v>0.87309999999999999</v>
      </c>
      <c r="O530" s="226">
        <f t="shared" si="135"/>
        <v>0.77787845632089359</v>
      </c>
      <c r="P530" s="226">
        <f t="shared" si="135"/>
        <v>0.69304191135972548</v>
      </c>
      <c r="Q530" s="226">
        <f t="shared" si="135"/>
        <v>0.61745776219698179</v>
      </c>
      <c r="R530" s="226">
        <f t="shared" si="135"/>
        <v>0.55011692921903743</v>
      </c>
      <c r="S530" s="226">
        <f t="shared" si="135"/>
        <v>0.49012038448848366</v>
      </c>
      <c r="T530" s="226">
        <f t="shared" si="135"/>
        <v>0.43666714934979328</v>
      </c>
      <c r="U530" s="226">
        <f t="shared" si="135"/>
        <v>0.38904360103340085</v>
      </c>
      <c r="V530" s="226">
        <f t="shared" si="135"/>
        <v>0.34661394549694585</v>
      </c>
      <c r="W530" s="226">
        <f t="shared" si="135"/>
        <v>0.30881172931217338</v>
      </c>
      <c r="X530" s="226">
        <f t="shared" si="135"/>
        <v>0.27513227727767614</v>
      </c>
      <c r="Y530" s="226">
        <f t="shared" si="135"/>
        <v>0.24512595479648469</v>
      </c>
      <c r="Z530" s="226">
        <f t="shared" si="135"/>
        <v>0.21839216506846254</v>
      </c>
      <c r="AA530" s="226">
        <f t="shared" si="135"/>
        <v>0.19457400095754601</v>
      </c>
      <c r="AB530" s="226">
        <f t="shared" si="135"/>
        <v>0.17335348013404644</v>
      </c>
      <c r="AC530" s="226">
        <f t="shared" si="135"/>
        <v>0.15444729987919681</v>
      </c>
      <c r="AD530" s="226">
        <f t="shared" ref="AD530:AG545" si="138">AC530*(1+($AH530/$N530)^(1/($AH$6-$N$6))-1)</f>
        <v>0.13760305487682939</v>
      </c>
      <c r="AE530" s="226">
        <f t="shared" si="138"/>
        <v>0.12259586749814139</v>
      </c>
      <c r="AF530" s="226">
        <f t="shared" si="138"/>
        <v>0.10922538559245794</v>
      </c>
      <c r="AG530" s="226">
        <f t="shared" si="138"/>
        <v>9.7313107703259127E-2</v>
      </c>
      <c r="AH530" s="227">
        <v>8.6699999999999999E-2</v>
      </c>
      <c r="AI530" s="226">
        <f t="shared" si="136"/>
        <v>7.7244373110779377E-2</v>
      </c>
      <c r="AJ530" s="226">
        <f t="shared" si="136"/>
        <v>6.8819990510695456E-2</v>
      </c>
      <c r="AK530" s="226">
        <f t="shared" si="136"/>
        <v>6.1314383212092913E-2</v>
      </c>
      <c r="AL530" s="226">
        <f t="shared" si="136"/>
        <v>5.4627348257118936E-2</v>
      </c>
      <c r="AM530" s="226">
        <f t="shared" si="136"/>
        <v>4.8669610966844044E-2</v>
      </c>
      <c r="AN530" s="226">
        <f t="shared" si="136"/>
        <v>4.3361633087420776E-2</v>
      </c>
      <c r="AO530" s="226">
        <f t="shared" si="136"/>
        <v>3.8632550921539173E-2</v>
      </c>
      <c r="AP530" s="226">
        <f t="shared" si="136"/>
        <v>3.4419229268795336E-2</v>
      </c>
      <c r="AQ530" s="226">
        <f t="shared" si="136"/>
        <v>3.0665418544686098E-2</v>
      </c>
      <c r="AR530" s="226">
        <f t="shared" si="136"/>
        <v>2.7321003825420367E-2</v>
      </c>
      <c r="AS530" s="226">
        <f t="shared" si="136"/>
        <v>2.4341335792985024E-2</v>
      </c>
      <c r="AT530" s="226">
        <f t="shared" si="136"/>
        <v>2.1686634648305697E-2</v>
      </c>
      <c r="AU530" s="226">
        <f t="shared" si="136"/>
        <v>1.9321459034496898E-2</v>
      </c>
      <c r="AV530" s="226">
        <f t="shared" si="136"/>
        <v>1.7214232880107466E-2</v>
      </c>
      <c r="AW530" s="226">
        <f t="shared" si="136"/>
        <v>1.5336823845523267E-2</v>
      </c>
      <c r="AX530" s="226">
        <f t="shared" ref="AX530:BE545" si="139">AW530*(1+($AH530/$N530)^(1/($AH$6-$N$6))-1)</f>
        <v>1.3664167744612427E-2</v>
      </c>
      <c r="AY530" s="226">
        <f t="shared" si="139"/>
        <v>1.2173933927486955E-2</v>
      </c>
      <c r="AZ530" s="226">
        <f t="shared" si="139"/>
        <v>1.08462271571024E-2</v>
      </c>
      <c r="BA530" s="226">
        <f t="shared" si="139"/>
        <v>9.663321999624979E-3</v>
      </c>
      <c r="BB530" s="226">
        <f t="shared" si="137"/>
        <v>8.6094261825678722E-3</v>
      </c>
      <c r="BC530" s="226">
        <f t="shared" si="137"/>
        <v>7.6704697614300536E-3</v>
      </c>
      <c r="BD530" s="226">
        <f t="shared" si="137"/>
        <v>6.8339172801251897E-3</v>
      </c>
      <c r="BE530" s="226">
        <f t="shared" si="137"/>
        <v>6.0886004174647368E-3</v>
      </c>
    </row>
    <row r="531" spans="5:57" s="10" customFormat="1" x14ac:dyDescent="0.35">
      <c r="E531" s="109" t="s">
        <v>633</v>
      </c>
      <c r="F531" s="10" t="s">
        <v>615</v>
      </c>
      <c r="G531" s="43" t="s">
        <v>616</v>
      </c>
      <c r="I531" s="20"/>
      <c r="J531" s="200"/>
      <c r="K531" s="200"/>
      <c r="L531" s="200"/>
      <c r="M531" s="200"/>
      <c r="N531" s="200">
        <v>0.96619999999999995</v>
      </c>
      <c r="O531" s="226">
        <f t="shared" ref="O531:AD546" si="140">N531*(1+($AH531/$N531)^(1/($AH$6-$N$6))-1)</f>
        <v>0.8667289757072032</v>
      </c>
      <c r="P531" s="226">
        <f t="shared" si="140"/>
        <v>0.77749856896135139</v>
      </c>
      <c r="Q531" s="226">
        <f t="shared" si="140"/>
        <v>0.69745450040332069</v>
      </c>
      <c r="R531" s="226">
        <f t="shared" si="140"/>
        <v>0.62565102953524043</v>
      </c>
      <c r="S531" s="226">
        <f t="shared" si="140"/>
        <v>0.56123978056223989</v>
      </c>
      <c r="T531" s="226">
        <f t="shared" si="140"/>
        <v>0.50345971862227878</v>
      </c>
      <c r="U531" s="226">
        <f t="shared" si="140"/>
        <v>0.45162815797073536</v>
      </c>
      <c r="V531" s="226">
        <f t="shared" si="140"/>
        <v>0.40513269587922424</v>
      </c>
      <c r="W531" s="226">
        <f t="shared" si="140"/>
        <v>0.36342397694566125</v>
      </c>
      <c r="X531" s="226">
        <f t="shared" si="140"/>
        <v>0.32600920232410602</v>
      </c>
      <c r="Y531" s="226">
        <f t="shared" si="140"/>
        <v>0.29244630718432502</v>
      </c>
      <c r="Z531" s="226">
        <f t="shared" si="140"/>
        <v>0.26233873760631771</v>
      </c>
      <c r="AA531" s="226">
        <f t="shared" si="140"/>
        <v>0.23533076519752072</v>
      </c>
      <c r="AB531" s="226">
        <f t="shared" si="140"/>
        <v>0.21110328407373163</v>
      </c>
      <c r="AC531" s="226">
        <f t="shared" si="140"/>
        <v>0.18937004054404075</v>
      </c>
      <c r="AD531" s="226">
        <f t="shared" si="140"/>
        <v>0.16987425095256467</v>
      </c>
      <c r="AE531" s="226">
        <f t="shared" si="138"/>
        <v>0.15238556771594367</v>
      </c>
      <c r="AF531" s="226">
        <f t="shared" si="138"/>
        <v>0.13669735770958447</v>
      </c>
      <c r="AG531" s="226">
        <f t="shared" si="138"/>
        <v>0.12262426084610775</v>
      </c>
      <c r="AH531" s="227">
        <v>0.11</v>
      </c>
      <c r="AI531" s="226">
        <f t="shared" ref="AI531:AX546" si="141">AH531*(1+($AH531/$N531)^(1/($AH$6-$N$6))-1)</f>
        <v>9.8675416402186258E-2</v>
      </c>
      <c r="AJ531" s="226">
        <f t="shared" si="141"/>
        <v>8.8516707292225896E-2</v>
      </c>
      <c r="AK531" s="226">
        <f t="shared" si="141"/>
        <v>7.9403845005552975E-2</v>
      </c>
      <c r="AL531" s="226">
        <f t="shared" si="141"/>
        <v>7.1229158816887253E-2</v>
      </c>
      <c r="AM531" s="226">
        <f t="shared" si="141"/>
        <v>6.3896062783943691E-2</v>
      </c>
      <c r="AN531" s="226">
        <f t="shared" si="141"/>
        <v>5.7317914560598912E-2</v>
      </c>
      <c r="AO531" s="226">
        <f t="shared" si="141"/>
        <v>5.1416991696109388E-2</v>
      </c>
      <c r="AP531" s="226">
        <f t="shared" si="141"/>
        <v>4.6123573325103154E-2</v>
      </c>
      <c r="AQ531" s="226">
        <f t="shared" si="141"/>
        <v>4.137511639828477E-2</v>
      </c>
      <c r="AR531" s="226">
        <f t="shared" si="141"/>
        <v>3.7115516720815221E-2</v>
      </c>
      <c r="AS531" s="226">
        <f t="shared" si="141"/>
        <v>3.3294446067352261E-2</v>
      </c>
      <c r="AT531" s="226">
        <f t="shared" si="141"/>
        <v>2.9866757541601063E-2</v>
      </c>
      <c r="AU531" s="226">
        <f t="shared" si="141"/>
        <v>2.6791952154551105E-2</v>
      </c>
      <c r="AV531" s="226">
        <f t="shared" si="141"/>
        <v>2.4033700318888924E-2</v>
      </c>
      <c r="AW531" s="226">
        <f t="shared" si="141"/>
        <v>2.1559412605924737E-2</v>
      </c>
      <c r="AX531" s="226">
        <f t="shared" si="141"/>
        <v>1.93398546934197E-2</v>
      </c>
      <c r="AY531" s="226">
        <f t="shared" si="139"/>
        <v>1.7348801954826958E-2</v>
      </c>
      <c r="AZ531" s="226">
        <f t="shared" si="139"/>
        <v>1.5562729608832846E-2</v>
      </c>
      <c r="BA531" s="226">
        <f t="shared" si="139"/>
        <v>1.3960534768238312E-2</v>
      </c>
      <c r="BB531" s="226">
        <f t="shared" si="139"/>
        <v>1.2523287104119219E-2</v>
      </c>
      <c r="BC531" s="226">
        <f t="shared" si="139"/>
        <v>1.1234005179300849E-2</v>
      </c>
      <c r="BD531" s="226">
        <f t="shared" si="139"/>
        <v>1.0077455808471166E-2</v>
      </c>
      <c r="BE531" s="226">
        <f t="shared" si="139"/>
        <v>9.0399740743229342E-3</v>
      </c>
    </row>
    <row r="532" spans="5:57" s="10" customFormat="1" x14ac:dyDescent="0.35">
      <c r="E532" s="109" t="s">
        <v>634</v>
      </c>
      <c r="F532" s="10" t="s">
        <v>615</v>
      </c>
      <c r="G532" s="43" t="s">
        <v>616</v>
      </c>
      <c r="I532" s="20"/>
      <c r="J532" s="200"/>
      <c r="K532" s="200"/>
      <c r="L532" s="200"/>
      <c r="M532" s="200"/>
      <c r="N532" s="200">
        <v>1.0691999999999999</v>
      </c>
      <c r="O532" s="226">
        <f t="shared" si="140"/>
        <v>0.96568328208317289</v>
      </c>
      <c r="P532" s="226">
        <f t="shared" si="140"/>
        <v>0.87218874045541428</v>
      </c>
      <c r="Q532" s="226">
        <f t="shared" si="140"/>
        <v>0.78774605824819788</v>
      </c>
      <c r="R532" s="226">
        <f t="shared" si="140"/>
        <v>0.71147886174448371</v>
      </c>
      <c r="S532" s="226">
        <f t="shared" si="140"/>
        <v>0.6425956250862449</v>
      </c>
      <c r="T532" s="226">
        <f t="shared" si="140"/>
        <v>0.58038145556076792</v>
      </c>
      <c r="U532" s="226">
        <f t="shared" si="140"/>
        <v>0.52419067421074783</v>
      </c>
      <c r="V532" s="226">
        <f t="shared" si="140"/>
        <v>0.47344011476732717</v>
      </c>
      <c r="W532" s="226">
        <f t="shared" si="140"/>
        <v>0.42760307136021941</v>
      </c>
      <c r="X532" s="226">
        <f t="shared" si="140"/>
        <v>0.38620383219227639</v>
      </c>
      <c r="Y532" s="226">
        <f t="shared" si="140"/>
        <v>0.34881274244719079</v>
      </c>
      <c r="Z532" s="226">
        <f t="shared" si="140"/>
        <v>0.31504174519157846</v>
      </c>
      <c r="AA532" s="226">
        <f t="shared" si="140"/>
        <v>0.28454035399346628</v>
      </c>
      <c r="AB532" s="226">
        <f t="shared" si="140"/>
        <v>0.25699201545970668</v>
      </c>
      <c r="AC532" s="226">
        <f t="shared" si="140"/>
        <v>0.2321108239415442</v>
      </c>
      <c r="AD532" s="226">
        <f t="shared" si="140"/>
        <v>0.20963855431247655</v>
      </c>
      <c r="AE532" s="226">
        <f t="shared" si="138"/>
        <v>0.18934198202361005</v>
      </c>
      <c r="AF532" s="226">
        <f t="shared" si="138"/>
        <v>0.17101046262316955</v>
      </c>
      <c r="AG532" s="226">
        <f t="shared" si="138"/>
        <v>0.15445374561962602</v>
      </c>
      <c r="AH532" s="227">
        <v>0.13950000000000001</v>
      </c>
      <c r="AI532" s="226">
        <f t="shared" si="141"/>
        <v>0.12599403091152511</v>
      </c>
      <c r="AJ532" s="226">
        <f t="shared" si="141"/>
        <v>0.11379566899881249</v>
      </c>
      <c r="AK532" s="226">
        <f t="shared" si="141"/>
        <v>0.10277831568053089</v>
      </c>
      <c r="AL532" s="226">
        <f t="shared" si="141"/>
        <v>9.2827629268009262E-2</v>
      </c>
      <c r="AM532" s="226">
        <f t="shared" si="141"/>
        <v>8.3840338289872043E-2</v>
      </c>
      <c r="AN532" s="226">
        <f t="shared" si="141"/>
        <v>7.5723169707002574E-2</v>
      </c>
      <c r="AO532" s="226">
        <f t="shared" si="141"/>
        <v>6.8391880894499948E-2</v>
      </c>
      <c r="AP532" s="226">
        <f t="shared" si="141"/>
        <v>6.1770385344221995E-2</v>
      </c>
      <c r="AQ532" s="226">
        <f t="shared" si="141"/>
        <v>5.5789963014170052E-2</v>
      </c>
      <c r="AR532" s="226">
        <f t="shared" si="141"/>
        <v>5.0388547129463675E-2</v>
      </c>
      <c r="AS532" s="226">
        <f t="shared" si="141"/>
        <v>4.5510080033093085E-2</v>
      </c>
      <c r="AT532" s="226">
        <f t="shared" si="141"/>
        <v>4.1103931401258141E-2</v>
      </c>
      <c r="AU532" s="226">
        <f t="shared" si="141"/>
        <v>3.7124372785342828E-2</v>
      </c>
      <c r="AV532" s="226">
        <f t="shared" si="141"/>
        <v>3.3530103027150288E-2</v>
      </c>
      <c r="AW532" s="226">
        <f t="shared" si="141"/>
        <v>3.0283819622002828E-2</v>
      </c>
      <c r="AX532" s="226">
        <f t="shared" si="141"/>
        <v>2.7351831581173294E-2</v>
      </c>
      <c r="AY532" s="226">
        <f t="shared" si="139"/>
        <v>2.4703709775807714E-2</v>
      </c>
      <c r="AZ532" s="226">
        <f t="shared" si="139"/>
        <v>2.2311971133494347E-2</v>
      </c>
      <c r="BA532" s="226">
        <f t="shared" si="139"/>
        <v>2.0151793409968043E-2</v>
      </c>
      <c r="BB532" s="226">
        <f t="shared" si="139"/>
        <v>1.8200757575757572E-2</v>
      </c>
      <c r="BC532" s="226">
        <f t="shared" si="139"/>
        <v>1.6438615144180459E-2</v>
      </c>
      <c r="BD532" s="226">
        <f t="shared" si="139"/>
        <v>1.4847078025939335E-2</v>
      </c>
      <c r="BE532" s="226">
        <f t="shared" si="139"/>
        <v>1.340962872936219E-2</v>
      </c>
    </row>
    <row r="533" spans="5:57" s="10" customFormat="1" x14ac:dyDescent="0.35">
      <c r="E533" s="109" t="s">
        <v>635</v>
      </c>
      <c r="F533" s="10" t="s">
        <v>615</v>
      </c>
      <c r="G533" s="43" t="s">
        <v>616</v>
      </c>
      <c r="I533" s="20"/>
      <c r="J533" s="200"/>
      <c r="K533" s="200"/>
      <c r="L533" s="200"/>
      <c r="M533" s="200"/>
      <c r="N533" s="200">
        <v>1.1832</v>
      </c>
      <c r="O533" s="226">
        <f t="shared" si="140"/>
        <v>1.0759792998246034</v>
      </c>
      <c r="P533" s="226">
        <f t="shared" si="140"/>
        <v>0.97847485940757584</v>
      </c>
      <c r="Q533" s="226">
        <f t="shared" si="140"/>
        <v>0.88980619854744814</v>
      </c>
      <c r="R533" s="226">
        <f t="shared" si="140"/>
        <v>0.80917262550090874</v>
      </c>
      <c r="S533" s="226">
        <f t="shared" si="140"/>
        <v>0.73584600661232569</v>
      </c>
      <c r="T533" s="226">
        <f t="shared" si="140"/>
        <v>0.66916419115404047</v>
      </c>
      <c r="U533" s="226">
        <f t="shared" si="140"/>
        <v>0.60852503200272268</v>
      </c>
      <c r="V533" s="226">
        <f t="shared" si="140"/>
        <v>0.55338094815756755</v>
      </c>
      <c r="W533" s="226">
        <f t="shared" si="140"/>
        <v>0.50323397999903197</v>
      </c>
      <c r="X533" s="226">
        <f t="shared" si="140"/>
        <v>0.45763129263633101</v>
      </c>
      <c r="Y533" s="226">
        <f t="shared" si="140"/>
        <v>0.41616108673822483</v>
      </c>
      <c r="Z533" s="226">
        <f t="shared" si="140"/>
        <v>0.37844887992126536</v>
      </c>
      <c r="AA533" s="226">
        <f t="shared" si="140"/>
        <v>0.34415412511586252</v>
      </c>
      <c r="AB533" s="226">
        <f t="shared" si="140"/>
        <v>0.31296713537349113</v>
      </c>
      <c r="AC533" s="226">
        <f t="shared" si="140"/>
        <v>0.28460628734557203</v>
      </c>
      <c r="AD533" s="226">
        <f t="shared" si="140"/>
        <v>0.25881547818100786</v>
      </c>
      <c r="AE533" s="226">
        <f t="shared" si="138"/>
        <v>0.23536181287776434</v>
      </c>
      <c r="AF533" s="226">
        <f t="shared" si="138"/>
        <v>0.21403350120492409</v>
      </c>
      <c r="AG533" s="226">
        <f t="shared" si="138"/>
        <v>0.19463794520409283</v>
      </c>
      <c r="AH533" s="227">
        <v>0.17699999999999999</v>
      </c>
      <c r="AI533" s="226">
        <f t="shared" si="141"/>
        <v>0.16096039221514097</v>
      </c>
      <c r="AJ533" s="226">
        <f t="shared" si="141"/>
        <v>0.14637428170650857</v>
      </c>
      <c r="AK533" s="226">
        <f t="shared" si="141"/>
        <v>0.13310995363666189</v>
      </c>
      <c r="AL533" s="226">
        <f t="shared" si="141"/>
        <v>0.12104762906834084</v>
      </c>
      <c r="AM533" s="226">
        <f t="shared" si="141"/>
        <v>0.11007838334210758</v>
      </c>
      <c r="AN533" s="226">
        <f t="shared" si="141"/>
        <v>0.10010316246979817</v>
      </c>
      <c r="AO533" s="226">
        <f t="shared" si="141"/>
        <v>9.1031888661664936E-2</v>
      </c>
      <c r="AP533" s="226">
        <f t="shared" si="141"/>
        <v>8.2782646909980981E-2</v>
      </c>
      <c r="AQ533" s="226">
        <f t="shared" si="141"/>
        <v>7.5280945283830891E-2</v>
      </c>
      <c r="AR533" s="226">
        <f t="shared" si="141"/>
        <v>6.8459042255434963E-2</v>
      </c>
      <c r="AS533" s="226">
        <f t="shared" si="141"/>
        <v>6.2255334983659441E-2</v>
      </c>
      <c r="AT533" s="226">
        <f t="shared" si="141"/>
        <v>5.6613803030818137E-2</v>
      </c>
      <c r="AU533" s="226">
        <f t="shared" si="141"/>
        <v>5.1483502489441946E-2</v>
      </c>
      <c r="AV533" s="226">
        <f t="shared" si="141"/>
        <v>4.6818105950902612E-2</v>
      </c>
      <c r="AW533" s="226">
        <f t="shared" si="141"/>
        <v>4.2575484161736218E-2</v>
      </c>
      <c r="AX533" s="226">
        <f t="shared" si="141"/>
        <v>3.87173255899581E-2</v>
      </c>
      <c r="AY533" s="226">
        <f t="shared" si="139"/>
        <v>3.5208790465994184E-2</v>
      </c>
      <c r="AZ533" s="226">
        <f t="shared" si="139"/>
        <v>3.2018196174164633E-2</v>
      </c>
      <c r="BA533" s="226">
        <f t="shared" si="139"/>
        <v>2.9116731153756303E-2</v>
      </c>
      <c r="BB533" s="226">
        <f t="shared" si="139"/>
        <v>2.6478194726166263E-2</v>
      </c>
      <c r="BC533" s="226">
        <f t="shared" si="139"/>
        <v>2.4078760498715247E-2</v>
      </c>
      <c r="BD533" s="226">
        <f t="shared" si="139"/>
        <v>2.189676120863079E-2</v>
      </c>
      <c r="BE533" s="226">
        <f t="shared" si="139"/>
        <v>1.9912493064307889E-2</v>
      </c>
    </row>
    <row r="534" spans="5:57" s="10" customFormat="1" x14ac:dyDescent="0.35">
      <c r="E534" s="10" t="s">
        <v>636</v>
      </c>
      <c r="F534" s="10" t="s">
        <v>615</v>
      </c>
      <c r="G534" s="43" t="s">
        <v>616</v>
      </c>
      <c r="I534" s="20"/>
      <c r="J534" s="200"/>
      <c r="K534" s="200"/>
      <c r="L534" s="200"/>
      <c r="M534" s="200"/>
      <c r="N534" s="200">
        <v>1.3093999999999999</v>
      </c>
      <c r="O534" s="226">
        <f t="shared" si="140"/>
        <v>1.1989172458308686</v>
      </c>
      <c r="P534" s="226">
        <f t="shared" si="140"/>
        <v>1.0977566536968653</v>
      </c>
      <c r="Q534" s="226">
        <f t="shared" si="140"/>
        <v>1.0051316510178374</v>
      </c>
      <c r="R534" s="226">
        <f t="shared" si="140"/>
        <v>0.92032203355410069</v>
      </c>
      <c r="S534" s="226">
        <f t="shared" si="140"/>
        <v>0.84266836546979274</v>
      </c>
      <c r="T534" s="226">
        <f t="shared" si="140"/>
        <v>0.77156685189998753</v>
      </c>
      <c r="U534" s="226">
        <f t="shared" si="140"/>
        <v>0.70646464415329668</v>
      </c>
      <c r="V534" s="226">
        <f t="shared" si="140"/>
        <v>0.64685554104563547</v>
      </c>
      <c r="W534" s="226">
        <f t="shared" si="140"/>
        <v>0.59227605294094221</v>
      </c>
      <c r="X534" s="226">
        <f t="shared" si="140"/>
        <v>0.54230179789486188</v>
      </c>
      <c r="Y534" s="226">
        <f t="shared" si="140"/>
        <v>0.49654420187966714</v>
      </c>
      <c r="Z534" s="226">
        <f t="shared" si="140"/>
        <v>0.45464747743306655</v>
      </c>
      <c r="AA534" s="226">
        <f t="shared" si="140"/>
        <v>0.41628585723843298</v>
      </c>
      <c r="AB534" s="226">
        <f t="shared" si="140"/>
        <v>0.38116106112619841</v>
      </c>
      <c r="AC534" s="226">
        <f t="shared" si="140"/>
        <v>0.34899997680112504</v>
      </c>
      <c r="AD534" s="226">
        <f t="shared" si="140"/>
        <v>0.31955253626198404</v>
      </c>
      <c r="AE534" s="226">
        <f t="shared" si="138"/>
        <v>0.29258977140177689</v>
      </c>
      <c r="AF534" s="226">
        <f t="shared" si="138"/>
        <v>0.26790203366985016</v>
      </c>
      <c r="AG534" s="226">
        <f t="shared" si="138"/>
        <v>0.24529736395291385</v>
      </c>
      <c r="AH534" s="227">
        <v>0.22459999999999999</v>
      </c>
      <c r="AI534" s="226">
        <f t="shared" si="141"/>
        <v>0.20564900978586612</v>
      </c>
      <c r="AJ534" s="226">
        <f t="shared" si="141"/>
        <v>0.18829704018658619</v>
      </c>
      <c r="AK534" s="226">
        <f t="shared" si="141"/>
        <v>0.17240917123767091</v>
      </c>
      <c r="AL534" s="226">
        <f t="shared" si="141"/>
        <v>0.15786186706602337</v>
      </c>
      <c r="AM534" s="226">
        <f t="shared" si="141"/>
        <v>0.14454201533871655</v>
      </c>
      <c r="AN534" s="226">
        <f t="shared" si="141"/>
        <v>0.13234604775984207</v>
      </c>
      <c r="AO534" s="226">
        <f t="shared" si="141"/>
        <v>0.12117913477686762</v>
      </c>
      <c r="AP534" s="226">
        <f t="shared" si="141"/>
        <v>0.11095444823495476</v>
      </c>
      <c r="AQ534" s="226">
        <f t="shared" si="141"/>
        <v>0.10159248624601776</v>
      </c>
      <c r="AR534" s="226">
        <f t="shared" si="141"/>
        <v>9.3020455023053311E-2</v>
      </c>
      <c r="AS534" s="226">
        <f t="shared" si="141"/>
        <v>8.5171702873203955E-2</v>
      </c>
      <c r="AT534" s="226">
        <f t="shared" si="141"/>
        <v>7.7985201948577026E-2</v>
      </c>
      <c r="AU534" s="226">
        <f t="shared" si="141"/>
        <v>7.140507372518104E-2</v>
      </c>
      <c r="AV534" s="226">
        <f t="shared" si="141"/>
        <v>6.5380154520348385E-2</v>
      </c>
      <c r="AW534" s="226">
        <f t="shared" si="141"/>
        <v>5.9863597670331982E-2</v>
      </c>
      <c r="AX534" s="226">
        <f t="shared" si="141"/>
        <v>5.4812509274814132E-2</v>
      </c>
      <c r="AY534" s="226">
        <f t="shared" si="139"/>
        <v>5.0187614676064689E-2</v>
      </c>
      <c r="AZ534" s="226">
        <f t="shared" si="139"/>
        <v>4.5952953079462622E-2</v>
      </c>
      <c r="BA534" s="226">
        <f t="shared" si="139"/>
        <v>4.2075597940907636E-2</v>
      </c>
      <c r="BB534" s="226">
        <f t="shared" si="139"/>
        <v>3.8525400946998585E-2</v>
      </c>
      <c r="BC534" s="226">
        <f t="shared" si="139"/>
        <v>3.5274757597300657E-2</v>
      </c>
      <c r="BD534" s="226">
        <f t="shared" si="139"/>
        <v>3.2298392565989931E-2</v>
      </c>
      <c r="BE534" s="226">
        <f t="shared" si="139"/>
        <v>2.9573163173958188E-2</v>
      </c>
    </row>
    <row r="535" spans="5:57" s="10" customFormat="1" x14ac:dyDescent="0.35">
      <c r="E535" s="10" t="s">
        <v>637</v>
      </c>
      <c r="F535" s="10" t="s">
        <v>615</v>
      </c>
      <c r="G535" s="43" t="s">
        <v>616</v>
      </c>
      <c r="I535" s="20"/>
      <c r="J535" s="200"/>
      <c r="K535" s="200"/>
      <c r="L535" s="200"/>
      <c r="M535" s="200"/>
      <c r="N535" s="200">
        <v>1.4490000000000001</v>
      </c>
      <c r="O535" s="226">
        <f t="shared" si="140"/>
        <v>1.3358485063521532</v>
      </c>
      <c r="P535" s="226">
        <f t="shared" si="140"/>
        <v>1.2315329412859066</v>
      </c>
      <c r="Q535" s="226">
        <f t="shared" si="140"/>
        <v>1.1353633127261922</v>
      </c>
      <c r="R535" s="226">
        <f t="shared" si="140"/>
        <v>1.0467035096427304</v>
      </c>
      <c r="S535" s="226">
        <f t="shared" si="140"/>
        <v>0.96496709451331819</v>
      </c>
      <c r="T535" s="226">
        <f t="shared" si="140"/>
        <v>0.889613424350996</v>
      </c>
      <c r="U535" s="226">
        <f t="shared" si="140"/>
        <v>0.82014407463775174</v>
      </c>
      <c r="V535" s="226">
        <f t="shared" si="140"/>
        <v>0.75609954251097966</v>
      </c>
      <c r="W535" s="226">
        <f t="shared" si="140"/>
        <v>0.69705620739602381</v>
      </c>
      <c r="X535" s="226">
        <f t="shared" si="140"/>
        <v>0.64262352898100428</v>
      </c>
      <c r="Y535" s="226">
        <f t="shared" si="140"/>
        <v>0.59244146400001674</v>
      </c>
      <c r="Z535" s="226">
        <f t="shared" si="140"/>
        <v>0.54617808473809892</v>
      </c>
      <c r="AA535" s="226">
        <f t="shared" si="140"/>
        <v>0.50352738350563786</v>
      </c>
      <c r="AB535" s="226">
        <f t="shared" si="140"/>
        <v>0.46420724855998219</v>
      </c>
      <c r="AC535" s="226">
        <f t="shared" si="140"/>
        <v>0.42795759808605582</v>
      </c>
      <c r="AD535" s="226">
        <f t="shared" si="140"/>
        <v>0.39453865989324555</v>
      </c>
      <c r="AE535" s="226">
        <f t="shared" si="138"/>
        <v>0.36372938544967026</v>
      </c>
      <c r="AF535" s="226">
        <f t="shared" si="138"/>
        <v>0.3353259877635118</v>
      </c>
      <c r="AG535" s="226">
        <f t="shared" si="138"/>
        <v>0.30914059344026751</v>
      </c>
      <c r="AH535" s="227">
        <v>0.28499999999999998</v>
      </c>
      <c r="AI535" s="226">
        <f t="shared" si="141"/>
        <v>0.26274453023489552</v>
      </c>
      <c r="AJ535" s="226">
        <f t="shared" si="141"/>
        <v>0.24222697602931909</v>
      </c>
      <c r="AK535" s="226">
        <f t="shared" si="141"/>
        <v>0.22331162465629034</v>
      </c>
      <c r="AL535" s="226">
        <f t="shared" si="141"/>
        <v>0.20587336110985377</v>
      </c>
      <c r="AM535" s="226">
        <f t="shared" si="141"/>
        <v>0.18979684053574578</v>
      </c>
      <c r="AN535" s="226">
        <f t="shared" si="141"/>
        <v>0.17497572528642774</v>
      </c>
      <c r="AO535" s="226">
        <f t="shared" si="141"/>
        <v>0.16131198155400911</v>
      </c>
      <c r="AP535" s="226">
        <f t="shared" si="141"/>
        <v>0.14871523092866057</v>
      </c>
      <c r="AQ535" s="226">
        <f t="shared" si="141"/>
        <v>0.13710215259342082</v>
      </c>
      <c r="AR535" s="226">
        <f t="shared" si="141"/>
        <v>0.12639593220123271</v>
      </c>
      <c r="AS535" s="226">
        <f t="shared" si="141"/>
        <v>0.11652575378882316</v>
      </c>
      <c r="AT535" s="226">
        <f t="shared" si="141"/>
        <v>0.10742633136670682</v>
      </c>
      <c r="AU535" s="226">
        <f t="shared" si="141"/>
        <v>9.9037477087030201E-2</v>
      </c>
      <c r="AV535" s="226">
        <f t="shared" si="141"/>
        <v>9.1303703132915734E-2</v>
      </c>
      <c r="AW535" s="226">
        <f t="shared" si="141"/>
        <v>8.4173854696015113E-2</v>
      </c>
      <c r="AX535" s="226">
        <f t="shared" si="141"/>
        <v>7.7600771614613498E-2</v>
      </c>
      <c r="AY535" s="226">
        <f t="shared" si="139"/>
        <v>7.154097643420014E-2</v>
      </c>
      <c r="AZ535" s="226">
        <f t="shared" si="139"/>
        <v>6.5954386827191749E-2</v>
      </c>
      <c r="BA535" s="226">
        <f t="shared" si="139"/>
        <v>6.0804050469617822E-2</v>
      </c>
      <c r="BB535" s="226">
        <f t="shared" si="139"/>
        <v>5.6055900621117948E-2</v>
      </c>
      <c r="BC535" s="226">
        <f t="shared" si="139"/>
        <v>5.1678530791542547E-2</v>
      </c>
      <c r="BD535" s="226">
        <f t="shared" si="139"/>
        <v>4.7642987003696249E-2</v>
      </c>
      <c r="BE535" s="226">
        <f t="shared" si="139"/>
        <v>4.3922576278152298E-2</v>
      </c>
    </row>
    <row r="536" spans="5:57" s="10" customFormat="1" x14ac:dyDescent="0.35">
      <c r="E536" s="10" t="s">
        <v>638</v>
      </c>
      <c r="F536" s="10" t="s">
        <v>615</v>
      </c>
      <c r="G536" s="43" t="s">
        <v>616</v>
      </c>
      <c r="I536" s="20"/>
      <c r="J536" s="200"/>
      <c r="K536" s="200"/>
      <c r="L536" s="200"/>
      <c r="M536" s="200"/>
      <c r="N536" s="200">
        <v>1.4072</v>
      </c>
      <c r="O536" s="226">
        <f t="shared" si="140"/>
        <v>1.2960881006993077</v>
      </c>
      <c r="P536" s="226">
        <f t="shared" si="140"/>
        <v>1.1937495485889276</v>
      </c>
      <c r="Q536" s="226">
        <f t="shared" si="140"/>
        <v>1.0994916039946554</v>
      </c>
      <c r="R536" s="226">
        <f t="shared" si="140"/>
        <v>1.0126762256653414</v>
      </c>
      <c r="S536" s="226">
        <f t="shared" si="140"/>
        <v>0.93271575180922117</v>
      </c>
      <c r="T536" s="226">
        <f t="shared" si="140"/>
        <v>0.8590689221537382</v>
      </c>
      <c r="U536" s="226">
        <f t="shared" si="140"/>
        <v>0.79123721410179082</v>
      </c>
      <c r="V536" s="226">
        <f t="shared" si="140"/>
        <v>0.72876146818348608</v>
      </c>
      <c r="W536" s="226">
        <f t="shared" si="140"/>
        <v>0.6712187799607543</v>
      </c>
      <c r="X536" s="226">
        <f t="shared" si="140"/>
        <v>0.61821963734582197</v>
      </c>
      <c r="Y536" s="226">
        <f t="shared" si="140"/>
        <v>0.56940528395577117</v>
      </c>
      <c r="Z536" s="226">
        <f t="shared" si="140"/>
        <v>0.52444529065547574</v>
      </c>
      <c r="AA536" s="226">
        <f t="shared" si="140"/>
        <v>0.48303531885044909</v>
      </c>
      <c r="AB536" s="226">
        <f t="shared" si="140"/>
        <v>0.44489506038911536</v>
      </c>
      <c r="AC536" s="226">
        <f t="shared" si="140"/>
        <v>0.40976634012949997</v>
      </c>
      <c r="AD536" s="226">
        <f t="shared" si="140"/>
        <v>0.37741136832642846</v>
      </c>
      <c r="AE536" s="226">
        <f t="shared" si="138"/>
        <v>0.347611131009471</v>
      </c>
      <c r="AF536" s="226">
        <f t="shared" si="138"/>
        <v>0.32016390745594336</v>
      </c>
      <c r="AG536" s="226">
        <f t="shared" si="138"/>
        <v>0.29488390472359477</v>
      </c>
      <c r="AH536" s="227">
        <v>0.27160000000000001</v>
      </c>
      <c r="AI536" s="226">
        <f t="shared" si="141"/>
        <v>0.25015458225549458</v>
      </c>
      <c r="AJ536" s="226">
        <f t="shared" si="141"/>
        <v>0.23040248535869295</v>
      </c>
      <c r="AK536" s="226">
        <f t="shared" si="141"/>
        <v>0.21221000543273766</v>
      </c>
      <c r="AL536" s="226">
        <f t="shared" si="141"/>
        <v>0.19545399580067277</v>
      </c>
      <c r="AM536" s="226">
        <f t="shared" si="141"/>
        <v>0.18002103339353642</v>
      </c>
      <c r="AN536" s="226">
        <f t="shared" si="141"/>
        <v>0.16580665097850716</v>
      </c>
      <c r="AO536" s="226">
        <f t="shared" si="141"/>
        <v>0.15271463000998178</v>
      </c>
      <c r="AP536" s="226">
        <f t="shared" si="141"/>
        <v>0.14065634931682405</v>
      </c>
      <c r="AQ536" s="226">
        <f t="shared" si="141"/>
        <v>0.12955018521698469</v>
      </c>
      <c r="AR536" s="226">
        <f t="shared" si="141"/>
        <v>0.11932095899880986</v>
      </c>
      <c r="AS536" s="226">
        <f t="shared" si="141"/>
        <v>0.10989942802898482</v>
      </c>
      <c r="AT536" s="226">
        <f t="shared" si="141"/>
        <v>0.10122181704237294</v>
      </c>
      <c r="AU536" s="226">
        <f t="shared" si="141"/>
        <v>9.3229386441004813E-2</v>
      </c>
      <c r="AV536" s="226">
        <f t="shared" si="141"/>
        <v>8.5868034679991281E-2</v>
      </c>
      <c r="AW536" s="226">
        <f t="shared" si="141"/>
        <v>7.9087932048871656E-2</v>
      </c>
      <c r="AX536" s="226">
        <f t="shared" si="141"/>
        <v>7.2843183369427217E-2</v>
      </c>
      <c r="AY536" s="226">
        <f t="shared" si="139"/>
        <v>6.7091517326728481E-2</v>
      </c>
      <c r="AZ536" s="226">
        <f t="shared" si="139"/>
        <v>6.1794000330467745E-2</v>
      </c>
      <c r="BA536" s="226">
        <f t="shared" si="139"/>
        <v>5.6914772969676189E-2</v>
      </c>
      <c r="BB536" s="226">
        <f t="shared" si="139"/>
        <v>5.242080727686179E-2</v>
      </c>
      <c r="BC536" s="226">
        <f t="shared" si="139"/>
        <v>4.8281683158465212E-2</v>
      </c>
      <c r="BD536" s="226">
        <f t="shared" si="139"/>
        <v>4.4469382478269565E-2</v>
      </c>
      <c r="BE536" s="226">
        <f t="shared" si="139"/>
        <v>4.0958099399894456E-2</v>
      </c>
    </row>
    <row r="537" spans="5:57" s="10" customFormat="1" x14ac:dyDescent="0.35">
      <c r="E537" s="10" t="s">
        <v>639</v>
      </c>
      <c r="F537" s="10" t="s">
        <v>615</v>
      </c>
      <c r="G537" s="43" t="s">
        <v>616</v>
      </c>
      <c r="I537" s="20"/>
      <c r="J537" s="200"/>
      <c r="K537" s="200"/>
      <c r="L537" s="200"/>
      <c r="M537" s="200"/>
      <c r="N537" s="200">
        <v>1.3666</v>
      </c>
      <c r="O537" s="226">
        <f t="shared" si="140"/>
        <v>1.2575230320695276</v>
      </c>
      <c r="P537" s="226">
        <f t="shared" si="140"/>
        <v>1.1571521851202533</v>
      </c>
      <c r="Q537" s="226">
        <f t="shared" si="140"/>
        <v>1.0647925687094251</v>
      </c>
      <c r="R537" s="226">
        <f t="shared" si="140"/>
        <v>0.97980475598461669</v>
      </c>
      <c r="S537" s="226">
        <f t="shared" si="140"/>
        <v>0.90160035678466188</v>
      </c>
      <c r="T537" s="226">
        <f t="shared" si="140"/>
        <v>0.82963794407933267</v>
      </c>
      <c r="U537" s="226">
        <f t="shared" si="140"/>
        <v>0.76341930554556692</v>
      </c>
      <c r="V537" s="226">
        <f t="shared" si="140"/>
        <v>0.70248599432904613</v>
      </c>
      <c r="W537" s="226">
        <f t="shared" si="140"/>
        <v>0.64641615511125361</v>
      </c>
      <c r="X537" s="226">
        <f t="shared" si="140"/>
        <v>0.59482160350814417</v>
      </c>
      <c r="Y537" s="226">
        <f t="shared" si="140"/>
        <v>0.5473451385804331</v>
      </c>
      <c r="Z537" s="226">
        <f t="shared" si="140"/>
        <v>0.50365806984939421</v>
      </c>
      <c r="AA537" s="226">
        <f t="shared" si="140"/>
        <v>0.46345794169712878</v>
      </c>
      <c r="AB537" s="226">
        <f t="shared" si="140"/>
        <v>0.42646643939680651</v>
      </c>
      <c r="AC537" s="226">
        <f t="shared" si="140"/>
        <v>0.39242746227584341</v>
      </c>
      <c r="AD537" s="226">
        <f t="shared" si="140"/>
        <v>0.3611053506720831</v>
      </c>
      <c r="AE537" s="226">
        <f t="shared" si="138"/>
        <v>0.33228325440779161</v>
      </c>
      <c r="AF537" s="226">
        <f t="shared" si="138"/>
        <v>0.30576163148603569</v>
      </c>
      <c r="AG537" s="226">
        <f t="shared" si="138"/>
        <v>0.2813568666155753</v>
      </c>
      <c r="AH537" s="227">
        <v>0.25890000000000002</v>
      </c>
      <c r="AI537" s="226">
        <f t="shared" si="141"/>
        <v>0.23823555759022447</v>
      </c>
      <c r="AJ537" s="226">
        <f t="shared" si="141"/>
        <v>0.21922047470191253</v>
      </c>
      <c r="AK537" s="226">
        <f t="shared" si="141"/>
        <v>0.20172310554578532</v>
      </c>
      <c r="AL537" s="226">
        <f t="shared" si="141"/>
        <v>0.18562231181356456</v>
      </c>
      <c r="AM537" s="226">
        <f t="shared" si="141"/>
        <v>0.17080662400962171</v>
      </c>
      <c r="AN537" s="226">
        <f t="shared" si="141"/>
        <v>0.15717346972203958</v>
      </c>
      <c r="AO537" s="226">
        <f t="shared" si="141"/>
        <v>0.14462846349022926</v>
      </c>
      <c r="AP537" s="226">
        <f t="shared" si="141"/>
        <v>0.13308475335269287</v>
      </c>
      <c r="AQ537" s="226">
        <f t="shared" si="141"/>
        <v>0.12246241955093194</v>
      </c>
      <c r="AR537" s="226">
        <f t="shared" si="141"/>
        <v>0.11268792122659048</v>
      </c>
      <c r="AS537" s="226">
        <f t="shared" si="141"/>
        <v>0.10369358728118992</v>
      </c>
      <c r="AT537" s="226">
        <f t="shared" si="141"/>
        <v>9.5417147873560787E-2</v>
      </c>
      <c r="AU537" s="226">
        <f t="shared" si="141"/>
        <v>8.7801303311420054E-2</v>
      </c>
      <c r="AV537" s="226">
        <f t="shared" si="141"/>
        <v>8.0793327352431735E-2</v>
      </c>
      <c r="AW537" s="226">
        <f t="shared" si="141"/>
        <v>7.4344702168312501E-2</v>
      </c>
      <c r="AX537" s="226">
        <f t="shared" si="141"/>
        <v>6.8410782444755111E-2</v>
      </c>
      <c r="AY537" s="226">
        <f t="shared" si="139"/>
        <v>6.295048629165613E-2</v>
      </c>
      <c r="AZ537" s="226">
        <f t="shared" si="139"/>
        <v>5.7926010823748465E-2</v>
      </c>
      <c r="BA537" s="226">
        <f t="shared" si="139"/>
        <v>5.3302570442538014E-2</v>
      </c>
      <c r="BB537" s="226">
        <f t="shared" si="139"/>
        <v>4.9048156007610116E-2</v>
      </c>
      <c r="BC537" s="226">
        <f t="shared" si="139"/>
        <v>4.5133313229993484E-2</v>
      </c>
      <c r="BD537" s="226">
        <f t="shared" si="139"/>
        <v>4.1530938753347825E-2</v>
      </c>
      <c r="BE537" s="226">
        <f t="shared" si="139"/>
        <v>3.8216092511198452E-2</v>
      </c>
    </row>
    <row r="538" spans="5:57" s="10" customFormat="1" x14ac:dyDescent="0.35">
      <c r="E538" s="10" t="s">
        <v>640</v>
      </c>
      <c r="F538" s="10" t="s">
        <v>615</v>
      </c>
      <c r="G538" s="43" t="s">
        <v>616</v>
      </c>
      <c r="I538" s="20"/>
      <c r="J538" s="200"/>
      <c r="K538" s="200"/>
      <c r="L538" s="200"/>
      <c r="M538" s="200"/>
      <c r="N538" s="200">
        <v>1.3271999999999999</v>
      </c>
      <c r="O538" s="226">
        <f t="shared" si="140"/>
        <v>1.220131985283029</v>
      </c>
      <c r="P538" s="226">
        <f t="shared" si="140"/>
        <v>1.1217013724462823</v>
      </c>
      <c r="Q538" s="226">
        <f t="shared" si="140"/>
        <v>1.0312113641181291</v>
      </c>
      <c r="R538" s="226">
        <f t="shared" si="140"/>
        <v>0.94802137503607098</v>
      </c>
      <c r="S538" s="226">
        <f t="shared" si="140"/>
        <v>0.87154249729770072</v>
      </c>
      <c r="T538" s="226">
        <f t="shared" si="140"/>
        <v>0.80123333143940068</v>
      </c>
      <c r="U538" s="226">
        <f t="shared" si="140"/>
        <v>0.73659615383068955</v>
      </c>
      <c r="V538" s="226">
        <f t="shared" si="140"/>
        <v>0.67717339325292547</v>
      </c>
      <c r="W538" s="226">
        <f t="shared" si="140"/>
        <v>0.62254439171981413</v>
      </c>
      <c r="X538" s="226">
        <f t="shared" si="140"/>
        <v>0.57232242660933741</v>
      </c>
      <c r="Y538" s="226">
        <f t="shared" si="140"/>
        <v>0.5261519730265608</v>
      </c>
      <c r="Z538" s="226">
        <f t="shared" si="140"/>
        <v>0.48370618701739027</v>
      </c>
      <c r="AA538" s="226">
        <f t="shared" si="140"/>
        <v>0.44468459181676651</v>
      </c>
      <c r="AB538" s="226">
        <f t="shared" si="140"/>
        <v>0.40881095075208312</v>
      </c>
      <c r="AC538" s="226">
        <f t="shared" si="140"/>
        <v>0.37583131174395856</v>
      </c>
      <c r="AD538" s="226">
        <f t="shared" si="140"/>
        <v>0.34551220956124257</v>
      </c>
      <c r="AE538" s="226">
        <f t="shared" si="138"/>
        <v>0.31763901310389153</v>
      </c>
      <c r="AF538" s="226">
        <f t="shared" si="138"/>
        <v>0.29201440601400941</v>
      </c>
      <c r="AG538" s="226">
        <f t="shared" si="138"/>
        <v>0.26845698985919064</v>
      </c>
      <c r="AH538" s="227">
        <v>0.24679999999999999</v>
      </c>
      <c r="AI538" s="226">
        <f t="shared" si="141"/>
        <v>0.22689012505112385</v>
      </c>
      <c r="AJ538" s="226">
        <f t="shared" si="141"/>
        <v>0.20858642157907059</v>
      </c>
      <c r="AK538" s="226">
        <f t="shared" si="141"/>
        <v>0.19175931635349175</v>
      </c>
      <c r="AL538" s="226">
        <f t="shared" si="141"/>
        <v>0.17628968908898607</v>
      </c>
      <c r="AM538" s="226">
        <f t="shared" si="141"/>
        <v>0.16206802918405103</v>
      </c>
      <c r="AN538" s="226">
        <f t="shared" si="141"/>
        <v>0.14899366048767637</v>
      </c>
      <c r="AO538" s="226">
        <f t="shared" si="141"/>
        <v>0.13697402860564661</v>
      </c>
      <c r="AP538" s="226">
        <f t="shared" si="141"/>
        <v>0.12592404570134269</v>
      </c>
      <c r="AQ538" s="226">
        <f t="shared" si="141"/>
        <v>0.11576548815284067</v>
      </c>
      <c r="AR538" s="226">
        <f t="shared" si="141"/>
        <v>0.10642644280227884</v>
      </c>
      <c r="AS538" s="226">
        <f t="shared" si="141"/>
        <v>9.7840797877452701E-2</v>
      </c>
      <c r="AT538" s="226">
        <f t="shared" si="141"/>
        <v>8.9947774981835399E-2</v>
      </c>
      <c r="AU538" s="226">
        <f t="shared" si="141"/>
        <v>8.2691498839947253E-2</v>
      </c>
      <c r="AV538" s="226">
        <f t="shared" si="141"/>
        <v>7.6020601752271044E-2</v>
      </c>
      <c r="AW538" s="226">
        <f t="shared" si="141"/>
        <v>6.9887859959621004E-2</v>
      </c>
      <c r="AX538" s="226">
        <f t="shared" si="141"/>
        <v>6.4249859342762727E-2</v>
      </c>
      <c r="AY538" s="226">
        <f t="shared" si="139"/>
        <v>5.9066688090747783E-2</v>
      </c>
      <c r="AZ538" s="226">
        <f t="shared" si="139"/>
        <v>5.4301654162339924E-2</v>
      </c>
      <c r="BA538" s="226">
        <f t="shared" si="139"/>
        <v>4.9921025540422145E-2</v>
      </c>
      <c r="BB538" s="226">
        <f t="shared" si="139"/>
        <v>4.5893791440626941E-2</v>
      </c>
      <c r="BC538" s="226">
        <f t="shared" si="139"/>
        <v>4.2191442783768414E-2</v>
      </c>
      <c r="BD538" s="226">
        <f t="shared" si="139"/>
        <v>3.878777037802493E-2</v>
      </c>
      <c r="BE538" s="226">
        <f t="shared" si="139"/>
        <v>3.5658679382189439E-2</v>
      </c>
    </row>
    <row r="539" spans="5:57" s="10" customFormat="1" x14ac:dyDescent="0.35">
      <c r="E539" s="10" t="s">
        <v>641</v>
      </c>
      <c r="F539" s="10" t="s">
        <v>615</v>
      </c>
      <c r="G539" s="43" t="s">
        <v>616</v>
      </c>
      <c r="I539" s="20"/>
      <c r="J539" s="200"/>
      <c r="K539" s="200"/>
      <c r="L539" s="200"/>
      <c r="M539" s="200"/>
      <c r="N539" s="200">
        <v>1.2889999999999999</v>
      </c>
      <c r="O539" s="226">
        <f t="shared" si="140"/>
        <v>1.1838921403221914</v>
      </c>
      <c r="P539" s="226">
        <f t="shared" si="140"/>
        <v>1.0873550038143207</v>
      </c>
      <c r="Q539" s="226">
        <f t="shared" si="140"/>
        <v>0.99868971509370108</v>
      </c>
      <c r="R539" s="226">
        <f t="shared" si="140"/>
        <v>0.91725438659429115</v>
      </c>
      <c r="S539" s="226">
        <f t="shared" si="140"/>
        <v>0.84245947165634927</v>
      </c>
      <c r="T539" s="226">
        <f t="shared" si="140"/>
        <v>0.77376349653525045</v>
      </c>
      <c r="U539" s="226">
        <f t="shared" si="140"/>
        <v>0.71066914043157503</v>
      </c>
      <c r="V539" s="226">
        <f t="shared" si="140"/>
        <v>0.65271963516405695</v>
      </c>
      <c r="W539" s="226">
        <f t="shared" si="140"/>
        <v>0.59949545842102037</v>
      </c>
      <c r="X539" s="226">
        <f t="shared" si="140"/>
        <v>0.55061129665127628</v>
      </c>
      <c r="Y539" s="226">
        <f t="shared" si="140"/>
        <v>0.50571325560749147</v>
      </c>
      <c r="Z539" s="226">
        <f t="shared" si="140"/>
        <v>0.46447629834791043</v>
      </c>
      <c r="AA539" s="226">
        <f t="shared" si="140"/>
        <v>0.42660189214898092</v>
      </c>
      <c r="AB539" s="226">
        <f t="shared" si="140"/>
        <v>0.39181584729383528</v>
      </c>
      <c r="AC539" s="226">
        <f t="shared" si="140"/>
        <v>0.35986633209065289</v>
      </c>
      <c r="AD539" s="226">
        <f t="shared" si="140"/>
        <v>0.33052204975073668</v>
      </c>
      <c r="AE539" s="226">
        <f t="shared" si="138"/>
        <v>0.30357056392791115</v>
      </c>
      <c r="AF539" s="226">
        <f t="shared" si="138"/>
        <v>0.27881676079707474</v>
      </c>
      <c r="AG539" s="226">
        <f t="shared" si="138"/>
        <v>0.25608143653820736</v>
      </c>
      <c r="AH539" s="227">
        <v>0.23519999999999999</v>
      </c>
      <c r="AI539" s="226">
        <f t="shared" si="141"/>
        <v>0.21602128115110894</v>
      </c>
      <c r="AJ539" s="226">
        <f t="shared" si="141"/>
        <v>0.19840643669288457</v>
      </c>
      <c r="AK539" s="226">
        <f t="shared" si="141"/>
        <v>0.18222794491081343</v>
      </c>
      <c r="AL539" s="226">
        <f t="shared" si="141"/>
        <v>0.16736868248795755</v>
      </c>
      <c r="AM539" s="226">
        <f t="shared" si="141"/>
        <v>0.1537210765970313</v>
      </c>
      <c r="AN539" s="226">
        <f t="shared" si="141"/>
        <v>0.14118632613273149</v>
      </c>
      <c r="AO539" s="226">
        <f t="shared" si="141"/>
        <v>0.12967368644647512</v>
      </c>
      <c r="AP539" s="226">
        <f t="shared" si="141"/>
        <v>0.11909981240541984</v>
      </c>
      <c r="AQ539" s="226">
        <f t="shared" si="141"/>
        <v>0.10938815501987896</v>
      </c>
      <c r="AR539" s="226">
        <f t="shared" si="141"/>
        <v>0.10046840727104746</v>
      </c>
      <c r="AS539" s="226">
        <f t="shared" si="141"/>
        <v>9.2275995127138868E-2</v>
      </c>
      <c r="AT539" s="226">
        <f t="shared" si="141"/>
        <v>8.4751610063171876E-2</v>
      </c>
      <c r="AU539" s="226">
        <f t="shared" si="141"/>
        <v>7.7840779700108872E-2</v>
      </c>
      <c r="AV539" s="226">
        <f t="shared" si="141"/>
        <v>7.1493473455011697E-2</v>
      </c>
      <c r="AW539" s="226">
        <f t="shared" si="141"/>
        <v>6.5663740347340238E-2</v>
      </c>
      <c r="AX539" s="226">
        <f t="shared" si="141"/>
        <v>6.0309376339312083E-2</v>
      </c>
      <c r="AY539" s="226">
        <f t="shared" si="139"/>
        <v>5.5391618802051755E-2</v>
      </c>
      <c r="AZ539" s="226">
        <f t="shared" si="139"/>
        <v>5.0874865895633815E-2</v>
      </c>
      <c r="BA539" s="226">
        <f t="shared" si="139"/>
        <v>4.6726418831486718E-2</v>
      </c>
      <c r="BB539" s="226">
        <f t="shared" si="139"/>
        <v>4.2916245151280029E-2</v>
      </c>
      <c r="BC539" s="226">
        <f t="shared" si="139"/>
        <v>3.9416761308565383E-2</v>
      </c>
      <c r="BD539" s="226">
        <f t="shared" si="139"/>
        <v>3.6202632979182636E-2</v>
      </c>
      <c r="BE539" s="226">
        <f t="shared" si="139"/>
        <v>3.3250591654789205E-2</v>
      </c>
    </row>
    <row r="540" spans="5:57" s="10" customFormat="1" x14ac:dyDescent="0.35">
      <c r="E540" s="10" t="s">
        <v>642</v>
      </c>
      <c r="F540" s="10" t="s">
        <v>615</v>
      </c>
      <c r="G540" s="43" t="s">
        <v>616</v>
      </c>
      <c r="I540" s="20"/>
      <c r="J540" s="200"/>
      <c r="K540" s="200"/>
      <c r="L540" s="200"/>
      <c r="M540" s="200"/>
      <c r="N540" s="200">
        <v>1.2518</v>
      </c>
      <c r="O540" s="226">
        <f t="shared" si="140"/>
        <v>1.1486559862737564</v>
      </c>
      <c r="P540" s="226">
        <f t="shared" si="140"/>
        <v>1.0540106844564117</v>
      </c>
      <c r="Q540" s="226">
        <f t="shared" si="140"/>
        <v>0.96716382992279637</v>
      </c>
      <c r="R540" s="226">
        <f t="shared" si="140"/>
        <v>0.88747285744389937</v>
      </c>
      <c r="S540" s="226">
        <f t="shared" si="140"/>
        <v>0.81434814695511348</v>
      </c>
      <c r="T540" s="226">
        <f t="shared" si="140"/>
        <v>0.74724866105682353</v>
      </c>
      <c r="U540" s="226">
        <f t="shared" si="140"/>
        <v>0.68567794196993892</v>
      </c>
      <c r="V540" s="226">
        <f t="shared" si="140"/>
        <v>0.62918043832851867</v>
      </c>
      <c r="W540" s="226">
        <f t="shared" si="140"/>
        <v>0.57733813463204897</v>
      </c>
      <c r="X540" s="226">
        <f t="shared" si="140"/>
        <v>0.52976745841925776</v>
      </c>
      <c r="Y540" s="226">
        <f t="shared" si="140"/>
        <v>0.48611644228016754</v>
      </c>
      <c r="Z540" s="226">
        <f t="shared" si="140"/>
        <v>0.44606211970859194</v>
      </c>
      <c r="AA540" s="226">
        <f t="shared" si="140"/>
        <v>0.40930813552742856</v>
      </c>
      <c r="AB540" s="226">
        <f t="shared" si="140"/>
        <v>0.37558255320668699</v>
      </c>
      <c r="AC540" s="226">
        <f t="shared" si="140"/>
        <v>0.34463584285096871</v>
      </c>
      <c r="AD540" s="226">
        <f t="shared" si="140"/>
        <v>0.31623903496985684</v>
      </c>
      <c r="AE540" s="226">
        <f t="shared" si="138"/>
        <v>0.29018202637127483</v>
      </c>
      <c r="AF540" s="226">
        <f t="shared" si="138"/>
        <v>0.26627202564340458</v>
      </c>
      <c r="AG540" s="226">
        <f t="shared" si="138"/>
        <v>0.24433212672354676</v>
      </c>
      <c r="AH540" s="227">
        <v>0.22420000000000001</v>
      </c>
      <c r="AI540" s="226">
        <f t="shared" si="141"/>
        <v>0.20572669126264273</v>
      </c>
      <c r="AJ540" s="226">
        <f t="shared" si="141"/>
        <v>0.18877551961585515</v>
      </c>
      <c r="AK540" s="226">
        <f t="shared" si="141"/>
        <v>0.1732210661996253</v>
      </c>
      <c r="AL540" s="226">
        <f t="shared" si="141"/>
        <v>0.15894824623655715</v>
      </c>
      <c r="AM540" s="226">
        <f t="shared" si="141"/>
        <v>0.14585145753901296</v>
      </c>
      <c r="AN540" s="226">
        <f t="shared" si="141"/>
        <v>0.13383379917633795</v>
      </c>
      <c r="AO540" s="226">
        <f t="shared" si="141"/>
        <v>0.12280635452121769</v>
      </c>
      <c r="AP540" s="226">
        <f t="shared" si="141"/>
        <v>0.11268753337054951</v>
      </c>
      <c r="AQ540" s="226">
        <f t="shared" si="141"/>
        <v>0.10340246827329076</v>
      </c>
      <c r="AR540" s="226">
        <f t="shared" si="141"/>
        <v>9.488246059881579E-2</v>
      </c>
      <c r="AS540" s="226">
        <f t="shared" si="141"/>
        <v>8.7064472247334698E-2</v>
      </c>
      <c r="AT540" s="226">
        <f t="shared" si="141"/>
        <v>7.9890659241625125E-2</v>
      </c>
      <c r="AU540" s="226">
        <f t="shared" si="141"/>
        <v>7.3307943749200744E-2</v>
      </c>
      <c r="AV540" s="226">
        <f t="shared" si="141"/>
        <v>6.7267621368380923E-2</v>
      </c>
      <c r="AW540" s="226">
        <f t="shared" si="141"/>
        <v>6.1725000772637158E-2</v>
      </c>
      <c r="AX540" s="226">
        <f t="shared" si="141"/>
        <v>5.6639073047005835E-2</v>
      </c>
      <c r="AY540" s="226">
        <f t="shared" si="139"/>
        <v>5.1972208270042994E-2</v>
      </c>
      <c r="AZ540" s="226">
        <f t="shared" si="139"/>
        <v>4.7689877096382255E-2</v>
      </c>
      <c r="BA540" s="226">
        <f t="shared" si="139"/>
        <v>4.3760395279932245E-2</v>
      </c>
      <c r="BB540" s="226">
        <f t="shared" si="139"/>
        <v>4.0154689247483624E-2</v>
      </c>
      <c r="BC540" s="226">
        <f t="shared" si="139"/>
        <v>3.6846080988244531E-2</v>
      </c>
      <c r="BD540" s="226">
        <f t="shared" si="139"/>
        <v>3.3810090667738234E-2</v>
      </c>
      <c r="BE540" s="226">
        <f t="shared" si="139"/>
        <v>3.1024255505636672E-2</v>
      </c>
    </row>
    <row r="541" spans="5:57" s="10" customFormat="1" x14ac:dyDescent="0.35">
      <c r="E541" s="109" t="s">
        <v>643</v>
      </c>
      <c r="F541" s="10" t="s">
        <v>615</v>
      </c>
      <c r="G541" s="43" t="s">
        <v>616</v>
      </c>
      <c r="I541" s="20"/>
      <c r="J541" s="200"/>
      <c r="K541" s="200"/>
      <c r="L541" s="200"/>
      <c r="M541" s="200"/>
      <c r="N541" s="200">
        <v>1.234</v>
      </c>
      <c r="O541" s="226">
        <f t="shared" si="140"/>
        <v>1.1315460329677789</v>
      </c>
      <c r="P541" s="226">
        <f t="shared" si="140"/>
        <v>1.0375983992910192</v>
      </c>
      <c r="Q541" s="226">
        <f t="shared" si="140"/>
        <v>0.95145085294284448</v>
      </c>
      <c r="R541" s="226">
        <f t="shared" si="140"/>
        <v>0.87245578461206263</v>
      </c>
      <c r="S541" s="226">
        <f t="shared" si="140"/>
        <v>0.80001935333676699</v>
      </c>
      <c r="T541" s="226">
        <f t="shared" si="140"/>
        <v>0.73359702233846558</v>
      </c>
      <c r="U541" s="226">
        <f t="shared" si="140"/>
        <v>0.67268946549762221</v>
      </c>
      <c r="V541" s="226">
        <f t="shared" si="140"/>
        <v>0.61683881369777149</v>
      </c>
      <c r="W541" s="226">
        <f t="shared" si="140"/>
        <v>0.56562521282031131</v>
      </c>
      <c r="X541" s="226">
        <f t="shared" si="140"/>
        <v>0.51866366751489379</v>
      </c>
      <c r="Y541" s="226">
        <f t="shared" si="140"/>
        <v>0.47560114701863621</v>
      </c>
      <c r="Z541" s="226">
        <f t="shared" si="140"/>
        <v>0.43611393126731213</v>
      </c>
      <c r="AA541" s="226">
        <f t="shared" si="140"/>
        <v>0.39990517734806291</v>
      </c>
      <c r="AB541" s="226">
        <f t="shared" si="140"/>
        <v>0.36670268799957589</v>
      </c>
      <c r="AC541" s="226">
        <f t="shared" si="140"/>
        <v>0.33625686538455529</v>
      </c>
      <c r="AD541" s="226">
        <f t="shared" si="140"/>
        <v>0.3083388347520859</v>
      </c>
      <c r="AE541" s="226">
        <f t="shared" si="138"/>
        <v>0.28273872388462751</v>
      </c>
      <c r="AF541" s="226">
        <f t="shared" si="138"/>
        <v>0.25926408539548013</v>
      </c>
      <c r="AG541" s="226">
        <f t="shared" si="138"/>
        <v>0.23773845001643029</v>
      </c>
      <c r="AH541" s="227">
        <v>0.218</v>
      </c>
      <c r="AI541" s="226">
        <f t="shared" si="141"/>
        <v>0.19990035266367567</v>
      </c>
      <c r="AJ541" s="226">
        <f t="shared" si="141"/>
        <v>0.18330344493147666</v>
      </c>
      <c r="AK541" s="226">
        <f t="shared" si="141"/>
        <v>0.16808451048747172</v>
      </c>
      <c r="AL541" s="226">
        <f t="shared" si="141"/>
        <v>0.15412914185204996</v>
      </c>
      <c r="AM541" s="226">
        <f t="shared" si="141"/>
        <v>0.14133243033015816</v>
      </c>
      <c r="AN541" s="226">
        <f t="shared" si="141"/>
        <v>0.12959817736611462</v>
      </c>
      <c r="AO541" s="226">
        <f t="shared" si="141"/>
        <v>0.11883817137640323</v>
      </c>
      <c r="AP541" s="226">
        <f t="shared" si="141"/>
        <v>0.10897152462407952</v>
      </c>
      <c r="AQ541" s="226">
        <f t="shared" si="141"/>
        <v>9.9924065149779431E-2</v>
      </c>
      <c r="AR541" s="226">
        <f t="shared" si="141"/>
        <v>9.1627779188206485E-2</v>
      </c>
      <c r="AS541" s="226">
        <f t="shared" si="141"/>
        <v>8.4020299878494867E-2</v>
      </c>
      <c r="AT541" s="226">
        <f t="shared" si="141"/>
        <v>7.7044438424857392E-2</v>
      </c>
      <c r="AU541" s="226">
        <f t="shared" si="141"/>
        <v>7.0647754183045128E-2</v>
      </c>
      <c r="AV541" s="226">
        <f t="shared" si="141"/>
        <v>6.4782160440767844E-2</v>
      </c>
      <c r="AW541" s="226">
        <f t="shared" si="141"/>
        <v>5.9403562928551888E-2</v>
      </c>
      <c r="AX541" s="226">
        <f t="shared" si="141"/>
        <v>5.4471528343561344E-2</v>
      </c>
      <c r="AY541" s="226">
        <f t="shared" si="139"/>
        <v>4.9948980394528983E-2</v>
      </c>
      <c r="AZ541" s="226">
        <f t="shared" si="139"/>
        <v>4.5801921082831952E-2</v>
      </c>
      <c r="BA541" s="226">
        <f t="shared" si="139"/>
        <v>4.1999175124458485E-2</v>
      </c>
      <c r="BB541" s="226">
        <f t="shared" si="139"/>
        <v>3.8512155591572138E-2</v>
      </c>
      <c r="BC541" s="226">
        <f t="shared" si="139"/>
        <v>3.5314649011897341E-2</v>
      </c>
      <c r="BD541" s="226">
        <f t="shared" si="139"/>
        <v>3.2382618310422953E-2</v>
      </c>
      <c r="BE541" s="226">
        <f t="shared" si="139"/>
        <v>2.9694022112049311E-2</v>
      </c>
    </row>
    <row r="542" spans="5:57" s="10" customFormat="1" x14ac:dyDescent="0.35">
      <c r="E542" s="109" t="s">
        <v>644</v>
      </c>
      <c r="F542" s="10" t="s">
        <v>615</v>
      </c>
      <c r="G542" s="43" t="s">
        <v>616</v>
      </c>
      <c r="I542" s="20"/>
      <c r="J542" s="200"/>
      <c r="K542" s="200"/>
      <c r="L542" s="200"/>
      <c r="M542" s="200"/>
      <c r="N542" s="200">
        <v>1.2164999999999999</v>
      </c>
      <c r="O542" s="226">
        <f t="shared" si="140"/>
        <v>1.1147655549770321</v>
      </c>
      <c r="P542" s="226">
        <f t="shared" si="140"/>
        <v>1.0215390403314843</v>
      </c>
      <c r="Q542" s="226">
        <f t="shared" si="140"/>
        <v>0.93610894798670952</v>
      </c>
      <c r="R542" s="226">
        <f t="shared" si="140"/>
        <v>0.85782327243844647</v>
      </c>
      <c r="S542" s="226">
        <f t="shared" si="140"/>
        <v>0.78608453462561345</v>
      </c>
      <c r="T542" s="226">
        <f t="shared" si="140"/>
        <v>0.72034522194885664</v>
      </c>
      <c r="U542" s="226">
        <f t="shared" si="140"/>
        <v>0.66010360963491221</v>
      </c>
      <c r="V542" s="226">
        <f t="shared" si="140"/>
        <v>0.60489993155528576</v>
      </c>
      <c r="W542" s="226">
        <f t="shared" si="140"/>
        <v>0.55431287127480233</v>
      </c>
      <c r="X542" s="226">
        <f t="shared" si="140"/>
        <v>0.50795634654958266</v>
      </c>
      <c r="Y542" s="226">
        <f t="shared" si="140"/>
        <v>0.46547656273362209</v>
      </c>
      <c r="Z542" s="226">
        <f t="shared" si="140"/>
        <v>0.42654931260546453</v>
      </c>
      <c r="AA542" s="226">
        <f t="shared" si="140"/>
        <v>0.39087750200715354</v>
      </c>
      <c r="AB542" s="226">
        <f t="shared" si="140"/>
        <v>0.35818888241104857</v>
      </c>
      <c r="AC542" s="226">
        <f t="shared" si="140"/>
        <v>0.32823397310937569</v>
      </c>
      <c r="AD542" s="226">
        <f t="shared" si="140"/>
        <v>0.30078415716858981</v>
      </c>
      <c r="AE542" s="226">
        <f t="shared" si="138"/>
        <v>0.27562993661680385</v>
      </c>
      <c r="AF542" s="226">
        <f t="shared" si="138"/>
        <v>0.25257933354781387</v>
      </c>
      <c r="AG542" s="226">
        <f t="shared" si="138"/>
        <v>0.23145642493888835</v>
      </c>
      <c r="AH542" s="227">
        <v>0.21210000000000001</v>
      </c>
      <c r="AI542" s="226">
        <f t="shared" si="141"/>
        <v>0.19436232980733956</v>
      </c>
      <c r="AJ542" s="226">
        <f t="shared" si="141"/>
        <v>0.1781080398309148</v>
      </c>
      <c r="AK542" s="226">
        <f t="shared" si="141"/>
        <v>0.16321307675132027</v>
      </c>
      <c r="AL542" s="226">
        <f t="shared" si="141"/>
        <v>0.14956376168039007</v>
      </c>
      <c r="AM542" s="226">
        <f t="shared" si="141"/>
        <v>0.13705592255987886</v>
      </c>
      <c r="AN542" s="226">
        <f t="shared" si="141"/>
        <v>0.12559409911660707</v>
      </c>
      <c r="AO542" s="226">
        <f t="shared" si="141"/>
        <v>0.11509081430625967</v>
      </c>
      <c r="AP542" s="226">
        <f t="shared" si="141"/>
        <v>0.10546590668547154</v>
      </c>
      <c r="AQ542" s="226">
        <f t="shared" si="141"/>
        <v>9.6645918616839771E-2</v>
      </c>
      <c r="AR542" s="226">
        <f t="shared" si="141"/>
        <v>8.8563535637621441E-2</v>
      </c>
      <c r="AS542" s="226">
        <f t="shared" si="141"/>
        <v>8.1157072713359008E-2</v>
      </c>
      <c r="AT542" s="226">
        <f t="shared" si="141"/>
        <v>7.4370003455502681E-2</v>
      </c>
      <c r="AU542" s="226">
        <f t="shared" si="141"/>
        <v>6.8150528710001851E-2</v>
      </c>
      <c r="AV542" s="226">
        <f t="shared" si="141"/>
        <v>6.245118122431844E-2</v>
      </c>
      <c r="AW542" s="226">
        <f t="shared" si="141"/>
        <v>5.722846337566672E-2</v>
      </c>
      <c r="AX542" s="226">
        <f t="shared" si="141"/>
        <v>5.2442515195608615E-2</v>
      </c>
      <c r="AY542" s="226">
        <f t="shared" si="139"/>
        <v>4.8056810157356418E-2</v>
      </c>
      <c r="AZ542" s="226">
        <f t="shared" si="139"/>
        <v>4.4037876404020806E-2</v>
      </c>
      <c r="BA542" s="226">
        <f t="shared" si="139"/>
        <v>4.0355041290208143E-2</v>
      </c>
      <c r="BB542" s="226">
        <f t="shared" si="139"/>
        <v>3.6980197287299572E-2</v>
      </c>
      <c r="BC542" s="226">
        <f t="shared" si="139"/>
        <v>3.3887587465792561E-2</v>
      </c>
      <c r="BD542" s="226">
        <f t="shared" si="139"/>
        <v>3.1053608917498535E-2</v>
      </c>
      <c r="BE542" s="226">
        <f t="shared" si="139"/>
        <v>2.8456632617307829E-2</v>
      </c>
    </row>
    <row r="543" spans="5:57" s="10" customFormat="1" x14ac:dyDescent="0.35">
      <c r="E543" s="109" t="s">
        <v>645</v>
      </c>
      <c r="F543" s="10" t="s">
        <v>615</v>
      </c>
      <c r="G543" s="43" t="s">
        <v>616</v>
      </c>
      <c r="I543" s="20"/>
      <c r="J543" s="200"/>
      <c r="K543" s="200"/>
      <c r="L543" s="200"/>
      <c r="M543" s="200"/>
      <c r="N543" s="200">
        <v>1.1992</v>
      </c>
      <c r="O543" s="226">
        <f t="shared" si="140"/>
        <v>1.0981495094206501</v>
      </c>
      <c r="P543" s="226">
        <f t="shared" si="140"/>
        <v>1.0056140302208261</v>
      </c>
      <c r="Q543" s="226">
        <f t="shared" si="140"/>
        <v>0.92087604565837478</v>
      </c>
      <c r="R543" s="226">
        <f t="shared" si="140"/>
        <v>0.84327850048113118</v>
      </c>
      <c r="S543" s="226">
        <f t="shared" si="140"/>
        <v>0.77221970614437596</v>
      </c>
      <c r="T543" s="226">
        <f t="shared" si="140"/>
        <v>0.70714867533973069</v>
      </c>
      <c r="U543" s="226">
        <f t="shared" si="140"/>
        <v>0.64756084965959626</v>
      </c>
      <c r="V543" s="226">
        <f t="shared" si="140"/>
        <v>0.59299418726960063</v>
      </c>
      <c r="W543" s="226">
        <f t="shared" si="140"/>
        <v>0.54302558025300962</v>
      </c>
      <c r="X543" s="226">
        <f t="shared" si="140"/>
        <v>0.49726757384732023</v>
      </c>
      <c r="Y543" s="226">
        <f t="shared" si="140"/>
        <v>0.45536536213411577</v>
      </c>
      <c r="Z543" s="226">
        <f t="shared" si="140"/>
        <v>0.4169940368868712</v>
      </c>
      <c r="AA543" s="226">
        <f t="shared" si="140"/>
        <v>0.38185606824437468</v>
      </c>
      <c r="AB543" s="226">
        <f t="shared" si="140"/>
        <v>0.34967899767499866</v>
      </c>
      <c r="AC543" s="226">
        <f t="shared" si="140"/>
        <v>0.32021332534314911</v>
      </c>
      <c r="AD543" s="226">
        <f t="shared" si="140"/>
        <v>0.29323057549660958</v>
      </c>
      <c r="AE543" s="226">
        <f t="shared" si="138"/>
        <v>0.26852152487386316</v>
      </c>
      <c r="AF543" s="226">
        <f t="shared" si="138"/>
        <v>0.2458945803945278</v>
      </c>
      <c r="AG543" s="226">
        <f t="shared" si="138"/>
        <v>0.22517429355357516</v>
      </c>
      <c r="AH543" s="227">
        <v>0.20619999999999999</v>
      </c>
      <c r="AI543" s="226">
        <f t="shared" si="141"/>
        <v>0.18882457375128256</v>
      </c>
      <c r="AJ543" s="226">
        <f t="shared" si="141"/>
        <v>0.17291328638386785</v>
      </c>
      <c r="AK543" s="226">
        <f t="shared" si="141"/>
        <v>0.15834276235386663</v>
      </c>
      <c r="AL543" s="226">
        <f t="shared" si="141"/>
        <v>0.14500002234757273</v>
      </c>
      <c r="AM543" s="226">
        <f t="shared" si="141"/>
        <v>0.13278160724397123</v>
      </c>
      <c r="AN543" s="226">
        <f t="shared" si="141"/>
        <v>0.12159277589647469</v>
      </c>
      <c r="AO543" s="226">
        <f t="shared" si="141"/>
        <v>0.11134677051351628</v>
      </c>
      <c r="AP543" s="226">
        <f t="shared" si="141"/>
        <v>0.10196414394178754</v>
      </c>
      <c r="AQ543" s="226">
        <f t="shared" si="141"/>
        <v>9.3372143635899393E-2</v>
      </c>
      <c r="AR543" s="226">
        <f t="shared" si="141"/>
        <v>8.550414753778969E-2</v>
      </c>
      <c r="AS543" s="226">
        <f t="shared" si="141"/>
        <v>7.8299147491706675E-2</v>
      </c>
      <c r="AT543" s="226">
        <f t="shared" si="141"/>
        <v>7.1701276189186799E-2</v>
      </c>
      <c r="AU543" s="226">
        <f t="shared" si="141"/>
        <v>6.5659373975975668E-2</v>
      </c>
      <c r="AV543" s="226">
        <f t="shared" si="141"/>
        <v>6.0126592161928526E-2</v>
      </c>
      <c r="AW543" s="226">
        <f t="shared" si="141"/>
        <v>5.5060029757969746E-2</v>
      </c>
      <c r="AX543" s="226">
        <f t="shared" si="141"/>
        <v>5.0420400823382984E-2</v>
      </c>
      <c r="AY543" s="226">
        <f t="shared" si="139"/>
        <v>4.6171729844054842E-2</v>
      </c>
      <c r="AZ543" s="226">
        <f t="shared" si="139"/>
        <v>4.2281072779646114E-2</v>
      </c>
      <c r="BA543" s="226">
        <f t="shared" si="139"/>
        <v>3.8718261616700458E-2</v>
      </c>
      <c r="BB543" s="226">
        <f t="shared" si="139"/>
        <v>3.5455670446964641E-2</v>
      </c>
      <c r="BC543" s="226">
        <f t="shared" si="139"/>
        <v>3.2468001257100122E-2</v>
      </c>
      <c r="BD543" s="226">
        <f t="shared" si="139"/>
        <v>2.9732087768807165E-2</v>
      </c>
      <c r="BE543" s="226">
        <f t="shared" si="139"/>
        <v>2.722671580834498E-2</v>
      </c>
    </row>
    <row r="544" spans="5:57" s="10" customFormat="1" x14ac:dyDescent="0.35">
      <c r="E544" s="10" t="s">
        <v>646</v>
      </c>
      <c r="F544" s="10" t="s">
        <v>615</v>
      </c>
      <c r="G544" s="43" t="s">
        <v>616</v>
      </c>
      <c r="I544" s="20"/>
      <c r="J544" s="200"/>
      <c r="K544" s="200"/>
      <c r="L544" s="200"/>
      <c r="M544" s="200"/>
      <c r="N544" s="200">
        <v>1.1821999999999999</v>
      </c>
      <c r="O544" s="226">
        <f t="shared" si="140"/>
        <v>1.0818647079737438</v>
      </c>
      <c r="P544" s="226">
        <f t="shared" si="140"/>
        <v>0.99004504006015404</v>
      </c>
      <c r="Q544" s="226">
        <f t="shared" si="140"/>
        <v>0.90601826099266802</v>
      </c>
      <c r="R544" s="226">
        <f t="shared" si="140"/>
        <v>0.82912297525605827</v>
      </c>
      <c r="S544" s="226">
        <f t="shared" si="140"/>
        <v>0.75875392107910433</v>
      </c>
      <c r="T544" s="226">
        <f t="shared" si="140"/>
        <v>0.69435720626981756</v>
      </c>
      <c r="U544" s="226">
        <f t="shared" si="140"/>
        <v>0.63542594839330135</v>
      </c>
      <c r="V544" s="226">
        <f t="shared" si="140"/>
        <v>0.58149628497501116</v>
      </c>
      <c r="W544" s="226">
        <f t="shared" si="140"/>
        <v>0.53214372232473983</v>
      </c>
      <c r="X544" s="226">
        <f t="shared" si="140"/>
        <v>0.4869797942420197</v>
      </c>
      <c r="Y544" s="226">
        <f t="shared" si="140"/>
        <v>0.44564900430278848</v>
      </c>
      <c r="Z544" s="226">
        <f t="shared" si="140"/>
        <v>0.40782602765930132</v>
      </c>
      <c r="AA544" s="226">
        <f t="shared" si="140"/>
        <v>0.37321315032796654</v>
      </c>
      <c r="AB544" s="226">
        <f t="shared" si="140"/>
        <v>0.34153792580910719</v>
      </c>
      <c r="AC544" s="226">
        <f t="shared" si="140"/>
        <v>0.31255103059332429</v>
      </c>
      <c r="AD544" s="226">
        <f t="shared" si="140"/>
        <v>0.28602430167462312</v>
      </c>
      <c r="AE544" s="226">
        <f t="shared" si="138"/>
        <v>0.26174894062308424</v>
      </c>
      <c r="AF544" s="226">
        <f t="shared" si="138"/>
        <v>0.23953387008089144</v>
      </c>
      <c r="AG544" s="226">
        <f t="shared" si="138"/>
        <v>0.21920422974529211</v>
      </c>
      <c r="AH544" s="227">
        <v>0.2006</v>
      </c>
      <c r="AI544" s="226">
        <f t="shared" si="141"/>
        <v>0.18357474236130353</v>
      </c>
      <c r="AJ544" s="226">
        <f t="shared" si="141"/>
        <v>0.16799444682462097</v>
      </c>
      <c r="AK544" s="226">
        <f t="shared" si="141"/>
        <v>0.15373647703868146</v>
      </c>
      <c r="AL544" s="226">
        <f t="shared" si="141"/>
        <v>0.14068860500453839</v>
      </c>
      <c r="AM544" s="226">
        <f t="shared" si="141"/>
        <v>0.12874812770129279</v>
      </c>
      <c r="AN544" s="226">
        <f t="shared" si="141"/>
        <v>0.11782105868526933</v>
      </c>
      <c r="AO544" s="226">
        <f t="shared" si="141"/>
        <v>0.10782138829952313</v>
      </c>
      <c r="AP544" s="226">
        <f t="shared" si="141"/>
        <v>9.8670406670603311E-2</v>
      </c>
      <c r="AQ544" s="226">
        <f t="shared" si="141"/>
        <v>9.0296084163714097E-2</v>
      </c>
      <c r="AR544" s="226">
        <f t="shared" si="141"/>
        <v>8.2632504419682923E-2</v>
      </c>
      <c r="AS544" s="226">
        <f t="shared" si="141"/>
        <v>7.5619345511029751E-2</v>
      </c>
      <c r="AT544" s="226">
        <f t="shared" si="141"/>
        <v>6.9201405133188842E-2</v>
      </c>
      <c r="AU544" s="226">
        <f t="shared" si="141"/>
        <v>6.3328166093546009E-2</v>
      </c>
      <c r="AV544" s="226">
        <f t="shared" si="141"/>
        <v>5.7953398678148284E-2</v>
      </c>
      <c r="AW544" s="226">
        <f t="shared" si="141"/>
        <v>5.3034796766216245E-2</v>
      </c>
      <c r="AX544" s="226">
        <f t="shared" si="141"/>
        <v>4.8533644828226523E-2</v>
      </c>
      <c r="AY544" s="226">
        <f t="shared" si="139"/>
        <v>4.4414513186424205E-2</v>
      </c>
      <c r="AZ544" s="226">
        <f t="shared" si="139"/>
        <v>4.0644979139085449E-2</v>
      </c>
      <c r="BA544" s="226">
        <f t="shared" si="139"/>
        <v>3.7195371753430545E-2</v>
      </c>
      <c r="BB544" s="226">
        <f t="shared" si="139"/>
        <v>3.4038538318389426E-2</v>
      </c>
      <c r="BC544" s="226">
        <f t="shared" si="139"/>
        <v>3.1149630618911749E-2</v>
      </c>
      <c r="BD544" s="226">
        <f t="shared" si="139"/>
        <v>2.8505909349533877E-2</v>
      </c>
      <c r="BE544" s="226">
        <f t="shared" si="139"/>
        <v>2.6086565127693691E-2</v>
      </c>
    </row>
    <row r="545" spans="5:57" s="10" customFormat="1" x14ac:dyDescent="0.35">
      <c r="E545" s="10" t="s">
        <v>647</v>
      </c>
      <c r="F545" s="10" t="s">
        <v>615</v>
      </c>
      <c r="G545" s="43" t="s">
        <v>616</v>
      </c>
      <c r="I545" s="20"/>
      <c r="J545" s="200"/>
      <c r="K545" s="200"/>
      <c r="L545" s="200"/>
      <c r="M545" s="200"/>
      <c r="N545" s="200">
        <v>1.1654</v>
      </c>
      <c r="O545" s="226">
        <f t="shared" si="140"/>
        <v>1.0657715589653729</v>
      </c>
      <c r="P545" s="226">
        <f t="shared" si="140"/>
        <v>0.97466021614851672</v>
      </c>
      <c r="Q545" s="226">
        <f t="shared" si="140"/>
        <v>0.89133785655237008</v>
      </c>
      <c r="R545" s="226">
        <f t="shared" si="140"/>
        <v>0.81513861072822502</v>
      </c>
      <c r="S545" s="226">
        <f t="shared" si="140"/>
        <v>0.74545353348952181</v>
      </c>
      <c r="T545" s="226">
        <f t="shared" si="140"/>
        <v>0.68172573753507248</v>
      </c>
      <c r="U545" s="226">
        <f t="shared" si="140"/>
        <v>0.62344594309213397</v>
      </c>
      <c r="V545" s="226">
        <f t="shared" si="140"/>
        <v>0.57014840801436484</v>
      </c>
      <c r="W545" s="226">
        <f t="shared" si="140"/>
        <v>0.52140720581010391</v>
      </c>
      <c r="X545" s="226">
        <f t="shared" si="140"/>
        <v>0.4768328218568848</v>
      </c>
      <c r="Y545" s="226">
        <f t="shared" si="140"/>
        <v>0.43606904060088392</v>
      </c>
      <c r="Z545" s="226">
        <f t="shared" si="140"/>
        <v>0.39879009886540123</v>
      </c>
      <c r="AA545" s="226">
        <f t="shared" si="140"/>
        <v>0.36469808251907831</v>
      </c>
      <c r="AB545" s="226">
        <f t="shared" si="140"/>
        <v>0.33352054569936529</v>
      </c>
      <c r="AC545" s="226">
        <f t="shared" si="140"/>
        <v>0.30500833356529472</v>
      </c>
      <c r="AD545" s="226">
        <f t="shared" si="140"/>
        <v>0.2789335911801224</v>
      </c>
      <c r="AE545" s="226">
        <f t="shared" si="138"/>
        <v>0.25508794261184919</v>
      </c>
      <c r="AF545" s="226">
        <f t="shared" si="138"/>
        <v>0.23328082569993144</v>
      </c>
      <c r="AG545" s="226">
        <f t="shared" si="138"/>
        <v>0.213337969180492</v>
      </c>
      <c r="AH545" s="227">
        <v>0.1951</v>
      </c>
      <c r="AI545" s="226">
        <f t="shared" si="141"/>
        <v>0.17842116968778468</v>
      </c>
      <c r="AJ545" s="226">
        <f t="shared" si="141"/>
        <v>0.16316818960921198</v>
      </c>
      <c r="AK545" s="226">
        <f t="shared" si="141"/>
        <v>0.14921916579145994</v>
      </c>
      <c r="AL545" s="226">
        <f t="shared" si="141"/>
        <v>0.1364626248095733</v>
      </c>
      <c r="AM545" s="226">
        <f t="shared" si="141"/>
        <v>0.12479662294817721</v>
      </c>
      <c r="AN545" s="226">
        <f t="shared" si="141"/>
        <v>0.11412793151972943</v>
      </c>
      <c r="AO545" s="226">
        <f t="shared" si="141"/>
        <v>0.104371291828793</v>
      </c>
      <c r="AP545" s="226">
        <f t="shared" si="141"/>
        <v>9.5448733828387339E-2</v>
      </c>
      <c r="AQ545" s="226">
        <f t="shared" si="141"/>
        <v>8.7288953023469465E-2</v>
      </c>
      <c r="AR545" s="226">
        <f t="shared" si="141"/>
        <v>7.9826740642078481E-2</v>
      </c>
      <c r="AS545" s="226">
        <f t="shared" si="141"/>
        <v>7.3002462520364242E-2</v>
      </c>
      <c r="AT545" s="226">
        <f t="shared" si="141"/>
        <v>6.6761582537017167E-2</v>
      </c>
      <c r="AU545" s="226">
        <f t="shared" si="141"/>
        <v>6.1054226788632406E-2</v>
      </c>
      <c r="AV545" s="226">
        <f t="shared" si="141"/>
        <v>5.5834785023121843E-2</v>
      </c>
      <c r="AW545" s="226">
        <f t="shared" si="141"/>
        <v>5.1061546146034857E-2</v>
      </c>
      <c r="AX545" s="226">
        <f t="shared" si="141"/>
        <v>4.6696364886941739E-2</v>
      </c>
      <c r="AY545" s="226">
        <f t="shared" si="139"/>
        <v>4.2704356962048912E-2</v>
      </c>
      <c r="AZ545" s="226">
        <f t="shared" si="139"/>
        <v>3.9053620296942378E-2</v>
      </c>
      <c r="BA545" s="226">
        <f t="shared" si="139"/>
        <v>3.5714980081614903E-2</v>
      </c>
      <c r="BB545" s="226">
        <f t="shared" si="139"/>
        <v>3.2661755620387811E-2</v>
      </c>
      <c r="BC545" s="226">
        <f t="shared" si="139"/>
        <v>2.9869547113511884E-2</v>
      </c>
      <c r="BD545" s="226">
        <f t="shared" si="139"/>
        <v>2.7316040666515544E-2</v>
      </c>
      <c r="BE545" s="226">
        <f t="shared" si="139"/>
        <v>2.4980829969035351E-2</v>
      </c>
    </row>
    <row r="546" spans="5:57" s="10" customFormat="1" x14ac:dyDescent="0.35">
      <c r="E546" s="10" t="s">
        <v>648</v>
      </c>
      <c r="F546" s="10" t="s">
        <v>615</v>
      </c>
      <c r="G546" s="43" t="s">
        <v>616</v>
      </c>
      <c r="I546" s="20"/>
      <c r="J546" s="200"/>
      <c r="K546" s="200"/>
      <c r="L546" s="200"/>
      <c r="M546" s="200"/>
      <c r="N546" s="200">
        <v>1.1584000000000001</v>
      </c>
      <c r="O546" s="226">
        <f t="shared" si="140"/>
        <v>1.0590060362289611</v>
      </c>
      <c r="P546" s="226">
        <f t="shared" si="140"/>
        <v>0.96814035287411548</v>
      </c>
      <c r="Q546" s="226">
        <f t="shared" si="140"/>
        <v>0.8850711995947208</v>
      </c>
      <c r="R546" s="226">
        <f t="shared" si="140"/>
        <v>0.80912961227832936</v>
      </c>
      <c r="S546" s="226">
        <f t="shared" si="140"/>
        <v>0.73970402580658623</v>
      </c>
      <c r="T546" s="226">
        <f t="shared" si="140"/>
        <v>0.67623534906080618</v>
      </c>
      <c r="U546" s="226">
        <f t="shared" si="140"/>
        <v>0.61821246250586337</v>
      </c>
      <c r="V546" s="226">
        <f t="shared" si="140"/>
        <v>0.56516810209399126</v>
      </c>
      <c r="W546" s="226">
        <f t="shared" si="140"/>
        <v>0.51667509634116227</v>
      </c>
      <c r="X546" s="226">
        <f t="shared" si="140"/>
        <v>0.47234292627285113</v>
      </c>
      <c r="Y546" s="226">
        <f t="shared" si="140"/>
        <v>0.43181458053608457</v>
      </c>
      <c r="Z546" s="226">
        <f t="shared" si="140"/>
        <v>0.39476368035168363</v>
      </c>
      <c r="AA546" s="226">
        <f t="shared" si="140"/>
        <v>0.36089185115365419</v>
      </c>
      <c r="AB546" s="226">
        <f t="shared" si="140"/>
        <v>0.32992631974927783</v>
      </c>
      <c r="AC546" s="226">
        <f t="shared" si="140"/>
        <v>0.3016177176495955</v>
      </c>
      <c r="AD546" s="226">
        <f t="shared" ref="AD546:AG561" si="142">AC546*(1+($AH546/$N546)^(1/($AH$6-$N$6))-1)</f>
        <v>0.27573807288028662</v>
      </c>
      <c r="AE546" s="226">
        <f t="shared" si="142"/>
        <v>0.25207897410079821</v>
      </c>
      <c r="AF546" s="226">
        <f t="shared" si="142"/>
        <v>0.23044989224719373</v>
      </c>
      <c r="AG546" s="226">
        <f t="shared" si="142"/>
        <v>0.21067664618274498</v>
      </c>
      <c r="AH546" s="227">
        <v>0.19259999999999999</v>
      </c>
      <c r="AI546" s="226">
        <f t="shared" si="141"/>
        <v>0.17607438067826128</v>
      </c>
      <c r="AJ546" s="226">
        <f t="shared" si="141"/>
        <v>0.16096670576964314</v>
      </c>
      <c r="AK546" s="226">
        <f t="shared" si="141"/>
        <v>0.14715531167294821</v>
      </c>
      <c r="AL546" s="226">
        <f t="shared" si="141"/>
        <v>0.13452897386464627</v>
      </c>
      <c r="AM546" s="226">
        <f t="shared" si="141"/>
        <v>0.12298601119677877</v>
      </c>
      <c r="AN546" s="226">
        <f t="shared" si="141"/>
        <v>0.11243346704861126</v>
      </c>
      <c r="AO546" s="226">
        <f t="shared" si="141"/>
        <v>0.10278636073776701</v>
      </c>
      <c r="AP546" s="226">
        <f t="shared" si="141"/>
        <v>9.3967003162381504E-2</v>
      </c>
      <c r="AQ546" s="226">
        <f t="shared" si="141"/>
        <v>8.5904371163076546E-2</v>
      </c>
      <c r="AR546" s="226">
        <f t="shared" si="141"/>
        <v>7.8533535566428822E-2</v>
      </c>
      <c r="AS546" s="226">
        <f t="shared" si="141"/>
        <v>7.1795138303910488E-2</v>
      </c>
      <c r="AT546" s="226">
        <f t="shared" si="141"/>
        <v>6.5634914395488853E-2</v>
      </c>
      <c r="AU546" s="226">
        <f t="shared" si="141"/>
        <v>6.0003254948371734E-2</v>
      </c>
      <c r="AV546" s="226">
        <f t="shared" si="141"/>
        <v>5.4854807651684163E-2</v>
      </c>
      <c r="AW546" s="226">
        <f t="shared" si="141"/>
        <v>5.0148111549820545E-2</v>
      </c>
      <c r="AX546" s="226">
        <f t="shared" ref="AX546:BE561" si="143">AW546*(1+($AH546/$N546)^(1/($AH$6-$N$6))-1)</f>
        <v>4.5845263153265911E-2</v>
      </c>
      <c r="AY546" s="226">
        <f t="shared" si="143"/>
        <v>4.1911611198043652E-2</v>
      </c>
      <c r="AZ546" s="226">
        <f t="shared" si="143"/>
        <v>3.8315477595657406E-2</v>
      </c>
      <c r="BA546" s="226">
        <f t="shared" si="143"/>
        <v>3.5027902326309313E-2</v>
      </c>
      <c r="BB546" s="226">
        <f t="shared" si="143"/>
        <v>3.2022410220994495E-2</v>
      </c>
      <c r="BC546" s="226">
        <f t="shared" si="143"/>
        <v>2.9274797754344911E-2</v>
      </c>
      <c r="BD546" s="226">
        <f t="shared" si="143"/>
        <v>2.6762938131244206E-2</v>
      </c>
      <c r="BE546" s="226">
        <f t="shared" si="143"/>
        <v>2.4466603097556838E-2</v>
      </c>
    </row>
    <row r="547" spans="5:57" s="10" customFormat="1" x14ac:dyDescent="0.35">
      <c r="E547" s="10" t="s">
        <v>649</v>
      </c>
      <c r="F547" s="10" t="s">
        <v>615</v>
      </c>
      <c r="G547" s="43" t="s">
        <v>616</v>
      </c>
      <c r="I547" s="20"/>
      <c r="J547" s="200"/>
      <c r="K547" s="200"/>
      <c r="L547" s="200"/>
      <c r="M547" s="200"/>
      <c r="N547" s="200">
        <v>1.1514</v>
      </c>
      <c r="O547" s="226">
        <f t="shared" ref="O547:AD562" si="144">N547*(1+($AH547/$N547)^(1/($AH$6-$N$6))-1)</f>
        <v>1.0522657612283632</v>
      </c>
      <c r="P547" s="226">
        <f t="shared" si="144"/>
        <v>0.96166686838067283</v>
      </c>
      <c r="Q547" s="226">
        <f t="shared" si="144"/>
        <v>0.878868437818903</v>
      </c>
      <c r="R547" s="226">
        <f t="shared" si="144"/>
        <v>0.8031988585557498</v>
      </c>
      <c r="S547" s="226">
        <f t="shared" si="144"/>
        <v>0.73404434455091061</v>
      </c>
      <c r="T547" s="226">
        <f t="shared" si="144"/>
        <v>0.67084395604849656</v>
      </c>
      <c r="U547" s="226">
        <f t="shared" si="144"/>
        <v>0.61308504957166743</v>
      </c>
      <c r="V547" s="226">
        <f t="shared" si="144"/>
        <v>0.56029911966758683</v>
      </c>
      <c r="W547" s="226">
        <f t="shared" si="144"/>
        <v>0.51205799867343671</v>
      </c>
      <c r="X547" s="226">
        <f t="shared" si="144"/>
        <v>0.46797038367828392</v>
      </c>
      <c r="Y547" s="226">
        <f t="shared" si="144"/>
        <v>0.42767866250960451</v>
      </c>
      <c r="Z547" s="226">
        <f t="shared" si="144"/>
        <v>0.3908560129987817</v>
      </c>
      <c r="AA547" s="226">
        <f t="shared" si="144"/>
        <v>0.35720375199656595</v>
      </c>
      <c r="AB547" s="226">
        <f t="shared" si="144"/>
        <v>0.32644891263530829</v>
      </c>
      <c r="AC547" s="226">
        <f t="shared" si="144"/>
        <v>0.29834203018617694</v>
      </c>
      <c r="AD547" s="226">
        <f t="shared" si="144"/>
        <v>0.27265511855156577</v>
      </c>
      <c r="AE547" s="226">
        <f t="shared" si="142"/>
        <v>0.24917982097921917</v>
      </c>
      <c r="AF547" s="226">
        <f t="shared" si="142"/>
        <v>0.22772571999778124</v>
      </c>
      <c r="AG547" s="226">
        <f t="shared" si="142"/>
        <v>0.20811879286498383</v>
      </c>
      <c r="AH547" s="227">
        <v>0.19020000000000001</v>
      </c>
      <c r="AI547" s="226">
        <f t="shared" ref="AI547:AX562" si="145">AH547*(1+($AH547/$N547)^(1/($AH$6-$N$6))-1)</f>
        <v>0.17382399495017778</v>
      </c>
      <c r="AJ547" s="226">
        <f t="shared" si="145"/>
        <v>0.15885794542817785</v>
      </c>
      <c r="AK547" s="226">
        <f t="shared" si="145"/>
        <v>0.1451804558564837</v>
      </c>
      <c r="AL547" s="226">
        <f t="shared" si="145"/>
        <v>0.13268058267961055</v>
      </c>
      <c r="AM547" s="226">
        <f t="shared" si="145"/>
        <v>0.12125693445682055</v>
      </c>
      <c r="AN547" s="226">
        <f t="shared" si="145"/>
        <v>0.11081684943583812</v>
      </c>
      <c r="AO547" s="226">
        <f t="shared" si="145"/>
        <v>0.10127564393653909</v>
      </c>
      <c r="AP547" s="226">
        <f t="shared" si="145"/>
        <v>9.2555925447954643E-2</v>
      </c>
      <c r="AQ547" s="226">
        <f t="shared" si="145"/>
        <v>8.4586964866846998E-2</v>
      </c>
      <c r="AR547" s="226">
        <f t="shared" si="145"/>
        <v>7.7304122785834262E-2</v>
      </c>
      <c r="AS547" s="226">
        <f t="shared" si="145"/>
        <v>7.0648325177459392E-2</v>
      </c>
      <c r="AT547" s="226">
        <f t="shared" si="145"/>
        <v>6.4565584221268235E-2</v>
      </c>
      <c r="AU547" s="226">
        <f t="shared" si="145"/>
        <v>5.9006560387134629E-2</v>
      </c>
      <c r="AV547" s="226">
        <f t="shared" si="145"/>
        <v>5.3926162222716345E-2</v>
      </c>
      <c r="AW547" s="226">
        <f t="shared" si="145"/>
        <v>4.9283180598758747E-2</v>
      </c>
      <c r="AX547" s="226">
        <f t="shared" si="145"/>
        <v>4.5039954445464457E-2</v>
      </c>
      <c r="AY547" s="226">
        <f t="shared" si="143"/>
        <v>4.1162065268583861E-2</v>
      </c>
      <c r="AZ547" s="226">
        <f t="shared" si="143"/>
        <v>3.7618057967324967E-2</v>
      </c>
      <c r="BA547" s="226">
        <f t="shared" si="143"/>
        <v>3.4379185689525707E-2</v>
      </c>
      <c r="BB547" s="226">
        <f t="shared" si="143"/>
        <v>3.1419176654507573E-2</v>
      </c>
      <c r="BC547" s="226">
        <f t="shared" si="143"/>
        <v>2.8714021052218021E-2</v>
      </c>
      <c r="BD547" s="226">
        <f t="shared" si="143"/>
        <v>2.6241776290115894E-2</v>
      </c>
      <c r="BE547" s="226">
        <f t="shared" si="143"/>
        <v>2.3982389008079915E-2</v>
      </c>
    </row>
    <row r="548" spans="5:57" s="10" customFormat="1" x14ac:dyDescent="0.35">
      <c r="E548" s="10" t="s">
        <v>650</v>
      </c>
      <c r="F548" s="10" t="s">
        <v>615</v>
      </c>
      <c r="G548" s="43" t="s">
        <v>616</v>
      </c>
      <c r="I548" s="20"/>
      <c r="J548" s="200"/>
      <c r="K548" s="200"/>
      <c r="L548" s="200"/>
      <c r="M548" s="200"/>
      <c r="N548" s="200">
        <v>1.1445000000000001</v>
      </c>
      <c r="O548" s="226">
        <f t="shared" si="144"/>
        <v>1.0455822953110385</v>
      </c>
      <c r="P548" s="226">
        <f t="shared" si="144"/>
        <v>0.95521392421834839</v>
      </c>
      <c r="Q548" s="226">
        <f t="shared" si="144"/>
        <v>0.87265597850352561</v>
      </c>
      <c r="R548" s="226">
        <f t="shared" si="144"/>
        <v>0.79723341286205029</v>
      </c>
      <c r="S548" s="226">
        <f t="shared" si="144"/>
        <v>0.72832952531145079</v>
      </c>
      <c r="T548" s="226">
        <f t="shared" si="144"/>
        <v>0.665380914650892</v>
      </c>
      <c r="U548" s="226">
        <f t="shared" si="144"/>
        <v>0.60787287374123011</v>
      </c>
      <c r="V548" s="226">
        <f t="shared" si="144"/>
        <v>0.55533518093811485</v>
      </c>
      <c r="W548" s="226">
        <f t="shared" si="144"/>
        <v>0.50733825526626908</v>
      </c>
      <c r="X548" s="226">
        <f t="shared" si="144"/>
        <v>0.4634896438972505</v>
      </c>
      <c r="Y548" s="226">
        <f t="shared" si="144"/>
        <v>0.4234308132101206</v>
      </c>
      <c r="Z548" s="226">
        <f t="shared" si="144"/>
        <v>0.38683421719673</v>
      </c>
      <c r="AA548" s="226">
        <f t="shared" si="144"/>
        <v>0.35340061924107102</v>
      </c>
      <c r="AB548" s="226">
        <f t="shared" si="144"/>
        <v>0.32285664537389375</v>
      </c>
      <c r="AC548" s="226">
        <f t="shared" si="144"/>
        <v>0.29495254899646817</v>
      </c>
      <c r="AD548" s="226">
        <f t="shared" si="144"/>
        <v>0.26946016879647772</v>
      </c>
      <c r="AE548" s="226">
        <f t="shared" si="142"/>
        <v>0.24617106315869031</v>
      </c>
      <c r="AF548" s="226">
        <f t="shared" si="142"/>
        <v>0.22489480581618351</v>
      </c>
      <c r="AG548" s="226">
        <f t="shared" si="142"/>
        <v>0.20545742880630447</v>
      </c>
      <c r="AH548" s="227">
        <v>0.18770000000000001</v>
      </c>
      <c r="AI548" s="226">
        <f t="shared" si="145"/>
        <v>0.17147732357350978</v>
      </c>
      <c r="AJ548" s="226">
        <f t="shared" si="145"/>
        <v>0.1566567527966658</v>
      </c>
      <c r="AK548" s="226">
        <f t="shared" si="145"/>
        <v>0.14311710543041659</v>
      </c>
      <c r="AL548" s="226">
        <f t="shared" si="145"/>
        <v>0.13074767286518729</v>
      </c>
      <c r="AM548" s="226">
        <f t="shared" si="145"/>
        <v>0.11944731489817328</v>
      </c>
      <c r="AN548" s="226">
        <f t="shared" si="145"/>
        <v>0.10912363274790077</v>
      </c>
      <c r="AO548" s="226">
        <f t="shared" si="145"/>
        <v>9.9692213544105637E-2</v>
      </c>
      <c r="AP548" s="226">
        <f t="shared" si="145"/>
        <v>9.1075940115407761E-2</v>
      </c>
      <c r="AQ548" s="226">
        <f t="shared" si="145"/>
        <v>8.3204360431174088E-2</v>
      </c>
      <c r="AR548" s="226">
        <f t="shared" si="145"/>
        <v>7.6013111541733472E-2</v>
      </c>
      <c r="AS548" s="226">
        <f t="shared" si="145"/>
        <v>6.9443393306718809E-2</v>
      </c>
      <c r="AT548" s="226">
        <f t="shared" si="145"/>
        <v>6.3441487608410882E-2</v>
      </c>
      <c r="AU548" s="226">
        <f t="shared" si="145"/>
        <v>5.7958319118872045E-2</v>
      </c>
      <c r="AV548" s="226">
        <f t="shared" si="145"/>
        <v>5.2949054029427595E-2</v>
      </c>
      <c r="AW548" s="226">
        <f t="shared" si="145"/>
        <v>4.8372733461456617E-2</v>
      </c>
      <c r="AX548" s="226">
        <f t="shared" si="145"/>
        <v>4.4191938561030049E-2</v>
      </c>
      <c r="AY548" s="226">
        <f t="shared" si="143"/>
        <v>4.0372484539000601E-2</v>
      </c>
      <c r="AZ548" s="226">
        <f t="shared" si="143"/>
        <v>3.6883141154825397E-2</v>
      </c>
      <c r="BA548" s="226">
        <f t="shared" si="143"/>
        <v>3.3695377358622429E-2</v>
      </c>
      <c r="BB548" s="226">
        <f t="shared" si="143"/>
        <v>3.078312800349501E-2</v>
      </c>
      <c r="BC548" s="226">
        <f t="shared" si="143"/>
        <v>2.8122580720618452E-2</v>
      </c>
      <c r="BD548" s="226">
        <f t="shared" si="143"/>
        <v>2.5691981214446657E-2</v>
      </c>
      <c r="BE548" s="226">
        <f t="shared" si="143"/>
        <v>2.3471455386010677E-2</v>
      </c>
    </row>
    <row r="549" spans="5:57" s="10" customFormat="1" x14ac:dyDescent="0.35">
      <c r="E549" s="10" t="s">
        <v>651</v>
      </c>
      <c r="F549" s="10" t="s">
        <v>615</v>
      </c>
      <c r="G549" s="43" t="s">
        <v>616</v>
      </c>
      <c r="I549" s="20"/>
      <c r="J549" s="200"/>
      <c r="K549" s="200"/>
      <c r="L549" s="200"/>
      <c r="M549" s="200"/>
      <c r="N549" s="200">
        <v>1.1375999999999999</v>
      </c>
      <c r="O549" s="226">
        <f t="shared" si="144"/>
        <v>1.0389522566093583</v>
      </c>
      <c r="P549" s="226">
        <f t="shared" si="144"/>
        <v>0.94885881813790263</v>
      </c>
      <c r="Q549" s="226">
        <f t="shared" si="144"/>
        <v>0.86657789232424642</v>
      </c>
      <c r="R549" s="226">
        <f t="shared" si="144"/>
        <v>0.79143201191812362</v>
      </c>
      <c r="S549" s="226">
        <f t="shared" si="144"/>
        <v>0.7228024566941097</v>
      </c>
      <c r="T549" s="226">
        <f t="shared" si="144"/>
        <v>0.66012415916414668</v>
      </c>
      <c r="U549" s="226">
        <f t="shared" si="144"/>
        <v>0.60288105204460751</v>
      </c>
      <c r="V549" s="226">
        <f t="shared" si="144"/>
        <v>0.55060181917085882</v>
      </c>
      <c r="W549" s="226">
        <f t="shared" si="144"/>
        <v>0.50285601487410481</v>
      </c>
      <c r="X549" s="226">
        <f t="shared" si="144"/>
        <v>0.4592505198690579</v>
      </c>
      <c r="Y549" s="226">
        <f t="shared" si="144"/>
        <v>0.41942630447167606</v>
      </c>
      <c r="Z549" s="226">
        <f t="shared" si="144"/>
        <v>0.38305547249663474</v>
      </c>
      <c r="AA549" s="226">
        <f t="shared" si="144"/>
        <v>0.34983856149520276</v>
      </c>
      <c r="AB549" s="226">
        <f t="shared" si="144"/>
        <v>0.31950207710479317</v>
      </c>
      <c r="AC549" s="226">
        <f t="shared" si="144"/>
        <v>0.29179624120903841</v>
      </c>
      <c r="AD549" s="226">
        <f t="shared" si="144"/>
        <v>0.26649293536766799</v>
      </c>
      <c r="AE549" s="226">
        <f t="shared" si="142"/>
        <v>0.24338382258323712</v>
      </c>
      <c r="AF549" s="226">
        <f t="shared" si="142"/>
        <v>0.22227863194010719</v>
      </c>
      <c r="AG549" s="226">
        <f t="shared" si="142"/>
        <v>0.20300359199210213</v>
      </c>
      <c r="AH549" s="227">
        <v>0.18540000000000001</v>
      </c>
      <c r="AI549" s="226">
        <f t="shared" si="145"/>
        <v>0.1693229152385505</v>
      </c>
      <c r="AJ549" s="226">
        <f t="shared" si="145"/>
        <v>0.15463996561424681</v>
      </c>
      <c r="AK549" s="226">
        <f t="shared" si="145"/>
        <v>0.14123025776803386</v>
      </c>
      <c r="AL549" s="226">
        <f t="shared" si="145"/>
        <v>0.12898338168918788</v>
      </c>
      <c r="AM549" s="226">
        <f t="shared" si="145"/>
        <v>0.11779850164476789</v>
      </c>
      <c r="AN549" s="226">
        <f t="shared" si="145"/>
        <v>0.10758352593972646</v>
      </c>
      <c r="AO549" s="226">
        <f t="shared" si="145"/>
        <v>9.8254348671826877E-2</v>
      </c>
      <c r="AP549" s="226">
        <f t="shared" si="145"/>
        <v>8.9734157238288717E-2</v>
      </c>
      <c r="AQ549" s="226">
        <f t="shared" si="145"/>
        <v>8.1952799892456976E-2</v>
      </c>
      <c r="AR549" s="226">
        <f t="shared" si="145"/>
        <v>7.4846208143216741E-2</v>
      </c>
      <c r="AS549" s="226">
        <f t="shared" si="145"/>
        <v>6.8355869241428238E-2</v>
      </c>
      <c r="AT549" s="226">
        <f t="shared" si="145"/>
        <v>6.2428344410052829E-2</v>
      </c>
      <c r="AU549" s="226">
        <f t="shared" si="145"/>
        <v>5.7014828851275151E-2</v>
      </c>
      <c r="AV549" s="226">
        <f t="shared" si="145"/>
        <v>5.2070749907901434E-2</v>
      </c>
      <c r="AW549" s="226">
        <f t="shared" si="145"/>
        <v>4.7555400070460385E-2</v>
      </c>
      <c r="AX549" s="226">
        <f t="shared" si="145"/>
        <v>4.3431601808338306E-2</v>
      </c>
      <c r="AY549" s="226">
        <f t="shared" si="143"/>
        <v>3.966540146530606E-2</v>
      </c>
      <c r="AZ549" s="226">
        <f t="shared" si="143"/>
        <v>3.6225789699099759E-2</v>
      </c>
      <c r="BA549" s="226">
        <f t="shared" si="143"/>
        <v>3.3084446163269818E-2</v>
      </c>
      <c r="BB549" s="226">
        <f t="shared" si="143"/>
        <v>3.021550632911393E-2</v>
      </c>
      <c r="BC549" s="226">
        <f t="shared" si="143"/>
        <v>2.7595348527801749E-2</v>
      </c>
      <c r="BD549" s="226">
        <f t="shared" si="143"/>
        <v>2.5202399459283899E-2</v>
      </c>
      <c r="BE549" s="226">
        <f t="shared" si="143"/>
        <v>2.3016956566625776E-2</v>
      </c>
    </row>
    <row r="550" spans="5:57" s="10" customFormat="1" x14ac:dyDescent="0.35">
      <c r="E550" s="10" t="s">
        <v>652</v>
      </c>
      <c r="F550" s="10" t="s">
        <v>615</v>
      </c>
      <c r="G550" s="43" t="s">
        <v>616</v>
      </c>
      <c r="I550" s="20"/>
      <c r="J550" s="200"/>
      <c r="K550" s="200"/>
      <c r="L550" s="200"/>
      <c r="M550" s="200"/>
      <c r="N550" s="200">
        <v>1.1308</v>
      </c>
      <c r="O550" s="226">
        <f t="shared" si="144"/>
        <v>1.0323787682165644</v>
      </c>
      <c r="P550" s="226">
        <f t="shared" si="144"/>
        <v>0.94252380709617145</v>
      </c>
      <c r="Q550" s="226">
        <f t="shared" si="144"/>
        <v>0.86048953571341713</v>
      </c>
      <c r="R550" s="226">
        <f t="shared" si="144"/>
        <v>0.78559526613288011</v>
      </c>
      <c r="S550" s="226">
        <f t="shared" si="144"/>
        <v>0.71721955532987869</v>
      </c>
      <c r="T550" s="226">
        <f t="shared" si="144"/>
        <v>0.6547950487020624</v>
      </c>
      <c r="U550" s="226">
        <f t="shared" si="144"/>
        <v>0.59780377238533822</v>
      </c>
      <c r="V550" s="226">
        <f t="shared" si="144"/>
        <v>0.54577283531162968</v>
      </c>
      <c r="W550" s="226">
        <f t="shared" si="144"/>
        <v>0.49827050534584544</v>
      </c>
      <c r="X550" s="226">
        <f t="shared" si="144"/>
        <v>0.45490262694339312</v>
      </c>
      <c r="Y550" s="226">
        <f t="shared" si="144"/>
        <v>0.41530935060337765</v>
      </c>
      <c r="Z550" s="226">
        <f t="shared" si="144"/>
        <v>0.3791621469797809</v>
      </c>
      <c r="AA550" s="226">
        <f t="shared" si="144"/>
        <v>0.3461610808748975</v>
      </c>
      <c r="AB550" s="226">
        <f t="shared" si="144"/>
        <v>0.31603232249570318</v>
      </c>
      <c r="AC550" s="226">
        <f t="shared" si="144"/>
        <v>0.28852587532254514</v>
      </c>
      <c r="AD550" s="226">
        <f t="shared" si="144"/>
        <v>0.26341350173690764</v>
      </c>
      <c r="AE550" s="226">
        <f t="shared" si="142"/>
        <v>0.24048682919593256</v>
      </c>
      <c r="AF550" s="226">
        <f t="shared" si="142"/>
        <v>0.21955562123948014</v>
      </c>
      <c r="AG550" s="226">
        <f t="shared" si="142"/>
        <v>0.20044619898323049</v>
      </c>
      <c r="AH550" s="227">
        <v>0.183</v>
      </c>
      <c r="AI550" s="226">
        <f t="shared" si="145"/>
        <v>0.16707226263143904</v>
      </c>
      <c r="AJ550" s="226">
        <f t="shared" si="145"/>
        <v>0.15253082481305213</v>
      </c>
      <c r="AK550" s="226">
        <f t="shared" si="145"/>
        <v>0.13925502744566265</v>
      </c>
      <c r="AL550" s="226">
        <f t="shared" si="145"/>
        <v>0.12713471321393444</v>
      </c>
      <c r="AM550" s="226">
        <f t="shared" si="145"/>
        <v>0.11606931254454174</v>
      </c>
      <c r="AN550" s="226">
        <f t="shared" si="145"/>
        <v>0.10596700911962983</v>
      </c>
      <c r="AO550" s="226">
        <f t="shared" si="145"/>
        <v>9.6743978021327268E-2</v>
      </c>
      <c r="AP550" s="226">
        <f t="shared" si="145"/>
        <v>8.8323690185734174E-2</v>
      </c>
      <c r="AQ550" s="226">
        <f t="shared" si="145"/>
        <v>8.0636277395020953E-2</v>
      </c>
      <c r="AR550" s="226">
        <f t="shared" si="145"/>
        <v>7.3617952538592962E-2</v>
      </c>
      <c r="AS550" s="226">
        <f t="shared" si="145"/>
        <v>6.7210480332877687E-2</v>
      </c>
      <c r="AT550" s="226">
        <f t="shared" si="145"/>
        <v>6.1360694107976552E-2</v>
      </c>
      <c r="AU550" s="226">
        <f t="shared" si="145"/>
        <v>5.6020054651668046E-2</v>
      </c>
      <c r="AV550" s="226">
        <f t="shared" si="145"/>
        <v>5.1144247450224327E-2</v>
      </c>
      <c r="AW550" s="226">
        <f t="shared" si="145"/>
        <v>4.6692814984104838E-2</v>
      </c>
      <c r="AX550" s="226">
        <f t="shared" si="145"/>
        <v>4.2628821027462051E-2</v>
      </c>
      <c r="AY550" s="226">
        <f t="shared" si="143"/>
        <v>3.8918544165949455E-2</v>
      </c>
      <c r="AZ550" s="226">
        <f t="shared" si="143"/>
        <v>3.5531197989763751E-2</v>
      </c>
      <c r="BA550" s="226">
        <f t="shared" si="143"/>
        <v>3.2438675640193815E-2</v>
      </c>
      <c r="BB550" s="226">
        <f t="shared" si="143"/>
        <v>2.9615316590024726E-2</v>
      </c>
      <c r="BC550" s="226">
        <f t="shared" si="143"/>
        <v>2.703769372263292E-2</v>
      </c>
      <c r="BD550" s="226">
        <f t="shared" si="143"/>
        <v>2.4684418943039004E-2</v>
      </c>
      <c r="BE550" s="226">
        <f t="shared" si="143"/>
        <v>2.2535965707955637E-2</v>
      </c>
    </row>
    <row r="551" spans="5:57" s="10" customFormat="1" x14ac:dyDescent="0.35">
      <c r="E551" s="10" t="s">
        <v>653</v>
      </c>
      <c r="F551" s="10" t="s">
        <v>615</v>
      </c>
      <c r="G551" s="43" t="s">
        <v>616</v>
      </c>
      <c r="I551" s="20"/>
      <c r="J551" s="200"/>
      <c r="K551" s="200"/>
      <c r="L551" s="200"/>
      <c r="M551" s="200"/>
      <c r="N551" s="200">
        <v>1.1354</v>
      </c>
      <c r="O551" s="226">
        <f t="shared" si="144"/>
        <v>1.0353389848612293</v>
      </c>
      <c r="P551" s="226">
        <f t="shared" si="144"/>
        <v>0.94409618951337038</v>
      </c>
      <c r="Q551" s="226">
        <f t="shared" si="144"/>
        <v>0.86089447812412156</v>
      </c>
      <c r="R551" s="226">
        <f t="shared" si="144"/>
        <v>0.78502520261904685</v>
      </c>
      <c r="S551" s="226">
        <f t="shared" si="144"/>
        <v>0.71584216696325942</v>
      </c>
      <c r="T551" s="226">
        <f t="shared" si="144"/>
        <v>0.65275612336146172</v>
      </c>
      <c r="U551" s="226">
        <f t="shared" si="144"/>
        <v>0.59522975349921359</v>
      </c>
      <c r="V551" s="226">
        <f t="shared" si="144"/>
        <v>0.54277309207950986</v>
      </c>
      <c r="W551" s="226">
        <f t="shared" si="144"/>
        <v>0.49493935367587655</v>
      </c>
      <c r="X551" s="226">
        <f t="shared" si="144"/>
        <v>0.45132112735833624</v>
      </c>
      <c r="Y551" s="226">
        <f t="shared" si="144"/>
        <v>0.41154690668099825</v>
      </c>
      <c r="Z551" s="226">
        <f t="shared" si="144"/>
        <v>0.37527792547638167</v>
      </c>
      <c r="AA551" s="226">
        <f t="shared" si="144"/>
        <v>0.34220527250620492</v>
      </c>
      <c r="AB551" s="226">
        <f t="shared" si="144"/>
        <v>0.31204726039346004</v>
      </c>
      <c r="AC551" s="226">
        <f t="shared" si="144"/>
        <v>0.28454702642636304</v>
      </c>
      <c r="AD551" s="226">
        <f t="shared" si="144"/>
        <v>0.25947034479967596</v>
      </c>
      <c r="AE551" s="226">
        <f t="shared" si="142"/>
        <v>0.23660363165975837</v>
      </c>
      <c r="AF551" s="226">
        <f t="shared" si="142"/>
        <v>0.21575212596185875</v>
      </c>
      <c r="AG551" s="226">
        <f t="shared" si="142"/>
        <v>0.19673823064559001</v>
      </c>
      <c r="AH551" s="227">
        <v>0.1794</v>
      </c>
      <c r="AI551" s="226">
        <f t="shared" si="145"/>
        <v>0.16358976033477587</v>
      </c>
      <c r="AJ551" s="226">
        <f t="shared" si="145"/>
        <v>0.14917285220952847</v>
      </c>
      <c r="AK551" s="226">
        <f t="shared" si="145"/>
        <v>0.13602648350842644</v>
      </c>
      <c r="AL551" s="226">
        <f t="shared" si="145"/>
        <v>0.12403868359155978</v>
      </c>
      <c r="AM551" s="226">
        <f t="shared" si="145"/>
        <v>0.11310734961529745</v>
      </c>
      <c r="AN551" s="226">
        <f t="shared" si="145"/>
        <v>0.10313937689893096</v>
      </c>
      <c r="AO551" s="226">
        <f t="shared" si="145"/>
        <v>9.4049865930737095E-2</v>
      </c>
      <c r="AP551" s="226">
        <f t="shared" si="145"/>
        <v>8.5761399259348295E-2</v>
      </c>
      <c r="AQ551" s="226">
        <f t="shared" si="145"/>
        <v>7.8203382111548564E-2</v>
      </c>
      <c r="AR551" s="226">
        <f t="shared" si="145"/>
        <v>7.131144112038533E-2</v>
      </c>
      <c r="AS551" s="226">
        <f t="shared" si="145"/>
        <v>6.5026876042426518E-2</v>
      </c>
      <c r="AT551" s="226">
        <f t="shared" si="145"/>
        <v>5.9296159794312894E-2</v>
      </c>
      <c r="AU551" s="226">
        <f t="shared" si="145"/>
        <v>5.4070482550302224E-2</v>
      </c>
      <c r="AV551" s="226">
        <f t="shared" si="145"/>
        <v>4.9305336017779387E-2</v>
      </c>
      <c r="AW551" s="226">
        <f t="shared" si="145"/>
        <v>4.4960134349911494E-2</v>
      </c>
      <c r="AX551" s="226">
        <f t="shared" si="145"/>
        <v>4.0997868466674164E-2</v>
      </c>
      <c r="AY551" s="226">
        <f t="shared" si="143"/>
        <v>3.7384790840021692E-2</v>
      </c>
      <c r="AZ551" s="226">
        <f t="shared" si="143"/>
        <v>3.4090128058444108E-2</v>
      </c>
      <c r="BA551" s="226">
        <f t="shared" si="143"/>
        <v>3.108581872275747E-2</v>
      </c>
      <c r="BB551" s="226">
        <f t="shared" si="143"/>
        <v>2.8346274440725659E-2</v>
      </c>
      <c r="BC551" s="226">
        <f t="shared" si="143"/>
        <v>2.5848161884850021E-2</v>
      </c>
      <c r="BD551" s="226">
        <f t="shared" si="143"/>
        <v>2.3570204057063008E-2</v>
      </c>
      <c r="BE551" s="226">
        <f t="shared" si="143"/>
        <v>2.1492999067651612E-2</v>
      </c>
    </row>
    <row r="552" spans="5:57" s="10" customFormat="1" x14ac:dyDescent="0.35">
      <c r="E552" s="10" t="s">
        <v>654</v>
      </c>
      <c r="F552" s="10" t="s">
        <v>615</v>
      </c>
      <c r="G552" s="43" t="s">
        <v>616</v>
      </c>
      <c r="I552" s="20"/>
      <c r="J552" s="200"/>
      <c r="K552" s="200"/>
      <c r="L552" s="200"/>
      <c r="M552" s="200"/>
      <c r="N552" s="200">
        <v>1.1398999999999999</v>
      </c>
      <c r="O552" s="226">
        <f t="shared" si="144"/>
        <v>1.0382135865187843</v>
      </c>
      <c r="P552" s="226">
        <f t="shared" si="144"/>
        <v>0.94559825531379704</v>
      </c>
      <c r="Q552" s="226">
        <f t="shared" si="144"/>
        <v>0.86124480748771159</v>
      </c>
      <c r="R552" s="226">
        <f t="shared" si="144"/>
        <v>0.78441622989077731</v>
      </c>
      <c r="S552" s="226">
        <f t="shared" si="144"/>
        <v>0.71444125568773331</v>
      </c>
      <c r="T552" s="226">
        <f t="shared" si="144"/>
        <v>0.65070849936358055</v>
      </c>
      <c r="U552" s="226">
        <f t="shared" si="144"/>
        <v>0.59266111492457152</v>
      </c>
      <c r="V552" s="226">
        <f t="shared" si="144"/>
        <v>0.53979193062203779</v>
      </c>
      <c r="W552" s="226">
        <f t="shared" si="144"/>
        <v>0.49163901769015239</v>
      </c>
      <c r="X552" s="226">
        <f t="shared" si="144"/>
        <v>0.44778165438079237</v>
      </c>
      <c r="Y552" s="226">
        <f t="shared" si="144"/>
        <v>0.4078366500324565</v>
      </c>
      <c r="Z552" s="226">
        <f t="shared" si="144"/>
        <v>0.37145499705588469</v>
      </c>
      <c r="AA552" s="226">
        <f t="shared" si="144"/>
        <v>0.33831882158409909</v>
      </c>
      <c r="AB552" s="226">
        <f t="shared" si="144"/>
        <v>0.30813860614407951</v>
      </c>
      <c r="AC552" s="226">
        <f t="shared" si="144"/>
        <v>0.28065066008399325</v>
      </c>
      <c r="AD552" s="226">
        <f t="shared" si="144"/>
        <v>0.25561481565458977</v>
      </c>
      <c r="AE552" s="226">
        <f t="shared" si="142"/>
        <v>0.23281232961495707</v>
      </c>
      <c r="AF552" s="226">
        <f t="shared" si="142"/>
        <v>0.21204397202854458</v>
      </c>
      <c r="AG552" s="226">
        <f t="shared" si="142"/>
        <v>0.19312828555087644</v>
      </c>
      <c r="AH552" s="227">
        <v>0.1759</v>
      </c>
      <c r="AI552" s="226">
        <f t="shared" si="145"/>
        <v>0.16020858835744731</v>
      </c>
      <c r="AJ552" s="226">
        <f t="shared" si="145"/>
        <v>0.14591695158320636</v>
      </c>
      <c r="AK552" s="226">
        <f t="shared" si="145"/>
        <v>0.13290022075365251</v>
      </c>
      <c r="AL552" s="226">
        <f t="shared" si="145"/>
        <v>0.12104466605648545</v>
      </c>
      <c r="AM552" s="226">
        <f t="shared" si="145"/>
        <v>0.11024670311033627</v>
      </c>
      <c r="AN552" s="226">
        <f t="shared" si="145"/>
        <v>0.10041198792705837</v>
      </c>
      <c r="AO552" s="226">
        <f t="shared" si="145"/>
        <v>9.1454592609204452E-2</v>
      </c>
      <c r="AP552" s="226">
        <f t="shared" si="145"/>
        <v>8.3296254580591686E-2</v>
      </c>
      <c r="AQ552" s="226">
        <f t="shared" si="145"/>
        <v>7.5865692790330563E-2</v>
      </c>
      <c r="AR552" s="226">
        <f t="shared" si="145"/>
        <v>6.9097984915853478E-2</v>
      </c>
      <c r="AS552" s="226">
        <f t="shared" si="145"/>
        <v>6.2934000123439859E-2</v>
      </c>
      <c r="AT552" s="226">
        <f t="shared" si="145"/>
        <v>5.7319882430151868E-2</v>
      </c>
      <c r="AU552" s="226">
        <f t="shared" si="145"/>
        <v>5.2206580153209073E-2</v>
      </c>
      <c r="AV552" s="226">
        <f t="shared" si="145"/>
        <v>4.7549417335506251E-2</v>
      </c>
      <c r="AW552" s="226">
        <f t="shared" si="145"/>
        <v>4.3307703402732177E-2</v>
      </c>
      <c r="AX552" s="226">
        <f t="shared" si="145"/>
        <v>3.9444377641584642E-2</v>
      </c>
      <c r="AY552" s="226">
        <f t="shared" si="143"/>
        <v>3.5925685392815987E-2</v>
      </c>
      <c r="AZ552" s="226">
        <f t="shared" si="143"/>
        <v>3.2720883129942091E-2</v>
      </c>
      <c r="BA552" s="226">
        <f t="shared" si="143"/>
        <v>2.9801969846827939E-2</v>
      </c>
      <c r="BB552" s="226">
        <f t="shared" si="143"/>
        <v>2.7143442407228619E-2</v>
      </c>
      <c r="BC552" s="226">
        <f t="shared" si="143"/>
        <v>2.472207271872523E-2</v>
      </c>
      <c r="BD552" s="226">
        <f t="shared" si="143"/>
        <v>2.2516704784179241E-2</v>
      </c>
      <c r="BE552" s="226">
        <f t="shared" si="143"/>
        <v>2.0508069857502764E-2</v>
      </c>
    </row>
    <row r="553" spans="5:57" s="10" customFormat="1" x14ac:dyDescent="0.35">
      <c r="E553" s="10" t="s">
        <v>655</v>
      </c>
      <c r="F553" s="10" t="s">
        <v>615</v>
      </c>
      <c r="G553" s="43" t="s">
        <v>616</v>
      </c>
      <c r="I553" s="20"/>
      <c r="J553" s="200"/>
      <c r="K553" s="200"/>
      <c r="L553" s="200"/>
      <c r="M553" s="200"/>
      <c r="N553" s="200">
        <v>1.1446000000000001</v>
      </c>
      <c r="O553" s="226">
        <f t="shared" si="144"/>
        <v>1.0412329849756019</v>
      </c>
      <c r="P553" s="226">
        <f t="shared" si="144"/>
        <v>0.94720088153171589</v>
      </c>
      <c r="Q553" s="226">
        <f t="shared" si="144"/>
        <v>0.86166066857311729</v>
      </c>
      <c r="R553" s="226">
        <f t="shared" si="144"/>
        <v>0.78384545690587082</v>
      </c>
      <c r="S553" s="226">
        <f t="shared" si="144"/>
        <v>0.71305761388578059</v>
      </c>
      <c r="T553" s="226">
        <f t="shared" si="144"/>
        <v>0.64866250896895994</v>
      </c>
      <c r="U553" s="226">
        <f t="shared" si="144"/>
        <v>0.5900828240918341</v>
      </c>
      <c r="V553" s="226">
        <f t="shared" si="144"/>
        <v>0.53679337787172243</v>
      </c>
      <c r="W553" s="226">
        <f t="shared" si="144"/>
        <v>0.48831641722567687</v>
      </c>
      <c r="X553" s="226">
        <f t="shared" si="144"/>
        <v>0.44421733419577403</v>
      </c>
      <c r="Y553" s="226">
        <f t="shared" si="144"/>
        <v>0.40410076958113778</v>
      </c>
      <c r="Z553" s="226">
        <f t="shared" si="144"/>
        <v>0.36760706844478946</v>
      </c>
      <c r="AA553" s="226">
        <f t="shared" si="144"/>
        <v>0.33440905571806617</v>
      </c>
      <c r="AB553" s="226">
        <f t="shared" si="144"/>
        <v>0.30420910299510256</v>
      </c>
      <c r="AC553" s="226">
        <f t="shared" si="144"/>
        <v>0.27673646022046217</v>
      </c>
      <c r="AD553" s="226">
        <f t="shared" si="144"/>
        <v>0.25174482834783657</v>
      </c>
      <c r="AE553" s="226">
        <f t="shared" si="142"/>
        <v>0.22901015120809751</v>
      </c>
      <c r="AF553" s="226">
        <f t="shared" si="142"/>
        <v>0.20832860679025103</v>
      </c>
      <c r="AG553" s="226">
        <f t="shared" si="142"/>
        <v>0.18951477992663074</v>
      </c>
      <c r="AH553" s="227">
        <v>0.1724</v>
      </c>
      <c r="AI553" s="226">
        <f t="shared" si="145"/>
        <v>0.15683082876969576</v>
      </c>
      <c r="AJ553" s="226">
        <f t="shared" si="145"/>
        <v>0.14266768475980066</v>
      </c>
      <c r="AK553" s="226">
        <f t="shared" si="145"/>
        <v>0.12978359187664287</v>
      </c>
      <c r="AL553" s="226">
        <f t="shared" si="145"/>
        <v>0.1180630410366697</v>
      </c>
      <c r="AM553" s="226">
        <f t="shared" si="145"/>
        <v>0.10740095459890667</v>
      </c>
      <c r="AN553" s="226">
        <f t="shared" si="145"/>
        <v>9.7701744317882838E-2</v>
      </c>
      <c r="AO553" s="226">
        <f t="shared" si="145"/>
        <v>8.8878454371336887E-2</v>
      </c>
      <c r="AP553" s="226">
        <f t="shared" si="145"/>
        <v>8.0851981779735224E-2</v>
      </c>
      <c r="AQ553" s="226">
        <f t="shared" si="145"/>
        <v>7.3550367228469929E-2</v>
      </c>
      <c r="AR553" s="226">
        <f t="shared" si="145"/>
        <v>6.690814993478196E-2</v>
      </c>
      <c r="AS553" s="226">
        <f t="shared" si="145"/>
        <v>6.0865780775631789E-2</v>
      </c>
      <c r="AT553" s="226">
        <f t="shared" si="145"/>
        <v>5.5369088415063508E-2</v>
      </c>
      <c r="AU553" s="226">
        <f t="shared" si="145"/>
        <v>5.036879364476201E-2</v>
      </c>
      <c r="AV553" s="226">
        <f t="shared" si="145"/>
        <v>4.5820067583746002E-2</v>
      </c>
      <c r="AW553" s="226">
        <f t="shared" si="145"/>
        <v>4.1682129776347776E-2</v>
      </c>
      <c r="AX553" s="226">
        <f t="shared" si="145"/>
        <v>3.7917882585328508E-2</v>
      </c>
      <c r="AY553" s="226">
        <f t="shared" si="143"/>
        <v>3.4493578602372878E-2</v>
      </c>
      <c r="AZ553" s="226">
        <f t="shared" si="143"/>
        <v>3.1378518094215678E-2</v>
      </c>
      <c r="BA553" s="226">
        <f t="shared" si="143"/>
        <v>2.8544773771930043E-2</v>
      </c>
      <c r="BB553" s="226">
        <f t="shared" si="143"/>
        <v>2.5966940415865798E-2</v>
      </c>
      <c r="BC553" s="226">
        <f t="shared" si="143"/>
        <v>2.3621907111563464E-2</v>
      </c>
      <c r="BD553" s="226">
        <f t="shared" si="143"/>
        <v>2.1488650054682531E-2</v>
      </c>
      <c r="BE553" s="226">
        <f t="shared" si="143"/>
        <v>1.9548044067388803E-2</v>
      </c>
    </row>
    <row r="554" spans="5:57" s="10" customFormat="1" x14ac:dyDescent="0.35">
      <c r="E554" s="10" t="s">
        <v>656</v>
      </c>
      <c r="F554" s="10" t="s">
        <v>615</v>
      </c>
      <c r="G554" s="43" t="s">
        <v>616</v>
      </c>
      <c r="I554" s="20"/>
      <c r="J554" s="200"/>
      <c r="K554" s="200"/>
      <c r="L554" s="200"/>
      <c r="M554" s="200"/>
      <c r="N554" s="200">
        <v>1.1492</v>
      </c>
      <c r="O554" s="226">
        <f t="shared" si="144"/>
        <v>1.0441983841734372</v>
      </c>
      <c r="P554" s="226">
        <f t="shared" si="144"/>
        <v>0.9487906939700812</v>
      </c>
      <c r="Q554" s="226">
        <f t="shared" si="144"/>
        <v>0.86210033898568839</v>
      </c>
      <c r="R554" s="226">
        <f t="shared" si="144"/>
        <v>0.78333082228004558</v>
      </c>
      <c r="S554" s="226">
        <f t="shared" si="144"/>
        <v>0.7117584222920933</v>
      </c>
      <c r="T554" s="226">
        <f t="shared" si="144"/>
        <v>0.6467255434034449</v>
      </c>
      <c r="U554" s="226">
        <f t="shared" si="144"/>
        <v>0.58763467405635694</v>
      </c>
      <c r="V554" s="226">
        <f t="shared" si="144"/>
        <v>0.5339428969143164</v>
      </c>
      <c r="W554" s="226">
        <f t="shared" si="144"/>
        <v>0.48515690062549027</v>
      </c>
      <c r="X554" s="226">
        <f t="shared" si="144"/>
        <v>0.44082844735792709</v>
      </c>
      <c r="Y554" s="226">
        <f t="shared" si="144"/>
        <v>0.40055025446295911</v>
      </c>
      <c r="Z554" s="226">
        <f t="shared" si="144"/>
        <v>0.36395225242819446</v>
      </c>
      <c r="AA554" s="226">
        <f t="shared" si="144"/>
        <v>0.33069818473877793</v>
      </c>
      <c r="AB554" s="226">
        <f t="shared" si="144"/>
        <v>0.30048251840699686</v>
      </c>
      <c r="AC554" s="226">
        <f t="shared" si="144"/>
        <v>0.2730276367846774</v>
      </c>
      <c r="AD554" s="226">
        <f t="shared" si="144"/>
        <v>0.24808128886638728</v>
      </c>
      <c r="AE554" s="226">
        <f t="shared" si="142"/>
        <v>0.22541427164805547</v>
      </c>
      <c r="AF554" s="226">
        <f t="shared" si="142"/>
        <v>0.20481832424689506</v>
      </c>
      <c r="AG554" s="226">
        <f t="shared" si="142"/>
        <v>0.1861042144341446</v>
      </c>
      <c r="AH554" s="227">
        <v>0.1691</v>
      </c>
      <c r="AI554" s="226">
        <f t="shared" si="145"/>
        <v>0.15364944897644295</v>
      </c>
      <c r="AJ554" s="226">
        <f t="shared" si="145"/>
        <v>0.13961060420322027</v>
      </c>
      <c r="AK554" s="226">
        <f t="shared" si="145"/>
        <v>0.12685447904845101</v>
      </c>
      <c r="AL554" s="226">
        <f t="shared" si="145"/>
        <v>0.11526387230034434</v>
      </c>
      <c r="AM554" s="226">
        <f t="shared" si="145"/>
        <v>0.10473229134144882</v>
      </c>
      <c r="AN554" s="226">
        <f t="shared" si="145"/>
        <v>9.5162973711732102E-2</v>
      </c>
      <c r="AO554" s="226">
        <f t="shared" si="145"/>
        <v>8.6467998070770935E-2</v>
      </c>
      <c r="AP554" s="226">
        <f t="shared" si="145"/>
        <v>7.8567476390716068E-2</v>
      </c>
      <c r="AQ554" s="226">
        <f t="shared" si="145"/>
        <v>7.1388819958032021E-2</v>
      </c>
      <c r="AR554" s="226">
        <f t="shared" si="145"/>
        <v>6.4866072440154424E-2</v>
      </c>
      <c r="AS554" s="226">
        <f t="shared" si="145"/>
        <v>5.893930388938947E-2</v>
      </c>
      <c r="AT554" s="226">
        <f t="shared" si="145"/>
        <v>5.3554060116261466E-2</v>
      </c>
      <c r="AU554" s="226">
        <f t="shared" si="145"/>
        <v>4.8660862373239945E-2</v>
      </c>
      <c r="AV554" s="226">
        <f t="shared" si="145"/>
        <v>4.4214752752021552E-2</v>
      </c>
      <c r="AW554" s="226">
        <f t="shared" si="145"/>
        <v>4.0174881117550423E-2</v>
      </c>
      <c r="AX554" s="226">
        <f t="shared" si="145"/>
        <v>3.650412978359388E-2</v>
      </c>
      <c r="AY554" s="226">
        <f t="shared" si="143"/>
        <v>3.3168772481453342E-2</v>
      </c>
      <c r="AZ554" s="226">
        <f t="shared" si="143"/>
        <v>3.0138164488470197E-2</v>
      </c>
      <c r="BA554" s="226">
        <f t="shared" si="143"/>
        <v>2.7384461069277628E-2</v>
      </c>
      <c r="BB554" s="226">
        <f t="shared" si="143"/>
        <v>2.488236164288209E-2</v>
      </c>
      <c r="BC554" s="226">
        <f t="shared" si="143"/>
        <v>2.260887732502314E-2</v>
      </c>
      <c r="BD554" s="226">
        <f t="shared" si="143"/>
        <v>2.0543119710028392E-2</v>
      </c>
      <c r="BE554" s="226">
        <f t="shared" si="143"/>
        <v>1.8666108951525529E-2</v>
      </c>
    </row>
    <row r="555" spans="5:57" s="10" customFormat="1" x14ac:dyDescent="0.35">
      <c r="E555" s="10" t="s">
        <v>657</v>
      </c>
      <c r="F555" s="10" t="s">
        <v>615</v>
      </c>
      <c r="G555" s="43" t="s">
        <v>616</v>
      </c>
      <c r="I555" s="20"/>
      <c r="J555" s="200"/>
      <c r="K555" s="200"/>
      <c r="L555" s="200"/>
      <c r="M555" s="200"/>
      <c r="N555" s="200">
        <v>1.1537999999999999</v>
      </c>
      <c r="O555" s="226">
        <f t="shared" si="144"/>
        <v>1.0471047587241515</v>
      </c>
      <c r="P555" s="226">
        <f t="shared" si="144"/>
        <v>0.95027593668119581</v>
      </c>
      <c r="Q555" s="226">
        <f t="shared" si="144"/>
        <v>0.86240115739290235</v>
      </c>
      <c r="R555" s="226">
        <f t="shared" si="144"/>
        <v>0.7826524144871938</v>
      </c>
      <c r="S555" s="226">
        <f t="shared" si="144"/>
        <v>0.71027826974907937</v>
      </c>
      <c r="T555" s="226">
        <f t="shared" si="144"/>
        <v>0.64459677264050763</v>
      </c>
      <c r="U555" s="226">
        <f t="shared" si="144"/>
        <v>0.58498903457280771</v>
      </c>
      <c r="V555" s="226">
        <f t="shared" si="144"/>
        <v>0.53089339738484509</v>
      </c>
      <c r="W555" s="226">
        <f t="shared" si="144"/>
        <v>0.48180014107895941</v>
      </c>
      <c r="X555" s="226">
        <f t="shared" si="144"/>
        <v>0.43724668094795116</v>
      </c>
      <c r="Y555" s="226">
        <f t="shared" si="144"/>
        <v>0.39681320883770194</v>
      </c>
      <c r="Z555" s="226">
        <f t="shared" si="144"/>
        <v>0.36011873747491618</v>
      </c>
      <c r="AA555" s="226">
        <f t="shared" si="144"/>
        <v>0.32681751058737929</v>
      </c>
      <c r="AB555" s="226">
        <f t="shared" si="144"/>
        <v>0.29659574499083524</v>
      </c>
      <c r="AC555" s="226">
        <f t="shared" si="144"/>
        <v>0.26916867394456451</v>
      </c>
      <c r="AD555" s="226">
        <f t="shared" si="144"/>
        <v>0.24427786391646999</v>
      </c>
      <c r="AE555" s="226">
        <f t="shared" si="142"/>
        <v>0.22168877947469792</v>
      </c>
      <c r="AF555" s="226">
        <f t="shared" si="142"/>
        <v>0.20118857336081231</v>
      </c>
      <c r="AG555" s="226">
        <f t="shared" si="142"/>
        <v>0.18258408092132922</v>
      </c>
      <c r="AH555" s="227">
        <v>0.16569999999999999</v>
      </c>
      <c r="AI555" s="226">
        <f t="shared" si="145"/>
        <v>0.1503772391407453</v>
      </c>
      <c r="AJ555" s="226">
        <f t="shared" si="145"/>
        <v>0.13647141853707243</v>
      </c>
      <c r="AK555" s="226">
        <f t="shared" si="145"/>
        <v>0.1238515096030542</v>
      </c>
      <c r="AL555" s="226">
        <f t="shared" si="145"/>
        <v>0.11239860034713817</v>
      </c>
      <c r="AM555" s="226">
        <f t="shared" si="145"/>
        <v>0.10200477491542942</v>
      </c>
      <c r="AN555" s="226">
        <f t="shared" si="145"/>
        <v>9.2572096746864382E-2</v>
      </c>
      <c r="AO555" s="226">
        <f t="shared" si="145"/>
        <v>8.4011685758982713E-2</v>
      </c>
      <c r="AP555" s="226">
        <f t="shared" si="145"/>
        <v>7.6242880869014429E-2</v>
      </c>
      <c r="AQ555" s="226">
        <f t="shared" si="145"/>
        <v>6.9192479959077471E-2</v>
      </c>
      <c r="AR555" s="226">
        <f t="shared" si="145"/>
        <v>6.2794050124003742E-2</v>
      </c>
      <c r="AS555" s="226">
        <f t="shared" si="145"/>
        <v>5.6987301702554366E-2</v>
      </c>
      <c r="AT555" s="226">
        <f t="shared" si="145"/>
        <v>5.1717520193788898E-2</v>
      </c>
      <c r="AU555" s="226">
        <f t="shared" si="145"/>
        <v>4.6935050705779829E-2</v>
      </c>
      <c r="AV555" s="226">
        <f t="shared" si="145"/>
        <v>4.2594830078853715E-2</v>
      </c>
      <c r="AW555" s="226">
        <f t="shared" si="145"/>
        <v>3.8655962274756768E-2</v>
      </c>
      <c r="AX555" s="226">
        <f t="shared" si="145"/>
        <v>3.5081333030819117E-2</v>
      </c>
      <c r="AY555" s="226">
        <f t="shared" si="143"/>
        <v>3.183726014816906E-2</v>
      </c>
      <c r="AZ555" s="226">
        <f t="shared" si="143"/>
        <v>2.889317611881315E-2</v>
      </c>
      <c r="BA555" s="226">
        <f t="shared" si="143"/>
        <v>2.6221340101113072E-2</v>
      </c>
      <c r="BB555" s="226">
        <f t="shared" si="143"/>
        <v>2.3796576529727793E-2</v>
      </c>
      <c r="BC555" s="226">
        <f t="shared" si="143"/>
        <v>2.1596037897054457E-2</v>
      </c>
      <c r="BD555" s="226">
        <f t="shared" si="143"/>
        <v>1.9598989470959303E-2</v>
      </c>
      <c r="BE555" s="226">
        <f t="shared" si="143"/>
        <v>1.7786613920286038E-2</v>
      </c>
    </row>
    <row r="556" spans="5:57" s="10" customFormat="1" x14ac:dyDescent="0.35">
      <c r="E556" s="10" t="s">
        <v>658</v>
      </c>
      <c r="F556" s="10" t="s">
        <v>615</v>
      </c>
      <c r="G556" s="43" t="s">
        <v>616</v>
      </c>
      <c r="I556" s="20"/>
      <c r="J556" s="200"/>
      <c r="K556" s="200"/>
      <c r="L556" s="200"/>
      <c r="M556" s="200"/>
      <c r="N556" s="200">
        <v>1.1439999999999999</v>
      </c>
      <c r="O556" s="226">
        <f t="shared" si="144"/>
        <v>1.0373214288042685</v>
      </c>
      <c r="P556" s="226">
        <f t="shared" si="144"/>
        <v>0.94059068763682618</v>
      </c>
      <c r="Q556" s="226">
        <f t="shared" si="144"/>
        <v>0.85288013638061366</v>
      </c>
      <c r="R556" s="226">
        <f t="shared" si="144"/>
        <v>0.77334863782265528</v>
      </c>
      <c r="S556" s="226">
        <f t="shared" si="144"/>
        <v>0.70123349121506262</v>
      </c>
      <c r="T556" s="226">
        <f t="shared" si="144"/>
        <v>0.63584311803550198</v>
      </c>
      <c r="U556" s="226">
        <f t="shared" si="144"/>
        <v>0.57655042980415039</v>
      </c>
      <c r="V556" s="226">
        <f t="shared" si="144"/>
        <v>0.52278681435503183</v>
      </c>
      <c r="W556" s="226">
        <f t="shared" si="144"/>
        <v>0.47403668289055378</v>
      </c>
      <c r="X556" s="226">
        <f t="shared" si="144"/>
        <v>0.42983252552593115</v>
      </c>
      <c r="Y556" s="226">
        <f t="shared" si="144"/>
        <v>0.38975042790656134</v>
      </c>
      <c r="Z556" s="226">
        <f t="shared" si="144"/>
        <v>0.35340600590306753</v>
      </c>
      <c r="AA556" s="226">
        <f t="shared" si="144"/>
        <v>0.32045071939805925</v>
      </c>
      <c r="AB556" s="226">
        <f t="shared" si="144"/>
        <v>0.29056852981411763</v>
      </c>
      <c r="AC556" s="226">
        <f t="shared" si="144"/>
        <v>0.26347286932896519</v>
      </c>
      <c r="AD556" s="226">
        <f t="shared" si="144"/>
        <v>0.23890389271283435</v>
      </c>
      <c r="AE556" s="226">
        <f t="shared" si="142"/>
        <v>0.21662598543337327</v>
      </c>
      <c r="AF556" s="226">
        <f t="shared" si="142"/>
        <v>0.19642550413101348</v>
      </c>
      <c r="AG556" s="226">
        <f t="shared" si="142"/>
        <v>0.17810872779613782</v>
      </c>
      <c r="AH556" s="227">
        <v>0.1615</v>
      </c>
      <c r="AI556" s="226">
        <f t="shared" si="145"/>
        <v>0.14644004436353966</v>
      </c>
      <c r="AJ556" s="226">
        <f t="shared" si="145"/>
        <v>0.13278443710956944</v>
      </c>
      <c r="AK556" s="226">
        <f t="shared" si="145"/>
        <v>0.12040222205023524</v>
      </c>
      <c r="AL556" s="226">
        <f t="shared" si="145"/>
        <v>0.10917465472758639</v>
      </c>
      <c r="AM556" s="226">
        <f t="shared" si="145"/>
        <v>9.8994063663664866E-2</v>
      </c>
      <c r="AN556" s="226">
        <f t="shared" si="145"/>
        <v>8.9762817799592276E-2</v>
      </c>
      <c r="AO556" s="226">
        <f t="shared" si="145"/>
        <v>8.1392390221477526E-2</v>
      </c>
      <c r="AP556" s="226">
        <f t="shared" si="145"/>
        <v>7.3802509194351093E-2</v>
      </c>
      <c r="AQ556" s="226">
        <f t="shared" si="145"/>
        <v>6.6920388362608774E-2</v>
      </c>
      <c r="AR556" s="226">
        <f t="shared" si="145"/>
        <v>6.0680028734648499E-2</v>
      </c>
      <c r="AS556" s="226">
        <f t="shared" si="145"/>
        <v>5.5021585757788156E-2</v>
      </c>
      <c r="AT556" s="226">
        <f t="shared" si="145"/>
        <v>4.9890795413763463E-2</v>
      </c>
      <c r="AU556" s="226">
        <f t="shared" si="145"/>
        <v>4.5238453831107139E-2</v>
      </c>
      <c r="AV556" s="226">
        <f t="shared" si="145"/>
        <v>4.1019945423933564E-2</v>
      </c>
      <c r="AW556" s="226">
        <f t="shared" si="145"/>
        <v>3.7194815032017381E-2</v>
      </c>
      <c r="AX556" s="226">
        <f t="shared" si="145"/>
        <v>3.3726379959023389E-2</v>
      </c>
      <c r="AY556" s="226">
        <f t="shared" si="143"/>
        <v>3.0581378188365201E-2</v>
      </c>
      <c r="AZ556" s="226">
        <f t="shared" si="143"/>
        <v>2.7729649403110738E-2</v>
      </c>
      <c r="BA556" s="226">
        <f t="shared" si="143"/>
        <v>2.514384575094079E-2</v>
      </c>
      <c r="BB556" s="226">
        <f t="shared" si="143"/>
        <v>2.2799169580419613E-2</v>
      </c>
      <c r="BC556" s="226">
        <f t="shared" si="143"/>
        <v>2.0673135633489239E-2</v>
      </c>
      <c r="BD556" s="226">
        <f t="shared" si="143"/>
        <v>1.8745355413632425E-2</v>
      </c>
      <c r="BE556" s="226">
        <f t="shared" si="143"/>
        <v>1.699734166181208E-2</v>
      </c>
    </row>
    <row r="557" spans="5:57" s="10" customFormat="1" x14ac:dyDescent="0.35">
      <c r="E557" s="10" t="s">
        <v>659</v>
      </c>
      <c r="F557" s="10" t="s">
        <v>615</v>
      </c>
      <c r="G557" s="43" t="s">
        <v>616</v>
      </c>
      <c r="I557" s="20"/>
      <c r="J557" s="200"/>
      <c r="K557" s="200"/>
      <c r="L557" s="200"/>
      <c r="M557" s="200"/>
      <c r="N557" s="200">
        <v>1.1342000000000001</v>
      </c>
      <c r="O557" s="226">
        <f t="shared" si="144"/>
        <v>1.0275231066117405</v>
      </c>
      <c r="P557" s="226">
        <f t="shared" si="144"/>
        <v>0.93087968137986432</v>
      </c>
      <c r="Q557" s="226">
        <f t="shared" si="144"/>
        <v>0.84332602900122133</v>
      </c>
      <c r="R557" s="226">
        <f t="shared" si="144"/>
        <v>0.76400721319509579</v>
      </c>
      <c r="S557" s="226">
        <f t="shared" si="144"/>
        <v>0.69214870849585886</v>
      </c>
      <c r="T557" s="226">
        <f t="shared" si="144"/>
        <v>0.62704883723414639</v>
      </c>
      <c r="U557" s="226">
        <f t="shared" si="144"/>
        <v>0.56807191785585409</v>
      </c>
      <c r="V557" s="226">
        <f t="shared" si="144"/>
        <v>0.51464205767425197</v>
      </c>
      <c r="W557" s="226">
        <f t="shared" si="144"/>
        <v>0.46623752944322505</v>
      </c>
      <c r="X557" s="226">
        <f t="shared" si="144"/>
        <v>0.42238567684049144</v>
      </c>
      <c r="Y557" s="226">
        <f t="shared" si="144"/>
        <v>0.38265829911430471</v>
      </c>
      <c r="Z557" s="226">
        <f t="shared" si="144"/>
        <v>0.34666746982604035</v>
      </c>
      <c r="AA557" s="226">
        <f t="shared" si="144"/>
        <v>0.3140617488598878</v>
      </c>
      <c r="AB557" s="226">
        <f t="shared" si="144"/>
        <v>0.28452275071101052</v>
      </c>
      <c r="AC557" s="226">
        <f t="shared" si="144"/>
        <v>0.25776203554249277</v>
      </c>
      <c r="AD557" s="226">
        <f t="shared" si="144"/>
        <v>0.23351829265313703</v>
      </c>
      <c r="AE557" s="226">
        <f t="shared" si="142"/>
        <v>0.21155478885348344</v>
      </c>
      <c r="AF557" s="226">
        <f t="shared" si="142"/>
        <v>0.19165705683417572</v>
      </c>
      <c r="AG557" s="226">
        <f t="shared" si="142"/>
        <v>0.17363080095425421</v>
      </c>
      <c r="AH557" s="227">
        <v>0.1573</v>
      </c>
      <c r="AI557" s="226">
        <f t="shared" si="145"/>
        <v>0.14250518838831491</v>
      </c>
      <c r="AJ557" s="226">
        <f t="shared" si="145"/>
        <v>0.12910189903108152</v>
      </c>
      <c r="AK557" s="226">
        <f t="shared" si="145"/>
        <v>0.11695925265552118</v>
      </c>
      <c r="AL557" s="226">
        <f t="shared" si="145"/>
        <v>0.10595867980566794</v>
      </c>
      <c r="AM557" s="226">
        <f t="shared" si="145"/>
        <v>9.5992763045669727E-2</v>
      </c>
      <c r="AN557" s="226">
        <f t="shared" si="145"/>
        <v>8.6964188059364511E-2</v>
      </c>
      <c r="AO557" s="226">
        <f t="shared" si="145"/>
        <v>7.8784793403919806E-2</v>
      </c>
      <c r="AP557" s="226">
        <f t="shared" si="145"/>
        <v>7.1374709638652653E-2</v>
      </c>
      <c r="AQ557" s="226">
        <f t="shared" si="145"/>
        <v>6.4661579422870138E-2</v>
      </c>
      <c r="AR557" s="226">
        <f t="shared" si="145"/>
        <v>5.8579850967209766E-2</v>
      </c>
      <c r="AS557" s="226">
        <f t="shared" si="145"/>
        <v>5.3070137939234832E-2</v>
      </c>
      <c r="AT557" s="226">
        <f t="shared" si="145"/>
        <v>4.807863957294671E-2</v>
      </c>
      <c r="AU557" s="226">
        <f t="shared" si="145"/>
        <v>4.3556615319749928E-2</v>
      </c>
      <c r="AV557" s="226">
        <f t="shared" si="145"/>
        <v>3.9459908910987454E-2</v>
      </c>
      <c r="AW557" s="226">
        <f t="shared" si="145"/>
        <v>3.5748517184653612E-2</v>
      </c>
      <c r="AX557" s="226">
        <f t="shared" si="145"/>
        <v>3.2386199466001117E-2</v>
      </c>
      <c r="AY557" s="226">
        <f t="shared" si="143"/>
        <v>2.9340123687756091E-2</v>
      </c>
      <c r="AZ557" s="226">
        <f t="shared" si="143"/>
        <v>2.6580545794406499E-2</v>
      </c>
      <c r="BA557" s="226">
        <f t="shared" si="143"/>
        <v>2.4080519300038968E-2</v>
      </c>
      <c r="BB557" s="226">
        <f t="shared" si="143"/>
        <v>2.1815632163639583E-2</v>
      </c>
      <c r="BC557" s="226">
        <f t="shared" si="143"/>
        <v>1.9763768412521556E-2</v>
      </c>
      <c r="BD557" s="226">
        <f t="shared" si="143"/>
        <v>1.7904892186200966E-2</v>
      </c>
      <c r="BE557" s="226">
        <f t="shared" si="143"/>
        <v>1.6220852091970987E-2</v>
      </c>
    </row>
    <row r="558" spans="5:57" s="10" customFormat="1" x14ac:dyDescent="0.35">
      <c r="E558" s="10" t="s">
        <v>660</v>
      </c>
      <c r="F558" s="10" t="s">
        <v>615</v>
      </c>
      <c r="G558" s="43" t="s">
        <v>616</v>
      </c>
      <c r="I558" s="20"/>
      <c r="J558" s="200"/>
      <c r="K558" s="200"/>
      <c r="L558" s="200"/>
      <c r="M558" s="200"/>
      <c r="N558" s="200">
        <v>1.1245000000000001</v>
      </c>
      <c r="O558" s="226">
        <f t="shared" si="144"/>
        <v>1.0178280728785509</v>
      </c>
      <c r="P558" s="226">
        <f t="shared" si="144"/>
        <v>0.92127522093345005</v>
      </c>
      <c r="Q558" s="226">
        <f t="shared" si="144"/>
        <v>0.83388153198172932</v>
      </c>
      <c r="R558" s="226">
        <f t="shared" si="144"/>
        <v>0.75477815269539983</v>
      </c>
      <c r="S558" s="226">
        <f t="shared" si="144"/>
        <v>0.6831786506080848</v>
      </c>
      <c r="T558" s="226">
        <f t="shared" si="144"/>
        <v>0.61837119553596775</v>
      </c>
      <c r="U558" s="226">
        <f t="shared" si="144"/>
        <v>0.55971148268206272</v>
      </c>
      <c r="V558" s="226">
        <f t="shared" si="144"/>
        <v>0.50661632706650084</v>
      </c>
      <c r="W558" s="226">
        <f t="shared" si="144"/>
        <v>0.45855786559973866</v>
      </c>
      <c r="X558" s="226">
        <f t="shared" si="144"/>
        <v>0.41505830915667719</v>
      </c>
      <c r="Y558" s="226">
        <f t="shared" si="144"/>
        <v>0.37568519247769722</v>
      </c>
      <c r="Z558" s="226">
        <f t="shared" si="144"/>
        <v>0.34004707467192707</v>
      </c>
      <c r="AA558" s="226">
        <f t="shared" si="144"/>
        <v>0.30778964757787125</v>
      </c>
      <c r="AB558" s="226">
        <f t="shared" si="144"/>
        <v>0.27859221329137662</v>
      </c>
      <c r="AC558" s="226">
        <f t="shared" si="144"/>
        <v>0.25216449584111345</v>
      </c>
      <c r="AD558" s="226">
        <f t="shared" si="144"/>
        <v>0.22824375531378555</v>
      </c>
      <c r="AE558" s="226">
        <f t="shared" si="142"/>
        <v>0.20659217573818928</v>
      </c>
      <c r="AF558" s="226">
        <f t="shared" si="142"/>
        <v>0.18699450075890447</v>
      </c>
      <c r="AG558" s="226">
        <f t="shared" si="142"/>
        <v>0.1692558935938839</v>
      </c>
      <c r="AH558" s="227">
        <v>0.1532</v>
      </c>
      <c r="AI558" s="226">
        <f t="shared" si="145"/>
        <v>0.13866719498887861</v>
      </c>
      <c r="AJ558" s="226">
        <f t="shared" si="145"/>
        <v>0.12551299586216502</v>
      </c>
      <c r="AK558" s="226">
        <f t="shared" si="145"/>
        <v>0.11360662578888479</v>
      </c>
      <c r="AL558" s="226">
        <f t="shared" si="145"/>
        <v>0.1028297136442288</v>
      </c>
      <c r="AM558" s="226">
        <f t="shared" si="145"/>
        <v>9.3075117183778228E-2</v>
      </c>
      <c r="AN558" s="226">
        <f t="shared" si="145"/>
        <v>8.4245857853366191E-2</v>
      </c>
      <c r="AO558" s="226">
        <f t="shared" si="145"/>
        <v>7.6254156644634974E-2</v>
      </c>
      <c r="AP558" s="226">
        <f t="shared" si="145"/>
        <v>6.9020561410927481E-2</v>
      </c>
      <c r="AQ558" s="226">
        <f t="shared" si="145"/>
        <v>6.2473156967434405E-2</v>
      </c>
      <c r="AR558" s="226">
        <f t="shared" si="145"/>
        <v>5.654685012254599E-2</v>
      </c>
      <c r="AS558" s="226">
        <f t="shared" si="145"/>
        <v>5.1182722532310564E-2</v>
      </c>
      <c r="AT558" s="226">
        <f t="shared" si="145"/>
        <v>4.6327444944187855E-2</v>
      </c>
      <c r="AU558" s="226">
        <f t="shared" si="145"/>
        <v>4.1932747006607277E-2</v>
      </c>
      <c r="AV558" s="226">
        <f t="shared" si="145"/>
        <v>3.7954937373267147E-2</v>
      </c>
      <c r="AW558" s="226">
        <f t="shared" si="145"/>
        <v>3.4354469331132578E-2</v>
      </c>
      <c r="AX558" s="226">
        <f t="shared" si="145"/>
        <v>3.1095547633678923E-2</v>
      </c>
      <c r="AY558" s="226">
        <f t="shared" si="143"/>
        <v>2.8145772630583012E-2</v>
      </c>
      <c r="AZ558" s="226">
        <f t="shared" si="143"/>
        <v>2.5475818155859642E-2</v>
      </c>
      <c r="BA558" s="226">
        <f t="shared" si="143"/>
        <v>2.3059139972061375E-2</v>
      </c>
      <c r="BB558" s="226">
        <f t="shared" si="143"/>
        <v>2.0871711871943074E-2</v>
      </c>
      <c r="BC558" s="226">
        <f t="shared" si="143"/>
        <v>1.8891786813958374E-2</v>
      </c>
      <c r="BD558" s="226">
        <f t="shared" si="143"/>
        <v>1.7099680716837411E-2</v>
      </c>
      <c r="BE558" s="226">
        <f t="shared" si="143"/>
        <v>1.5477576763768019E-2</v>
      </c>
    </row>
    <row r="559" spans="5:57" s="10" customFormat="1" x14ac:dyDescent="0.35">
      <c r="E559" s="10" t="s">
        <v>661</v>
      </c>
      <c r="F559" s="10" t="s">
        <v>615</v>
      </c>
      <c r="G559" s="43" t="s">
        <v>616</v>
      </c>
      <c r="I559" s="20"/>
      <c r="J559" s="200"/>
      <c r="K559" s="200"/>
      <c r="L559" s="200"/>
      <c r="M559" s="200"/>
      <c r="N559" s="200">
        <v>1.1148</v>
      </c>
      <c r="O559" s="226">
        <f t="shared" si="144"/>
        <v>1.0081847000823534</v>
      </c>
      <c r="P559" s="226">
        <f t="shared" si="144"/>
        <v>0.91176568844648809</v>
      </c>
      <c r="Q559" s="226">
        <f t="shared" si="144"/>
        <v>0.82456783024022529</v>
      </c>
      <c r="R559" s="226">
        <f t="shared" si="144"/>
        <v>0.74570924885925594</v>
      </c>
      <c r="S559" s="226">
        <f t="shared" si="144"/>
        <v>0.67439240707732873</v>
      </c>
      <c r="T559" s="226">
        <f t="shared" si="144"/>
        <v>0.6098960411437685</v>
      </c>
      <c r="U559" s="226">
        <f t="shared" si="144"/>
        <v>0.55156786627372167</v>
      </c>
      <c r="V559" s="226">
        <f t="shared" si="144"/>
        <v>0.49881797975801556</v>
      </c>
      <c r="W559" s="226">
        <f t="shared" si="144"/>
        <v>0.45111289497490165</v>
      </c>
      <c r="X559" s="226">
        <f t="shared" si="144"/>
        <v>0.40797014596658904</v>
      </c>
      <c r="Y559" s="226">
        <f t="shared" si="144"/>
        <v>0.36895340801388549</v>
      </c>
      <c r="Z559" s="226">
        <f t="shared" si="144"/>
        <v>0.33366808486081928</v>
      </c>
      <c r="AA559" s="226">
        <f t="shared" si="144"/>
        <v>0.30175731796058336</v>
      </c>
      <c r="AB559" s="226">
        <f t="shared" si="144"/>
        <v>0.27289837738226241</v>
      </c>
      <c r="AC559" s="226">
        <f t="shared" si="144"/>
        <v>0.24679939787773336</v>
      </c>
      <c r="AD559" s="226">
        <f t="shared" si="144"/>
        <v>0.22319642709891285</v>
      </c>
      <c r="AE559" s="226">
        <f t="shared" si="142"/>
        <v>0.20185075611245992</v>
      </c>
      <c r="AF559" s="226">
        <f t="shared" si="142"/>
        <v>0.18254650521406232</v>
      </c>
      <c r="AG559" s="226">
        <f t="shared" si="142"/>
        <v>0.1650884406264094</v>
      </c>
      <c r="AH559" s="227">
        <v>0.14929999999999999</v>
      </c>
      <c r="AI559" s="226">
        <f t="shared" si="145"/>
        <v>0.13502150674766358</v>
      </c>
      <c r="AJ559" s="226">
        <f t="shared" si="145"/>
        <v>0.12210855515344517</v>
      </c>
      <c r="AK559" s="226">
        <f t="shared" si="145"/>
        <v>0.1104305499236326</v>
      </c>
      <c r="AL559" s="226">
        <f t="shared" si="145"/>
        <v>9.9869385409658146E-2</v>
      </c>
      <c r="AM559" s="226">
        <f t="shared" si="145"/>
        <v>9.0318251145178649E-2</v>
      </c>
      <c r="AN559" s="226">
        <f t="shared" si="145"/>
        <v>8.1680551617119318E-2</v>
      </c>
      <c r="AO559" s="226">
        <f t="shared" si="145"/>
        <v>7.3868929345772008E-2</v>
      </c>
      <c r="AP559" s="226">
        <f t="shared" si="145"/>
        <v>6.6804381393856929E-2</v>
      </c>
      <c r="AQ559" s="226">
        <f t="shared" si="145"/>
        <v>6.0415460369351276E-2</v>
      </c>
      <c r="AR559" s="226">
        <f t="shared" si="145"/>
        <v>5.4637551841417054E-2</v>
      </c>
      <c r="AS559" s="226">
        <f t="shared" si="145"/>
        <v>4.9412220861565388E-2</v>
      </c>
      <c r="AT559" s="226">
        <f t="shared" si="145"/>
        <v>4.4686620981091059E-2</v>
      </c>
      <c r="AU559" s="226">
        <f t="shared" si="145"/>
        <v>4.041295978786786E-2</v>
      </c>
      <c r="AV559" s="226">
        <f t="shared" si="145"/>
        <v>3.6548015557204674E-2</v>
      </c>
      <c r="AW559" s="226">
        <f t="shared" si="145"/>
        <v>3.3052700128404722E-2</v>
      </c>
      <c r="AX559" s="226">
        <f t="shared" si="145"/>
        <v>2.9891663586174812E-2</v>
      </c>
      <c r="AY559" s="226">
        <f t="shared" si="143"/>
        <v>2.7032936748825134E-2</v>
      </c>
      <c r="AZ559" s="226">
        <f t="shared" si="143"/>
        <v>2.4447607847559651E-2</v>
      </c>
      <c r="BA559" s="226">
        <f t="shared" si="143"/>
        <v>2.2109530126949155E-2</v>
      </c>
      <c r="BB559" s="226">
        <f t="shared" si="143"/>
        <v>1.9995057409400781E-2</v>
      </c>
      <c r="BC559" s="226">
        <f t="shared" si="143"/>
        <v>1.8082804949252032E-2</v>
      </c>
      <c r="BD559" s="226">
        <f t="shared" si="143"/>
        <v>1.6353433157884244E-2</v>
      </c>
      <c r="BE559" s="226">
        <f t="shared" si="143"/>
        <v>1.4789452012556818E-2</v>
      </c>
    </row>
    <row r="560" spans="5:57" s="10" customFormat="1" x14ac:dyDescent="0.35">
      <c r="E560" s="10" t="s">
        <v>662</v>
      </c>
      <c r="F560" s="10" t="s">
        <v>615</v>
      </c>
      <c r="G560" s="43" t="s">
        <v>616</v>
      </c>
      <c r="I560" s="20"/>
      <c r="J560" s="200"/>
      <c r="K560" s="200"/>
      <c r="L560" s="200"/>
      <c r="M560" s="200"/>
      <c r="N560" s="200">
        <v>1.1052999999999999</v>
      </c>
      <c r="O560" s="226">
        <f t="shared" si="144"/>
        <v>0.99869846380777882</v>
      </c>
      <c r="P560" s="226">
        <f t="shared" si="144"/>
        <v>0.90237819742333969</v>
      </c>
      <c r="Q560" s="226">
        <f t="shared" si="144"/>
        <v>0.81534761561596125</v>
      </c>
      <c r="R560" s="226">
        <f t="shared" si="144"/>
        <v>0.73671076737989316</v>
      </c>
      <c r="S560" s="226">
        <f t="shared" si="144"/>
        <v>0.66565811241558781</v>
      </c>
      <c r="T560" s="226">
        <f t="shared" si="144"/>
        <v>0.60145818718052413</v>
      </c>
      <c r="U560" s="226">
        <f t="shared" si="144"/>
        <v>0.54345007471437701</v>
      </c>
      <c r="V560" s="226">
        <f t="shared" si="144"/>
        <v>0.49103660071787836</v>
      </c>
      <c r="W560" s="226">
        <f t="shared" si="144"/>
        <v>0.44367818584125468</v>
      </c>
      <c r="X560" s="226">
        <f t="shared" si="144"/>
        <v>0.40088729089358838</v>
      </c>
      <c r="Y560" s="226">
        <f t="shared" si="144"/>
        <v>0.3622233977883732</v>
      </c>
      <c r="Z560" s="226">
        <f t="shared" si="144"/>
        <v>0.32728847455576071</v>
      </c>
      <c r="AA560" s="226">
        <f t="shared" si="144"/>
        <v>0.2957228777353022</v>
      </c>
      <c r="AB560" s="226">
        <f t="shared" si="144"/>
        <v>0.26720164996567619</v>
      </c>
      <c r="AC560" s="226">
        <f t="shared" si="144"/>
        <v>0.24143117465631472</v>
      </c>
      <c r="AD560" s="226">
        <f t="shared" si="144"/>
        <v>0.218146153301881</v>
      </c>
      <c r="AE560" s="226">
        <f t="shared" si="142"/>
        <v>0.19710687432205262</v>
      </c>
      <c r="AF560" s="226">
        <f t="shared" si="142"/>
        <v>0.17809674531022066</v>
      </c>
      <c r="AG560" s="226">
        <f t="shared" si="142"/>
        <v>0.16092006328642233</v>
      </c>
      <c r="AH560" s="227">
        <v>0.1454</v>
      </c>
      <c r="AI560" s="226">
        <f t="shared" si="145"/>
        <v>0.13137678154134719</v>
      </c>
      <c r="AJ560" s="226">
        <f t="shared" si="145"/>
        <v>0.1187060435224406</v>
      </c>
      <c r="AK560" s="226">
        <f t="shared" si="145"/>
        <v>0.10725734489329664</v>
      </c>
      <c r="AL560" s="226">
        <f t="shared" si="145"/>
        <v>9.6912825094577451E-2</v>
      </c>
      <c r="AM560" s="226">
        <f t="shared" si="145"/>
        <v>8.7565990722180825E-2</v>
      </c>
      <c r="AN560" s="226">
        <f t="shared" si="145"/>
        <v>7.9120619212926999E-2</v>
      </c>
      <c r="AO560" s="226">
        <f t="shared" si="145"/>
        <v>7.1489768265150119E-2</v>
      </c>
      <c r="AP560" s="226">
        <f t="shared" si="145"/>
        <v>6.4594880796507298E-2</v>
      </c>
      <c r="AQ560" s="226">
        <f t="shared" si="145"/>
        <v>5.8364976224842519E-2</v>
      </c>
      <c r="AR560" s="226">
        <f t="shared" si="145"/>
        <v>5.2735919746609752E-2</v>
      </c>
      <c r="AS560" s="226">
        <f t="shared" si="145"/>
        <v>4.764976209031889E-2</v>
      </c>
      <c r="AT560" s="226">
        <f t="shared" si="145"/>
        <v>4.3054142947984812E-2</v>
      </c>
      <c r="AU560" s="226">
        <f t="shared" si="145"/>
        <v>3.8901751943104086E-2</v>
      </c>
      <c r="AV560" s="226">
        <f t="shared" si="145"/>
        <v>3.5149841586003192E-2</v>
      </c>
      <c r="AW560" s="226">
        <f t="shared" si="145"/>
        <v>3.1759787202594925E-2</v>
      </c>
      <c r="AX560" s="226">
        <f t="shared" si="145"/>
        <v>2.8696689306155349E-2</v>
      </c>
      <c r="AY560" s="226">
        <f t="shared" si="143"/>
        <v>2.5929014318670462E-2</v>
      </c>
      <c r="AZ560" s="226">
        <f t="shared" si="143"/>
        <v>2.3428269943097883E-2</v>
      </c>
      <c r="BA560" s="226">
        <f t="shared" si="143"/>
        <v>2.1168711844608536E-2</v>
      </c>
      <c r="BB560" s="226">
        <f t="shared" si="143"/>
        <v>1.9127078621188887E-2</v>
      </c>
      <c r="BC560" s="226">
        <f t="shared" si="143"/>
        <v>1.7282352335213923E-2</v>
      </c>
      <c r="BD560" s="226">
        <f t="shared" si="143"/>
        <v>1.5615542140742716E-2</v>
      </c>
      <c r="BE560" s="226">
        <f t="shared" si="143"/>
        <v>1.4109488779051283E-2</v>
      </c>
    </row>
    <row r="561" spans="4:57" s="10" customFormat="1" x14ac:dyDescent="0.35">
      <c r="E561" s="10" t="s">
        <v>663</v>
      </c>
      <c r="F561" s="10" t="s">
        <v>615</v>
      </c>
      <c r="G561" s="43" t="s">
        <v>616</v>
      </c>
      <c r="I561" s="20"/>
      <c r="J561" s="200"/>
      <c r="K561" s="200"/>
      <c r="L561" s="200"/>
      <c r="M561" s="200"/>
      <c r="N561" s="200">
        <v>1.1102000000000001</v>
      </c>
      <c r="O561" s="226">
        <f t="shared" si="144"/>
        <v>1.0043665767668057</v>
      </c>
      <c r="P561" s="226">
        <f t="shared" si="144"/>
        <v>0.90862206856987193</v>
      </c>
      <c r="Q561" s="226">
        <f t="shared" si="144"/>
        <v>0.82200471679363718</v>
      </c>
      <c r="R561" s="226">
        <f t="shared" si="144"/>
        <v>0.74364444558835607</v>
      </c>
      <c r="S561" s="226">
        <f t="shared" si="144"/>
        <v>0.67275412191247186</v>
      </c>
      <c r="T561" s="226">
        <f t="shared" si="144"/>
        <v>0.60862164873985547</v>
      </c>
      <c r="U561" s="226">
        <f t="shared" si="144"/>
        <v>0.5506028120077624</v>
      </c>
      <c r="V561" s="226">
        <f t="shared" si="144"/>
        <v>0.49811480945272324</v>
      </c>
      <c r="W561" s="226">
        <f t="shared" si="144"/>
        <v>0.45063039633118473</v>
      </c>
      <c r="X561" s="226">
        <f t="shared" si="144"/>
        <v>0.40767258921835786</v>
      </c>
      <c r="Y561" s="226">
        <f t="shared" si="144"/>
        <v>0.36880987468465343</v>
      </c>
      <c r="Z561" s="226">
        <f t="shared" si="144"/>
        <v>0.33365187472060881</v>
      </c>
      <c r="AA561" s="226">
        <f t="shared" si="144"/>
        <v>0.30184542536927128</v>
      </c>
      <c r="AB561" s="226">
        <f t="shared" si="144"/>
        <v>0.27307102917569381</v>
      </c>
      <c r="AC561" s="226">
        <f t="shared" si="144"/>
        <v>0.24703964581821303</v>
      </c>
      <c r="AD561" s="226">
        <f t="shared" si="144"/>
        <v>0.22348978868323069</v>
      </c>
      <c r="AE561" s="226">
        <f t="shared" si="142"/>
        <v>0.20218489821844099</v>
      </c>
      <c r="AF561" s="226">
        <f t="shared" si="142"/>
        <v>0.18291096567969789</v>
      </c>
      <c r="AG561" s="226">
        <f t="shared" si="142"/>
        <v>0.16547438340193554</v>
      </c>
      <c r="AH561" s="227">
        <v>0.1497</v>
      </c>
      <c r="AI561" s="226">
        <f t="shared" si="145"/>
        <v>0.13542936096378203</v>
      </c>
      <c r="AJ561" s="226">
        <f t="shared" si="145"/>
        <v>0.12251911697433779</v>
      </c>
      <c r="AK561" s="226">
        <f t="shared" si="145"/>
        <v>0.11083958395244774</v>
      </c>
      <c r="AL561" s="226">
        <f t="shared" si="145"/>
        <v>0.1002734403752269</v>
      </c>
      <c r="AM561" s="226">
        <f t="shared" si="145"/>
        <v>9.071454877526304E-2</v>
      </c>
      <c r="AN561" s="226">
        <f t="shared" si="145"/>
        <v>8.206688958417975E-2</v>
      </c>
      <c r="AO561" s="226">
        <f t="shared" si="145"/>
        <v>7.4243596611026877E-2</v>
      </c>
      <c r="AP561" s="226">
        <f t="shared" si="145"/>
        <v>6.7166084466828202E-2</v>
      </c>
      <c r="AQ561" s="226">
        <f t="shared" si="145"/>
        <v>6.0763259170220102E-2</v>
      </c>
      <c r="AR561" s="226">
        <f t="shared" si="145"/>
        <v>5.4970804004673191E-2</v>
      </c>
      <c r="AS561" s="226">
        <f t="shared" si="145"/>
        <v>4.9730533453695387E-2</v>
      </c>
      <c r="AT561" s="226">
        <f t="shared" si="145"/>
        <v>4.4989808724261525E-2</v>
      </c>
      <c r="AU561" s="226">
        <f t="shared" si="145"/>
        <v>4.070100898737157E-2</v>
      </c>
      <c r="AV561" s="226">
        <f t="shared" si="145"/>
        <v>3.6821053024321176E-2</v>
      </c>
      <c r="AW561" s="226">
        <f t="shared" si="145"/>
        <v>3.3310966473596194E-2</v>
      </c>
      <c r="AX561" s="226">
        <f t="shared" si="145"/>
        <v>3.0135490331363396E-2</v>
      </c>
      <c r="AY561" s="226">
        <f t="shared" si="143"/>
        <v>2.7262726772924357E-2</v>
      </c>
      <c r="AZ561" s="226">
        <f t="shared" si="143"/>
        <v>2.4663818737390361E-2</v>
      </c>
      <c r="BA561" s="226">
        <f t="shared" si="143"/>
        <v>2.2312660056989512E-2</v>
      </c>
      <c r="BB561" s="226">
        <f t="shared" si="143"/>
        <v>2.018563321923977E-2</v>
      </c>
      <c r="BC561" s="226">
        <f t="shared" si="143"/>
        <v>1.8261372127795137E-2</v>
      </c>
      <c r="BD561" s="226">
        <f t="shared" si="143"/>
        <v>1.6520547478885209E-2</v>
      </c>
      <c r="BE561" s="226">
        <f t="shared" si="143"/>
        <v>1.494567259744318E-2</v>
      </c>
    </row>
    <row r="562" spans="4:57" s="10" customFormat="1" x14ac:dyDescent="0.35">
      <c r="E562" s="10" t="s">
        <v>664</v>
      </c>
      <c r="F562" s="10" t="s">
        <v>615</v>
      </c>
      <c r="G562" s="43" t="s">
        <v>616</v>
      </c>
      <c r="I562" s="20"/>
      <c r="J562" s="200"/>
      <c r="K562" s="200"/>
      <c r="L562" s="200"/>
      <c r="M562" s="200"/>
      <c r="N562" s="200">
        <v>1.115</v>
      </c>
      <c r="O562" s="226">
        <f t="shared" si="144"/>
        <v>1.009920435318828</v>
      </c>
      <c r="P562" s="226">
        <f t="shared" si="144"/>
        <v>0.91474375396822516</v>
      </c>
      <c r="Q562" s="226">
        <f t="shared" si="144"/>
        <v>0.82853669077378367</v>
      </c>
      <c r="R562" s="226">
        <f t="shared" si="144"/>
        <v>0.75045393311558817</v>
      </c>
      <c r="S562" s="226">
        <f t="shared" si="144"/>
        <v>0.67972983212450355</v>
      </c>
      <c r="T562" s="226">
        <f t="shared" si="144"/>
        <v>0.61567089502993044</v>
      </c>
      <c r="U562" s="226">
        <f t="shared" si="144"/>
        <v>0.55764898504193705</v>
      </c>
      <c r="V562" s="226">
        <f t="shared" si="144"/>
        <v>0.50509516208848038</v>
      </c>
      <c r="W562" s="226">
        <f t="shared" si="144"/>
        <v>0.45749410401240548</v>
      </c>
      <c r="X562" s="226">
        <f t="shared" si="144"/>
        <v>0.41437905352466881</v>
      </c>
      <c r="Y562" s="226">
        <f t="shared" si="144"/>
        <v>0.37532724136559414</v>
      </c>
      <c r="Z562" s="226">
        <f t="shared" si="144"/>
        <v>0.33995574079547591</v>
      </c>
      <c r="AA562" s="226">
        <f t="shared" si="144"/>
        <v>0.30791771276529301</v>
      </c>
      <c r="AB562" s="226">
        <f t="shared" si="144"/>
        <v>0.27889900494915026</v>
      </c>
      <c r="AC562" s="226">
        <f t="shared" si="144"/>
        <v>0.2526150712898958</v>
      </c>
      <c r="AD562" s="226">
        <f t="shared" ref="AD562:AG577" si="146">AC562*(1+($AH562/$N562)^(1/($AH$6-$N$6))-1)</f>
        <v>0.22880818185218685</v>
      </c>
      <c r="AE562" s="226">
        <f t="shared" si="146"/>
        <v>0.20724489562391937</v>
      </c>
      <c r="AF562" s="226">
        <f t="shared" si="146"/>
        <v>0.1877137714853038</v>
      </c>
      <c r="AG562" s="226">
        <f t="shared" si="146"/>
        <v>0.17002329490024845</v>
      </c>
      <c r="AH562" s="227">
        <v>0.154</v>
      </c>
      <c r="AI562" s="226">
        <f t="shared" si="145"/>
        <v>0.13948676864493229</v>
      </c>
      <c r="AJ562" s="226">
        <f t="shared" si="145"/>
        <v>0.12634128978574588</v>
      </c>
      <c r="AK562" s="226">
        <f t="shared" si="145"/>
        <v>0.11443466401718626</v>
      </c>
      <c r="AL562" s="226">
        <f t="shared" si="145"/>
        <v>0.10365013964107674</v>
      </c>
      <c r="AM562" s="226">
        <f t="shared" si="145"/>
        <v>9.3881967844998679E-2</v>
      </c>
      <c r="AN562" s="226">
        <f t="shared" si="145"/>
        <v>8.5034365770950027E-2</v>
      </c>
      <c r="AO562" s="226">
        <f t="shared" si="145"/>
        <v>7.7020577306240623E-2</v>
      </c>
      <c r="AP562" s="226">
        <f t="shared" si="145"/>
        <v>6.9762022387108491E-2</v>
      </c>
      <c r="AQ562" s="226">
        <f t="shared" si="145"/>
        <v>6.3187526473462263E-2</v>
      </c>
      <c r="AR562" s="226">
        <f t="shared" si="145"/>
        <v>5.7232622639281597E-2</v>
      </c>
      <c r="AS562" s="226">
        <f t="shared" si="145"/>
        <v>5.1838919435247967E-2</v>
      </c>
      <c r="AT562" s="226">
        <f t="shared" si="145"/>
        <v>4.6953528325115047E-2</v>
      </c>
      <c r="AU562" s="226">
        <f t="shared" si="145"/>
        <v>4.2528545081484403E-2</v>
      </c>
      <c r="AV562" s="226">
        <f t="shared" si="145"/>
        <v>3.8520580055757064E-2</v>
      </c>
      <c r="AW562" s="226">
        <f t="shared" si="145"/>
        <v>3.4890332716272593E-2</v>
      </c>
      <c r="AX562" s="226">
        <f t="shared" ref="AX562:BE577" si="147">AW562*(1+($AH562/$N562)^(1/($AH$6-$N$6))-1)</f>
        <v>3.1602206282723554E-2</v>
      </c>
      <c r="AY562" s="226">
        <f t="shared" si="147"/>
        <v>2.8623958678101857E-2</v>
      </c>
      <c r="AZ562" s="226">
        <f t="shared" si="147"/>
        <v>2.5926386375548675E-2</v>
      </c>
      <c r="BA562" s="226">
        <f t="shared" si="147"/>
        <v>2.3483038040034303E-2</v>
      </c>
      <c r="BB562" s="226">
        <f t="shared" si="147"/>
        <v>2.1269955156950709E-2</v>
      </c>
      <c r="BC562" s="226">
        <f t="shared" si="147"/>
        <v>1.9265437104322519E-2</v>
      </c>
      <c r="BD562" s="226">
        <f t="shared" si="147"/>
        <v>1.7449828365026815E-2</v>
      </c>
      <c r="BE562" s="226">
        <f t="shared" si="147"/>
        <v>1.5805325792508262E-2</v>
      </c>
    </row>
    <row r="563" spans="4:57" s="10" customFormat="1" x14ac:dyDescent="0.35">
      <c r="E563" s="10" t="s">
        <v>665</v>
      </c>
      <c r="F563" s="10" t="s">
        <v>615</v>
      </c>
      <c r="G563" s="43" t="s">
        <v>616</v>
      </c>
      <c r="I563" s="20"/>
      <c r="J563" s="200"/>
      <c r="K563" s="200"/>
      <c r="L563" s="200"/>
      <c r="M563" s="200"/>
      <c r="N563" s="200">
        <v>1.1198999999999999</v>
      </c>
      <c r="O563" s="226">
        <f t="shared" ref="O563:AD578" si="148">N563*(1+($AH563/$N563)^(1/($AH$6-$N$6))-1)</f>
        <v>1.0155977866998056</v>
      </c>
      <c r="P563" s="226">
        <f t="shared" si="148"/>
        <v>0.92100979047195641</v>
      </c>
      <c r="Q563" s="226">
        <f t="shared" si="148"/>
        <v>0.83523127487469484</v>
      </c>
      <c r="R563" s="226">
        <f t="shared" si="148"/>
        <v>0.75744176635877947</v>
      </c>
      <c r="S563" s="226">
        <f t="shared" si="148"/>
        <v>0.68689720641840146</v>
      </c>
      <c r="T563" s="226">
        <f t="shared" si="148"/>
        <v>0.62292283465381559</v>
      </c>
      <c r="U563" s="226">
        <f t="shared" si="148"/>
        <v>0.56490673467201014</v>
      </c>
      <c r="V563" s="226">
        <f t="shared" si="148"/>
        <v>0.51229398109180102</v>
      </c>
      <c r="W563" s="226">
        <f t="shared" si="148"/>
        <v>0.46458133166931448</v>
      </c>
      <c r="X563" s="226">
        <f t="shared" si="148"/>
        <v>0.4213124137739121</v>
      </c>
      <c r="Y563" s="226">
        <f t="shared" si="148"/>
        <v>0.38207335917308499</v>
      </c>
      <c r="Z563" s="226">
        <f t="shared" si="148"/>
        <v>0.34648884537293068</v>
      </c>
      <c r="AA563" s="226">
        <f t="shared" si="148"/>
        <v>0.31421850564953979</v>
      </c>
      <c r="AB563" s="226">
        <f t="shared" si="148"/>
        <v>0.28495367343315747</v>
      </c>
      <c r="AC563" s="226">
        <f t="shared" si="148"/>
        <v>0.2584144299050754</v>
      </c>
      <c r="AD563" s="226">
        <f t="shared" si="148"/>
        <v>0.23434692656744949</v>
      </c>
      <c r="AE563" s="226">
        <f t="shared" si="146"/>
        <v>0.21252095717635824</v>
      </c>
      <c r="AF563" s="226">
        <f t="shared" si="146"/>
        <v>0.19272775581358481</v>
      </c>
      <c r="AG563" s="226">
        <f t="shared" si="146"/>
        <v>0.17477800003562582</v>
      </c>
      <c r="AH563" s="227">
        <v>0.1585</v>
      </c>
      <c r="AI563" s="226">
        <f t="shared" ref="AI563:AX578" si="149">AH563*(1+($AH563/$N563)^(1/($AH$6-$N$6))-1)</f>
        <v>0.14373805624780714</v>
      </c>
      <c r="AJ563" s="226">
        <f t="shared" si="149"/>
        <v>0.13035097043468624</v>
      </c>
      <c r="AK563" s="226">
        <f t="shared" si="149"/>
        <v>0.11821069476528187</v>
      </c>
      <c r="AL563" s="226">
        <f t="shared" si="149"/>
        <v>0.10720110721302489</v>
      </c>
      <c r="AM563" s="226">
        <f t="shared" si="149"/>
        <v>9.7216900810176504E-2</v>
      </c>
      <c r="AN563" s="226">
        <f t="shared" si="149"/>
        <v>8.8162576384168065E-2</v>
      </c>
      <c r="AO563" s="226">
        <f t="shared" si="149"/>
        <v>7.9951529105735913E-2</v>
      </c>
      <c r="AP563" s="226">
        <f t="shared" si="149"/>
        <v>7.2505220111662202E-2</v>
      </c>
      <c r="AQ563" s="226">
        <f t="shared" si="149"/>
        <v>6.5752425278673435E-2</v>
      </c>
      <c r="AR563" s="226">
        <f t="shared" si="149"/>
        <v>5.9628553963001249E-2</v>
      </c>
      <c r="AS563" s="226">
        <f t="shared" si="149"/>
        <v>5.4075031189332975E-2</v>
      </c>
      <c r="AT563" s="226">
        <f t="shared" si="149"/>
        <v>4.9038737379774565E-2</v>
      </c>
      <c r="AU563" s="226">
        <f t="shared" si="149"/>
        <v>4.4471500263820053E-2</v>
      </c>
      <c r="AV563" s="226">
        <f t="shared" si="149"/>
        <v>4.0329634109434298E-2</v>
      </c>
      <c r="AW563" s="226">
        <f t="shared" si="149"/>
        <v>3.6573521867983273E-2</v>
      </c>
      <c r="AX563" s="226">
        <f t="shared" si="149"/>
        <v>3.3167236236218194E-2</v>
      </c>
      <c r="AY563" s="226">
        <f t="shared" si="147"/>
        <v>3.0078196010762382E-2</v>
      </c>
      <c r="AZ563" s="226">
        <f t="shared" si="147"/>
        <v>2.7276854448123226E-2</v>
      </c>
      <c r="BA563" s="226">
        <f t="shared" si="147"/>
        <v>2.473641664938539E-2</v>
      </c>
      <c r="BB563" s="226">
        <f t="shared" si="147"/>
        <v>2.2432583266363094E-2</v>
      </c>
      <c r="BC563" s="226">
        <f t="shared" si="147"/>
        <v>2.0343318077754673E-2</v>
      </c>
      <c r="BD563" s="226">
        <f t="shared" si="147"/>
        <v>1.8448637212159828E-2</v>
      </c>
      <c r="BE563" s="226">
        <f t="shared" si="147"/>
        <v>1.6730418001872666E-2</v>
      </c>
    </row>
    <row r="564" spans="4:57" s="10" customFormat="1" x14ac:dyDescent="0.35">
      <c r="E564" s="10" t="s">
        <v>666</v>
      </c>
      <c r="F564" s="10" t="s">
        <v>615</v>
      </c>
      <c r="G564" s="43" t="s">
        <v>616</v>
      </c>
      <c r="I564" s="20"/>
      <c r="J564" s="200"/>
      <c r="K564" s="200"/>
      <c r="L564" s="200"/>
      <c r="M564" s="200"/>
      <c r="N564" s="200">
        <v>1.1249</v>
      </c>
      <c r="O564" s="226">
        <f t="shared" si="148"/>
        <v>1.0213961785634533</v>
      </c>
      <c r="P564" s="226">
        <f t="shared" si="148"/>
        <v>0.92741590682196262</v>
      </c>
      <c r="Q564" s="226">
        <f t="shared" si="148"/>
        <v>0.84208290796240759</v>
      </c>
      <c r="R564" s="226">
        <f t="shared" si="148"/>
        <v>0.7646015327819391</v>
      </c>
      <c r="S564" s="226">
        <f t="shared" si="148"/>
        <v>0.69424934101451818</v>
      </c>
      <c r="T564" s="226">
        <f t="shared" si="148"/>
        <v>0.63037036526128953</v>
      </c>
      <c r="U564" s="226">
        <f t="shared" si="148"/>
        <v>0.57236899471733427</v>
      </c>
      <c r="V564" s="226">
        <f t="shared" si="148"/>
        <v>0.51970442166636199</v>
      </c>
      <c r="W564" s="226">
        <f t="shared" si="148"/>
        <v>0.47188559896217591</v>
      </c>
      <c r="X564" s="226">
        <f t="shared" si="148"/>
        <v>0.42846666148021401</v>
      </c>
      <c r="Y564" s="226">
        <f t="shared" si="148"/>
        <v>0.38904276884854772</v>
      </c>
      <c r="Z564" s="226">
        <f t="shared" si="148"/>
        <v>0.35324633069575206</v>
      </c>
      <c r="AA564" s="226">
        <f t="shared" si="148"/>
        <v>0.32074357921966667</v>
      </c>
      <c r="AB564" s="226">
        <f t="shared" si="148"/>
        <v>0.29123145711950554</v>
      </c>
      <c r="AC564" s="226">
        <f t="shared" si="148"/>
        <v>0.26443479187423696</v>
      </c>
      <c r="AD564" s="226">
        <f t="shared" si="148"/>
        <v>0.240103730020062</v>
      </c>
      <c r="AE564" s="226">
        <f t="shared" si="146"/>
        <v>0.21801140750406472</v>
      </c>
      <c r="AF564" s="226">
        <f t="shared" si="146"/>
        <v>0.19795183439229394</v>
      </c>
      <c r="AG564" s="226">
        <f t="shared" si="146"/>
        <v>0.17973797420918711</v>
      </c>
      <c r="AH564" s="227">
        <v>0.16320000000000001</v>
      </c>
      <c r="AI564" s="226">
        <f t="shared" si="149"/>
        <v>0.14818371085568102</v>
      </c>
      <c r="AJ564" s="226">
        <f t="shared" si="149"/>
        <v>0.13454909413578478</v>
      </c>
      <c r="AK564" s="226">
        <f t="shared" si="149"/>
        <v>0.12216901998352291</v>
      </c>
      <c r="AL564" s="226">
        <f t="shared" si="149"/>
        <v>0.11092805596054089</v>
      </c>
      <c r="AM564" s="226">
        <f t="shared" si="149"/>
        <v>0.10072139074901712</v>
      </c>
      <c r="AN564" s="226">
        <f t="shared" si="149"/>
        <v>9.1453856885627557E-2</v>
      </c>
      <c r="AO564" s="226">
        <f t="shared" si="149"/>
        <v>8.3039043415298205E-2</v>
      </c>
      <c r="AP564" s="226">
        <f t="shared" si="149"/>
        <v>7.5398490191083897E-2</v>
      </c>
      <c r="AQ564" s="226">
        <f t="shared" si="149"/>
        <v>6.8460956307784787E-2</v>
      </c>
      <c r="AR564" s="226">
        <f t="shared" si="149"/>
        <v>6.2161755848138434E-2</v>
      </c>
      <c r="AS564" s="226">
        <f t="shared" si="149"/>
        <v>5.6442154748051372E-2</v>
      </c>
      <c r="AT564" s="226">
        <f t="shared" si="149"/>
        <v>5.1248823157211076E-2</v>
      </c>
      <c r="AU564" s="226">
        <f t="shared" si="149"/>
        <v>4.6533338188860879E-2</v>
      </c>
      <c r="AV564" s="226">
        <f t="shared" si="149"/>
        <v>4.2251732422351591E-2</v>
      </c>
      <c r="AW564" s="226">
        <f t="shared" si="149"/>
        <v>3.8364083948684749E-2</v>
      </c>
      <c r="AX564" s="226">
        <f t="shared" si="149"/>
        <v>3.4834144136611359E-2</v>
      </c>
      <c r="AY564" s="226">
        <f t="shared" si="147"/>
        <v>3.162899964855842E-2</v>
      </c>
      <c r="AZ564" s="226">
        <f t="shared" si="147"/>
        <v>2.8718765555002558E-2</v>
      </c>
      <c r="BA564" s="226">
        <f t="shared" si="147"/>
        <v>2.6076306685873716E-2</v>
      </c>
      <c r="BB564" s="226">
        <f t="shared" si="147"/>
        <v>2.3676984620855223E-2</v>
      </c>
      <c r="BC564" s="226">
        <f t="shared" si="147"/>
        <v>2.1498427959505004E-2</v>
      </c>
      <c r="BD564" s="226">
        <f t="shared" si="147"/>
        <v>1.9520323729184913E-2</v>
      </c>
      <c r="BE564" s="226">
        <f t="shared" si="147"/>
        <v>1.7724227985875161E-2</v>
      </c>
    </row>
    <row r="565" spans="4:57" s="10" customFormat="1" x14ac:dyDescent="0.35">
      <c r="E565" s="10" t="s">
        <v>667</v>
      </c>
      <c r="F565" s="10" t="s">
        <v>615</v>
      </c>
      <c r="G565" s="43" t="s">
        <v>616</v>
      </c>
      <c r="I565" s="20"/>
      <c r="J565" s="200"/>
      <c r="K565" s="200"/>
      <c r="L565" s="200"/>
      <c r="M565" s="200"/>
      <c r="N565" s="200">
        <v>1.1297999999999999</v>
      </c>
      <c r="O565" s="226">
        <f t="shared" si="148"/>
        <v>1.0271099962429113</v>
      </c>
      <c r="P565" s="226">
        <f t="shared" si="148"/>
        <v>0.93375371249965777</v>
      </c>
      <c r="Q565" s="226">
        <f t="shared" si="148"/>
        <v>0.84888278645541515</v>
      </c>
      <c r="R565" s="226">
        <f t="shared" si="148"/>
        <v>0.77172596530969517</v>
      </c>
      <c r="S565" s="226">
        <f t="shared" si="148"/>
        <v>0.70158209712320607</v>
      </c>
      <c r="T565" s="226">
        <f t="shared" si="148"/>
        <v>0.63781375919659233</v>
      </c>
      <c r="U565" s="226">
        <f t="shared" si="148"/>
        <v>0.57984146557982752</v>
      </c>
      <c r="V565" s="226">
        <f t="shared" si="148"/>
        <v>0.5271384010738015</v>
      </c>
      <c r="W565" s="226">
        <f t="shared" si="148"/>
        <v>0.47922563387007133</v>
      </c>
      <c r="X565" s="226">
        <f t="shared" si="148"/>
        <v>0.43566776332430146</v>
      </c>
      <c r="Y565" s="226">
        <f t="shared" si="148"/>
        <v>0.39606896331313585</v>
      </c>
      <c r="Z565" s="226">
        <f t="shared" si="148"/>
        <v>0.36006938521905535</v>
      </c>
      <c r="AA565" s="226">
        <f t="shared" si="148"/>
        <v>0.32734188785584295</v>
      </c>
      <c r="AB565" s="226">
        <f t="shared" si="148"/>
        <v>0.2975890646183062</v>
      </c>
      <c r="AC565" s="226">
        <f t="shared" si="148"/>
        <v>0.27054054084089219</v>
      </c>
      <c r="AD565" s="226">
        <f t="shared" si="148"/>
        <v>0.24595051680531421</v>
      </c>
      <c r="AE565" s="226">
        <f t="shared" si="146"/>
        <v>0.22359553406961266</v>
      </c>
      <c r="AF565" s="226">
        <f t="shared" si="146"/>
        <v>0.20327244482047407</v>
      </c>
      <c r="AG565" s="226">
        <f t="shared" si="146"/>
        <v>0.18479656579557846</v>
      </c>
      <c r="AH565" s="227">
        <v>0.16800000000000001</v>
      </c>
      <c r="AI565" s="226">
        <f t="shared" si="149"/>
        <v>0.15273011096548869</v>
      </c>
      <c r="AJ565" s="226">
        <f t="shared" si="149"/>
        <v>0.13884813568768148</v>
      </c>
      <c r="AK565" s="226">
        <f t="shared" si="149"/>
        <v>0.12622792363649299</v>
      </c>
      <c r="AL565" s="226">
        <f t="shared" si="149"/>
        <v>0.11475479038062385</v>
      </c>
      <c r="AM565" s="226">
        <f t="shared" si="149"/>
        <v>0.10432447540865519</v>
      </c>
      <c r="AN565" s="226">
        <f t="shared" si="149"/>
        <v>9.484219467607323E-2</v>
      </c>
      <c r="AO565" s="226">
        <f t="shared" si="149"/>
        <v>8.6221779268375862E-2</v>
      </c>
      <c r="AP565" s="226">
        <f t="shared" si="149"/>
        <v>7.8384892352981642E-2</v>
      </c>
      <c r="AQ565" s="226">
        <f t="shared" si="149"/>
        <v>7.1260317304099832E-2</v>
      </c>
      <c r="AR565" s="226">
        <f t="shared" si="149"/>
        <v>6.4783310531494651E-2</v>
      </c>
      <c r="AS565" s="226">
        <f t="shared" si="149"/>
        <v>5.889501313206482E-2</v>
      </c>
      <c r="AT565" s="226">
        <f t="shared" si="149"/>
        <v>5.354191601770341E-2</v>
      </c>
      <c r="AU565" s="226">
        <f t="shared" si="149"/>
        <v>4.8675373658861418E-2</v>
      </c>
      <c r="AV565" s="226">
        <f t="shared" si="149"/>
        <v>4.4251162025026956E-2</v>
      </c>
      <c r="AW565" s="226">
        <f t="shared" si="149"/>
        <v>4.0229076704965394E-2</v>
      </c>
      <c r="AX565" s="226">
        <f t="shared" si="149"/>
        <v>3.6572567554693576E-2</v>
      </c>
      <c r="AY565" s="226">
        <f t="shared" si="147"/>
        <v>3.3248406553102267E-2</v>
      </c>
      <c r="AZ565" s="226">
        <f t="shared" si="147"/>
        <v>3.0226385846910658E-2</v>
      </c>
      <c r="BA565" s="226">
        <f t="shared" si="147"/>
        <v>2.7479043240978222E-2</v>
      </c>
      <c r="BB565" s="226">
        <f t="shared" si="147"/>
        <v>2.4981412639405152E-2</v>
      </c>
      <c r="BC565" s="226">
        <f t="shared" si="147"/>
        <v>2.2710797169589347E-2</v>
      </c>
      <c r="BD565" s="226">
        <f t="shared" si="147"/>
        <v>2.0646562927536232E-2</v>
      </c>
      <c r="BE565" s="226">
        <f t="shared" si="147"/>
        <v>1.8769951470110437E-2</v>
      </c>
    </row>
    <row r="566" spans="4:57" s="10" customFormat="1" x14ac:dyDescent="0.35">
      <c r="E566" s="10" t="s">
        <v>668</v>
      </c>
      <c r="F566" s="10" t="s">
        <v>615</v>
      </c>
      <c r="G566" s="43" t="s">
        <v>616</v>
      </c>
      <c r="I566" s="20"/>
      <c r="J566" s="200"/>
      <c r="K566" s="200"/>
      <c r="L566" s="200"/>
      <c r="M566" s="200"/>
      <c r="N566" s="200">
        <v>1.1318999999999999</v>
      </c>
      <c r="O566" s="226">
        <f t="shared" si="148"/>
        <v>1.0330780978279843</v>
      </c>
      <c r="P566" s="226">
        <f t="shared" si="148"/>
        <v>0.94288396166789146</v>
      </c>
      <c r="Q566" s="226">
        <f t="shared" si="148"/>
        <v>0.86056433394502996</v>
      </c>
      <c r="R566" s="226">
        <f t="shared" si="148"/>
        <v>0.78543172115075344</v>
      </c>
      <c r="S566" s="226">
        <f t="shared" si="148"/>
        <v>0.7168586522309216</v>
      </c>
      <c r="T566" s="226">
        <f t="shared" si="148"/>
        <v>0.6542724382527193</v>
      </c>
      <c r="U566" s="226">
        <f t="shared" si="148"/>
        <v>0.59715038958511935</v>
      </c>
      <c r="V566" s="226">
        <f t="shared" si="148"/>
        <v>0.54501545064920476</v>
      </c>
      <c r="W566" s="226">
        <f t="shared" si="148"/>
        <v>0.49743221578190838</v>
      </c>
      <c r="X566" s="226">
        <f t="shared" si="148"/>
        <v>0.45400329293960007</v>
      </c>
      <c r="Y566" s="226">
        <f t="shared" si="148"/>
        <v>0.41436598487294213</v>
      </c>
      <c r="Z566" s="226">
        <f t="shared" si="148"/>
        <v>0.37818926005579856</v>
      </c>
      <c r="AA566" s="226">
        <f t="shared" si="148"/>
        <v>0.34517098807086954</v>
      </c>
      <c r="AB566" s="226">
        <f t="shared" si="148"/>
        <v>0.31503541636333576</v>
      </c>
      <c r="AC566" s="226">
        <f t="shared" si="148"/>
        <v>0.2875308672895856</v>
      </c>
      <c r="AD566" s="226">
        <f t="shared" si="148"/>
        <v>0.26242763622789617</v>
      </c>
      <c r="AE566" s="226">
        <f t="shared" si="146"/>
        <v>0.23951607319711035</v>
      </c>
      <c r="AF566" s="226">
        <f t="shared" si="146"/>
        <v>0.21860483196192157</v>
      </c>
      <c r="AG566" s="226">
        <f t="shared" si="146"/>
        <v>0.19951927200214514</v>
      </c>
      <c r="AH566" s="227">
        <v>0.18210000000000001</v>
      </c>
      <c r="AI566" s="226">
        <f t="shared" si="149"/>
        <v>0.16620153866461343</v>
      </c>
      <c r="AJ566" s="226">
        <f t="shared" si="149"/>
        <v>0.15169111177641401</v>
      </c>
      <c r="AK566" s="226">
        <f t="shared" si="149"/>
        <v>0.1384475353047</v>
      </c>
      <c r="AL566" s="226">
        <f t="shared" si="149"/>
        <v>0.12636020533753173</v>
      </c>
      <c r="AM566" s="226">
        <f t="shared" si="149"/>
        <v>0.11532817437163247</v>
      </c>
      <c r="AN566" s="226">
        <f t="shared" si="149"/>
        <v>0.10525930824791957</v>
      </c>
      <c r="AO566" s="226">
        <f t="shared" si="149"/>
        <v>9.6069516691801582E-2</v>
      </c>
      <c r="AP566" s="226">
        <f t="shared" si="149"/>
        <v>8.7682051032087788E-2</v>
      </c>
      <c r="AQ566" s="226">
        <f t="shared" si="149"/>
        <v>8.0026863233400039E-2</v>
      </c>
      <c r="AR566" s="226">
        <f t="shared" si="149"/>
        <v>7.3040020889037161E-2</v>
      </c>
      <c r="AS566" s="226">
        <f t="shared" si="149"/>
        <v>6.6663173288596833E-2</v>
      </c>
      <c r="AT566" s="226">
        <f t="shared" si="149"/>
        <v>6.084306410121116E-2</v>
      </c>
      <c r="AU566" s="226">
        <f t="shared" si="149"/>
        <v>5.5531086604563427E-2</v>
      </c>
      <c r="AV566" s="226">
        <f t="shared" si="149"/>
        <v>5.0682877745174881E-2</v>
      </c>
      <c r="AW566" s="226">
        <f t="shared" si="149"/>
        <v>4.6257947639750462E-2</v>
      </c>
      <c r="AX566" s="226">
        <f t="shared" si="149"/>
        <v>4.2219341423358869E-2</v>
      </c>
      <c r="AY566" s="226">
        <f t="shared" si="147"/>
        <v>3.8533330620367352E-2</v>
      </c>
      <c r="AZ566" s="226">
        <f t="shared" si="147"/>
        <v>3.5169131460611298E-2</v>
      </c>
      <c r="BA566" s="226">
        <f t="shared" si="147"/>
        <v>3.2098647788312257E-2</v>
      </c>
      <c r="BB566" s="226">
        <f t="shared" si="147"/>
        <v>2.9296236416644635E-2</v>
      </c>
      <c r="BC566" s="226">
        <f t="shared" si="147"/>
        <v>2.6738492968306531E-2</v>
      </c>
      <c r="BD566" s="226">
        <f t="shared" si="147"/>
        <v>2.4404056413539221E-2</v>
      </c>
      <c r="BE566" s="226">
        <f t="shared" si="147"/>
        <v>2.2273430673191905E-2</v>
      </c>
    </row>
    <row r="567" spans="4:57" s="10" customFormat="1" x14ac:dyDescent="0.35">
      <c r="E567" s="10" t="s">
        <v>669</v>
      </c>
      <c r="F567" s="10" t="s">
        <v>615</v>
      </c>
      <c r="G567" s="43" t="s">
        <v>616</v>
      </c>
      <c r="I567" s="20"/>
      <c r="J567" s="200"/>
      <c r="K567" s="200"/>
      <c r="L567" s="200"/>
      <c r="M567" s="200"/>
      <c r="N567" s="200">
        <v>1.1338999999999999</v>
      </c>
      <c r="O567" s="226">
        <f t="shared" si="148"/>
        <v>1.0390211129508677</v>
      </c>
      <c r="P567" s="226">
        <f t="shared" si="148"/>
        <v>0.95208120042125399</v>
      </c>
      <c r="Q567" s="226">
        <f t="shared" si="148"/>
        <v>0.8724159700866827</v>
      </c>
      <c r="R567" s="226">
        <f t="shared" si="148"/>
        <v>0.79941671416842408</v>
      </c>
      <c r="S567" s="226">
        <f t="shared" si="148"/>
        <v>0.7325256584062102</v>
      </c>
      <c r="T567" s="226">
        <f t="shared" si="148"/>
        <v>0.67123170020485734</v>
      </c>
      <c r="U567" s="226">
        <f t="shared" si="148"/>
        <v>0.61506650339073476</v>
      </c>
      <c r="V567" s="226">
        <f t="shared" si="148"/>
        <v>0.56360091973881288</v>
      </c>
      <c r="W567" s="226">
        <f t="shared" si="148"/>
        <v>0.51644170992781913</v>
      </c>
      <c r="X567" s="226">
        <f t="shared" si="148"/>
        <v>0.47322853886890542</v>
      </c>
      <c r="Y567" s="226">
        <f t="shared" si="148"/>
        <v>0.43363122244967206</v>
      </c>
      <c r="Z567" s="226">
        <f t="shared" si="148"/>
        <v>0.39734720465641027</v>
      </c>
      <c r="AA567" s="226">
        <f t="shared" si="148"/>
        <v>0.36409924579770669</v>
      </c>
      <c r="AB567" s="226">
        <f t="shared" si="148"/>
        <v>0.3336333041655391</v>
      </c>
      <c r="AC567" s="226">
        <f t="shared" si="148"/>
        <v>0.30571659494801467</v>
      </c>
      <c r="AD567" s="226">
        <f t="shared" si="148"/>
        <v>0.28013581156225054</v>
      </c>
      <c r="AE567" s="226">
        <f t="shared" si="146"/>
        <v>0.2566954958169187</v>
      </c>
      <c r="AF567" s="226">
        <f t="shared" si="146"/>
        <v>0.23521654445115944</v>
      </c>
      <c r="AG567" s="226">
        <f t="shared" si="146"/>
        <v>0.21553484063859332</v>
      </c>
      <c r="AH567" s="227">
        <v>0.19750000000000001</v>
      </c>
      <c r="AI567" s="226">
        <f t="shared" si="149"/>
        <v>0.18097422154316642</v>
      </c>
      <c r="AJ567" s="226">
        <f t="shared" si="149"/>
        <v>0.1658312347501523</v>
      </c>
      <c r="AK567" s="226">
        <f t="shared" si="149"/>
        <v>0.15195533476683998</v>
      </c>
      <c r="AL567" s="226">
        <f t="shared" si="149"/>
        <v>0.13924049832283603</v>
      </c>
      <c r="AM567" s="226">
        <f t="shared" si="149"/>
        <v>0.12758957362662188</v>
      </c>
      <c r="AN567" s="226">
        <f t="shared" si="149"/>
        <v>0.11691353804608816</v>
      </c>
      <c r="AO567" s="226">
        <f t="shared" si="149"/>
        <v>0.10713081790252239</v>
      </c>
      <c r="AP567" s="226">
        <f t="shared" si="149"/>
        <v>9.8166665180717497E-2</v>
      </c>
      <c r="AQ567" s="226">
        <f t="shared" si="149"/>
        <v>8.9952586392754469E-2</v>
      </c>
      <c r="AR567" s="226">
        <f t="shared" si="149"/>
        <v>8.2425819231509684E-2</v>
      </c>
      <c r="AS567" s="226">
        <f t="shared" si="149"/>
        <v>7.5528853015089728E-2</v>
      </c>
      <c r="AT567" s="226">
        <f t="shared" si="149"/>
        <v>6.9208989257995443E-2</v>
      </c>
      <c r="AU567" s="226">
        <f t="shared" si="149"/>
        <v>6.3417939011418192E-2</v>
      </c>
      <c r="AV567" s="226">
        <f t="shared" si="149"/>
        <v>5.8111453896017275E-2</v>
      </c>
      <c r="AW567" s="226">
        <f t="shared" si="149"/>
        <v>5.3248988007966236E-2</v>
      </c>
      <c r="AX567" s="226">
        <f t="shared" si="149"/>
        <v>4.8793388114952367E-2</v>
      </c>
      <c r="AY567" s="226">
        <f t="shared" si="147"/>
        <v>4.4710609774972619E-2</v>
      </c>
      <c r="AZ567" s="226">
        <f t="shared" si="147"/>
        <v>4.0969457208840286E-2</v>
      </c>
      <c r="BA567" s="226">
        <f t="shared" si="147"/>
        <v>3.7541344938814877E-2</v>
      </c>
      <c r="BB567" s="226">
        <f t="shared" si="147"/>
        <v>3.4400079372078549E-2</v>
      </c>
      <c r="BC567" s="226">
        <f t="shared" si="147"/>
        <v>3.1521658660177476E-2</v>
      </c>
      <c r="BD567" s="226">
        <f t="shared" si="147"/>
        <v>2.8884089305190017E-2</v>
      </c>
      <c r="BE567" s="226">
        <f t="shared" si="147"/>
        <v>2.6467218111342086E-2</v>
      </c>
    </row>
    <row r="568" spans="4:57" s="10" customFormat="1" x14ac:dyDescent="0.35">
      <c r="E568" s="10" t="s">
        <v>670</v>
      </c>
      <c r="F568" s="10" t="s">
        <v>615</v>
      </c>
      <c r="G568" s="43" t="s">
        <v>616</v>
      </c>
      <c r="I568" s="20"/>
      <c r="J568" s="200"/>
      <c r="K568" s="200"/>
      <c r="L568" s="200"/>
      <c r="M568" s="200"/>
      <c r="N568" s="200">
        <v>1.1359999999999999</v>
      </c>
      <c r="O568" s="226">
        <f t="shared" si="148"/>
        <v>1.0450576486993901</v>
      </c>
      <c r="P568" s="226">
        <f t="shared" si="148"/>
        <v>0.96139567702913553</v>
      </c>
      <c r="Q568" s="226">
        <f t="shared" si="148"/>
        <v>0.88443125502273479</v>
      </c>
      <c r="R568" s="226">
        <f t="shared" si="148"/>
        <v>0.81362821110062489</v>
      </c>
      <c r="S568" s="226">
        <f t="shared" si="148"/>
        <v>0.74849329683830113</v>
      </c>
      <c r="T568" s="226">
        <f t="shared" si="148"/>
        <v>0.68857275075800151</v>
      </c>
      <c r="U568" s="226">
        <f t="shared" si="148"/>
        <v>0.63344913720565865</v>
      </c>
      <c r="V568" s="226">
        <f t="shared" si="148"/>
        <v>0.58273843829119987</v>
      </c>
      <c r="W568" s="226">
        <f t="shared" si="148"/>
        <v>0.53608737863323597</v>
      </c>
      <c r="X568" s="226">
        <f t="shared" si="148"/>
        <v>0.4931709642710117</v>
      </c>
      <c r="Y568" s="226">
        <f t="shared" si="148"/>
        <v>0.45369021859848102</v>
      </c>
      <c r="Z568" s="226">
        <f t="shared" si="148"/>
        <v>0.41737009954792331</v>
      </c>
      <c r="AA568" s="226">
        <f t="shared" si="148"/>
        <v>0.38395758351318937</v>
      </c>
      <c r="AB568" s="226">
        <f t="shared" si="148"/>
        <v>0.35321990266425479</v>
      </c>
      <c r="AC568" s="226">
        <f t="shared" si="148"/>
        <v>0.32494292337335701</v>
      </c>
      <c r="AD568" s="226">
        <f t="shared" si="148"/>
        <v>0.29892965445604452</v>
      </c>
      <c r="AE568" s="226">
        <f t="shared" si="146"/>
        <v>0.27499887483481961</v>
      </c>
      <c r="AF568" s="226">
        <f t="shared" si="146"/>
        <v>0.25298387106501274</v>
      </c>
      <c r="AG568" s="226">
        <f t="shared" si="146"/>
        <v>0.2327312759278802</v>
      </c>
      <c r="AH568" s="227">
        <v>0.21410000000000001</v>
      </c>
      <c r="AI568" s="226">
        <f t="shared" si="149"/>
        <v>0.19696024875575655</v>
      </c>
      <c r="AJ568" s="226">
        <f t="shared" si="149"/>
        <v>0.18119261835557915</v>
      </c>
      <c r="AK568" s="226">
        <f t="shared" si="149"/>
        <v>0.16668726382074606</v>
      </c>
      <c r="AL568" s="226">
        <f t="shared" si="149"/>
        <v>0.1533431337998625</v>
      </c>
      <c r="AM568" s="226">
        <f t="shared" si="149"/>
        <v>0.14106726659602137</v>
      </c>
      <c r="AN568" s="226">
        <f t="shared" si="149"/>
        <v>0.12977414255042968</v>
      </c>
      <c r="AO568" s="226">
        <f t="shared" si="149"/>
        <v>0.11938508827089042</v>
      </c>
      <c r="AP568" s="226">
        <f t="shared" si="149"/>
        <v>0.10982772855470589</v>
      </c>
      <c r="AQ568" s="226">
        <f t="shared" si="149"/>
        <v>0.10103548218783082</v>
      </c>
      <c r="AR568" s="226">
        <f t="shared" si="149"/>
        <v>9.2947098107767245E-2</v>
      </c>
      <c r="AS568" s="226">
        <f t="shared" si="149"/>
        <v>8.5506228698886244E-2</v>
      </c>
      <c r="AT568" s="226">
        <f t="shared" si="149"/>
        <v>7.8661037247544349E-2</v>
      </c>
      <c r="AU568" s="226">
        <f t="shared" si="149"/>
        <v>7.2363836822336131E-2</v>
      </c>
      <c r="AV568" s="226">
        <f t="shared" si="149"/>
        <v>6.6570758063747307E-2</v>
      </c>
      <c r="AW568" s="226">
        <f t="shared" si="149"/>
        <v>6.1241443568869479E-2</v>
      </c>
      <c r="AX568" s="226">
        <f t="shared" si="149"/>
        <v>5.6338766742111905E-2</v>
      </c>
      <c r="AY568" s="226">
        <f t="shared" si="147"/>
        <v>5.1828573153287739E-2</v>
      </c>
      <c r="AZ568" s="226">
        <f t="shared" si="147"/>
        <v>4.7679442601249317E-2</v>
      </c>
      <c r="BA568" s="226">
        <f t="shared" si="147"/>
        <v>4.3862470225492209E-2</v>
      </c>
      <c r="BB568" s="226">
        <f t="shared" si="147"/>
        <v>4.035106514084498E-2</v>
      </c>
      <c r="BC568" s="226">
        <f t="shared" si="147"/>
        <v>3.7120765192436074E-2</v>
      </c>
      <c r="BD568" s="226">
        <f t="shared" si="147"/>
        <v>3.4149066540430817E-2</v>
      </c>
      <c r="BE568" s="226">
        <f t="shared" si="147"/>
        <v>3.1415266887343002E-2</v>
      </c>
    </row>
    <row r="569" spans="4:57" s="10" customFormat="1" x14ac:dyDescent="0.35">
      <c r="E569" s="10" t="s">
        <v>671</v>
      </c>
      <c r="F569" s="10" t="s">
        <v>615</v>
      </c>
      <c r="G569" s="43" t="s">
        <v>616</v>
      </c>
      <c r="I569" s="20"/>
      <c r="J569" s="200"/>
      <c r="K569" s="200"/>
      <c r="L569" s="200"/>
      <c r="M569" s="200"/>
      <c r="N569" s="200">
        <v>1.1379999999999999</v>
      </c>
      <c r="O569" s="226">
        <f t="shared" si="148"/>
        <v>1.0510391806850203</v>
      </c>
      <c r="P569" s="226">
        <f t="shared" si="148"/>
        <v>0.97072351435416415</v>
      </c>
      <c r="Q569" s="226">
        <f t="shared" si="148"/>
        <v>0.89654520843452046</v>
      </c>
      <c r="R569" s="226">
        <f t="shared" si="148"/>
        <v>0.82803527356774975</v>
      </c>
      <c r="S569" s="226">
        <f t="shared" si="148"/>
        <v>0.76476055844371216</v>
      </c>
      <c r="T569" s="226">
        <f t="shared" si="148"/>
        <v>0.70632101121871516</v>
      </c>
      <c r="U569" s="226">
        <f t="shared" si="148"/>
        <v>0.65234715020380796</v>
      </c>
      <c r="V569" s="226">
        <f t="shared" si="148"/>
        <v>0.60249772783165045</v>
      </c>
      <c r="W569" s="226">
        <f t="shared" si="148"/>
        <v>0.55645757313248179</v>
      </c>
      <c r="X569" s="226">
        <f t="shared" si="148"/>
        <v>0.51393559907832909</v>
      </c>
      <c r="Y569" s="226">
        <f t="shared" si="148"/>
        <v>0.47466296219697018</v>
      </c>
      <c r="Z569" s="226">
        <f t="shared" si="148"/>
        <v>0.43839136281988428</v>
      </c>
      <c r="AA569" s="226">
        <f t="shared" si="148"/>
        <v>0.40489147521757529</v>
      </c>
      <c r="AB569" s="226">
        <f t="shared" si="148"/>
        <v>0.37395149769686253</v>
      </c>
      <c r="AC569" s="226">
        <f t="shared" si="148"/>
        <v>0.34537581349318686</v>
      </c>
      <c r="AD569" s="226">
        <f t="shared" si="148"/>
        <v>0.3189837539914776</v>
      </c>
      <c r="AE569" s="226">
        <f t="shared" si="146"/>
        <v>0.29460845645609379</v>
      </c>
      <c r="AF569" s="226">
        <f t="shared" si="146"/>
        <v>0.27209580904788339</v>
      </c>
      <c r="AG569" s="226">
        <f t="shared" si="146"/>
        <v>0.25130347645827339</v>
      </c>
      <c r="AH569" s="227">
        <v>0.2321</v>
      </c>
      <c r="AI569" s="226">
        <f t="shared" si="149"/>
        <v>0.21436396646484465</v>
      </c>
      <c r="AJ569" s="226">
        <f t="shared" si="149"/>
        <v>0.19798324049349869</v>
      </c>
      <c r="AK569" s="226">
        <f t="shared" si="149"/>
        <v>0.1828542556042638</v>
      </c>
      <c r="AL569" s="226">
        <f t="shared" si="149"/>
        <v>0.16888135939813242</v>
      </c>
      <c r="AM569" s="226">
        <f t="shared" si="149"/>
        <v>0.1559762088003388</v>
      </c>
      <c r="AN569" s="226">
        <f t="shared" si="149"/>
        <v>0.14405721151481876</v>
      </c>
      <c r="AO569" s="226">
        <f t="shared" si="149"/>
        <v>0.13304901016019666</v>
      </c>
      <c r="AP569" s="226">
        <f t="shared" si="149"/>
        <v>0.1228820058257698</v>
      </c>
      <c r="AQ569" s="226">
        <f t="shared" si="149"/>
        <v>0.11349191803519243</v>
      </c>
      <c r="AR569" s="226">
        <f t="shared" si="149"/>
        <v>0.10481937833574705</v>
      </c>
      <c r="AS569" s="226">
        <f t="shared" si="149"/>
        <v>9.6809554943687828E-2</v>
      </c>
      <c r="AT569" s="226">
        <f t="shared" si="149"/>
        <v>8.9411806072491315E-2</v>
      </c>
      <c r="AU569" s="226">
        <f t="shared" si="149"/>
        <v>8.257935975219613E-2</v>
      </c>
      <c r="AV569" s="226">
        <f t="shared" si="149"/>
        <v>7.6269018115502435E-2</v>
      </c>
      <c r="AW569" s="226">
        <f t="shared" si="149"/>
        <v>7.0440884280991781E-2</v>
      </c>
      <c r="AX569" s="226">
        <f t="shared" si="149"/>
        <v>6.5058110106697653E-2</v>
      </c>
      <c r="AY569" s="226">
        <f t="shared" si="147"/>
        <v>6.008666321920856E-2</v>
      </c>
      <c r="AZ569" s="226">
        <f t="shared" si="147"/>
        <v>5.5495111845354758E-2</v>
      </c>
      <c r="BA569" s="226">
        <f t="shared" si="147"/>
        <v>5.1254426086085443E-2</v>
      </c>
      <c r="BB569" s="226">
        <f t="shared" si="147"/>
        <v>4.7337794376098571E-2</v>
      </c>
      <c r="BC569" s="226">
        <f t="shared" si="147"/>
        <v>4.3720453968796667E-2</v>
      </c>
      <c r="BD569" s="226">
        <f t="shared" si="147"/>
        <v>4.0379534374816513E-2</v>
      </c>
      <c r="BE569" s="226">
        <f t="shared" si="147"/>
        <v>3.7293912764279229E-2</v>
      </c>
    </row>
    <row r="570" spans="4:57" s="10" customFormat="1" x14ac:dyDescent="0.35">
      <c r="E570" s="10" t="s">
        <v>672</v>
      </c>
      <c r="F570" s="10" t="s">
        <v>615</v>
      </c>
      <c r="G570" s="43" t="s">
        <v>616</v>
      </c>
      <c r="I570" s="20"/>
      <c r="J570" s="200"/>
      <c r="K570" s="200"/>
      <c r="L570" s="200"/>
      <c r="M570" s="200"/>
      <c r="N570" s="200">
        <v>1.1400999999999999</v>
      </c>
      <c r="O570" s="226">
        <f t="shared" si="148"/>
        <v>1.0571581424478995</v>
      </c>
      <c r="P570" s="226">
        <f t="shared" si="148"/>
        <v>0.98025027466353254</v>
      </c>
      <c r="Q570" s="226">
        <f t="shared" si="148"/>
        <v>0.90893742610064332</v>
      </c>
      <c r="R570" s="226">
        <f t="shared" si="148"/>
        <v>0.84281256115948699</v>
      </c>
      <c r="S570" s="226">
        <f t="shared" si="148"/>
        <v>0.78149825593116395</v>
      </c>
      <c r="T570" s="226">
        <f t="shared" si="148"/>
        <v>0.72464454395795319</v>
      </c>
      <c r="U570" s="226">
        <f t="shared" si="148"/>
        <v>0.67192691871379273</v>
      </c>
      <c r="V570" s="226">
        <f t="shared" si="148"/>
        <v>0.62304448140357327</v>
      </c>
      <c r="W570" s="226">
        <f t="shared" si="148"/>
        <v>0.57771822350935564</v>
      </c>
      <c r="X570" s="226">
        <f t="shared" si="148"/>
        <v>0.5356894342807218</v>
      </c>
      <c r="Y570" s="226">
        <f t="shared" si="148"/>
        <v>0.49671822407961935</v>
      </c>
      <c r="Z570" s="226">
        <f t="shared" si="148"/>
        <v>0.46058215515132878</v>
      </c>
      <c r="AA570" s="226">
        <f t="shared" si="148"/>
        <v>0.42707497200634065</v>
      </c>
      <c r="AB570" s="226">
        <f t="shared" si="148"/>
        <v>0.39600542416648693</v>
      </c>
      <c r="AC570" s="226">
        <f t="shared" si="148"/>
        <v>0.3671961745558599</v>
      </c>
      <c r="AD570" s="226">
        <f t="shared" si="148"/>
        <v>0.34048278730589204</v>
      </c>
      <c r="AE570" s="226">
        <f t="shared" si="146"/>
        <v>0.31571278919724594</v>
      </c>
      <c r="AF570" s="226">
        <f t="shared" si="146"/>
        <v>0.29274479938146286</v>
      </c>
      <c r="AG570" s="226">
        <f t="shared" si="146"/>
        <v>0.27144772241504278</v>
      </c>
      <c r="AH570" s="227">
        <v>0.25169999999999998</v>
      </c>
      <c r="AI570" s="226">
        <f t="shared" si="149"/>
        <v>0.23338891716001781</v>
      </c>
      <c r="AJ570" s="226">
        <f t="shared" si="149"/>
        <v>0.21640995889203679</v>
      </c>
      <c r="AK570" s="226">
        <f t="shared" si="149"/>
        <v>0.20066621362120157</v>
      </c>
      <c r="AL570" s="226">
        <f t="shared" si="149"/>
        <v>0.18606782005424335</v>
      </c>
      <c r="AM570" s="226">
        <f t="shared" si="149"/>
        <v>0.1725314542740759</v>
      </c>
      <c r="AN570" s="226">
        <f t="shared" si="149"/>
        <v>0.15997985414807192</v>
      </c>
      <c r="AO570" s="226">
        <f t="shared" si="149"/>
        <v>0.14834137833546321</v>
      </c>
      <c r="AP570" s="226">
        <f t="shared" si="149"/>
        <v>0.13754959737679096</v>
      </c>
      <c r="AQ570" s="226">
        <f t="shared" si="149"/>
        <v>0.12754291453144884</v>
      </c>
      <c r="AR570" s="226">
        <f t="shared" si="149"/>
        <v>0.11826421419915592</v>
      </c>
      <c r="AS570" s="226">
        <f t="shared" si="149"/>
        <v>0.10966053591863888</v>
      </c>
      <c r="AT570" s="226">
        <f t="shared" si="149"/>
        <v>0.1016827720827905</v>
      </c>
      <c r="AU570" s="226">
        <f t="shared" si="149"/>
        <v>9.4285387644939864E-2</v>
      </c>
      <c r="AV570" s="226">
        <f t="shared" si="149"/>
        <v>8.7426160216388701E-2</v>
      </c>
      <c r="AW570" s="226">
        <f t="shared" si="149"/>
        <v>8.1065939071756812E-2</v>
      </c>
      <c r="AX570" s="226">
        <f t="shared" si="149"/>
        <v>7.5168421686600331E-2</v>
      </c>
      <c r="AY570" s="226">
        <f t="shared" si="147"/>
        <v>6.9699946531836518E-2</v>
      </c>
      <c r="AZ570" s="226">
        <f t="shared" si="147"/>
        <v>6.4629300942298226E-2</v>
      </c>
      <c r="BA570" s="226">
        <f t="shared" si="147"/>
        <v>5.9927542962780703E-2</v>
      </c>
      <c r="BB570" s="226">
        <f t="shared" si="147"/>
        <v>5.5567836154723223E-2</v>
      </c>
      <c r="BC570" s="226">
        <f t="shared" si="147"/>
        <v>5.1525296420644184E-2</v>
      </c>
      <c r="BD570" s="226">
        <f t="shared" si="147"/>
        <v>4.7776849972042464E-2</v>
      </c>
      <c r="BE570" s="226">
        <f t="shared" si="147"/>
        <v>4.4301101630081913E-2</v>
      </c>
    </row>
    <row r="571" spans="4:57" s="10" customFormat="1" x14ac:dyDescent="0.35">
      <c r="E571" s="10" t="s">
        <v>673</v>
      </c>
      <c r="F571" s="10" t="s">
        <v>615</v>
      </c>
      <c r="G571" s="43" t="s">
        <v>616</v>
      </c>
      <c r="I571" s="20"/>
      <c r="J571" s="200"/>
      <c r="K571" s="200"/>
      <c r="L571" s="200"/>
      <c r="M571" s="200"/>
      <c r="N571" s="200">
        <v>1.1445000000000001</v>
      </c>
      <c r="O571" s="226">
        <f t="shared" si="148"/>
        <v>1.065449509258279</v>
      </c>
      <c r="P571" s="226">
        <f t="shared" si="148"/>
        <v>0.99185902732958275</v>
      </c>
      <c r="Q571" s="226">
        <f t="shared" si="148"/>
        <v>0.92335143199798853</v>
      </c>
      <c r="R571" s="226">
        <f t="shared" si="148"/>
        <v>0.85957564883808302</v>
      </c>
      <c r="S571" s="226">
        <f t="shared" si="148"/>
        <v>0.80020485209690029</v>
      </c>
      <c r="T571" s="226">
        <f t="shared" si="148"/>
        <v>0.74493478984074801</v>
      </c>
      <c r="U571" s="226">
        <f t="shared" si="148"/>
        <v>0.69348222478396171</v>
      </c>
      <c r="V571" s="226">
        <f t="shared" si="148"/>
        <v>0.64558348280944655</v>
      </c>
      <c r="W571" s="226">
        <f t="shared" si="148"/>
        <v>0.60099310174274834</v>
      </c>
      <c r="X571" s="226">
        <f t="shared" si="148"/>
        <v>0.55948257345515262</v>
      </c>
      <c r="Y571" s="226">
        <f t="shared" si="148"/>
        <v>0.52083917284958614</v>
      </c>
      <c r="Z571" s="226">
        <f t="shared" si="148"/>
        <v>0.48486486772833509</v>
      </c>
      <c r="AA571" s="226">
        <f t="shared" si="148"/>
        <v>0.45137530395608122</v>
      </c>
      <c r="AB571" s="226">
        <f t="shared" si="148"/>
        <v>0.42019886071761753</v>
      </c>
      <c r="AC571" s="226">
        <f t="shared" si="148"/>
        <v>0.3911757710288104</v>
      </c>
      <c r="AD571" s="226">
        <f t="shared" si="148"/>
        <v>0.36415730299377452</v>
      </c>
      <c r="AE571" s="226">
        <f t="shared" si="146"/>
        <v>0.33900499761252556</v>
      </c>
      <c r="AF571" s="226">
        <f t="shared" si="146"/>
        <v>0.31558995923317557</v>
      </c>
      <c r="AG571" s="226">
        <f t="shared" si="146"/>
        <v>0.2937921950125183</v>
      </c>
      <c r="AH571" s="227">
        <v>0.27350000000000002</v>
      </c>
      <c r="AI571" s="226">
        <f t="shared" si="149"/>
        <v>0.25460938469387445</v>
      </c>
      <c r="AJ571" s="226">
        <f t="shared" si="149"/>
        <v>0.23702354213599031</v>
      </c>
      <c r="AK571" s="226">
        <f t="shared" si="149"/>
        <v>0.22065235181428561</v>
      </c>
      <c r="AL571" s="226">
        <f t="shared" si="149"/>
        <v>0.20541191783068216</v>
      </c>
      <c r="AM571" s="226">
        <f t="shared" si="149"/>
        <v>0.19122413896767343</v>
      </c>
      <c r="AN571" s="226">
        <f t="shared" si="149"/>
        <v>0.17801630845036662</v>
      </c>
      <c r="AO571" s="226">
        <f t="shared" si="149"/>
        <v>0.16572074135291703</v>
      </c>
      <c r="AP571" s="226">
        <f t="shared" si="149"/>
        <v>0.1542744277399595</v>
      </c>
      <c r="AQ571" s="226">
        <f t="shared" si="149"/>
        <v>0.14361870976552352</v>
      </c>
      <c r="AR571" s="226">
        <f t="shared" si="149"/>
        <v>0.13369898107469133</v>
      </c>
      <c r="AS571" s="226">
        <f t="shared" si="149"/>
        <v>0.12446440696755073</v>
      </c>
      <c r="AT571" s="226">
        <f t="shared" si="149"/>
        <v>0.11586766389139332</v>
      </c>
      <c r="AU571" s="226">
        <f t="shared" si="149"/>
        <v>0.10786469692615834</v>
      </c>
      <c r="AV571" s="226">
        <f t="shared" si="149"/>
        <v>0.10041449402033062</v>
      </c>
      <c r="AW571" s="226">
        <f t="shared" si="149"/>
        <v>9.3478875820340451E-2</v>
      </c>
      <c r="AX571" s="226">
        <f t="shared" si="149"/>
        <v>8.7022300016424067E-2</v>
      </c>
      <c r="AY571" s="226">
        <f t="shared" si="147"/>
        <v>8.1011679202294226E-2</v>
      </c>
      <c r="AZ571" s="226">
        <f t="shared" si="147"/>
        <v>7.5416211315223691E-2</v>
      </c>
      <c r="BA571" s="226">
        <f t="shared" si="147"/>
        <v>7.0207221787613586E-2</v>
      </c>
      <c r="BB571" s="226">
        <f t="shared" si="147"/>
        <v>6.535801660113591E-2</v>
      </c>
      <c r="BC571" s="226">
        <f t="shared" si="147"/>
        <v>6.0843745490410404E-2</v>
      </c>
      <c r="BD571" s="226">
        <f t="shared" si="147"/>
        <v>5.6641274595188633E-2</v>
      </c>
      <c r="BE571" s="226">
        <f t="shared" si="147"/>
        <v>5.2729067908437878E-2</v>
      </c>
    </row>
    <row r="572" spans="4:57" s="10" customFormat="1" x14ac:dyDescent="0.35">
      <c r="E572" s="10" t="s">
        <v>674</v>
      </c>
      <c r="F572" s="10" t="s">
        <v>615</v>
      </c>
      <c r="G572" s="43" t="s">
        <v>616</v>
      </c>
      <c r="I572" s="20"/>
      <c r="J572" s="200"/>
      <c r="K572" s="200"/>
      <c r="L572" s="200"/>
      <c r="M572" s="200"/>
      <c r="N572" s="200">
        <v>1.149</v>
      </c>
      <c r="O572" s="226">
        <f t="shared" si="148"/>
        <v>1.0738636944340147</v>
      </c>
      <c r="P572" s="226">
        <f t="shared" si="148"/>
        <v>1.0036407608559366</v>
      </c>
      <c r="Q572" s="226">
        <f t="shared" si="148"/>
        <v>0.93800990020654618</v>
      </c>
      <c r="R572" s="226">
        <f t="shared" si="148"/>
        <v>0.87667082406569474</v>
      </c>
      <c r="S572" s="226">
        <f t="shared" si="148"/>
        <v>0.81934288070818029</v>
      </c>
      <c r="T572" s="226">
        <f t="shared" si="148"/>
        <v>0.76576377100565252</v>
      </c>
      <c r="U572" s="226">
        <f t="shared" si="148"/>
        <v>0.71568834829926276</v>
      </c>
      <c r="V572" s="226">
        <f t="shared" si="148"/>
        <v>0.66888749675197934</v>
      </c>
      <c r="W572" s="226">
        <f t="shared" si="148"/>
        <v>0.62514708304856448</v>
      </c>
      <c r="X572" s="226">
        <f t="shared" si="148"/>
        <v>0.58426697664680538</v>
      </c>
      <c r="Y572" s="226">
        <f t="shared" si="148"/>
        <v>0.54606013409724163</v>
      </c>
      <c r="Z572" s="226">
        <f t="shared" si="148"/>
        <v>0.51035174324177324</v>
      </c>
      <c r="AA572" s="226">
        <f t="shared" si="148"/>
        <v>0.47697842337550073</v>
      </c>
      <c r="AB572" s="226">
        <f t="shared" si="148"/>
        <v>0.44578747771220789</v>
      </c>
      <c r="AC572" s="226">
        <f t="shared" si="148"/>
        <v>0.41663619473320507</v>
      </c>
      <c r="AD572" s="226">
        <f t="shared" si="148"/>
        <v>0.38939119522291488</v>
      </c>
      <c r="AE572" s="226">
        <f t="shared" si="146"/>
        <v>0.36392782200361712</v>
      </c>
      <c r="AF572" s="226">
        <f t="shared" si="146"/>
        <v>0.34012956957713564</v>
      </c>
      <c r="AG572" s="226">
        <f t="shared" si="146"/>
        <v>0.31788755106384176</v>
      </c>
      <c r="AH572" s="227">
        <v>0.29709999999999998</v>
      </c>
      <c r="AI572" s="226">
        <f t="shared" si="149"/>
        <v>0.27767180471396502</v>
      </c>
      <c r="AJ572" s="226">
        <f t="shared" si="149"/>
        <v>0.25951407315082575</v>
      </c>
      <c r="AK572" s="226">
        <f t="shared" si="149"/>
        <v>0.24254372615436459</v>
      </c>
      <c r="AL572" s="226">
        <f t="shared" si="149"/>
        <v>0.22668311734544644</v>
      </c>
      <c r="AM572" s="226">
        <f t="shared" si="149"/>
        <v>0.21185967785761567</v>
      </c>
      <c r="AN572" s="226">
        <f t="shared" si="149"/>
        <v>0.19800558430442072</v>
      </c>
      <c r="AO572" s="226">
        <f t="shared" si="149"/>
        <v>0.18505744845927852</v>
      </c>
      <c r="AP572" s="226">
        <f t="shared" si="149"/>
        <v>0.17295602722803577</v>
      </c>
      <c r="AQ572" s="226">
        <f t="shared" si="149"/>
        <v>0.16164595158723111</v>
      </c>
      <c r="AR572" s="226">
        <f t="shared" si="149"/>
        <v>0.15107547324783804</v>
      </c>
      <c r="AS572" s="226">
        <f t="shared" si="149"/>
        <v>0.14119622788537034</v>
      </c>
      <c r="AT572" s="226">
        <f t="shared" si="149"/>
        <v>0.13196301385302947</v>
      </c>
      <c r="AU572" s="226">
        <f t="shared" si="149"/>
        <v>0.12333358536541454</v>
      </c>
      <c r="AV572" s="226">
        <f t="shared" si="149"/>
        <v>0.1152684592065248</v>
      </c>
      <c r="AW572" s="226">
        <f t="shared" si="149"/>
        <v>0.1077307340776634</v>
      </c>
      <c r="AX572" s="226">
        <f t="shared" si="149"/>
        <v>0.1006859217586841</v>
      </c>
      <c r="AY572" s="226">
        <f t="shared" si="147"/>
        <v>9.410178931007368E-2</v>
      </c>
      <c r="AZ572" s="226">
        <f t="shared" si="147"/>
        <v>8.7948211593879028E-2</v>
      </c>
      <c r="BA572" s="226">
        <f t="shared" si="147"/>
        <v>8.2197033438700953E-2</v>
      </c>
      <c r="BB572" s="226">
        <f t="shared" si="147"/>
        <v>7.6821940818102397E-2</v>
      </c>
      <c r="BC572" s="226">
        <f t="shared" si="147"/>
        <v>7.1798340453018875E-2</v>
      </c>
      <c r="BD572" s="226">
        <f t="shared" si="147"/>
        <v>6.710324728730202E-2</v>
      </c>
      <c r="BE572" s="226">
        <f t="shared" si="147"/>
        <v>6.2715179321550421E-2</v>
      </c>
    </row>
    <row r="573" spans="4:57" s="10" customFormat="1" x14ac:dyDescent="0.35">
      <c r="E573" s="10" t="s">
        <v>675</v>
      </c>
      <c r="F573" s="10" t="s">
        <v>615</v>
      </c>
      <c r="G573" s="43" t="s">
        <v>616</v>
      </c>
      <c r="I573" s="20"/>
      <c r="J573" s="200"/>
      <c r="K573" s="200"/>
      <c r="L573" s="200"/>
      <c r="M573" s="200"/>
      <c r="N573" s="200">
        <v>1.1535</v>
      </c>
      <c r="O573" s="226">
        <f t="shared" si="148"/>
        <v>1.0823392181235656</v>
      </c>
      <c r="P573" s="226">
        <f t="shared" si="148"/>
        <v>1.0155684292053153</v>
      </c>
      <c r="Q573" s="226">
        <f t="shared" si="148"/>
        <v>0.95291680937759748</v>
      </c>
      <c r="R573" s="226">
        <f t="shared" si="148"/>
        <v>0.89413024221807691</v>
      </c>
      <c r="S573" s="226">
        <f t="shared" si="148"/>
        <v>0.83897028804763563</v>
      </c>
      <c r="T573" s="226">
        <f t="shared" si="148"/>
        <v>0.7872132168135072</v>
      </c>
      <c r="U573" s="226">
        <f t="shared" si="148"/>
        <v>0.73864910063499634</v>
      </c>
      <c r="V573" s="226">
        <f t="shared" si="148"/>
        <v>0.69308096233112859</v>
      </c>
      <c r="W573" s="226">
        <f t="shared" si="148"/>
        <v>0.6503239764766382</v>
      </c>
      <c r="X573" s="226">
        <f t="shared" si="148"/>
        <v>0.61020471974575874</v>
      </c>
      <c r="Y573" s="226">
        <f t="shared" si="148"/>
        <v>0.57256046750319378</v>
      </c>
      <c r="Z573" s="226">
        <f t="shared" si="148"/>
        <v>0.53723853378922404</v>
      </c>
      <c r="AA573" s="226">
        <f t="shared" si="148"/>
        <v>0.50409565202191553</v>
      </c>
      <c r="AB573" s="226">
        <f t="shared" si="148"/>
        <v>0.47299739390454187</v>
      </c>
      <c r="AC573" s="226">
        <f t="shared" si="148"/>
        <v>0.44381762418129694</v>
      </c>
      <c r="AD573" s="226">
        <f t="shared" si="148"/>
        <v>0.41643798902977325</v>
      </c>
      <c r="AE573" s="226">
        <f t="shared" si="146"/>
        <v>0.39074743601511469</v>
      </c>
      <c r="AF573" s="226">
        <f t="shared" si="146"/>
        <v>0.36664176365876655</v>
      </c>
      <c r="AG573" s="226">
        <f t="shared" si="146"/>
        <v>0.34402319879486304</v>
      </c>
      <c r="AH573" s="227">
        <v>0.32279999999999998</v>
      </c>
      <c r="AI573" s="226">
        <f t="shared" si="149"/>
        <v>0.30288608548789508</v>
      </c>
      <c r="AJ573" s="226">
        <f t="shared" si="149"/>
        <v>0.28420068395966697</v>
      </c>
      <c r="AK573" s="226">
        <f t="shared" si="149"/>
        <v>0.26666800699357479</v>
      </c>
      <c r="AL573" s="226">
        <f t="shared" si="149"/>
        <v>0.25021694164542285</v>
      </c>
      <c r="AM573" s="226">
        <f t="shared" si="149"/>
        <v>0.23478076201281042</v>
      </c>
      <c r="AN573" s="226">
        <f t="shared" si="149"/>
        <v>0.22029685859332482</v>
      </c>
      <c r="AO573" s="226">
        <f t="shared" si="149"/>
        <v>0.20670648433894831</v>
      </c>
      <c r="AP573" s="226">
        <f t="shared" si="149"/>
        <v>0.19395451637666961</v>
      </c>
      <c r="AQ573" s="226">
        <f t="shared" si="149"/>
        <v>0.18198923242883303</v>
      </c>
      <c r="AR573" s="226">
        <f t="shared" si="149"/>
        <v>0.17076210102638145</v>
      </c>
      <c r="AS573" s="226">
        <f t="shared" si="149"/>
        <v>0.16022758466409279</v>
      </c>
      <c r="AT573" s="226">
        <f t="shared" si="149"/>
        <v>0.15034295509940321</v>
      </c>
      <c r="AU573" s="226">
        <f t="shared" si="149"/>
        <v>0.14106812004566485</v>
      </c>
      <c r="AV573" s="226">
        <f t="shared" si="149"/>
        <v>0.13236546055690177</v>
      </c>
      <c r="AW573" s="226">
        <f t="shared" si="149"/>
        <v>0.12419967844449303</v>
      </c>
      <c r="AX573" s="226">
        <f t="shared" si="149"/>
        <v>0.11653765310690148</v>
      </c>
      <c r="AY573" s="226">
        <f t="shared" si="147"/>
        <v>0.10934830719174604</v>
      </c>
      <c r="AZ573" s="226">
        <f t="shared" si="147"/>
        <v>0.10260248054534016</v>
      </c>
      <c r="BA573" s="226">
        <f t="shared" si="147"/>
        <v>9.6272811938432443E-2</v>
      </c>
      <c r="BB573" s="226">
        <f t="shared" si="147"/>
        <v>9.0333628088426571E-2</v>
      </c>
      <c r="BC573" s="226">
        <f t="shared" si="147"/>
        <v>8.4760839527951951E-2</v>
      </c>
      <c r="BD573" s="226">
        <f t="shared" si="147"/>
        <v>7.9531842897425681E-2</v>
      </c>
      <c r="BE573" s="226">
        <f t="shared" si="147"/>
        <v>7.4625429265302093E-2</v>
      </c>
    </row>
    <row r="574" spans="4:57" s="10" customFormat="1" x14ac:dyDescent="0.35">
      <c r="E574" s="10" t="s">
        <v>676</v>
      </c>
      <c r="F574" s="10" t="s">
        <v>615</v>
      </c>
      <c r="G574" s="43" t="s">
        <v>616</v>
      </c>
      <c r="I574" s="20"/>
      <c r="J574" s="200"/>
      <c r="K574" s="200"/>
      <c r="L574" s="200"/>
      <c r="M574" s="200"/>
      <c r="N574" s="200">
        <v>1.1579999999999999</v>
      </c>
      <c r="O574" s="226">
        <f t="shared" si="148"/>
        <v>1.0908778174803746</v>
      </c>
      <c r="P574" s="226">
        <f t="shared" si="148"/>
        <v>1.0276462976431309</v>
      </c>
      <c r="Q574" s="226">
        <f t="shared" si="148"/>
        <v>0.96807992255157682</v>
      </c>
      <c r="R574" s="226">
        <f t="shared" si="148"/>
        <v>0.91196624616548716</v>
      </c>
      <c r="S574" s="226">
        <f t="shared" si="148"/>
        <v>0.8591051366431578</v>
      </c>
      <c r="T574" s="226">
        <f t="shared" si="148"/>
        <v>0.80930806256257937</v>
      </c>
      <c r="U574" s="226">
        <f t="shared" si="148"/>
        <v>0.76239742051600778</v>
      </c>
      <c r="V574" s="226">
        <f t="shared" si="148"/>
        <v>0.71820590167976683</v>
      </c>
      <c r="W574" s="226">
        <f t="shared" si="148"/>
        <v>0.67657589510012828</v>
      </c>
      <c r="X574" s="226">
        <f t="shared" si="148"/>
        <v>0.63735892556706286</v>
      </c>
      <c r="Y574" s="226">
        <f t="shared" si="148"/>
        <v>0.60041512407101383</v>
      </c>
      <c r="Z574" s="226">
        <f t="shared" si="148"/>
        <v>0.56561272895405512</v>
      </c>
      <c r="AA574" s="226">
        <f t="shared" si="148"/>
        <v>0.53282761597626793</v>
      </c>
      <c r="AB574" s="226">
        <f t="shared" si="148"/>
        <v>0.50194285562129737</v>
      </c>
      <c r="AC574" s="226">
        <f t="shared" si="148"/>
        <v>0.47284829606220002</v>
      </c>
      <c r="AD574" s="226">
        <f t="shared" si="148"/>
        <v>0.4454401703002131</v>
      </c>
      <c r="AE574" s="226">
        <f t="shared" si="146"/>
        <v>0.41962072607528744</v>
      </c>
      <c r="AF574" s="226">
        <f t="shared" si="146"/>
        <v>0.39529787722844534</v>
      </c>
      <c r="AG574" s="226">
        <f t="shared" si="146"/>
        <v>0.37238487527253156</v>
      </c>
      <c r="AH574" s="227">
        <v>0.3508</v>
      </c>
      <c r="AI574" s="226">
        <f t="shared" si="149"/>
        <v>0.33046626802427931</v>
      </c>
      <c r="AJ574" s="226">
        <f t="shared" si="149"/>
        <v>0.31131115821520755</v>
      </c>
      <c r="AK574" s="226">
        <f t="shared" si="149"/>
        <v>0.29326635304930326</v>
      </c>
      <c r="AL574" s="226">
        <f t="shared" si="149"/>
        <v>0.27626749495237735</v>
      </c>
      <c r="AM574" s="226">
        <f t="shared" si="149"/>
        <v>0.2602539567654748</v>
      </c>
      <c r="AN574" s="226">
        <f t="shared" si="149"/>
        <v>0.24516862551550339</v>
      </c>
      <c r="AO574" s="226">
        <f t="shared" si="149"/>
        <v>0.23095769871935717</v>
      </c>
      <c r="AP574" s="226">
        <f t="shared" si="149"/>
        <v>0.21757049249504512</v>
      </c>
      <c r="AQ574" s="226">
        <f t="shared" si="149"/>
        <v>0.20495926079544477</v>
      </c>
      <c r="AR574" s="226">
        <f t="shared" si="149"/>
        <v>0.19307902511997038</v>
      </c>
      <c r="AS574" s="226">
        <f t="shared" si="149"/>
        <v>0.18188741409681494</v>
      </c>
      <c r="AT574" s="226">
        <f t="shared" si="149"/>
        <v>0.17134451236362919</v>
      </c>
      <c r="AU574" s="226">
        <f t="shared" si="149"/>
        <v>0.16141271820766395</v>
      </c>
      <c r="AV574" s="226">
        <f t="shared" si="149"/>
        <v>0.15205660945764349</v>
      </c>
      <c r="AW574" s="226">
        <f t="shared" si="149"/>
        <v>0.1432428171490672</v>
      </c>
      <c r="AX574" s="226">
        <f t="shared" si="149"/>
        <v>0.13493990651236165</v>
      </c>
      <c r="AY574" s="226">
        <f t="shared" si="147"/>
        <v>0.12711826485942215</v>
      </c>
      <c r="AZ574" s="226">
        <f t="shared" si="147"/>
        <v>0.11974999596868621</v>
      </c>
      <c r="BA574" s="226">
        <f t="shared" si="147"/>
        <v>0.11280882059205878</v>
      </c>
      <c r="BB574" s="226">
        <f t="shared" si="147"/>
        <v>0.10626998272884303</v>
      </c>
      <c r="BC574" s="226">
        <f t="shared" si="147"/>
        <v>0.10011016133239843</v>
      </c>
      <c r="BD574" s="226">
        <f t="shared" si="147"/>
        <v>9.4307387134624346E-2</v>
      </c>
      <c r="BE574" s="226">
        <f t="shared" si="147"/>
        <v>8.8840964291619834E-2</v>
      </c>
    </row>
    <row r="575" spans="4:57" s="10" customFormat="1" x14ac:dyDescent="0.35">
      <c r="E575" s="10" t="s">
        <v>677</v>
      </c>
      <c r="F575" s="10" t="s">
        <v>615</v>
      </c>
      <c r="G575" s="43" t="s">
        <v>616</v>
      </c>
      <c r="I575" s="20"/>
      <c r="J575" s="200"/>
      <c r="K575" s="200"/>
      <c r="L575" s="200"/>
      <c r="M575" s="200"/>
      <c r="N575" s="200">
        <v>1.1625000000000001</v>
      </c>
      <c r="O575" s="226">
        <f t="shared" si="148"/>
        <v>1.0994494362435754</v>
      </c>
      <c r="P575" s="226">
        <f t="shared" si="148"/>
        <v>1.0398185486936049</v>
      </c>
      <c r="Q575" s="226">
        <f t="shared" si="148"/>
        <v>0.98342186422090039</v>
      </c>
      <c r="R575" s="226">
        <f t="shared" si="148"/>
        <v>0.93008396921055903</v>
      </c>
      <c r="S575" s="226">
        <f t="shared" si="148"/>
        <v>0.87963896396364394</v>
      </c>
      <c r="T575" s="226">
        <f t="shared" si="148"/>
        <v>0.83192994669050413</v>
      </c>
      <c r="U575" s="226">
        <f t="shared" si="148"/>
        <v>0.78680852549077207</v>
      </c>
      <c r="V575" s="226">
        <f t="shared" si="148"/>
        <v>0.74413435680212314</v>
      </c>
      <c r="W575" s="226">
        <f t="shared" si="148"/>
        <v>0.70377470888221061</v>
      </c>
      <c r="X575" s="226">
        <f t="shared" si="148"/>
        <v>0.66560404896604974</v>
      </c>
      <c r="Y575" s="226">
        <f t="shared" si="148"/>
        <v>0.62950365281476517</v>
      </c>
      <c r="Z575" s="226">
        <f t="shared" si="148"/>
        <v>0.59536123544126018</v>
      </c>
      <c r="AA575" s="226">
        <f t="shared" si="148"/>
        <v>0.56307060186423408</v>
      </c>
      <c r="AB575" s="226">
        <f t="shared" si="148"/>
        <v>0.53253131680426913</v>
      </c>
      <c r="AC575" s="226">
        <f t="shared" si="148"/>
        <v>0.50364839229462588</v>
      </c>
      <c r="AD575" s="226">
        <f t="shared" si="148"/>
        <v>0.47633199223510497</v>
      </c>
      <c r="AE575" s="226">
        <f t="shared" si="146"/>
        <v>0.45049715297003468</v>
      </c>
      <c r="AF575" s="226">
        <f t="shared" si="146"/>
        <v>0.42606351902128203</v>
      </c>
      <c r="AG575" s="226">
        <f t="shared" si="146"/>
        <v>0.40295509315432465</v>
      </c>
      <c r="AH575" s="227">
        <v>0.38109999999999999</v>
      </c>
      <c r="AI575" s="226">
        <f t="shared" si="149"/>
        <v>0.36043026249671101</v>
      </c>
      <c r="AJ575" s="226">
        <f t="shared" si="149"/>
        <v>0.34088159045774863</v>
      </c>
      <c r="AK575" s="226">
        <f t="shared" si="149"/>
        <v>0.32239318060609468</v>
      </c>
      <c r="AL575" s="226">
        <f t="shared" si="149"/>
        <v>0.30490752745474753</v>
      </c>
      <c r="AM575" s="226">
        <f t="shared" si="149"/>
        <v>0.28837024444433951</v>
      </c>
      <c r="AN575" s="226">
        <f t="shared" si="149"/>
        <v>0.27272989478172138</v>
      </c>
      <c r="AO575" s="226">
        <f t="shared" si="149"/>
        <v>0.25793783145336191</v>
      </c>
      <c r="AP575" s="226">
        <f t="shared" si="149"/>
        <v>0.24394804591594763</v>
      </c>
      <c r="AQ575" s="226">
        <f t="shared" si="149"/>
        <v>0.2307170249935574</v>
      </c>
      <c r="AR575" s="226">
        <f t="shared" si="149"/>
        <v>0.21820361553631104</v>
      </c>
      <c r="AS575" s="226">
        <f t="shared" si="149"/>
        <v>0.20636889641953293</v>
      </c>
      <c r="AT575" s="226">
        <f t="shared" si="149"/>
        <v>0.19517605748530262</v>
      </c>
      <c r="AU575" s="226">
        <f t="shared" si="149"/>
        <v>0.18459028504985775</v>
      </c>
      <c r="AV575" s="226">
        <f t="shared" si="149"/>
        <v>0.17457865362073718</v>
      </c>
      <c r="AW575" s="226">
        <f t="shared" si="149"/>
        <v>0.16511002348686615</v>
      </c>
      <c r="AX575" s="226">
        <f t="shared" si="149"/>
        <v>0.15615494386305245</v>
      </c>
      <c r="AY575" s="226">
        <f t="shared" si="147"/>
        <v>0.14768556128763888</v>
      </c>
      <c r="AZ575" s="226">
        <f t="shared" si="147"/>
        <v>0.13967553298839619</v>
      </c>
      <c r="BA575" s="226">
        <f t="shared" si="147"/>
        <v>0.13209994494719407</v>
      </c>
      <c r="BB575" s="226">
        <f t="shared" si="147"/>
        <v>0.12493523440860203</v>
      </c>
      <c r="BC575" s="226">
        <f t="shared" si="147"/>
        <v>0.11815911659139479</v>
      </c>
      <c r="BD575" s="226">
        <f t="shared" si="147"/>
        <v>0.11175051537500894</v>
      </c>
      <c r="BE575" s="226">
        <f t="shared" si="147"/>
        <v>0.10568949774536136</v>
      </c>
    </row>
    <row r="576" spans="4:57" s="10" customFormat="1" x14ac:dyDescent="0.35">
      <c r="D576" s="169"/>
      <c r="E576" s="10" t="s">
        <v>678</v>
      </c>
      <c r="F576" s="10" t="s">
        <v>615</v>
      </c>
      <c r="G576" s="43" t="s">
        <v>616</v>
      </c>
      <c r="I576" s="20"/>
      <c r="J576" s="200"/>
      <c r="K576" s="200"/>
      <c r="L576" s="200"/>
      <c r="M576" s="200"/>
      <c r="N576" s="200">
        <v>1.1936</v>
      </c>
      <c r="O576" s="226">
        <f t="shared" si="148"/>
        <v>1.1306955555484908</v>
      </c>
      <c r="P576" s="226">
        <f t="shared" si="148"/>
        <v>1.0711062662006621</v>
      </c>
      <c r="Q576" s="226">
        <f t="shared" si="148"/>
        <v>1.0146574184929853</v>
      </c>
      <c r="R576" s="226">
        <f t="shared" si="148"/>
        <v>0.96118350661387697</v>
      </c>
      <c r="S576" s="226">
        <f t="shared" si="148"/>
        <v>0.91052774714713813</v>
      </c>
      <c r="T576" s="226">
        <f t="shared" si="148"/>
        <v>0.86254161938911622</v>
      </c>
      <c r="U576" s="226">
        <f t="shared" si="148"/>
        <v>0.81708442989181607</v>
      </c>
      <c r="V576" s="226">
        <f t="shared" si="148"/>
        <v>0.77402289995521856</v>
      </c>
      <c r="W576" s="226">
        <f t="shared" si="148"/>
        <v>0.73323077485934962</v>
      </c>
      <c r="X576" s="226">
        <f t="shared" si="148"/>
        <v>0.69458845369038424</v>
      </c>
      <c r="Y576" s="226">
        <f t="shared" si="148"/>
        <v>0.65798263867544926</v>
      </c>
      <c r="Z576" s="226">
        <f t="shared" si="148"/>
        <v>0.62330600299798844</v>
      </c>
      <c r="AA576" s="226">
        <f t="shared" si="148"/>
        <v>0.59045687611973841</v>
      </c>
      <c r="AB576" s="226">
        <f t="shared" si="148"/>
        <v>0.55933894568669074</v>
      </c>
      <c r="AC576" s="226">
        <f t="shared" si="148"/>
        <v>0.52986097514504016</v>
      </c>
      <c r="AD576" s="226">
        <f t="shared" si="148"/>
        <v>0.50193653623918089</v>
      </c>
      <c r="AE576" s="226">
        <f t="shared" si="146"/>
        <v>0.47548375560744455</v>
      </c>
      <c r="AF576" s="226">
        <f t="shared" si="146"/>
        <v>0.45042507473260918</v>
      </c>
      <c r="AG576" s="226">
        <f t="shared" si="146"/>
        <v>0.42668702254336294</v>
      </c>
      <c r="AH576" s="227">
        <v>0.4042</v>
      </c>
      <c r="AI576" s="226">
        <f t="shared" si="149"/>
        <v>0.38289807603275805</v>
      </c>
      <c r="AJ576" s="226">
        <f t="shared" si="149"/>
        <v>0.36271879423450704</v>
      </c>
      <c r="AK576" s="226">
        <f t="shared" si="149"/>
        <v>0.34360298974100589</v>
      </c>
      <c r="AL576" s="226">
        <f t="shared" si="149"/>
        <v>0.32549461576183736</v>
      </c>
      <c r="AM576" s="226">
        <f t="shared" si="149"/>
        <v>0.30834057925341257</v>
      </c>
      <c r="AN576" s="226">
        <f t="shared" si="149"/>
        <v>0.29209058525224596</v>
      </c>
      <c r="AO576" s="226">
        <f t="shared" si="149"/>
        <v>0.2766969894120912</v>
      </c>
      <c r="AP576" s="226">
        <f t="shared" si="149"/>
        <v>0.26211465831258324</v>
      </c>
      <c r="AQ576" s="226">
        <f t="shared" si="149"/>
        <v>0.24830083712981663</v>
      </c>
      <c r="AR576" s="226">
        <f t="shared" si="149"/>
        <v>0.23521502428087579</v>
      </c>
      <c r="AS576" s="226">
        <f t="shared" si="149"/>
        <v>0.22281885267477933</v>
      </c>
      <c r="AT576" s="226">
        <f t="shared" si="149"/>
        <v>0.21107597722167135</v>
      </c>
      <c r="AU576" s="226">
        <f t="shared" si="149"/>
        <v>0.1999519682704409</v>
      </c>
      <c r="AV576" s="226">
        <f t="shared" si="149"/>
        <v>0.18941421066233274</v>
      </c>
      <c r="AW576" s="226">
        <f t="shared" si="149"/>
        <v>0.17943180810457873</v>
      </c>
      <c r="AX576" s="226">
        <f t="shared" si="149"/>
        <v>0.16997549258367697</v>
      </c>
      <c r="AY576" s="226">
        <f t="shared" si="147"/>
        <v>0.16101753855272202</v>
      </c>
      <c r="AZ576" s="226">
        <f t="shared" si="147"/>
        <v>0.1525316816411868</v>
      </c>
      <c r="BA576" s="226">
        <f t="shared" si="147"/>
        <v>0.14449304164881638</v>
      </c>
      <c r="BB576" s="226">
        <f t="shared" si="147"/>
        <v>0.13687804959785493</v>
      </c>
      <c r="BC576" s="226">
        <f t="shared" si="147"/>
        <v>0.12966437862972557</v>
      </c>
      <c r="BD576" s="226">
        <f t="shared" si="147"/>
        <v>0.12283087854355514</v>
      </c>
      <c r="BE576" s="226">
        <f t="shared" si="147"/>
        <v>0.11635751378461316</v>
      </c>
    </row>
    <row r="577" spans="4:57" s="10" customFormat="1" x14ac:dyDescent="0.35">
      <c r="D577" s="169"/>
      <c r="E577" s="10" t="s">
        <v>679</v>
      </c>
      <c r="F577" s="10" t="s">
        <v>615</v>
      </c>
      <c r="G577" s="43" t="s">
        <v>616</v>
      </c>
      <c r="I577" s="20"/>
      <c r="J577" s="200"/>
      <c r="K577" s="200"/>
      <c r="L577" s="200"/>
      <c r="M577" s="200"/>
      <c r="N577" s="200">
        <v>1.2256</v>
      </c>
      <c r="O577" s="226">
        <f t="shared" si="148"/>
        <v>1.1629045065088641</v>
      </c>
      <c r="P577" s="226">
        <f t="shared" si="148"/>
        <v>1.1034161971757708</v>
      </c>
      <c r="Q577" s="226">
        <f t="shared" si="148"/>
        <v>1.0469710086900923</v>
      </c>
      <c r="R577" s="226">
        <f t="shared" si="148"/>
        <v>0.99341327038988203</v>
      </c>
      <c r="S577" s="226">
        <f t="shared" si="148"/>
        <v>0.94259527493644135</v>
      </c>
      <c r="T577" s="226">
        <f t="shared" si="148"/>
        <v>0.89437687095100304</v>
      </c>
      <c r="U577" s="226">
        <f t="shared" si="148"/>
        <v>0.84862507649006058</v>
      </c>
      <c r="V577" s="226">
        <f t="shared" si="148"/>
        <v>0.80521371229334282</v>
      </c>
      <c r="W577" s="226">
        <f t="shared" si="148"/>
        <v>0.76402305379296698</v>
      </c>
      <c r="X577" s="226">
        <f t="shared" si="148"/>
        <v>0.72493950092404169</v>
      </c>
      <c r="Y577" s="226">
        <f t="shared" si="148"/>
        <v>0.68785526482608916</v>
      </c>
      <c r="Z577" s="226">
        <f t="shared" si="148"/>
        <v>0.65266807057123633</v>
      </c>
      <c r="AA577" s="226">
        <f t="shared" si="148"/>
        <v>0.61928087509932772</v>
      </c>
      <c r="AB577" s="226">
        <f t="shared" si="148"/>
        <v>0.5876015995820506</v>
      </c>
      <c r="AC577" s="226">
        <f t="shared" si="148"/>
        <v>0.55754287547795667</v>
      </c>
      <c r="AD577" s="226">
        <f t="shared" si="148"/>
        <v>0.52902180357802397</v>
      </c>
      <c r="AE577" s="226">
        <f t="shared" si="146"/>
        <v>0.50195972537722844</v>
      </c>
      <c r="AF577" s="226">
        <f t="shared" si="146"/>
        <v>0.47628200614158839</v>
      </c>
      <c r="AG577" s="226">
        <f t="shared" si="146"/>
        <v>0.45191782907240174</v>
      </c>
      <c r="AH577" s="227">
        <v>0.42880000000000001</v>
      </c>
      <c r="AI577" s="226">
        <f t="shared" si="149"/>
        <v>0.40686476206837541</v>
      </c>
      <c r="AJ577" s="226">
        <f t="shared" si="149"/>
        <v>0.38605161989961689</v>
      </c>
      <c r="AK577" s="226">
        <f t="shared" si="149"/>
        <v>0.36630317275319152</v>
      </c>
      <c r="AL577" s="226">
        <f t="shared" si="149"/>
        <v>0.3475649562199587</v>
      </c>
      <c r="AM577" s="226">
        <f t="shared" si="149"/>
        <v>0.32978529201431628</v>
      </c>
      <c r="AN577" s="226">
        <f t="shared" si="149"/>
        <v>0.31291514545022037</v>
      </c>
      <c r="AO577" s="226">
        <f t="shared" si="149"/>
        <v>0.29690799020801073</v>
      </c>
      <c r="AP577" s="226">
        <f t="shared" si="149"/>
        <v>0.28171968001908076</v>
      </c>
      <c r="AQ577" s="226">
        <f t="shared" si="149"/>
        <v>0.26730832691451062</v>
      </c>
      <c r="AR577" s="226">
        <f t="shared" si="149"/>
        <v>0.25363418570188406</v>
      </c>
      <c r="AS577" s="226">
        <f t="shared" si="149"/>
        <v>0.24065954435168657</v>
      </c>
      <c r="AT577" s="226">
        <f t="shared" si="149"/>
        <v>0.22834861999098088</v>
      </c>
      <c r="AU577" s="226">
        <f t="shared" si="149"/>
        <v>0.21666746021751937</v>
      </c>
      <c r="AV577" s="226">
        <f t="shared" si="149"/>
        <v>0.20558384946212738</v>
      </c>
      <c r="AW577" s="226">
        <f t="shared" si="149"/>
        <v>0.1950672201411128</v>
      </c>
      <c r="AX577" s="226">
        <f t="shared" si="149"/>
        <v>0.18508856835366899</v>
      </c>
      <c r="AY577" s="226">
        <f t="shared" si="147"/>
        <v>0.17562037389177185</v>
      </c>
      <c r="AZ577" s="226">
        <f t="shared" si="147"/>
        <v>0.16663652434196569</v>
      </c>
      <c r="BA577" s="226">
        <f t="shared" si="147"/>
        <v>0.15811224306971763</v>
      </c>
      <c r="BB577" s="226">
        <f t="shared" si="147"/>
        <v>0.15002402088772809</v>
      </c>
      <c r="BC577" s="226">
        <f t="shared" si="147"/>
        <v>0.14234955121974457</v>
      </c>
      <c r="BD577" s="226">
        <f t="shared" si="147"/>
        <v>0.1350676685810667</v>
      </c>
      <c r="BE577" s="226">
        <f t="shared" si="147"/>
        <v>0.12815829020607716</v>
      </c>
    </row>
    <row r="578" spans="4:57" s="10" customFormat="1" x14ac:dyDescent="0.35">
      <c r="D578" s="169"/>
      <c r="E578" s="10" t="s">
        <v>680</v>
      </c>
      <c r="F578" s="10" t="s">
        <v>615</v>
      </c>
      <c r="G578" s="43" t="s">
        <v>616</v>
      </c>
      <c r="I578" s="20"/>
      <c r="J578" s="200"/>
      <c r="K578" s="200"/>
      <c r="L578" s="200"/>
      <c r="M578" s="200"/>
      <c r="N578" s="200">
        <v>1.2584</v>
      </c>
      <c r="O578" s="226">
        <f t="shared" si="148"/>
        <v>1.1959658998233063</v>
      </c>
      <c r="P578" s="226">
        <f t="shared" si="148"/>
        <v>1.1366293972823989</v>
      </c>
      <c r="Q578" s="226">
        <f t="shared" si="148"/>
        <v>1.0802368085556791</v>
      </c>
      <c r="R578" s="226">
        <f t="shared" si="148"/>
        <v>1.0266420746714473</v>
      </c>
      <c r="S578" s="226">
        <f t="shared" si="148"/>
        <v>0.97570638320955461</v>
      </c>
      <c r="T578" s="226">
        <f t="shared" si="148"/>
        <v>0.92729780877189982</v>
      </c>
      <c r="U578" s="226">
        <f t="shared" si="148"/>
        <v>0.88129097129057965</v>
      </c>
      <c r="V578" s="226">
        <f t="shared" si="148"/>
        <v>0.83756671128869498</v>
      </c>
      <c r="W578" s="226">
        <f t="shared" si="148"/>
        <v>0.79601178125272687</v>
      </c>
      <c r="X578" s="226">
        <f t="shared" si="148"/>
        <v>0.75651855231712517</v>
      </c>
      <c r="Y578" s="226">
        <f t="shared" si="148"/>
        <v>0.71898473550141107</v>
      </c>
      <c r="Z578" s="226">
        <f t="shared" si="148"/>
        <v>0.68331311677778683</v>
      </c>
      <c r="AA578" s="226">
        <f t="shared" si="148"/>
        <v>0.64941130528306878</v>
      </c>
      <c r="AB578" s="226">
        <f t="shared" si="148"/>
        <v>0.61719149402280138</v>
      </c>
      <c r="AC578" s="226">
        <f t="shared" si="148"/>
        <v>0.5865702324477674</v>
      </c>
      <c r="AD578" s="226">
        <f t="shared" ref="AD578:AG580" si="150">AC578*(1+($AH578/$N578)^(1/($AH$6-$N$6))-1)</f>
        <v>0.55746821031385896</v>
      </c>
      <c r="AE578" s="226">
        <f t="shared" si="150"/>
        <v>0.52981005226549782</v>
      </c>
      <c r="AF578" s="226">
        <f t="shared" si="150"/>
        <v>0.50352412261056823</v>
      </c>
      <c r="AG578" s="226">
        <f t="shared" si="150"/>
        <v>0.4785423397812214</v>
      </c>
      <c r="AH578" s="227">
        <v>0.45479999999999998</v>
      </c>
      <c r="AI578" s="226">
        <f t="shared" si="149"/>
        <v>0.43223560969456426</v>
      </c>
      <c r="AJ578" s="226">
        <f t="shared" si="149"/>
        <v>0.41079072622698265</v>
      </c>
      <c r="AK578" s="226">
        <f t="shared" si="149"/>
        <v>0.39040980652504992</v>
      </c>
      <c r="AL578" s="226">
        <f t="shared" si="149"/>
        <v>0.37104006322359684</v>
      </c>
      <c r="AM578" s="226">
        <f t="shared" si="149"/>
        <v>0.35263132794318613</v>
      </c>
      <c r="AN578" s="226">
        <f t="shared" si="149"/>
        <v>0.33513592135208203</v>
      </c>
      <c r="AO578" s="226">
        <f t="shared" si="149"/>
        <v>0.3185085296749488</v>
      </c>
      <c r="AP578" s="226">
        <f t="shared" si="149"/>
        <v>0.30270608732843168</v>
      </c>
      <c r="AQ578" s="226">
        <f t="shared" si="149"/>
        <v>0.28768766537964091</v>
      </c>
      <c r="AR578" s="226">
        <f t="shared" si="149"/>
        <v>0.27341436553864312</v>
      </c>
      <c r="AS578" s="226">
        <f t="shared" si="149"/>
        <v>0.25984921941039552</v>
      </c>
      <c r="AT578" s="226">
        <f t="shared" si="149"/>
        <v>0.24695709274518232</v>
      </c>
      <c r="AU578" s="226">
        <f t="shared" si="149"/>
        <v>0.23470459443955793</v>
      </c>
      <c r="AV578" s="226">
        <f t="shared" si="149"/>
        <v>0.22305999005210592</v>
      </c>
      <c r="AW578" s="226">
        <f t="shared" si="149"/>
        <v>0.21199311961001638</v>
      </c>
      <c r="AX578" s="226">
        <f t="shared" ref="AX578:BE580" si="151">AW578*(1+($AH578/$N578)^(1/($AH$6-$N$6))-1)</f>
        <v>0.20147531949359745</v>
      </c>
      <c r="AY578" s="226">
        <f t="shared" si="151"/>
        <v>0.19147934819639892</v>
      </c>
      <c r="AZ578" s="226">
        <f t="shared" si="151"/>
        <v>0.18197931576866372</v>
      </c>
      <c r="BA578" s="226">
        <f t="shared" si="151"/>
        <v>0.17295061676136325</v>
      </c>
      <c r="BB578" s="226">
        <f t="shared" si="151"/>
        <v>0.16436986649713892</v>
      </c>
      <c r="BC578" s="226">
        <f t="shared" si="151"/>
        <v>0.15621484050308923</v>
      </c>
      <c r="BD578" s="226">
        <f t="shared" si="151"/>
        <v>0.14846441694853099</v>
      </c>
      <c r="BE578" s="226">
        <f t="shared" si="151"/>
        <v>0.14109852193864622</v>
      </c>
    </row>
    <row r="579" spans="4:57" s="10" customFormat="1" x14ac:dyDescent="0.35">
      <c r="E579" s="10" t="s">
        <v>681</v>
      </c>
      <c r="F579" s="10" t="s">
        <v>615</v>
      </c>
      <c r="G579" s="43" t="s">
        <v>616</v>
      </c>
      <c r="I579" s="20"/>
      <c r="J579" s="200"/>
      <c r="K579" s="200"/>
      <c r="L579" s="200"/>
      <c r="M579" s="200"/>
      <c r="N579" s="200">
        <v>1.2922</v>
      </c>
      <c r="O579" s="226">
        <f t="shared" ref="O579:AD580" si="152">N579*(1+($AH579/$N579)^(1/($AH$6-$N$6))-1)</f>
        <v>1.2300807293597826</v>
      </c>
      <c r="P579" s="226">
        <f t="shared" si="152"/>
        <v>1.170947686691143</v>
      </c>
      <c r="Q579" s="226">
        <f t="shared" si="152"/>
        <v>1.1146573165819467</v>
      </c>
      <c r="R579" s="226">
        <f t="shared" si="152"/>
        <v>1.0610729646860697</v>
      </c>
      <c r="S579" s="226">
        <f t="shared" si="152"/>
        <v>1.0100645459719761</v>
      </c>
      <c r="T579" s="226">
        <f t="shared" si="152"/>
        <v>0.96150822891941357</v>
      </c>
      <c r="U579" s="226">
        <f t="shared" si="152"/>
        <v>0.91528613489755861</v>
      </c>
      <c r="V579" s="226">
        <f t="shared" si="152"/>
        <v>0.87128605199480369</v>
      </c>
      <c r="W579" s="226">
        <f t="shared" si="152"/>
        <v>0.82940116260545871</v>
      </c>
      <c r="X579" s="226">
        <f t="shared" si="152"/>
        <v>0.78952978411203711</v>
      </c>
      <c r="Y579" s="226">
        <f t="shared" si="152"/>
        <v>0.75157512203359111</v>
      </c>
      <c r="Z579" s="226">
        <f t="shared" si="152"/>
        <v>0.71544503504081991</v>
      </c>
      <c r="AA579" s="226">
        <f t="shared" si="152"/>
        <v>0.68105181126748726</v>
      </c>
      <c r="AB579" s="226">
        <f t="shared" si="152"/>
        <v>0.64831195537510589</v>
      </c>
      <c r="AC579" s="226">
        <f t="shared" si="152"/>
        <v>0.61714598585395231</v>
      </c>
      <c r="AD579" s="226">
        <f t="shared" si="152"/>
        <v>0.58747824206832677</v>
      </c>
      <c r="AE579" s="226">
        <f t="shared" si="150"/>
        <v>0.55923670057762764</v>
      </c>
      <c r="AF579" s="226">
        <f t="shared" si="150"/>
        <v>0.53235280028732912</v>
      </c>
      <c r="AG579" s="226">
        <f t="shared" si="150"/>
        <v>0.50676127600538656</v>
      </c>
      <c r="AH579" s="227">
        <v>0.4824</v>
      </c>
      <c r="AI579" s="226">
        <f t="shared" ref="AI579:AX580" si="153">AH579*(1+($AH579/$N579)^(1/($AH$6-$N$6))-1)</f>
        <v>0.45920983117409009</v>
      </c>
      <c r="AJ579" s="226">
        <f t="shared" si="153"/>
        <v>0.4371344714903323</v>
      </c>
      <c r="AK579" s="226">
        <f t="shared" si="153"/>
        <v>0.4161203292981977</v>
      </c>
      <c r="AL579" s="226">
        <f t="shared" si="153"/>
        <v>0.39611638923120257</v>
      </c>
      <c r="AM579" s="226">
        <f t="shared" si="153"/>
        <v>0.3770740883585213</v>
      </c>
      <c r="AN579" s="226">
        <f t="shared" si="153"/>
        <v>0.35894719829029953</v>
      </c>
      <c r="AO579" s="226">
        <f t="shared" si="153"/>
        <v>0.3416917129504583</v>
      </c>
      <c r="AP579" s="226">
        <f t="shared" si="153"/>
        <v>0.32526574174453898</v>
      </c>
      <c r="AQ579" s="226">
        <f t="shared" si="153"/>
        <v>0.30962940786323573</v>
      </c>
      <c r="AR579" s="226">
        <f t="shared" si="153"/>
        <v>0.29474475147473039</v>
      </c>
      <c r="AS579" s="226">
        <f t="shared" si="153"/>
        <v>0.28057563757081277</v>
      </c>
      <c r="AT579" s="226">
        <f t="shared" si="153"/>
        <v>0.26708766824306718</v>
      </c>
      <c r="AU579" s="226">
        <f t="shared" si="153"/>
        <v>0.25424809917616137</v>
      </c>
      <c r="AV579" s="226">
        <f t="shared" si="153"/>
        <v>0.24202576015551072</v>
      </c>
      <c r="AW579" s="226">
        <f t="shared" si="153"/>
        <v>0.23039097939633685</v>
      </c>
      <c r="AX579" s="226">
        <f t="shared" si="153"/>
        <v>0.21931551151041689</v>
      </c>
      <c r="AY579" s="226">
        <f t="shared" si="151"/>
        <v>0.20877246893565038</v>
      </c>
      <c r="AZ579" s="226">
        <f t="shared" si="151"/>
        <v>0.19873625666197756</v>
      </c>
      <c r="BA579" s="226">
        <f t="shared" si="151"/>
        <v>0.18918251009518522</v>
      </c>
      <c r="BB579" s="226">
        <f t="shared" si="151"/>
        <v>0.18008803590775413</v>
      </c>
      <c r="BC579" s="226">
        <f t="shared" si="151"/>
        <v>0.1714307557331535</v>
      </c>
      <c r="BD579" s="226">
        <f t="shared" si="151"/>
        <v>0.16318965256689075</v>
      </c>
      <c r="BE579" s="226">
        <f t="shared" si="151"/>
        <v>0.15534471974419634</v>
      </c>
    </row>
    <row r="580" spans="4:57" s="10" customFormat="1" x14ac:dyDescent="0.35">
      <c r="E580" s="10" t="s">
        <v>682</v>
      </c>
      <c r="F580" s="10" t="s">
        <v>615</v>
      </c>
      <c r="G580" s="43" t="s">
        <v>616</v>
      </c>
      <c r="I580" s="20"/>
      <c r="J580" s="200"/>
      <c r="K580" s="200"/>
      <c r="L580" s="200"/>
      <c r="M580" s="200"/>
      <c r="N580" s="200">
        <v>1.3268</v>
      </c>
      <c r="O580" s="226">
        <f t="shared" si="152"/>
        <v>1.2650617259701435</v>
      </c>
      <c r="P580" s="226">
        <f t="shared" si="152"/>
        <v>1.2061962394592693</v>
      </c>
      <c r="Q580" s="226">
        <f t="shared" si="152"/>
        <v>1.1500698647490502</v>
      </c>
      <c r="R580" s="226">
        <f t="shared" si="152"/>
        <v>1.0965551462810392</v>
      </c>
      <c r="S580" s="226">
        <f t="shared" si="152"/>
        <v>1.0455305592219888</v>
      </c>
      <c r="T580" s="226">
        <f t="shared" si="152"/>
        <v>0.99688023349705945</v>
      </c>
      <c r="U580" s="226">
        <f t="shared" si="152"/>
        <v>0.95049369066423706</v>
      </c>
      <c r="V580" s="226">
        <f t="shared" si="152"/>
        <v>0.90626559303243248</v>
      </c>
      <c r="W580" s="226">
        <f t="shared" si="152"/>
        <v>0.86409550445354588</v>
      </c>
      <c r="X580" s="226">
        <f t="shared" si="152"/>
        <v>0.82388766224528531</v>
      </c>
      <c r="Y580" s="226">
        <f t="shared" si="152"/>
        <v>0.78555075972680677</v>
      </c>
      <c r="Z580" s="226">
        <f t="shared" si="152"/>
        <v>0.74899773887334309</v>
      </c>
      <c r="AA580" s="226">
        <f t="shared" si="152"/>
        <v>0.7141455926189676</v>
      </c>
      <c r="AB580" s="226">
        <f t="shared" si="152"/>
        <v>0.68091517635854848</v>
      </c>
      <c r="AC580" s="226">
        <f t="shared" si="152"/>
        <v>0.64923102822083956</v>
      </c>
      <c r="AD580" s="226">
        <f t="shared" si="152"/>
        <v>0.61902119770457209</v>
      </c>
      <c r="AE580" s="226">
        <f t="shared" si="150"/>
        <v>0.59021708228840175</v>
      </c>
      <c r="AF580" s="226">
        <f t="shared" si="150"/>
        <v>0.56275327164367484</v>
      </c>
      <c r="AG580" s="226">
        <f t="shared" si="150"/>
        <v>0.53656739909624074</v>
      </c>
      <c r="AH580" s="227">
        <v>0.51160000000000005</v>
      </c>
      <c r="AI580" s="226">
        <f t="shared" si="153"/>
        <v>0.4877943767005769</v>
      </c>
      <c r="AJ580" s="226">
        <f t="shared" si="153"/>
        <v>0.46509646978245567</v>
      </c>
      <c r="AK580" s="226">
        <f t="shared" si="153"/>
        <v>0.44345473530721591</v>
      </c>
      <c r="AL580" s="226">
        <f t="shared" si="153"/>
        <v>0.42282002776407873</v>
      </c>
      <c r="AM580" s="226">
        <f t="shared" si="153"/>
        <v>0.40314548846696519</v>
      </c>
      <c r="AN580" s="226">
        <f t="shared" si="153"/>
        <v>0.38438643914463033</v>
      </c>
      <c r="AO580" s="226">
        <f t="shared" si="153"/>
        <v>0.3665002804822306</v>
      </c>
      <c r="AP580" s="226">
        <f t="shared" si="153"/>
        <v>0.34944639538392547</v>
      </c>
      <c r="AQ580" s="226">
        <f t="shared" si="153"/>
        <v>0.33318605673683593</v>
      </c>
      <c r="AR580" s="226">
        <f t="shared" si="153"/>
        <v>0.31768233946690366</v>
      </c>
      <c r="AS580" s="226">
        <f t="shared" si="153"/>
        <v>0.30290003668694165</v>
      </c>
      <c r="AT580" s="226">
        <f t="shared" si="153"/>
        <v>0.28880557974645932</v>
      </c>
      <c r="AU580" s="226">
        <f t="shared" si="153"/>
        <v>0.27536696200170618</v>
      </c>
      <c r="AV580" s="226">
        <f t="shared" si="153"/>
        <v>0.26255366613282582</v>
      </c>
      <c r="AW580" s="226">
        <f t="shared" si="153"/>
        <v>0.25033659484306708</v>
      </c>
      <c r="AX580" s="226">
        <f t="shared" si="153"/>
        <v>0.23868800478267935</v>
      </c>
      <c r="AY580" s="226">
        <f t="shared" si="151"/>
        <v>0.22758144354744211</v>
      </c>
      <c r="AZ580" s="226">
        <f t="shared" si="151"/>
        <v>0.21699168960876083</v>
      </c>
      <c r="BA580" s="226">
        <f t="shared" si="151"/>
        <v>0.20689469503891816</v>
      </c>
      <c r="BB580" s="226">
        <f t="shared" si="151"/>
        <v>0.19726753090141716</v>
      </c>
      <c r="BC580" s="226">
        <f t="shared" si="151"/>
        <v>0.18808833518240534</v>
      </c>
      <c r="BD580" s="226">
        <f t="shared" si="151"/>
        <v>0.17933626314493861</v>
      </c>
      <c r="BE580" s="226">
        <f t="shared" si="151"/>
        <v>0.17099143999334629</v>
      </c>
    </row>
    <row r="581" spans="4:57" s="10" customFormat="1" ht="5.25" customHeight="1" x14ac:dyDescent="0.35">
      <c r="D581" s="169"/>
      <c r="E581" s="109"/>
      <c r="G581" s="302"/>
      <c r="I581" s="122"/>
      <c r="J581" s="226"/>
      <c r="K581" s="226"/>
      <c r="L581" s="226"/>
      <c r="M581" s="226"/>
      <c r="N581" s="226"/>
      <c r="O581" s="226"/>
      <c r="P581" s="226"/>
      <c r="Q581" s="226"/>
      <c r="R581" s="226"/>
      <c r="S581" s="226"/>
      <c r="T581" s="226"/>
      <c r="U581" s="226"/>
      <c r="V581" s="226"/>
      <c r="W581" s="226"/>
      <c r="X581" s="226"/>
      <c r="Y581" s="226"/>
      <c r="Z581" s="226"/>
      <c r="AA581" s="226"/>
      <c r="AB581" s="226"/>
      <c r="AC581" s="226"/>
      <c r="AD581" s="226"/>
      <c r="AE581" s="226"/>
      <c r="AF581" s="226"/>
      <c r="AG581" s="226"/>
      <c r="AH581" s="226"/>
      <c r="AI581" s="226"/>
      <c r="AJ581" s="226"/>
      <c r="AK581" s="226"/>
      <c r="AL581" s="226"/>
      <c r="AM581" s="226"/>
      <c r="AN581" s="226"/>
      <c r="AO581" s="226"/>
      <c r="AP581" s="226"/>
      <c r="AQ581" s="226"/>
      <c r="AR581" s="226"/>
      <c r="AS581" s="226"/>
      <c r="AT581" s="170"/>
      <c r="AU581" s="170"/>
      <c r="AV581" s="170"/>
      <c r="AW581" s="170"/>
      <c r="AX581" s="170"/>
      <c r="AY581" s="170"/>
      <c r="AZ581" s="170"/>
      <c r="BA581" s="170"/>
      <c r="BB581" s="170"/>
      <c r="BC581" s="170"/>
      <c r="BD581" s="170"/>
      <c r="BE581" s="170"/>
    </row>
    <row r="582" spans="4:57" s="10" customFormat="1" ht="15" customHeight="1" x14ac:dyDescent="0.35">
      <c r="D582" s="168" t="s">
        <v>683</v>
      </c>
      <c r="E582" s="109"/>
      <c r="G582" s="302"/>
      <c r="I582" s="122"/>
      <c r="J582" s="226"/>
      <c r="K582" s="226"/>
      <c r="L582" s="226"/>
      <c r="M582" s="226"/>
      <c r="N582" s="226"/>
      <c r="O582" s="226"/>
      <c r="P582" s="226"/>
      <c r="Q582" s="226"/>
      <c r="R582" s="226"/>
      <c r="S582" s="226"/>
      <c r="T582" s="226"/>
      <c r="U582" s="226"/>
      <c r="V582" s="226"/>
      <c r="W582" s="226"/>
      <c r="X582" s="226"/>
      <c r="Y582" s="226"/>
      <c r="Z582" s="226"/>
      <c r="AA582" s="226"/>
      <c r="AB582" s="226"/>
      <c r="AC582" s="226"/>
      <c r="AD582" s="226"/>
      <c r="AE582" s="226"/>
      <c r="AF582" s="226"/>
      <c r="AG582" s="226"/>
      <c r="AH582" s="226"/>
      <c r="AI582" s="226"/>
      <c r="AJ582" s="226"/>
      <c r="AK582" s="226"/>
      <c r="AL582" s="226"/>
      <c r="AM582" s="226"/>
      <c r="AN582" s="226"/>
      <c r="AO582" s="226"/>
      <c r="AP582" s="226"/>
      <c r="AQ582" s="226"/>
      <c r="AR582" s="226"/>
      <c r="AS582" s="226"/>
      <c r="AT582" s="170"/>
      <c r="AU582" s="170"/>
      <c r="AV582" s="170"/>
      <c r="AW582" s="170"/>
      <c r="AX582" s="170"/>
      <c r="AY582" s="170"/>
      <c r="AZ582" s="170"/>
      <c r="BA582" s="170"/>
      <c r="BB582" s="170"/>
      <c r="BC582" s="170"/>
      <c r="BD582" s="170"/>
      <c r="BE582" s="170"/>
    </row>
    <row r="583" spans="4:57" s="10" customFormat="1" ht="5.25" customHeight="1" x14ac:dyDescent="0.35">
      <c r="D583" s="169"/>
      <c r="E583" s="109"/>
      <c r="G583" s="302"/>
      <c r="I583" s="122"/>
      <c r="J583" s="226"/>
      <c r="K583" s="226"/>
      <c r="L583" s="226"/>
      <c r="M583" s="226"/>
      <c r="N583" s="226"/>
      <c r="O583" s="226"/>
      <c r="P583" s="226"/>
      <c r="Q583" s="226"/>
      <c r="R583" s="226"/>
      <c r="S583" s="226"/>
      <c r="T583" s="226"/>
      <c r="U583" s="226"/>
      <c r="V583" s="226"/>
      <c r="W583" s="226"/>
      <c r="X583" s="226"/>
      <c r="Y583" s="226"/>
      <c r="Z583" s="226"/>
      <c r="AA583" s="226"/>
      <c r="AB583" s="226"/>
      <c r="AC583" s="226"/>
      <c r="AD583" s="226"/>
      <c r="AE583" s="226"/>
      <c r="AF583" s="226"/>
      <c r="AG583" s="226"/>
      <c r="AH583" s="226"/>
      <c r="AI583" s="226"/>
      <c r="AJ583" s="226"/>
      <c r="AK583" s="226"/>
      <c r="AL583" s="226"/>
      <c r="AM583" s="226"/>
      <c r="AN583" s="226"/>
      <c r="AO583" s="226"/>
      <c r="AP583" s="226"/>
      <c r="AQ583" s="226"/>
      <c r="AR583" s="226"/>
      <c r="AS583" s="226"/>
      <c r="AT583" s="170"/>
      <c r="AU583" s="170"/>
      <c r="AV583" s="170"/>
      <c r="AW583" s="170"/>
      <c r="AX583" s="170"/>
      <c r="AY583" s="170"/>
      <c r="AZ583" s="170"/>
      <c r="BA583" s="170"/>
      <c r="BB583" s="170"/>
      <c r="BC583" s="170"/>
      <c r="BD583" s="170"/>
      <c r="BE583" s="170"/>
    </row>
    <row r="584" spans="4:57" s="10" customFormat="1" x14ac:dyDescent="0.35">
      <c r="E584" s="169" t="s">
        <v>614</v>
      </c>
      <c r="F584" s="10" t="s">
        <v>615</v>
      </c>
      <c r="G584" s="43" t="s">
        <v>616</v>
      </c>
      <c r="I584" s="20"/>
      <c r="J584" s="200"/>
      <c r="K584" s="200"/>
      <c r="L584" s="200"/>
      <c r="M584" s="200"/>
      <c r="N584" s="200">
        <v>1E-4</v>
      </c>
      <c r="O584" s="226">
        <f>N584*(1+($AH584/$N584)^(1/($AH$6-$N$6))-1)</f>
        <v>1E-4</v>
      </c>
      <c r="P584" s="226">
        <f t="shared" ref="P584:AG599" si="154">O584*(1+($AH584/$N584)^(1/($AH$6-$N$6))-1)</f>
        <v>1E-4</v>
      </c>
      <c r="Q584" s="226">
        <f t="shared" si="154"/>
        <v>1E-4</v>
      </c>
      <c r="R584" s="226">
        <f t="shared" si="154"/>
        <v>1E-4</v>
      </c>
      <c r="S584" s="226">
        <f t="shared" si="154"/>
        <v>1E-4</v>
      </c>
      <c r="T584" s="226">
        <f t="shared" si="154"/>
        <v>1E-4</v>
      </c>
      <c r="U584" s="226">
        <f t="shared" si="154"/>
        <v>1E-4</v>
      </c>
      <c r="V584" s="226">
        <f t="shared" si="154"/>
        <v>1E-4</v>
      </c>
      <c r="W584" s="226">
        <f t="shared" si="154"/>
        <v>1E-4</v>
      </c>
      <c r="X584" s="226">
        <f t="shared" si="154"/>
        <v>1E-4</v>
      </c>
      <c r="Y584" s="226">
        <f t="shared" si="154"/>
        <v>1E-4</v>
      </c>
      <c r="Z584" s="226">
        <f t="shared" si="154"/>
        <v>1E-4</v>
      </c>
      <c r="AA584" s="226">
        <f t="shared" si="154"/>
        <v>1E-4</v>
      </c>
      <c r="AB584" s="226">
        <f t="shared" si="154"/>
        <v>1E-4</v>
      </c>
      <c r="AC584" s="226">
        <f t="shared" si="154"/>
        <v>1E-4</v>
      </c>
      <c r="AD584" s="226">
        <f t="shared" si="154"/>
        <v>1E-4</v>
      </c>
      <c r="AE584" s="226">
        <f t="shared" si="154"/>
        <v>1E-4</v>
      </c>
      <c r="AF584" s="226">
        <f t="shared" si="154"/>
        <v>1E-4</v>
      </c>
      <c r="AG584" s="226">
        <f t="shared" si="154"/>
        <v>1E-4</v>
      </c>
      <c r="AH584" s="227">
        <v>1E-4</v>
      </c>
      <c r="AI584" s="226">
        <f>AH584*(1+($AH584/$N584)^(1/($AH$6-$N$6))-1)</f>
        <v>1E-4</v>
      </c>
      <c r="AJ584" s="226">
        <f t="shared" ref="AJ584:BB599" si="155">AI584*(1+($AH584/$N584)^(1/($AH$6-$N$6))-1)</f>
        <v>1E-4</v>
      </c>
      <c r="AK584" s="226">
        <f t="shared" si="155"/>
        <v>1E-4</v>
      </c>
      <c r="AL584" s="226">
        <f t="shared" si="155"/>
        <v>1E-4</v>
      </c>
      <c r="AM584" s="226">
        <f t="shared" si="155"/>
        <v>1E-4</v>
      </c>
      <c r="AN584" s="226">
        <f t="shared" si="155"/>
        <v>1E-4</v>
      </c>
      <c r="AO584" s="226">
        <f t="shared" si="155"/>
        <v>1E-4</v>
      </c>
      <c r="AP584" s="226">
        <f t="shared" si="155"/>
        <v>1E-4</v>
      </c>
      <c r="AQ584" s="226">
        <f t="shared" si="155"/>
        <v>1E-4</v>
      </c>
      <c r="AR584" s="226">
        <f t="shared" si="155"/>
        <v>1E-4</v>
      </c>
      <c r="AS584" s="226">
        <f t="shared" si="155"/>
        <v>1E-4</v>
      </c>
      <c r="AT584" s="226">
        <f t="shared" si="155"/>
        <v>1E-4</v>
      </c>
      <c r="AU584" s="226">
        <f t="shared" si="155"/>
        <v>1E-4</v>
      </c>
      <c r="AV584" s="226">
        <f t="shared" si="155"/>
        <v>1E-4</v>
      </c>
      <c r="AW584" s="226">
        <f t="shared" si="155"/>
        <v>1E-4</v>
      </c>
      <c r="AX584" s="226">
        <f t="shared" si="155"/>
        <v>1E-4</v>
      </c>
      <c r="AY584" s="226">
        <f t="shared" si="155"/>
        <v>1E-4</v>
      </c>
      <c r="AZ584" s="226">
        <f t="shared" si="155"/>
        <v>1E-4</v>
      </c>
      <c r="BA584" s="226">
        <f t="shared" si="155"/>
        <v>1E-4</v>
      </c>
      <c r="BB584" s="226">
        <f t="shared" si="155"/>
        <v>1E-4</v>
      </c>
      <c r="BC584" s="226">
        <f>BB584*(1+($AH584/$N584)^(1/($AH$6-$N$6))-1)</f>
        <v>1E-4</v>
      </c>
      <c r="BD584" s="226">
        <f>BC584*(1+($AH584/$N584)^(1/($AH$6-$N$6))-1)</f>
        <v>1E-4</v>
      </c>
      <c r="BE584" s="226">
        <f>BD584*(1+($AH584/$N584)^(1/($AH$6-$N$6))-1)</f>
        <v>1E-4</v>
      </c>
    </row>
    <row r="585" spans="4:57" s="10" customFormat="1" x14ac:dyDescent="0.35">
      <c r="D585" s="169"/>
      <c r="E585" s="10" t="s">
        <v>617</v>
      </c>
      <c r="F585" s="10" t="s">
        <v>615</v>
      </c>
      <c r="G585" s="43" t="s">
        <v>616</v>
      </c>
      <c r="I585" s="20"/>
      <c r="J585" s="200"/>
      <c r="K585" s="200"/>
      <c r="L585" s="200"/>
      <c r="M585" s="200"/>
      <c r="N585" s="200">
        <v>3.6799999999999999E-2</v>
      </c>
      <c r="O585" s="226">
        <f t="shared" ref="O585:AD600" si="156">N585*(1+($AH585/$N585)^(1/($AH$6-$N$6))-1)</f>
        <v>3.3401750004154851E-2</v>
      </c>
      <c r="P585" s="226">
        <f t="shared" si="156"/>
        <v>3.0317307155979852E-2</v>
      </c>
      <c r="Q585" s="226">
        <f t="shared" si="156"/>
        <v>2.7517693326717767E-2</v>
      </c>
      <c r="R585" s="226">
        <f t="shared" si="156"/>
        <v>2.4976606336685518E-2</v>
      </c>
      <c r="S585" s="226">
        <f t="shared" si="156"/>
        <v>2.267017284810216E-2</v>
      </c>
      <c r="T585" s="226">
        <f t="shared" si="156"/>
        <v>2.0576724076719767E-2</v>
      </c>
      <c r="U585" s="226">
        <f t="shared" si="156"/>
        <v>1.867659221508336E-2</v>
      </c>
      <c r="V585" s="226">
        <f t="shared" si="156"/>
        <v>1.6951925654830408E-2</v>
      </c>
      <c r="W585" s="226">
        <f t="shared" si="156"/>
        <v>1.5386521272056095E-2</v>
      </c>
      <c r="X585" s="226">
        <f t="shared" si="156"/>
        <v>1.3965672200076858E-2</v>
      </c>
      <c r="Y585" s="226">
        <f t="shared" si="156"/>
        <v>1.2676029659427783E-2</v>
      </c>
      <c r="Z585" s="226">
        <f t="shared" si="156"/>
        <v>1.1505477546996167E-2</v>
      </c>
      <c r="AA585" s="226">
        <f t="shared" si="156"/>
        <v>1.0443018606064749E-2</v>
      </c>
      <c r="AB585" s="226">
        <f t="shared" si="156"/>
        <v>9.4786711078400105E-3</v>
      </c>
      <c r="AC585" s="226">
        <f t="shared" si="156"/>
        <v>8.6033750737955841E-3</v>
      </c>
      <c r="AD585" s="226">
        <f t="shared" si="156"/>
        <v>7.8089071577961246E-3</v>
      </c>
      <c r="AE585" s="226">
        <f t="shared" si="154"/>
        <v>7.0878033883250416E-3</v>
      </c>
      <c r="AF585" s="226">
        <f t="shared" si="154"/>
        <v>6.4332890449846393E-3</v>
      </c>
      <c r="AG585" s="226">
        <f t="shared" si="154"/>
        <v>5.8392150104631798E-3</v>
      </c>
      <c r="AH585" s="227">
        <v>5.3E-3</v>
      </c>
      <c r="AI585" s="226">
        <f t="shared" ref="AI585:AX600" si="157">AH585*(1+($AH585/$N585)^(1/($AH$6-$N$6))-1)</f>
        <v>4.8105781255983887E-3</v>
      </c>
      <c r="AJ585" s="226">
        <f t="shared" si="157"/>
        <v>4.3663513023557933E-3</v>
      </c>
      <c r="AK585" s="226">
        <f t="shared" si="157"/>
        <v>3.9631460497718523E-3</v>
      </c>
      <c r="AL585" s="226">
        <f t="shared" si="157"/>
        <v>3.5971742821856861E-3</v>
      </c>
      <c r="AM585" s="226">
        <f t="shared" si="157"/>
        <v>3.2649977199712354E-3</v>
      </c>
      <c r="AN585" s="226">
        <f t="shared" si="157"/>
        <v>2.9634955871362715E-3</v>
      </c>
      <c r="AO585" s="226">
        <f t="shared" si="157"/>
        <v>2.6898352918462453E-3</v>
      </c>
      <c r="AP585" s="226">
        <f t="shared" si="157"/>
        <v>2.4414458144185105E-3</v>
      </c>
      <c r="AQ585" s="226">
        <f t="shared" si="157"/>
        <v>2.215993552768949E-3</v>
      </c>
      <c r="AR585" s="226">
        <f t="shared" si="157"/>
        <v>2.0113603983806347E-3</v>
      </c>
      <c r="AS585" s="226">
        <f t="shared" si="157"/>
        <v>1.8256238368197625E-3</v>
      </c>
      <c r="AT585" s="226">
        <f t="shared" si="157"/>
        <v>1.657038885844557E-3</v>
      </c>
      <c r="AU585" s="226">
        <f t="shared" si="157"/>
        <v>1.5040217014169342E-3</v>
      </c>
      <c r="AV585" s="226">
        <f t="shared" si="157"/>
        <v>1.3651346975965236E-3</v>
      </c>
      <c r="AW585" s="226">
        <f t="shared" si="157"/>
        <v>1.239073040519473E-3</v>
      </c>
      <c r="AX585" s="226">
        <f t="shared" si="157"/>
        <v>1.1246523895738986E-3</v>
      </c>
      <c r="AY585" s="226">
        <f t="shared" si="155"/>
        <v>1.0207977706011612E-3</v>
      </c>
      <c r="AZ585" s="226">
        <f t="shared" si="155"/>
        <v>9.2653347658746188E-4</v>
      </c>
      <c r="BA585" s="226">
        <f t="shared" si="155"/>
        <v>8.4097390096344736E-4</v>
      </c>
      <c r="BB585" s="226">
        <f t="shared" si="155"/>
        <v>7.6331521739130296E-4</v>
      </c>
      <c r="BC585" s="226">
        <f t="shared" ref="BB585:BE600" si="158">BB585*(1+($AH585/$N585)^(1/($AH$6-$N$6))-1)</f>
        <v>6.9282782787150575E-4</v>
      </c>
      <c r="BD585" s="226">
        <f t="shared" si="158"/>
        <v>6.2884950821971914E-4</v>
      </c>
      <c r="BE585" s="226">
        <f t="shared" si="158"/>
        <v>5.7077918651605379E-4</v>
      </c>
    </row>
    <row r="586" spans="4:57" s="10" customFormat="1" x14ac:dyDescent="0.35">
      <c r="D586" s="169"/>
      <c r="E586" s="10" t="s">
        <v>618</v>
      </c>
      <c r="F586" s="10" t="s">
        <v>615</v>
      </c>
      <c r="G586" s="43" t="s">
        <v>616</v>
      </c>
      <c r="I586" s="20"/>
      <c r="J586" s="200"/>
      <c r="K586" s="200"/>
      <c r="L586" s="200"/>
      <c r="M586" s="200"/>
      <c r="N586" s="200">
        <v>3.4599999999999999E-2</v>
      </c>
      <c r="O586" s="226">
        <f t="shared" si="156"/>
        <v>3.137849413853365E-2</v>
      </c>
      <c r="P586" s="226">
        <f t="shared" si="156"/>
        <v>2.8456933364219384E-2</v>
      </c>
      <c r="Q586" s="226">
        <f t="shared" si="156"/>
        <v>2.5807390658086724E-2</v>
      </c>
      <c r="R586" s="226">
        <f t="shared" si="156"/>
        <v>2.3404539205075792E-2</v>
      </c>
      <c r="S586" s="226">
        <f t="shared" si="156"/>
        <v>2.1225410296576642E-2</v>
      </c>
      <c r="T586" s="226">
        <f t="shared" si="156"/>
        <v>1.9249173773962486E-2</v>
      </c>
      <c r="U586" s="226">
        <f t="shared" si="156"/>
        <v>1.7456938914390104E-2</v>
      </c>
      <c r="V586" s="226">
        <f t="shared" si="156"/>
        <v>1.5831573855547107E-2</v>
      </c>
      <c r="W586" s="226">
        <f t="shared" si="156"/>
        <v>1.4357541833238367E-2</v>
      </c>
      <c r="X586" s="226">
        <f t="shared" si="156"/>
        <v>1.3020752666416814E-2</v>
      </c>
      <c r="Y586" s="226">
        <f t="shared" si="156"/>
        <v>1.1808428070013191E-2</v>
      </c>
      <c r="Z586" s="226">
        <f t="shared" si="156"/>
        <v>1.0708979508098414E-2</v>
      </c>
      <c r="AA586" s="226">
        <f t="shared" si="156"/>
        <v>9.7118974197844821E-3</v>
      </c>
      <c r="AB586" s="226">
        <f t="shared" si="156"/>
        <v>8.8076507589811403E-3</v>
      </c>
      <c r="AC586" s="226">
        <f t="shared" si="156"/>
        <v>7.987595887715063E-3</v>
      </c>
      <c r="AD586" s="226">
        <f t="shared" si="156"/>
        <v>7.2438939521283991E-3</v>
      </c>
      <c r="AE586" s="226">
        <f t="shared" si="154"/>
        <v>6.5694359513589692E-3</v>
      </c>
      <c r="AF586" s="226">
        <f t="shared" si="154"/>
        <v>5.9577747830401638E-3</v>
      </c>
      <c r="AG586" s="226">
        <f t="shared" si="154"/>
        <v>5.4030636158476694E-3</v>
      </c>
      <c r="AH586" s="227">
        <v>4.8999999999999998E-3</v>
      </c>
      <c r="AI586" s="226">
        <f t="shared" si="157"/>
        <v>4.4437751814686384E-3</v>
      </c>
      <c r="AJ586" s="226">
        <f t="shared" si="157"/>
        <v>4.0300281353952304E-3</v>
      </c>
      <c r="AK586" s="226">
        <f t="shared" si="157"/>
        <v>3.65480387932442E-3</v>
      </c>
      <c r="AL586" s="226">
        <f t="shared" si="157"/>
        <v>3.3145156677708487E-3</v>
      </c>
      <c r="AM586" s="226">
        <f t="shared" si="157"/>
        <v>3.0059107067406223E-3</v>
      </c>
      <c r="AN586" s="226">
        <f t="shared" si="157"/>
        <v>2.7260390604744553E-3</v>
      </c>
      <c r="AO586" s="226">
        <f t="shared" si="157"/>
        <v>2.4722254531939734E-3</v>
      </c>
      <c r="AP586" s="226">
        <f t="shared" si="157"/>
        <v>2.2420436963058034E-3</v>
      </c>
      <c r="AQ586" s="226">
        <f t="shared" si="157"/>
        <v>2.0332934966146811E-3</v>
      </c>
      <c r="AR586" s="226">
        <f t="shared" si="157"/>
        <v>1.8439794238567157E-3</v>
      </c>
      <c r="AS586" s="226">
        <f t="shared" si="157"/>
        <v>1.6722918365047576E-3</v>
      </c>
      <c r="AT586" s="226">
        <f t="shared" si="157"/>
        <v>1.5165895835168269E-3</v>
      </c>
      <c r="AU586" s="226">
        <f t="shared" si="157"/>
        <v>1.3753843166746805E-3</v>
      </c>
      <c r="AV586" s="226">
        <f t="shared" si="157"/>
        <v>1.2473262635551321E-3</v>
      </c>
      <c r="AW586" s="226">
        <f t="shared" si="157"/>
        <v>1.1311913251388379E-3</v>
      </c>
      <c r="AX586" s="226">
        <f t="shared" si="157"/>
        <v>1.0258693747233856E-3</v>
      </c>
      <c r="AY586" s="226">
        <f t="shared" si="155"/>
        <v>9.3035364629072068E-4</v>
      </c>
      <c r="AZ586" s="226">
        <f t="shared" si="155"/>
        <v>8.4373111089297071E-4</v>
      </c>
      <c r="BA586" s="226">
        <f t="shared" si="155"/>
        <v>7.6517374906513204E-4</v>
      </c>
      <c r="BB586" s="226">
        <f t="shared" si="158"/>
        <v>6.9393063583815214E-4</v>
      </c>
      <c r="BC586" s="226">
        <f t="shared" si="158"/>
        <v>6.2932076269353718E-4</v>
      </c>
      <c r="BD586" s="226">
        <f t="shared" si="158"/>
        <v>5.7072652784499083E-4</v>
      </c>
      <c r="BE586" s="226">
        <f t="shared" si="158"/>
        <v>5.1758783262108982E-4</v>
      </c>
    </row>
    <row r="587" spans="4:57" s="10" customFormat="1" x14ac:dyDescent="0.35">
      <c r="D587" s="169"/>
      <c r="E587" s="10" t="s">
        <v>619</v>
      </c>
      <c r="F587" s="10" t="s">
        <v>615</v>
      </c>
      <c r="G587" s="43" t="s">
        <v>616</v>
      </c>
      <c r="I587" s="20"/>
      <c r="J587" s="200"/>
      <c r="K587" s="200"/>
      <c r="L587" s="200"/>
      <c r="M587" s="200"/>
      <c r="N587" s="200">
        <v>3.2500000000000001E-2</v>
      </c>
      <c r="O587" s="226">
        <f t="shared" si="156"/>
        <v>2.9473185976280004E-2</v>
      </c>
      <c r="P587" s="226">
        <f t="shared" si="156"/>
        <v>2.6728267433611945E-2</v>
      </c>
      <c r="Q587" s="226">
        <f t="shared" si="156"/>
        <v>2.4238990673679787E-2</v>
      </c>
      <c r="R587" s="226">
        <f t="shared" si="156"/>
        <v>2.1981547077005566E-2</v>
      </c>
      <c r="S587" s="226">
        <f t="shared" si="156"/>
        <v>1.9934345386059666E-2</v>
      </c>
      <c r="T587" s="226">
        <f t="shared" si="156"/>
        <v>1.8077805196268792E-2</v>
      </c>
      <c r="U587" s="226">
        <f t="shared" si="156"/>
        <v>1.6394169679772034E-2</v>
      </c>
      <c r="V587" s="226">
        <f t="shared" si="156"/>
        <v>1.4867335750726521E-2</v>
      </c>
      <c r="W587" s="226">
        <f t="shared" si="156"/>
        <v>1.3482700047783361E-2</v>
      </c>
      <c r="X587" s="226">
        <f t="shared" si="156"/>
        <v>1.2227019260637486E-2</v>
      </c>
      <c r="Y587" s="226">
        <f t="shared" si="156"/>
        <v>1.1088283464748499E-2</v>
      </c>
      <c r="Z587" s="226">
        <f t="shared" si="156"/>
        <v>1.0055601252745936E-2</v>
      </c>
      <c r="AA587" s="226">
        <f t="shared" si="156"/>
        <v>9.1190955638613888E-3</v>
      </c>
      <c r="AB587" s="226">
        <f t="shared" si="156"/>
        <v>8.2698092150509748E-3</v>
      </c>
      <c r="AC587" s="226">
        <f t="shared" si="156"/>
        <v>7.4996192302631236E-3</v>
      </c>
      <c r="AD587" s="226">
        <f t="shared" si="156"/>
        <v>6.801159148456336E-3</v>
      </c>
      <c r="AE587" s="226">
        <f t="shared" si="154"/>
        <v>6.1677485672840529E-3</v>
      </c>
      <c r="AF587" s="226">
        <f t="shared" si="154"/>
        <v>5.5933292485691516E-3</v>
      </c>
      <c r="AG587" s="226">
        <f t="shared" si="154"/>
        <v>5.0724071744506181E-3</v>
      </c>
      <c r="AH587" s="227">
        <v>4.5999999999999999E-3</v>
      </c>
      <c r="AI587" s="226">
        <f t="shared" si="157"/>
        <v>4.1715893997196314E-3</v>
      </c>
      <c r="AJ587" s="226">
        <f t="shared" si="157"/>
        <v>3.7830778521419986E-3</v>
      </c>
      <c r="AK587" s="226">
        <f t="shared" si="157"/>
        <v>3.4307494491977548E-3</v>
      </c>
      <c r="AL587" s="226">
        <f t="shared" si="157"/>
        <v>3.1112343555146343E-3</v>
      </c>
      <c r="AM587" s="226">
        <f t="shared" si="157"/>
        <v>2.8214765777192143E-3</v>
      </c>
      <c r="AN587" s="226">
        <f t="shared" si="157"/>
        <v>2.5587047354718906E-3</v>
      </c>
      <c r="AO587" s="226">
        <f t="shared" si="157"/>
        <v>2.3204055546754265E-3</v>
      </c>
      <c r="AP587" s="226">
        <f t="shared" si="157"/>
        <v>2.1042998293336001E-3</v>
      </c>
      <c r="AQ587" s="226">
        <f t="shared" si="157"/>
        <v>1.9083206221477988E-3</v>
      </c>
      <c r="AR587" s="226">
        <f t="shared" si="157"/>
        <v>1.7305934953517671E-3</v>
      </c>
      <c r="AS587" s="226">
        <f t="shared" si="157"/>
        <v>1.5694185827028644E-3</v>
      </c>
      <c r="AT587" s="226">
        <f t="shared" si="157"/>
        <v>1.4232543311578862E-3</v>
      </c>
      <c r="AU587" s="226">
        <f t="shared" si="157"/>
        <v>1.2907027567311503E-3</v>
      </c>
      <c r="AV587" s="226">
        <f t="shared" si="157"/>
        <v>1.1704960735149071E-3</v>
      </c>
      <c r="AW587" s="226">
        <f t="shared" si="157"/>
        <v>1.0614845679757035E-3</v>
      </c>
      <c r="AX587" s="226">
        <f t="shared" si="157"/>
        <v>9.6262560255074275E-4</v>
      </c>
      <c r="AY587" s="226">
        <f t="shared" si="155"/>
        <v>8.7297364336943507E-4</v>
      </c>
      <c r="AZ587" s="226">
        <f t="shared" si="155"/>
        <v>7.9167121672055673E-4</v>
      </c>
      <c r="BA587" s="226">
        <f t="shared" si="155"/>
        <v>7.1794070776839503E-4</v>
      </c>
      <c r="BB587" s="226">
        <f t="shared" si="158"/>
        <v>6.5107692307692306E-4</v>
      </c>
      <c r="BC587" s="226">
        <f t="shared" si="158"/>
        <v>5.9044034580647083E-4</v>
      </c>
      <c r="BD587" s="226">
        <f t="shared" si="158"/>
        <v>5.3545101907240592E-4</v>
      </c>
      <c r="BE587" s="226">
        <f t="shared" si="158"/>
        <v>4.8558299896337445E-4</v>
      </c>
    </row>
    <row r="588" spans="4:57" s="10" customFormat="1" x14ac:dyDescent="0.35">
      <c r="D588" s="169"/>
      <c r="E588" s="10" t="s">
        <v>620</v>
      </c>
      <c r="F588" s="10" t="s">
        <v>615</v>
      </c>
      <c r="G588" s="43" t="s">
        <v>616</v>
      </c>
      <c r="I588" s="20"/>
      <c r="J588" s="200"/>
      <c r="K588" s="200"/>
      <c r="L588" s="200"/>
      <c r="M588" s="200"/>
      <c r="N588" s="200">
        <v>3.0599999999999999E-2</v>
      </c>
      <c r="O588" s="226">
        <f t="shared" si="156"/>
        <v>2.7707530481237384E-2</v>
      </c>
      <c r="P588" s="226">
        <f t="shared" si="156"/>
        <v>2.508847207087251E-2</v>
      </c>
      <c r="Q588" s="226">
        <f t="shared" si="156"/>
        <v>2.271698054350892E-2</v>
      </c>
      <c r="R588" s="226">
        <f t="shared" si="156"/>
        <v>2.0569654602972224E-2</v>
      </c>
      <c r="S588" s="226">
        <f t="shared" si="156"/>
        <v>1.8625304964064632E-2</v>
      </c>
      <c r="T588" s="226">
        <f t="shared" si="156"/>
        <v>1.6864745261900745E-2</v>
      </c>
      <c r="U588" s="226">
        <f t="shared" si="156"/>
        <v>1.5270602725569238E-2</v>
      </c>
      <c r="V588" s="226">
        <f t="shared" si="156"/>
        <v>1.3827146747894653E-2</v>
      </c>
      <c r="W588" s="226">
        <f t="shared" si="156"/>
        <v>1.2520133659667761E-2</v>
      </c>
      <c r="X588" s="226">
        <f t="shared" si="156"/>
        <v>1.1336666176614729E-2</v>
      </c>
      <c r="Y588" s="226">
        <f t="shared" si="156"/>
        <v>1.026506613216227E-2</v>
      </c>
      <c r="Z588" s="226">
        <f t="shared" si="156"/>
        <v>9.2947592401569825E-3</v>
      </c>
      <c r="AA588" s="226">
        <f t="shared" si="156"/>
        <v>8.4161707504056358E-3</v>
      </c>
      <c r="AB588" s="226">
        <f t="shared" si="156"/>
        <v>7.6206309673909371E-3</v>
      </c>
      <c r="AC588" s="226">
        <f t="shared" si="156"/>
        <v>6.9002896998446384E-3</v>
      </c>
      <c r="AD588" s="226">
        <f t="shared" si="156"/>
        <v>6.2480387969873754E-3</v>
      </c>
      <c r="AE588" s="226">
        <f t="shared" si="154"/>
        <v>5.6574420070418779E-3</v>
      </c>
      <c r="AF588" s="226">
        <f t="shared" si="154"/>
        <v>5.1226714658805768E-3</v>
      </c>
      <c r="AG588" s="226">
        <f t="shared" si="154"/>
        <v>4.6384501890931731E-3</v>
      </c>
      <c r="AH588" s="227">
        <v>4.1999999999999997E-3</v>
      </c>
      <c r="AI588" s="226">
        <f t="shared" si="157"/>
        <v>3.8029943797776803E-3</v>
      </c>
      <c r="AJ588" s="226">
        <f t="shared" si="157"/>
        <v>3.443515774433482E-3</v>
      </c>
      <c r="AK588" s="226">
        <f t="shared" si="157"/>
        <v>3.1180169373443618E-3</v>
      </c>
      <c r="AL588" s="226">
        <f t="shared" si="157"/>
        <v>2.8232859258981485E-3</v>
      </c>
      <c r="AM588" s="226">
        <f t="shared" si="157"/>
        <v>2.556414406832401E-3</v>
      </c>
      <c r="AN588" s="226">
        <f t="shared" si="157"/>
        <v>2.3147689575157889E-3</v>
      </c>
      <c r="AO588" s="226">
        <f t="shared" si="157"/>
        <v>2.095965079980092E-3</v>
      </c>
      <c r="AP588" s="226">
        <f t="shared" si="157"/>
        <v>1.8978436712796586E-3</v>
      </c>
      <c r="AQ588" s="226">
        <f t="shared" si="157"/>
        <v>1.7184497179936146E-3</v>
      </c>
      <c r="AR588" s="226">
        <f t="shared" si="157"/>
        <v>1.5560130046333943E-3</v>
      </c>
      <c r="AS588" s="226">
        <f t="shared" si="157"/>
        <v>1.4089306455909E-3</v>
      </c>
      <c r="AT588" s="226">
        <f t="shared" si="157"/>
        <v>1.2757512682568409E-3</v>
      </c>
      <c r="AU588" s="226">
        <f t="shared" si="157"/>
        <v>1.1551606912321461E-3</v>
      </c>
      <c r="AV588" s="226">
        <f t="shared" si="157"/>
        <v>1.0459689563085601E-3</v>
      </c>
      <c r="AW588" s="226">
        <f t="shared" si="157"/>
        <v>9.4709858625318581E-4</v>
      </c>
      <c r="AX588" s="226">
        <f t="shared" si="157"/>
        <v>8.5757395252767917E-4</v>
      </c>
      <c r="AY588" s="226">
        <f t="shared" si="155"/>
        <v>7.7651164802535605E-4</v>
      </c>
      <c r="AZ588" s="226">
        <f t="shared" si="155"/>
        <v>7.0311176982674605E-4</v>
      </c>
      <c r="BA588" s="226">
        <f t="shared" si="155"/>
        <v>6.366500259539651E-4</v>
      </c>
      <c r="BB588" s="226">
        <f t="shared" si="158"/>
        <v>5.7647058823529613E-4</v>
      </c>
      <c r="BC588" s="226">
        <f t="shared" si="158"/>
        <v>5.2197962075380112E-4</v>
      </c>
      <c r="BD588" s="226">
        <f t="shared" si="158"/>
        <v>4.7263942002028349E-4</v>
      </c>
      <c r="BE588" s="226">
        <f t="shared" si="158"/>
        <v>4.2796310904726683E-4</v>
      </c>
    </row>
    <row r="589" spans="4:57" s="10" customFormat="1" x14ac:dyDescent="0.35">
      <c r="D589" s="169"/>
      <c r="E589" s="10" t="s">
        <v>621</v>
      </c>
      <c r="F589" s="10" t="s">
        <v>615</v>
      </c>
      <c r="G589" s="43" t="s">
        <v>616</v>
      </c>
      <c r="I589" s="20"/>
      <c r="J589" s="200"/>
      <c r="K589" s="200"/>
      <c r="L589" s="200"/>
      <c r="M589" s="200"/>
      <c r="N589" s="200">
        <v>2.87E-2</v>
      </c>
      <c r="O589" s="226">
        <f t="shared" si="156"/>
        <v>2.5974131340361202E-2</v>
      </c>
      <c r="P589" s="226">
        <f t="shared" si="156"/>
        <v>2.3507160239941951E-2</v>
      </c>
      <c r="Q589" s="226">
        <f t="shared" si="156"/>
        <v>2.1274497125824705E-2</v>
      </c>
      <c r="R589" s="226">
        <f t="shared" si="156"/>
        <v>1.9253887893599574E-2</v>
      </c>
      <c r="S589" s="226">
        <f t="shared" si="156"/>
        <v>1.7425192089231562E-2</v>
      </c>
      <c r="T589" s="226">
        <f t="shared" si="156"/>
        <v>1.5770182158770858E-2</v>
      </c>
      <c r="U589" s="226">
        <f t="shared" si="156"/>
        <v>1.4272361764924572E-2</v>
      </c>
      <c r="V589" s="226">
        <f t="shared" si="156"/>
        <v>1.29168013595575E-2</v>
      </c>
      <c r="W589" s="226">
        <f t="shared" si="156"/>
        <v>1.1689989373188246E-2</v>
      </c>
      <c r="X589" s="226">
        <f t="shared" si="156"/>
        <v>1.0579697538209695E-2</v>
      </c>
      <c r="Y589" s="226">
        <f t="shared" si="156"/>
        <v>9.5748590034409296E-3</v>
      </c>
      <c r="Z589" s="226">
        <f t="shared" si="156"/>
        <v>8.6654580251154939E-3</v>
      </c>
      <c r="AA589" s="226">
        <f t="shared" si="156"/>
        <v>7.8424301347991936E-3</v>
      </c>
      <c r="AB589" s="226">
        <f t="shared" si="156"/>
        <v>7.0975717891596122E-3</v>
      </c>
      <c r="AC589" s="226">
        <f t="shared" si="156"/>
        <v>6.4234586010200071E-3</v>
      </c>
      <c r="AD589" s="226">
        <f t="shared" si="156"/>
        <v>5.8133713366643374E-3</v>
      </c>
      <c r="AE589" s="226">
        <f t="shared" si="154"/>
        <v>5.2612289417704062E-3</v>
      </c>
      <c r="AF589" s="226">
        <f t="shared" si="154"/>
        <v>4.7615279284060662E-3</v>
      </c>
      <c r="AG589" s="226">
        <f t="shared" si="154"/>
        <v>4.3092875189274273E-3</v>
      </c>
      <c r="AH589" s="227">
        <v>3.8999999999999998E-3</v>
      </c>
      <c r="AI589" s="226">
        <f t="shared" si="157"/>
        <v>3.5295857918957729E-3</v>
      </c>
      <c r="AJ589" s="226">
        <f t="shared" si="157"/>
        <v>3.1943527852185925E-3</v>
      </c>
      <c r="AK589" s="226">
        <f t="shared" si="157"/>
        <v>2.8909595397462141E-3</v>
      </c>
      <c r="AL589" s="226">
        <f t="shared" si="157"/>
        <v>2.6163819785727641E-3</v>
      </c>
      <c r="AM589" s="226">
        <f t="shared" si="157"/>
        <v>2.3678832455750203E-3</v>
      </c>
      <c r="AN589" s="226">
        <f t="shared" si="157"/>
        <v>2.1429864257563182E-3</v>
      </c>
      <c r="AO589" s="226">
        <f t="shared" si="157"/>
        <v>1.9394498565576941E-3</v>
      </c>
      <c r="AP589" s="226">
        <f t="shared" si="157"/>
        <v>1.7552447840513672E-3</v>
      </c>
      <c r="AQ589" s="226">
        <f t="shared" si="157"/>
        <v>1.5885351413043257E-3</v>
      </c>
      <c r="AR589" s="226">
        <f t="shared" si="157"/>
        <v>1.4376592473525364E-3</v>
      </c>
      <c r="AS589" s="226">
        <f t="shared" si="157"/>
        <v>1.3011132443700214E-3</v>
      </c>
      <c r="AT589" s="226">
        <f t="shared" si="157"/>
        <v>1.1775361079425233E-3</v>
      </c>
      <c r="AU589" s="226">
        <f t="shared" si="157"/>
        <v>1.0656960810354302E-3</v>
      </c>
      <c r="AV589" s="226">
        <f t="shared" si="157"/>
        <v>9.6447839643632328E-4</v>
      </c>
      <c r="AW589" s="226">
        <f t="shared" si="157"/>
        <v>8.7287416529540144E-4</v>
      </c>
      <c r="AX589" s="226">
        <f t="shared" si="157"/>
        <v>7.8997032101013631E-4</v>
      </c>
      <c r="AY589" s="226">
        <f t="shared" si="155"/>
        <v>7.1494051821967177E-4</v>
      </c>
      <c r="AZ589" s="226">
        <f t="shared" si="155"/>
        <v>6.4703689619455252E-4</v>
      </c>
      <c r="BA589" s="226">
        <f t="shared" si="155"/>
        <v>5.8558262452323919E-4</v>
      </c>
      <c r="BB589" s="226">
        <f t="shared" si="158"/>
        <v>5.2996515679442626E-4</v>
      </c>
      <c r="BC589" s="226">
        <f t="shared" si="158"/>
        <v>4.7963012503113398E-4</v>
      </c>
      <c r="BD589" s="226">
        <f t="shared" si="158"/>
        <v>4.3407581401925225E-4</v>
      </c>
      <c r="BE589" s="226">
        <f t="shared" si="158"/>
        <v>3.928481604533192E-4</v>
      </c>
    </row>
    <row r="590" spans="4:57" s="10" customFormat="1" x14ac:dyDescent="0.35">
      <c r="D590" s="169"/>
      <c r="E590" s="10" t="s">
        <v>622</v>
      </c>
      <c r="F590" s="10" t="s">
        <v>615</v>
      </c>
      <c r="G590" s="43" t="s">
        <v>616</v>
      </c>
      <c r="I590" s="20"/>
      <c r="J590" s="200"/>
      <c r="K590" s="200"/>
      <c r="L590" s="200"/>
      <c r="M590" s="200"/>
      <c r="N590" s="200">
        <v>2.7E-2</v>
      </c>
      <c r="O590" s="226">
        <f t="shared" si="156"/>
        <v>2.4445879245163324E-2</v>
      </c>
      <c r="P590" s="226">
        <f t="shared" si="156"/>
        <v>2.2133370817374334E-2</v>
      </c>
      <c r="Q590" s="226">
        <f t="shared" si="156"/>
        <v>2.0039618899627958E-2</v>
      </c>
      <c r="R590" s="226">
        <f t="shared" si="156"/>
        <v>1.8143929768125844E-2</v>
      </c>
      <c r="S590" s="226">
        <f t="shared" si="156"/>
        <v>1.6427567264604762E-2</v>
      </c>
      <c r="T590" s="226">
        <f t="shared" si="156"/>
        <v>1.4873567616382444E-2</v>
      </c>
      <c r="U590" s="226">
        <f t="shared" si="156"/>
        <v>1.3466571773883591E-2</v>
      </c>
      <c r="V590" s="226">
        <f t="shared" si="156"/>
        <v>1.2192673608543821E-2</v>
      </c>
      <c r="W590" s="226">
        <f t="shared" si="156"/>
        <v>1.103928247074637E-2</v>
      </c>
      <c r="X590" s="226">
        <f t="shared" si="156"/>
        <v>9.9949987493745916E-3</v>
      </c>
      <c r="Y590" s="226">
        <f t="shared" si="156"/>
        <v>9.049501203065545E-3</v>
      </c>
      <c r="Z590" s="226">
        <f t="shared" si="156"/>
        <v>8.1934449495963159E-3</v>
      </c>
      <c r="AA590" s="226">
        <f t="shared" si="156"/>
        <v>7.4183691051749939E-3</v>
      </c>
      <c r="AB590" s="226">
        <f t="shared" si="156"/>
        <v>6.716613160783637E-3</v>
      </c>
      <c r="AC590" s="226">
        <f t="shared" si="156"/>
        <v>6.0812412690737609E-3</v>
      </c>
      <c r="AD590" s="226">
        <f t="shared" si="156"/>
        <v>5.5059736934992935E-3</v>
      </c>
      <c r="AE590" s="226">
        <f t="shared" si="154"/>
        <v>4.9851247421603571E-3</v>
      </c>
      <c r="AF590" s="226">
        <f t="shared" si="154"/>
        <v>4.5135465729232611E-3</v>
      </c>
      <c r="AG590" s="226">
        <f t="shared" si="154"/>
        <v>4.0865783144112145E-3</v>
      </c>
      <c r="AH590" s="227">
        <v>3.7000000000000002E-3</v>
      </c>
      <c r="AI590" s="226">
        <f t="shared" si="157"/>
        <v>3.3499908595223818E-3</v>
      </c>
      <c r="AJ590" s="226">
        <f t="shared" si="157"/>
        <v>3.0330915564550013E-3</v>
      </c>
      <c r="AK590" s="226">
        <f t="shared" si="157"/>
        <v>2.7461699973564237E-3</v>
      </c>
      <c r="AL590" s="226">
        <f t="shared" si="157"/>
        <v>2.48639037563206E-3</v>
      </c>
      <c r="AM590" s="226">
        <f t="shared" si="157"/>
        <v>2.2511851436680598E-3</v>
      </c>
      <c r="AN590" s="226">
        <f t="shared" si="157"/>
        <v>2.0382296363190755E-3</v>
      </c>
      <c r="AO590" s="226">
        <f t="shared" si="157"/>
        <v>1.8454190949396029E-3</v>
      </c>
      <c r="AP590" s="226">
        <f t="shared" si="157"/>
        <v>1.6708478648745232E-3</v>
      </c>
      <c r="AQ590" s="226">
        <f t="shared" si="157"/>
        <v>1.5127905608059839E-3</v>
      </c>
      <c r="AR590" s="226">
        <f t="shared" si="157"/>
        <v>1.3696850138031848E-3</v>
      </c>
      <c r="AS590" s="226">
        <f t="shared" si="157"/>
        <v>1.2401168315312042E-3</v>
      </c>
      <c r="AT590" s="226">
        <f t="shared" si="157"/>
        <v>1.1228054190187543E-3</v>
      </c>
      <c r="AU590" s="226">
        <f t="shared" si="157"/>
        <v>1.0165913218202769E-3</v>
      </c>
      <c r="AV590" s="226">
        <f t="shared" si="157"/>
        <v>9.2042476647775766E-4</v>
      </c>
      <c r="AW590" s="226">
        <f t="shared" si="157"/>
        <v>8.3335528502121912E-4</v>
      </c>
      <c r="AX590" s="226">
        <f t="shared" si="157"/>
        <v>7.5452232096101437E-4</v>
      </c>
      <c r="AY590" s="226">
        <f t="shared" si="155"/>
        <v>6.8314672392567855E-4</v>
      </c>
      <c r="AZ590" s="226">
        <f t="shared" si="155"/>
        <v>6.185230488820765E-4</v>
      </c>
      <c r="BA590" s="226">
        <f t="shared" si="155"/>
        <v>5.6001258382672202E-4</v>
      </c>
      <c r="BB590" s="226">
        <f t="shared" si="158"/>
        <v>5.0703703703703523E-4</v>
      </c>
      <c r="BC590" s="226">
        <f t="shared" si="158"/>
        <v>4.5907282149010249E-4</v>
      </c>
      <c r="BD590" s="226">
        <f t="shared" si="158"/>
        <v>4.1564587995864682E-4</v>
      </c>
      <c r="BE590" s="226">
        <f t="shared" si="158"/>
        <v>3.7632699963773079E-4</v>
      </c>
    </row>
    <row r="591" spans="4:57" s="10" customFormat="1" x14ac:dyDescent="0.35">
      <c r="D591" s="169"/>
      <c r="E591" s="109" t="s">
        <v>623</v>
      </c>
      <c r="F591" s="10" t="s">
        <v>615</v>
      </c>
      <c r="G591" s="43" t="s">
        <v>616</v>
      </c>
      <c r="I591" s="20"/>
      <c r="J591" s="200"/>
      <c r="K591" s="200"/>
      <c r="L591" s="200"/>
      <c r="M591" s="200"/>
      <c r="N591" s="200">
        <v>2.41E-2</v>
      </c>
      <c r="O591" s="226">
        <f t="shared" si="156"/>
        <v>2.1819353951886493E-2</v>
      </c>
      <c r="P591" s="226">
        <f t="shared" si="156"/>
        <v>1.9754531405713888E-2</v>
      </c>
      <c r="Q591" s="226">
        <f t="shared" si="156"/>
        <v>1.7885108418876729E-2</v>
      </c>
      <c r="R591" s="226">
        <f t="shared" si="156"/>
        <v>1.6192593819889474E-2</v>
      </c>
      <c r="S591" s="226">
        <f t="shared" si="156"/>
        <v>1.4660246305199093E-2</v>
      </c>
      <c r="T591" s="226">
        <f t="shared" si="156"/>
        <v>1.3272908844604778E-2</v>
      </c>
      <c r="U591" s="226">
        <f t="shared" si="156"/>
        <v>1.2016858757325994E-2</v>
      </c>
      <c r="V591" s="226">
        <f t="shared" si="156"/>
        <v>1.0879671975764428E-2</v>
      </c>
      <c r="W591" s="226">
        <f t="shared" si="156"/>
        <v>9.8501001543412573E-3</v>
      </c>
      <c r="X591" s="226">
        <f t="shared" si="156"/>
        <v>8.9179594078466241E-3</v>
      </c>
      <c r="Y591" s="226">
        <f t="shared" si="156"/>
        <v>8.0740295787701897E-3</v>
      </c>
      <c r="Z591" s="226">
        <f t="shared" si="156"/>
        <v>7.3099630372277079E-3</v>
      </c>
      <c r="AA591" s="226">
        <f t="shared" si="156"/>
        <v>6.6182021113891524E-3</v>
      </c>
      <c r="AB591" s="226">
        <f t="shared" si="156"/>
        <v>5.9919043316814281E-3</v>
      </c>
      <c r="AC591" s="226">
        <f t="shared" si="156"/>
        <v>5.4248747493277575E-3</v>
      </c>
      <c r="AD591" s="226">
        <f t="shared" si="156"/>
        <v>4.9115046597607405E-3</v>
      </c>
      <c r="AE591" s="226">
        <f t="shared" si="154"/>
        <v>4.4467161247991466E-3</v>
      </c>
      <c r="AF591" s="226">
        <f t="shared" si="154"/>
        <v>4.0259117448362509E-3</v>
      </c>
      <c r="AG591" s="226">
        <f t="shared" si="154"/>
        <v>3.6449291842173895E-3</v>
      </c>
      <c r="AH591" s="227">
        <v>3.3E-3</v>
      </c>
      <c r="AI591" s="226">
        <f t="shared" si="157"/>
        <v>2.9877123668558265E-3</v>
      </c>
      <c r="AJ591" s="226">
        <f t="shared" si="157"/>
        <v>2.7049773294131048E-3</v>
      </c>
      <c r="AK591" s="226">
        <f t="shared" si="157"/>
        <v>2.4489982482279334E-3</v>
      </c>
      <c r="AL591" s="226">
        <f t="shared" si="157"/>
        <v>2.2172431371632884E-3</v>
      </c>
      <c r="AM591" s="226">
        <f t="shared" si="157"/>
        <v>2.0074196185542324E-3</v>
      </c>
      <c r="AN591" s="226">
        <f t="shared" si="157"/>
        <v>1.8174522484313595E-3</v>
      </c>
      <c r="AO591" s="226">
        <f t="shared" si="157"/>
        <v>1.645461987517667E-3</v>
      </c>
      <c r="AP591" s="226">
        <f t="shared" si="157"/>
        <v>1.4897476149386974E-3</v>
      </c>
      <c r="AQ591" s="226">
        <f t="shared" si="157"/>
        <v>1.3487689008019146E-3</v>
      </c>
      <c r="AR591" s="226">
        <f t="shared" si="157"/>
        <v>1.221131371198915E-3</v>
      </c>
      <c r="AS591" s="226">
        <f t="shared" si="157"/>
        <v>1.1055725149353368E-3</v>
      </c>
      <c r="AT591" s="226">
        <f t="shared" si="157"/>
        <v>1.0009492955540011E-3</v>
      </c>
      <c r="AU591" s="226">
        <f t="shared" si="157"/>
        <v>9.0622684512797487E-4</v>
      </c>
      <c r="AV591" s="226">
        <f t="shared" si="157"/>
        <v>8.2046822798957284E-4</v>
      </c>
      <c r="AW591" s="226">
        <f t="shared" si="157"/>
        <v>7.4282517314446439E-4</v>
      </c>
      <c r="AX591" s="226">
        <f t="shared" si="157"/>
        <v>6.725296837016779E-4</v>
      </c>
      <c r="AY591" s="226">
        <f t="shared" si="155"/>
        <v>6.0888644032519406E-4</v>
      </c>
      <c r="AZ591" s="226">
        <f t="shared" si="155"/>
        <v>5.5126592356678924E-4</v>
      </c>
      <c r="BA591" s="226">
        <f t="shared" si="155"/>
        <v>4.9909818705051365E-4</v>
      </c>
      <c r="BB591" s="226">
        <f t="shared" si="158"/>
        <v>4.5186721991701277E-4</v>
      </c>
      <c r="BC591" s="226">
        <f t="shared" si="158"/>
        <v>4.0910584276449105E-4</v>
      </c>
      <c r="BD591" s="226">
        <f t="shared" si="158"/>
        <v>3.7039108660013491E-4</v>
      </c>
      <c r="BE591" s="226">
        <f t="shared" si="158"/>
        <v>3.3534000909345168E-4</v>
      </c>
    </row>
    <row r="592" spans="4:57" s="10" customFormat="1" x14ac:dyDescent="0.35">
      <c r="E592" s="109" t="s">
        <v>624</v>
      </c>
      <c r="F592" s="10" t="s">
        <v>615</v>
      </c>
      <c r="G592" s="43" t="s">
        <v>616</v>
      </c>
      <c r="I592" s="20"/>
      <c r="J592" s="200"/>
      <c r="K592" s="200"/>
      <c r="L592" s="200"/>
      <c r="M592" s="200"/>
      <c r="N592" s="200">
        <v>2.1600000000000001E-2</v>
      </c>
      <c r="O592" s="226">
        <f t="shared" si="156"/>
        <v>1.9536689016333195E-2</v>
      </c>
      <c r="P592" s="226">
        <f t="shared" si="156"/>
        <v>1.7670473042634912E-2</v>
      </c>
      <c r="Q592" s="226">
        <f t="shared" si="156"/>
        <v>1.5982524842845246E-2</v>
      </c>
      <c r="R592" s="226">
        <f t="shared" si="156"/>
        <v>1.4455815627337368E-2</v>
      </c>
      <c r="S592" s="226">
        <f t="shared" si="156"/>
        <v>1.307494325873795E-2</v>
      </c>
      <c r="T592" s="226">
        <f t="shared" si="156"/>
        <v>1.1825976868155808E-2</v>
      </c>
      <c r="U592" s="226">
        <f t="shared" si="156"/>
        <v>1.0696316314236575E-2</v>
      </c>
      <c r="V592" s="226">
        <f t="shared" si="156"/>
        <v>9.6745650672023734E-3</v>
      </c>
      <c r="W592" s="226">
        <f t="shared" si="156"/>
        <v>8.7504152354728436E-3</v>
      </c>
      <c r="X592" s="226">
        <f t="shared" si="156"/>
        <v>7.9145435749637481E-3</v>
      </c>
      <c r="Y592" s="226">
        <f t="shared" si="156"/>
        <v>7.1585174319576256E-3</v>
      </c>
      <c r="Z592" s="226">
        <f t="shared" si="156"/>
        <v>6.4747096706553823E-3</v>
      </c>
      <c r="AA592" s="226">
        <f t="shared" si="156"/>
        <v>5.8562217271592278E-3</v>
      </c>
      <c r="AB592" s="226">
        <f t="shared" si="156"/>
        <v>5.2968140136205322E-3</v>
      </c>
      <c r="AC592" s="226">
        <f t="shared" si="156"/>
        <v>4.7908429704379626E-3</v>
      </c>
      <c r="AD592" s="226">
        <f t="shared" si="156"/>
        <v>4.3332041314598354E-3</v>
      </c>
      <c r="AE592" s="226">
        <f t="shared" si="154"/>
        <v>3.9192806278065271E-3</v>
      </c>
      <c r="AF592" s="226">
        <f t="shared" si="154"/>
        <v>3.5448966107960761E-3</v>
      </c>
      <c r="AG592" s="226">
        <f t="shared" si="154"/>
        <v>3.2062751240822438E-3</v>
      </c>
      <c r="AH592" s="227">
        <v>2.8999999999999998E-3</v>
      </c>
      <c r="AI592" s="226">
        <f t="shared" si="157"/>
        <v>2.6229813957114011E-3</v>
      </c>
      <c r="AJ592" s="226">
        <f t="shared" si="157"/>
        <v>2.3724246214648723E-3</v>
      </c>
      <c r="AK592" s="226">
        <f t="shared" si="157"/>
        <v>2.1458019464931114E-3</v>
      </c>
      <c r="AL592" s="226">
        <f t="shared" si="157"/>
        <v>1.940827098114739E-3</v>
      </c>
      <c r="AM592" s="226">
        <f t="shared" si="157"/>
        <v>1.7554321967750022E-3</v>
      </c>
      <c r="AN592" s="226">
        <f t="shared" si="157"/>
        <v>1.5877468943357332E-3</v>
      </c>
      <c r="AO592" s="226">
        <f t="shared" si="157"/>
        <v>1.4360795051521324E-3</v>
      </c>
      <c r="AP592" s="226">
        <f t="shared" si="157"/>
        <v>1.2988999395780962E-3</v>
      </c>
      <c r="AQ592" s="226">
        <f t="shared" si="157"/>
        <v>1.1748242677255204E-3</v>
      </c>
      <c r="AR592" s="226">
        <f t="shared" si="157"/>
        <v>1.0626007577497622E-3</v>
      </c>
      <c r="AS592" s="226">
        <f t="shared" si="157"/>
        <v>9.6109724780912538E-4</v>
      </c>
      <c r="AT592" s="226">
        <f t="shared" si="157"/>
        <v>8.6928972430095383E-4</v>
      </c>
      <c r="AU592" s="226">
        <f t="shared" si="157"/>
        <v>7.8625199114637761E-4</v>
      </c>
      <c r="AV592" s="226">
        <f t="shared" si="157"/>
        <v>7.1114632590275645E-4</v>
      </c>
      <c r="AW592" s="226">
        <f t="shared" si="157"/>
        <v>6.4321502843843004E-4</v>
      </c>
      <c r="AX592" s="226">
        <f t="shared" si="157"/>
        <v>5.817727769089593E-4</v>
      </c>
      <c r="AY592" s="226">
        <f t="shared" si="155"/>
        <v>5.2619971391846881E-4</v>
      </c>
      <c r="AZ592" s="226">
        <f t="shared" si="155"/>
        <v>4.7593519311613975E-4</v>
      </c>
      <c r="BA592" s="226">
        <f t="shared" si="155"/>
        <v>4.3047212314067154E-4</v>
      </c>
      <c r="BB592" s="226">
        <f t="shared" si="158"/>
        <v>3.8935185185185128E-4</v>
      </c>
      <c r="BC592" s="226">
        <f t="shared" si="158"/>
        <v>3.5215953923903022E-4</v>
      </c>
      <c r="BD592" s="226">
        <f t="shared" si="158"/>
        <v>3.185199723263019E-4</v>
      </c>
      <c r="BE592" s="226">
        <f t="shared" si="158"/>
        <v>2.8809377985324145E-4</v>
      </c>
    </row>
    <row r="593" spans="5:57" s="10" customFormat="1" x14ac:dyDescent="0.35">
      <c r="E593" s="109" t="s">
        <v>625</v>
      </c>
      <c r="F593" s="10" t="s">
        <v>615</v>
      </c>
      <c r="G593" s="43" t="s">
        <v>616</v>
      </c>
      <c r="I593" s="20"/>
      <c r="J593" s="200"/>
      <c r="K593" s="200"/>
      <c r="L593" s="200"/>
      <c r="M593" s="200"/>
      <c r="N593" s="200">
        <v>1.9300000000000001E-2</v>
      </c>
      <c r="O593" s="226">
        <f t="shared" si="156"/>
        <v>1.7459351599237949E-2</v>
      </c>
      <c r="P593" s="226">
        <f t="shared" si="156"/>
        <v>1.5794246542270088E-2</v>
      </c>
      <c r="Q593" s="226">
        <f t="shared" si="156"/>
        <v>1.4287943193085061E-2</v>
      </c>
      <c r="R593" s="226">
        <f t="shared" si="156"/>
        <v>1.2925296571917648E-2</v>
      </c>
      <c r="S593" s="226">
        <f t="shared" si="156"/>
        <v>1.1692606081530318E-2</v>
      </c>
      <c r="T593" s="226">
        <f t="shared" si="156"/>
        <v>1.0577477755897706E-2</v>
      </c>
      <c r="U593" s="226">
        <f t="shared" si="156"/>
        <v>9.5686996462868608E-3</v>
      </c>
      <c r="V593" s="226">
        <f t="shared" si="156"/>
        <v>8.6561290918148234E-3</v>
      </c>
      <c r="W593" s="226">
        <f t="shared" si="156"/>
        <v>7.8305907410563345E-3</v>
      </c>
      <c r="X593" s="226">
        <f t="shared" si="156"/>
        <v>7.0837842993699369E-3</v>
      </c>
      <c r="Y593" s="226">
        <f t="shared" si="156"/>
        <v>6.4082010743969518E-3</v>
      </c>
      <c r="Z593" s="226">
        <f t="shared" si="156"/>
        <v>5.7970484806482252E-3</v>
      </c>
      <c r="AA593" s="226">
        <f t="shared" si="156"/>
        <v>5.2441817441173837E-3</v>
      </c>
      <c r="AB593" s="226">
        <f t="shared" si="156"/>
        <v>4.7440421202513102E-3</v>
      </c>
      <c r="AC593" s="226">
        <f t="shared" si="156"/>
        <v>4.2916010040964713E-3</v>
      </c>
      <c r="AD593" s="226">
        <f t="shared" si="156"/>
        <v>3.8823093706820159E-3</v>
      </c>
      <c r="AE593" s="226">
        <f t="shared" si="154"/>
        <v>3.5120520372929286E-3</v>
      </c>
      <c r="AF593" s="226">
        <f t="shared" si="154"/>
        <v>3.1771062877677296E-3</v>
      </c>
      <c r="AG593" s="226">
        <f t="shared" si="154"/>
        <v>2.8741044428127692E-3</v>
      </c>
      <c r="AH593" s="227">
        <v>2.5999999999999999E-3</v>
      </c>
      <c r="AI593" s="226">
        <f t="shared" si="157"/>
        <v>2.3520370030061482E-3</v>
      </c>
      <c r="AJ593" s="226">
        <f t="shared" si="157"/>
        <v>2.1277223321192864E-3</v>
      </c>
      <c r="AK593" s="226">
        <f t="shared" si="157"/>
        <v>1.9248006374104226E-3</v>
      </c>
      <c r="AL593" s="226">
        <f t="shared" si="157"/>
        <v>1.7412316625381285E-3</v>
      </c>
      <c r="AM593" s="226">
        <f t="shared" si="157"/>
        <v>1.5751697311906126E-3</v>
      </c>
      <c r="AN593" s="226">
        <f t="shared" si="157"/>
        <v>1.4249451899136802E-3</v>
      </c>
      <c r="AO593" s="226">
        <f t="shared" si="157"/>
        <v>1.2890476207433074E-3</v>
      </c>
      <c r="AP593" s="226">
        <f t="shared" si="157"/>
        <v>1.1661106548558828E-3</v>
      </c>
      <c r="AQ593" s="226">
        <f t="shared" si="157"/>
        <v>1.0548982345464492E-3</v>
      </c>
      <c r="AR593" s="226">
        <f t="shared" si="157"/>
        <v>9.5429218540734901E-4</v>
      </c>
      <c r="AS593" s="226">
        <f t="shared" si="157"/>
        <v>8.632809737529573E-4</v>
      </c>
      <c r="AT593" s="226">
        <f t="shared" si="157"/>
        <v>7.8094953625312889E-4</v>
      </c>
      <c r="AU593" s="226">
        <f t="shared" si="157"/>
        <v>7.0647007951840407E-4</v>
      </c>
      <c r="AV593" s="226">
        <f t="shared" si="157"/>
        <v>6.3909375713230095E-4</v>
      </c>
      <c r="AW593" s="226">
        <f t="shared" si="157"/>
        <v>5.7814314044822936E-4</v>
      </c>
      <c r="AX593" s="226">
        <f t="shared" si="157"/>
        <v>5.2300540744939085E-4</v>
      </c>
      <c r="AY593" s="226">
        <f t="shared" si="155"/>
        <v>4.7312618118972109E-4</v>
      </c>
      <c r="AZ593" s="226">
        <f t="shared" si="155"/>
        <v>4.2800395586508287E-4</v>
      </c>
      <c r="BA593" s="226">
        <f t="shared" si="155"/>
        <v>3.8718505447218665E-4</v>
      </c>
      <c r="BB593" s="226">
        <f t="shared" si="158"/>
        <v>3.5025906735751313E-4</v>
      </c>
      <c r="BC593" s="226">
        <f t="shared" si="158"/>
        <v>3.1685472579357453E-4</v>
      </c>
      <c r="BD593" s="226">
        <f t="shared" si="158"/>
        <v>2.8663616909378997E-4</v>
      </c>
      <c r="BE593" s="226">
        <f t="shared" si="158"/>
        <v>2.5929956773404668E-4</v>
      </c>
    </row>
    <row r="594" spans="5:57" s="10" customFormat="1" x14ac:dyDescent="0.35">
      <c r="E594" s="10" t="s">
        <v>626</v>
      </c>
      <c r="F594" s="10" t="s">
        <v>615</v>
      </c>
      <c r="G594" s="43" t="s">
        <v>616</v>
      </c>
      <c r="I594" s="20"/>
      <c r="J594" s="200"/>
      <c r="K594" s="200"/>
      <c r="L594" s="200"/>
      <c r="M594" s="200"/>
      <c r="N594" s="200">
        <v>1.72E-2</v>
      </c>
      <c r="O594" s="226">
        <f t="shared" si="156"/>
        <v>1.5587001839098049E-2</v>
      </c>
      <c r="P594" s="226">
        <f t="shared" si="156"/>
        <v>1.412526897279337E-2</v>
      </c>
      <c r="Q594" s="226">
        <f t="shared" si="156"/>
        <v>1.2800615898644469E-2</v>
      </c>
      <c r="R594" s="226">
        <f t="shared" si="156"/>
        <v>1.1600187415916225E-2</v>
      </c>
      <c r="S594" s="226">
        <f t="shared" si="156"/>
        <v>1.0512333871265595E-2</v>
      </c>
      <c r="T594" s="226">
        <f t="shared" si="156"/>
        <v>9.5264981037575316E-3</v>
      </c>
      <c r="U594" s="226">
        <f t="shared" si="156"/>
        <v>8.6331129920600418E-3</v>
      </c>
      <c r="V594" s="226">
        <f t="shared" si="156"/>
        <v>7.8235086095570418E-3</v>
      </c>
      <c r="W594" s="226">
        <f t="shared" si="156"/>
        <v>7.089828086358432E-3</v>
      </c>
      <c r="X594" s="226">
        <f t="shared" si="156"/>
        <v>6.4249513616835979E-3</v>
      </c>
      <c r="Y594" s="226">
        <f t="shared" si="156"/>
        <v>5.8224260866673117E-3</v>
      </c>
      <c r="Z594" s="226">
        <f t="shared" si="156"/>
        <v>5.2764050070288277E-3</v>
      </c>
      <c r="AA594" s="226">
        <f t="shared" si="156"/>
        <v>4.781589217929331E-3</v>
      </c>
      <c r="AB594" s="226">
        <f t="shared" si="156"/>
        <v>4.3331767403299928E-3</v>
      </c>
      <c r="AC594" s="226">
        <f t="shared" si="156"/>
        <v>3.9268159198058419E-3</v>
      </c>
      <c r="AD594" s="226">
        <f t="shared" si="156"/>
        <v>3.5585631955705323E-3</v>
      </c>
      <c r="AE594" s="226">
        <f t="shared" si="154"/>
        <v>3.2248448298781694E-3</v>
      </c>
      <c r="AF594" s="226">
        <f t="shared" si="154"/>
        <v>2.9224222264021432E-3</v>
      </c>
      <c r="AG594" s="226">
        <f t="shared" si="154"/>
        <v>2.6483605010204198E-3</v>
      </c>
      <c r="AH594" s="227">
        <v>2.3999999999999998E-3</v>
      </c>
      <c r="AI594" s="226">
        <f t="shared" si="157"/>
        <v>2.1749304891764717E-3</v>
      </c>
      <c r="AJ594" s="226">
        <f t="shared" si="157"/>
        <v>1.9709677636455861E-3</v>
      </c>
      <c r="AK594" s="226">
        <f t="shared" si="157"/>
        <v>1.7861324509736464E-3</v>
      </c>
      <c r="AL594" s="226">
        <f t="shared" si="157"/>
        <v>1.6186308022208681E-3</v>
      </c>
      <c r="AM594" s="226">
        <f t="shared" si="157"/>
        <v>1.4668372843626408E-3</v>
      </c>
      <c r="AN594" s="226">
        <f t="shared" si="157"/>
        <v>1.3292788051754692E-3</v>
      </c>
      <c r="AO594" s="226">
        <f t="shared" si="157"/>
        <v>1.2046204174967496E-3</v>
      </c>
      <c r="AP594" s="226">
        <f t="shared" si="157"/>
        <v>1.0916523641242382E-3</v>
      </c>
      <c r="AQ594" s="226">
        <f t="shared" si="157"/>
        <v>9.8927833763140884E-4</v>
      </c>
      <c r="AR594" s="226">
        <f t="shared" si="157"/>
        <v>8.9650484116515295E-4</v>
      </c>
      <c r="AS594" s="226">
        <f t="shared" si="157"/>
        <v>8.124315469768339E-4</v>
      </c>
      <c r="AT594" s="226">
        <f t="shared" si="157"/>
        <v>7.3624255912030129E-4</v>
      </c>
      <c r="AU594" s="226">
        <f t="shared" si="157"/>
        <v>6.6719849552502274E-4</v>
      </c>
      <c r="AV594" s="226">
        <f t="shared" si="157"/>
        <v>6.0462931260418492E-4</v>
      </c>
      <c r="AW594" s="226">
        <f t="shared" si="157"/>
        <v>5.4792780276360573E-4</v>
      </c>
      <c r="AX594" s="226">
        <f t="shared" si="157"/>
        <v>4.9654370170751599E-4</v>
      </c>
      <c r="AY594" s="226">
        <f t="shared" si="155"/>
        <v>4.4997834835509333E-4</v>
      </c>
      <c r="AZ594" s="226">
        <f t="shared" si="155"/>
        <v>4.07779845544485E-4</v>
      </c>
      <c r="BA594" s="226">
        <f t="shared" si="155"/>
        <v>3.695386745609887E-4</v>
      </c>
      <c r="BB594" s="226">
        <f t="shared" si="158"/>
        <v>3.3488372093023176E-4</v>
      </c>
      <c r="BC594" s="226">
        <f t="shared" si="158"/>
        <v>3.0347867290834421E-4</v>
      </c>
      <c r="BD594" s="226">
        <f t="shared" si="158"/>
        <v>2.7501875771798815E-4</v>
      </c>
      <c r="BE594" s="226">
        <f t="shared" si="158"/>
        <v>2.4922778385678734E-4</v>
      </c>
    </row>
    <row r="595" spans="5:57" s="10" customFormat="1" x14ac:dyDescent="0.35">
      <c r="E595" s="10" t="s">
        <v>627</v>
      </c>
      <c r="F595" s="10" t="s">
        <v>615</v>
      </c>
      <c r="G595" s="43" t="s">
        <v>616</v>
      </c>
      <c r="I595" s="20"/>
      <c r="J595" s="200"/>
      <c r="K595" s="200"/>
      <c r="L595" s="200"/>
      <c r="M595" s="200"/>
      <c r="N595" s="200">
        <v>1.54E-2</v>
      </c>
      <c r="O595" s="226">
        <f t="shared" si="156"/>
        <v>1.3939771328062164E-2</v>
      </c>
      <c r="P595" s="226">
        <f t="shared" si="156"/>
        <v>1.2618001602510649E-2</v>
      </c>
      <c r="Q595" s="226">
        <f t="shared" si="156"/>
        <v>1.1421562140007818E-2</v>
      </c>
      <c r="R595" s="226">
        <f t="shared" si="156"/>
        <v>1.0338569119542942E-2</v>
      </c>
      <c r="S595" s="226">
        <f t="shared" si="156"/>
        <v>9.3582655445320524E-3</v>
      </c>
      <c r="T595" s="226">
        <f t="shared" si="156"/>
        <v>8.4709143972766208E-3</v>
      </c>
      <c r="U595" s="226">
        <f t="shared" si="156"/>
        <v>7.6677019245211444E-3</v>
      </c>
      <c r="V595" s="226">
        <f t="shared" si="156"/>
        <v>6.9406500934783722E-3</v>
      </c>
      <c r="W595" s="226">
        <f t="shared" si="156"/>
        <v>6.2825373487780389E-3</v>
      </c>
      <c r="X595" s="226">
        <f t="shared" si="156"/>
        <v>5.6868268832451817E-3</v>
      </c>
      <c r="Y595" s="226">
        <f t="shared" si="156"/>
        <v>5.1476017100463836E-3</v>
      </c>
      <c r="Z595" s="226">
        <f t="shared" si="156"/>
        <v>4.6595058912979447E-3</v>
      </c>
      <c r="AA595" s="226">
        <f t="shared" si="156"/>
        <v>4.2176913393799894E-3</v>
      </c>
      <c r="AB595" s="226">
        <f t="shared" si="156"/>
        <v>3.8177696625522912E-3</v>
      </c>
      <c r="AC595" s="226">
        <f t="shared" si="156"/>
        <v>3.4557685765709088E-3</v>
      </c>
      <c r="AD595" s="226">
        <f t="shared" si="156"/>
        <v>3.1280924493572305E-3</v>
      </c>
      <c r="AE595" s="226">
        <f t="shared" si="154"/>
        <v>2.8314865868232252E-3</v>
      </c>
      <c r="AF595" s="226">
        <f t="shared" si="154"/>
        <v>2.5630049051162986E-3</v>
      </c>
      <c r="AG595" s="226">
        <f t="shared" si="154"/>
        <v>2.3199806681833031E-3</v>
      </c>
      <c r="AH595" s="227">
        <v>2.0999999999999999E-3</v>
      </c>
      <c r="AI595" s="226">
        <f t="shared" si="157"/>
        <v>1.9008779083721132E-3</v>
      </c>
      <c r="AJ595" s="226">
        <f t="shared" si="157"/>
        <v>1.7206365821605431E-3</v>
      </c>
      <c r="AK595" s="226">
        <f t="shared" si="157"/>
        <v>1.5574857463647024E-3</v>
      </c>
      <c r="AL595" s="226">
        <f t="shared" si="157"/>
        <v>1.4098048799376739E-3</v>
      </c>
      <c r="AM595" s="226">
        <f t="shared" si="157"/>
        <v>1.2761271197089161E-3</v>
      </c>
      <c r="AN595" s="226">
        <f t="shared" si="157"/>
        <v>1.155124690537721E-3</v>
      </c>
      <c r="AO595" s="226">
        <f t="shared" si="157"/>
        <v>1.0455957169801561E-3</v>
      </c>
      <c r="AP595" s="226">
        <f t="shared" si="157"/>
        <v>9.4645228547432351E-4</v>
      </c>
      <c r="AQ595" s="226">
        <f t="shared" si="157"/>
        <v>8.5670963846973258E-4</v>
      </c>
      <c r="AR595" s="226">
        <f t="shared" si="157"/>
        <v>7.7547639316979749E-4</v>
      </c>
      <c r="AS595" s="226">
        <f t="shared" si="157"/>
        <v>7.0194568773359776E-4</v>
      </c>
      <c r="AT595" s="226">
        <f t="shared" si="157"/>
        <v>6.3538716699517426E-4</v>
      </c>
      <c r="AU595" s="226">
        <f t="shared" si="157"/>
        <v>5.7513972809727118E-4</v>
      </c>
      <c r="AV595" s="226">
        <f t="shared" si="157"/>
        <v>5.2060495398440322E-4</v>
      </c>
      <c r="AW595" s="226">
        <f t="shared" si="157"/>
        <v>4.7124116953239654E-4</v>
      </c>
      <c r="AX595" s="226">
        <f t="shared" si="157"/>
        <v>4.2655806127598592E-4</v>
      </c>
      <c r="AY595" s="226">
        <f t="shared" si="155"/>
        <v>3.8611180729407612E-4</v>
      </c>
      <c r="AZ595" s="226">
        <f t="shared" si="155"/>
        <v>3.4950066887949518E-4</v>
      </c>
      <c r="BA595" s="226">
        <f t="shared" si="155"/>
        <v>3.1636100020681398E-4</v>
      </c>
      <c r="BB595" s="226">
        <f t="shared" si="158"/>
        <v>2.8636363636363728E-4</v>
      </c>
      <c r="BC595" s="226">
        <f t="shared" si="158"/>
        <v>2.5921062386892539E-4</v>
      </c>
      <c r="BD595" s="226">
        <f t="shared" si="158"/>
        <v>2.3463226120371119E-4</v>
      </c>
      <c r="BE595" s="226">
        <f t="shared" si="158"/>
        <v>2.1238441995882374E-4</v>
      </c>
    </row>
    <row r="596" spans="5:57" s="10" customFormat="1" x14ac:dyDescent="0.35">
      <c r="E596" s="10" t="s">
        <v>628</v>
      </c>
      <c r="F596" s="10" t="s">
        <v>615</v>
      </c>
      <c r="G596" s="43" t="s">
        <v>616</v>
      </c>
      <c r="I596" s="20"/>
      <c r="J596" s="200"/>
      <c r="K596" s="200"/>
      <c r="L596" s="200"/>
      <c r="M596" s="200"/>
      <c r="N596" s="200">
        <v>1.2E-2</v>
      </c>
      <c r="O596" s="226">
        <f t="shared" si="156"/>
        <v>1.0849961143772017E-2</v>
      </c>
      <c r="P596" s="226">
        <f t="shared" si="156"/>
        <v>9.8101380684468813E-3</v>
      </c>
      <c r="Q596" s="226">
        <f t="shared" si="156"/>
        <v>8.8699680714739437E-3</v>
      </c>
      <c r="R596" s="226">
        <f t="shared" si="156"/>
        <v>8.0199007434992257E-3</v>
      </c>
      <c r="S596" s="226">
        <f t="shared" si="156"/>
        <v>7.2513009536562421E-3</v>
      </c>
      <c r="T596" s="226">
        <f t="shared" si="156"/>
        <v>6.5563611324139333E-3</v>
      </c>
      <c r="U596" s="226">
        <f t="shared" si="156"/>
        <v>5.9280219609356899E-3</v>
      </c>
      <c r="V596" s="226">
        <f t="shared" si="156"/>
        <v>5.359900661298286E-3</v>
      </c>
      <c r="W596" s="226">
        <f t="shared" si="156"/>
        <v>4.846226159130362E-3</v>
      </c>
      <c r="X596" s="226">
        <f t="shared" si="156"/>
        <v>4.381780460041328E-3</v>
      </c>
      <c r="Y596" s="226">
        <f t="shared" si="156"/>
        <v>3.961845644332323E-3</v>
      </c>
      <c r="Z596" s="226">
        <f t="shared" si="156"/>
        <v>3.5821559415523431E-3</v>
      </c>
      <c r="AA596" s="226">
        <f t="shared" si="156"/>
        <v>3.2388543980645824E-3</v>
      </c>
      <c r="AB596" s="226">
        <f t="shared" si="156"/>
        <v>2.9284536974446521E-3</v>
      </c>
      <c r="AC596" s="226">
        <f t="shared" si="156"/>
        <v>2.6478007357174974E-3</v>
      </c>
      <c r="AD596" s="226">
        <f t="shared" si="156"/>
        <v>2.3940445915821506E-3</v>
      </c>
      <c r="AE596" s="226">
        <f t="shared" si="154"/>
        <v>2.1646075662603236E-3</v>
      </c>
      <c r="AF596" s="226">
        <f t="shared" si="154"/>
        <v>1.9571589987866186E-3</v>
      </c>
      <c r="AG596" s="226">
        <f t="shared" si="154"/>
        <v>1.7695915907515463E-3</v>
      </c>
      <c r="AH596" s="227">
        <v>1.6000000000000001E-3</v>
      </c>
      <c r="AI596" s="226">
        <f t="shared" si="157"/>
        <v>1.4466614858362689E-3</v>
      </c>
      <c r="AJ596" s="226">
        <f t="shared" si="157"/>
        <v>1.3080184091262509E-3</v>
      </c>
      <c r="AK596" s="226">
        <f t="shared" si="157"/>
        <v>1.1826624095298591E-3</v>
      </c>
      <c r="AL596" s="226">
        <f t="shared" si="157"/>
        <v>1.06932009913323E-3</v>
      </c>
      <c r="AM596" s="226">
        <f t="shared" si="157"/>
        <v>9.6684012715416551E-4</v>
      </c>
      <c r="AN596" s="226">
        <f t="shared" si="157"/>
        <v>8.7418148432185771E-4</v>
      </c>
      <c r="AO596" s="226">
        <f t="shared" si="157"/>
        <v>7.9040292812475852E-4</v>
      </c>
      <c r="AP596" s="226">
        <f t="shared" si="157"/>
        <v>7.1465342150643803E-4</v>
      </c>
      <c r="AQ596" s="226">
        <f t="shared" si="157"/>
        <v>6.461634878840481E-4</v>
      </c>
      <c r="AR596" s="226">
        <f t="shared" si="157"/>
        <v>5.8423739467217681E-4</v>
      </c>
      <c r="AS596" s="226">
        <f t="shared" si="157"/>
        <v>5.2824608591097626E-4</v>
      </c>
      <c r="AT596" s="226">
        <f t="shared" si="157"/>
        <v>4.7762079220697894E-4</v>
      </c>
      <c r="AU596" s="226">
        <f t="shared" si="157"/>
        <v>4.3184725307527749E-4</v>
      </c>
      <c r="AV596" s="226">
        <f t="shared" si="157"/>
        <v>3.9046049299262011E-4</v>
      </c>
      <c r="AW596" s="226">
        <f t="shared" si="157"/>
        <v>3.5304009809566619E-4</v>
      </c>
      <c r="AX596" s="226">
        <f t="shared" si="157"/>
        <v>3.1920594554428662E-4</v>
      </c>
      <c r="AY596" s="226">
        <f t="shared" si="155"/>
        <v>2.88614342168043E-4</v>
      </c>
      <c r="AZ596" s="226">
        <f t="shared" si="155"/>
        <v>2.6095453317154899E-4</v>
      </c>
      <c r="BA596" s="226">
        <f t="shared" si="155"/>
        <v>2.3594554543353936E-4</v>
      </c>
      <c r="BB596" s="226">
        <f t="shared" si="158"/>
        <v>2.1333333333333309E-4</v>
      </c>
      <c r="BC596" s="226">
        <f t="shared" si="158"/>
        <v>1.928881981115023E-4</v>
      </c>
      <c r="BD596" s="226">
        <f t="shared" si="158"/>
        <v>1.7440245455016656E-4</v>
      </c>
      <c r="BE596" s="226">
        <f t="shared" si="158"/>
        <v>1.5768832127064771E-4</v>
      </c>
    </row>
    <row r="597" spans="5:57" s="10" customFormat="1" x14ac:dyDescent="0.35">
      <c r="E597" s="10" t="s">
        <v>629</v>
      </c>
      <c r="F597" s="10" t="s">
        <v>615</v>
      </c>
      <c r="G597" s="43" t="s">
        <v>616</v>
      </c>
      <c r="I597" s="20"/>
      <c r="J597" s="200"/>
      <c r="K597" s="200"/>
      <c r="L597" s="200"/>
      <c r="M597" s="200"/>
      <c r="N597" s="200">
        <v>9.2999999999999992E-3</v>
      </c>
      <c r="O597" s="226">
        <f t="shared" si="156"/>
        <v>8.3949451595179414E-3</v>
      </c>
      <c r="P597" s="226">
        <f t="shared" si="156"/>
        <v>7.5779681969154536E-3</v>
      </c>
      <c r="Q597" s="226">
        <f t="shared" si="156"/>
        <v>6.8404975735135796E-3</v>
      </c>
      <c r="R597" s="226">
        <f t="shared" si="156"/>
        <v>6.1747959132754894E-3</v>
      </c>
      <c r="S597" s="226">
        <f t="shared" si="156"/>
        <v>5.5738788239960467E-3</v>
      </c>
      <c r="T597" s="226">
        <f t="shared" si="156"/>
        <v>5.0314416186285132E-3</v>
      </c>
      <c r="U597" s="226">
        <f t="shared" si="156"/>
        <v>4.5417931679250061E-3</v>
      </c>
      <c r="V597" s="226">
        <f t="shared" si="156"/>
        <v>4.0997961903874933E-3</v>
      </c>
      <c r="W597" s="226">
        <f t="shared" si="156"/>
        <v>3.7008133530649014E-3</v>
      </c>
      <c r="X597" s="226">
        <f t="shared" si="156"/>
        <v>3.3406586176980167E-3</v>
      </c>
      <c r="Y597" s="226">
        <f t="shared" si="156"/>
        <v>3.0155533217468668E-3</v>
      </c>
      <c r="Z597" s="226">
        <f t="shared" si="156"/>
        <v>2.7220865335125925E-3</v>
      </c>
      <c r="AA597" s="226">
        <f t="shared" si="156"/>
        <v>2.4571792654086572E-3</v>
      </c>
      <c r="AB597" s="226">
        <f t="shared" si="156"/>
        <v>2.2180521699150814E-3</v>
      </c>
      <c r="AC597" s="226">
        <f t="shared" si="156"/>
        <v>2.0021963792889118E-3</v>
      </c>
      <c r="AD597" s="226">
        <f t="shared" si="156"/>
        <v>1.8073471830877203E-3</v>
      </c>
      <c r="AE597" s="226">
        <f t="shared" si="154"/>
        <v>1.6314602673366285E-3</v>
      </c>
      <c r="AF597" s="226">
        <f t="shared" si="154"/>
        <v>1.472690266045535E-3</v>
      </c>
      <c r="AG597" s="226">
        <f t="shared" si="154"/>
        <v>1.3293714000438875E-3</v>
      </c>
      <c r="AH597" s="227">
        <v>1.1999999999999999E-3</v>
      </c>
      <c r="AI597" s="226">
        <f t="shared" si="157"/>
        <v>1.0832187302603795E-3</v>
      </c>
      <c r="AJ597" s="226">
        <f t="shared" si="157"/>
        <v>9.7780234798909072E-4</v>
      </c>
      <c r="AK597" s="226">
        <f t="shared" si="157"/>
        <v>8.8264484819530059E-4</v>
      </c>
      <c r="AL597" s="226">
        <f t="shared" si="157"/>
        <v>7.9674785977748249E-4</v>
      </c>
      <c r="AM597" s="226">
        <f t="shared" si="157"/>
        <v>7.1921017083819956E-4</v>
      </c>
      <c r="AN597" s="226">
        <f t="shared" si="157"/>
        <v>6.49218273371421E-4</v>
      </c>
      <c r="AO597" s="226">
        <f t="shared" si="157"/>
        <v>5.8603782811935551E-4</v>
      </c>
      <c r="AP597" s="226">
        <f t="shared" si="157"/>
        <v>5.2900596004999906E-4</v>
      </c>
      <c r="AQ597" s="226">
        <f t="shared" si="157"/>
        <v>4.7752430362127754E-4</v>
      </c>
      <c r="AR597" s="226">
        <f t="shared" si="157"/>
        <v>4.3105272486426016E-4</v>
      </c>
      <c r="AS597" s="226">
        <f t="shared" si="157"/>
        <v>3.8910365441895053E-4</v>
      </c>
      <c r="AT597" s="226">
        <f t="shared" si="157"/>
        <v>3.5123697206614096E-4</v>
      </c>
      <c r="AU597" s="226">
        <f t="shared" si="157"/>
        <v>3.1705538908498803E-4</v>
      </c>
      <c r="AV597" s="226">
        <f t="shared" si="157"/>
        <v>2.8620027998904276E-4</v>
      </c>
      <c r="AW597" s="226">
        <f t="shared" si="157"/>
        <v>2.5834791990824666E-4</v>
      </c>
      <c r="AX597" s="226">
        <f t="shared" si="157"/>
        <v>2.3320608814035099E-4</v>
      </c>
      <c r="AY597" s="226">
        <f t="shared" si="155"/>
        <v>2.1051100223698431E-4</v>
      </c>
      <c r="AZ597" s="226">
        <f t="shared" si="155"/>
        <v>1.9002455045748838E-4</v>
      </c>
      <c r="BA597" s="226">
        <f t="shared" si="155"/>
        <v>1.7153179355404999E-4</v>
      </c>
      <c r="BB597" s="226">
        <f t="shared" si="158"/>
        <v>1.5483870967741966E-4</v>
      </c>
      <c r="BC597" s="226">
        <f t="shared" si="158"/>
        <v>1.3977015874327506E-4</v>
      </c>
      <c r="BD597" s="226">
        <f t="shared" si="158"/>
        <v>1.2616804490181842E-4</v>
      </c>
      <c r="BE597" s="226">
        <f t="shared" si="158"/>
        <v>1.1388965783165192E-4</v>
      </c>
    </row>
    <row r="598" spans="5:57" s="10" customFormat="1" x14ac:dyDescent="0.35">
      <c r="E598" s="10" t="s">
        <v>630</v>
      </c>
      <c r="F598" s="10" t="s">
        <v>615</v>
      </c>
      <c r="G598" s="43" t="s">
        <v>616</v>
      </c>
      <c r="I598" s="20"/>
      <c r="J598" s="200"/>
      <c r="K598" s="200"/>
      <c r="L598" s="200"/>
      <c r="M598" s="200"/>
      <c r="N598" s="200">
        <v>7.3000000000000001E-3</v>
      </c>
      <c r="O598" s="226">
        <f t="shared" si="156"/>
        <v>6.5745925394928252E-3</v>
      </c>
      <c r="P598" s="226">
        <f t="shared" si="156"/>
        <v>5.9212694603225638E-3</v>
      </c>
      <c r="Q598" s="226">
        <f t="shared" si="156"/>
        <v>5.332867673721018E-3</v>
      </c>
      <c r="R598" s="226">
        <f t="shared" si="156"/>
        <v>4.8029358933902276E-3</v>
      </c>
      <c r="S598" s="226">
        <f t="shared" si="156"/>
        <v>4.3256639030610543E-3</v>
      </c>
      <c r="T598" s="226">
        <f t="shared" si="156"/>
        <v>3.8958188527970714E-3</v>
      </c>
      <c r="U598" s="226">
        <f t="shared" si="156"/>
        <v>3.5086878855911125E-3</v>
      </c>
      <c r="V598" s="226">
        <f t="shared" si="156"/>
        <v>3.1600264652076964E-3</v>
      </c>
      <c r="W598" s="226">
        <f t="shared" si="156"/>
        <v>2.8460118387334801E-3</v>
      </c>
      <c r="X598" s="226">
        <f t="shared" si="156"/>
        <v>2.5632011235952597E-3</v>
      </c>
      <c r="Y598" s="226">
        <f t="shared" si="156"/>
        <v>2.3084935595080848E-3</v>
      </c>
      <c r="Z598" s="226">
        <f t="shared" si="156"/>
        <v>2.0790965114806971E-3</v>
      </c>
      <c r="AA598" s="226">
        <f t="shared" si="156"/>
        <v>1.8724948511324041E-3</v>
      </c>
      <c r="AB598" s="226">
        <f t="shared" si="156"/>
        <v>1.6864233806155933E-3</v>
      </c>
      <c r="AC598" s="226">
        <f t="shared" si="156"/>
        <v>1.5188419967974724E-3</v>
      </c>
      <c r="AD598" s="226">
        <f t="shared" si="156"/>
        <v>1.3679133233990475E-3</v>
      </c>
      <c r="AE598" s="226">
        <f t="shared" si="154"/>
        <v>1.2319825658482484E-3</v>
      </c>
      <c r="AF598" s="226">
        <f t="shared" si="154"/>
        <v>1.1095593679741262E-3</v>
      </c>
      <c r="AG598" s="226">
        <f t="shared" si="154"/>
        <v>9.9930147161740612E-4</v>
      </c>
      <c r="AH598" s="227">
        <v>8.9999999999999998E-4</v>
      </c>
      <c r="AI598" s="226">
        <f t="shared" si="157"/>
        <v>8.1056620349911532E-4</v>
      </c>
      <c r="AJ598" s="226">
        <f t="shared" si="157"/>
        <v>7.3001952250552143E-4</v>
      </c>
      <c r="AK598" s="226">
        <f t="shared" si="157"/>
        <v>6.5747683648615285E-4</v>
      </c>
      <c r="AL598" s="226">
        <f t="shared" si="157"/>
        <v>5.921427813768773E-4</v>
      </c>
      <c r="AM598" s="226">
        <f t="shared" si="157"/>
        <v>5.3330102914451343E-4</v>
      </c>
      <c r="AN598" s="226">
        <f t="shared" si="157"/>
        <v>4.8030643390648816E-4</v>
      </c>
      <c r="AO598" s="226">
        <f t="shared" si="157"/>
        <v>4.3257795849753434E-4</v>
      </c>
      <c r="AP598" s="226">
        <f t="shared" si="157"/>
        <v>3.8959230392971589E-4</v>
      </c>
      <c r="AQ598" s="226">
        <f t="shared" si="157"/>
        <v>3.5087817189864809E-4</v>
      </c>
      <c r="AR598" s="226">
        <f t="shared" si="157"/>
        <v>3.1601109742955243E-4</v>
      </c>
      <c r="AS598" s="226">
        <f t="shared" si="157"/>
        <v>2.8460879500784596E-4</v>
      </c>
      <c r="AT598" s="226">
        <f t="shared" si="157"/>
        <v>2.5632696716885295E-4</v>
      </c>
      <c r="AU598" s="226">
        <f t="shared" si="157"/>
        <v>2.3085552959166615E-4</v>
      </c>
      <c r="AV598" s="226">
        <f t="shared" si="157"/>
        <v>2.0791521130877167E-4</v>
      </c>
      <c r="AW598" s="226">
        <f t="shared" si="157"/>
        <v>1.8725449275585268E-4</v>
      </c>
      <c r="AX598" s="226">
        <f t="shared" si="157"/>
        <v>1.6864684809029347E-4</v>
      </c>
      <c r="AY598" s="226">
        <f t="shared" si="155"/>
        <v>1.5188826154293467E-4</v>
      </c>
      <c r="AZ598" s="226">
        <f t="shared" si="155"/>
        <v>1.3679499057215249E-4</v>
      </c>
      <c r="BA598" s="226">
        <f t="shared" si="155"/>
        <v>1.2320155129529658E-4</v>
      </c>
      <c r="BB598" s="226">
        <f t="shared" si="158"/>
        <v>1.1095890410958897E-4</v>
      </c>
      <c r="BC598" s="226">
        <f t="shared" si="158"/>
        <v>9.9932819609479913E-5</v>
      </c>
      <c r="BD598" s="226">
        <f t="shared" si="158"/>
        <v>9.0002406884242319E-5</v>
      </c>
      <c r="BE598" s="226">
        <f t="shared" si="158"/>
        <v>8.1058788059936598E-5</v>
      </c>
    </row>
    <row r="599" spans="5:57" s="10" customFormat="1" x14ac:dyDescent="0.35">
      <c r="E599" s="10" t="s">
        <v>631</v>
      </c>
      <c r="F599" s="10" t="s">
        <v>615</v>
      </c>
      <c r="G599" s="43" t="s">
        <v>616</v>
      </c>
      <c r="I599" s="20"/>
      <c r="J599" s="200"/>
      <c r="K599" s="200"/>
      <c r="L599" s="200"/>
      <c r="M599" s="200"/>
      <c r="N599" s="200">
        <v>5.7000000000000002E-3</v>
      </c>
      <c r="O599" s="226">
        <f t="shared" si="156"/>
        <v>5.1325833986217784E-3</v>
      </c>
      <c r="P599" s="226">
        <f t="shared" si="156"/>
        <v>4.6216512883873479E-3</v>
      </c>
      <c r="Q599" s="226">
        <f t="shared" si="156"/>
        <v>4.1615808205255882E-3</v>
      </c>
      <c r="R599" s="226">
        <f t="shared" si="156"/>
        <v>3.7473088827109529E-3</v>
      </c>
      <c r="S599" s="226">
        <f t="shared" si="156"/>
        <v>3.3742763791070455E-3</v>
      </c>
      <c r="T599" s="226">
        <f t="shared" si="156"/>
        <v>3.0383780571520045E-3</v>
      </c>
      <c r="U599" s="226">
        <f t="shared" si="156"/>
        <v>2.7359173289254507E-3</v>
      </c>
      <c r="V599" s="226">
        <f t="shared" si="156"/>
        <v>2.4635655899025275E-3</v>
      </c>
      <c r="W599" s="226">
        <f t="shared" si="156"/>
        <v>2.218325587394663E-3</v>
      </c>
      <c r="X599" s="226">
        <f t="shared" si="156"/>
        <v>1.9974984355438162E-3</v>
      </c>
      <c r="Y599" s="226">
        <f t="shared" si="156"/>
        <v>1.7986539138675726E-3</v>
      </c>
      <c r="Z599" s="226">
        <f t="shared" si="156"/>
        <v>1.6196037224882086E-3</v>
      </c>
      <c r="AA599" s="226">
        <f t="shared" si="156"/>
        <v>1.4583773997173706E-3</v>
      </c>
      <c r="AB599" s="226">
        <f t="shared" si="156"/>
        <v>1.313200636967469E-3</v>
      </c>
      <c r="AC599" s="226">
        <f t="shared" si="156"/>
        <v>1.182475752343645E-3</v>
      </c>
      <c r="AD599" s="226">
        <f t="shared" si="156"/>
        <v>1.0647641080266297E-3</v>
      </c>
      <c r="AE599" s="226">
        <f t="shared" si="154"/>
        <v>9.5877027794838681E-4</v>
      </c>
      <c r="AF599" s="226">
        <f t="shared" si="154"/>
        <v>8.6332779152454003E-4</v>
      </c>
      <c r="AG599" s="226">
        <f t="shared" si="154"/>
        <v>7.7738629655222063E-4</v>
      </c>
      <c r="AH599" s="227">
        <v>6.9999999999999999E-4</v>
      </c>
      <c r="AI599" s="226">
        <f t="shared" si="157"/>
        <v>6.3031725947986742E-4</v>
      </c>
      <c r="AJ599" s="226">
        <f t="shared" si="157"/>
        <v>5.6757121085458651E-4</v>
      </c>
      <c r="AK599" s="226">
        <f t="shared" si="157"/>
        <v>5.1107132883647572E-4</v>
      </c>
      <c r="AL599" s="226">
        <f t="shared" si="157"/>
        <v>4.6019582770134507E-4</v>
      </c>
      <c r="AM599" s="226">
        <f t="shared" si="157"/>
        <v>4.1438481848683013E-4</v>
      </c>
      <c r="AN599" s="226">
        <f t="shared" si="157"/>
        <v>3.7313414736954442E-4</v>
      </c>
      <c r="AO599" s="226">
        <f t="shared" si="157"/>
        <v>3.3598984741189746E-4</v>
      </c>
      <c r="AP599" s="226">
        <f t="shared" si="157"/>
        <v>3.0254314261960862E-4</v>
      </c>
      <c r="AQ599" s="226">
        <f t="shared" si="157"/>
        <v>2.7242594932916912E-4</v>
      </c>
      <c r="AR599" s="226">
        <f t="shared" si="157"/>
        <v>2.4530682541766161E-4</v>
      </c>
      <c r="AS599" s="226">
        <f t="shared" si="157"/>
        <v>2.208873227556668E-4</v>
      </c>
      <c r="AT599" s="226">
        <f t="shared" si="157"/>
        <v>1.9889870276170981E-4</v>
      </c>
      <c r="AU599" s="226">
        <f t="shared" si="157"/>
        <v>1.7909897891265952E-4</v>
      </c>
      <c r="AV599" s="226">
        <f t="shared" si="157"/>
        <v>1.612702536626716E-4</v>
      </c>
      <c r="AW599" s="226">
        <f t="shared" si="157"/>
        <v>1.4521632046325461E-4</v>
      </c>
      <c r="AX599" s="226">
        <f t="shared" si="157"/>
        <v>1.3076050449449834E-4</v>
      </c>
      <c r="AY599" s="226">
        <f t="shared" si="155"/>
        <v>1.1774371834453869E-4</v>
      </c>
      <c r="AZ599" s="226">
        <f t="shared" si="155"/>
        <v>1.0602271123985576E-4</v>
      </c>
      <c r="BA599" s="226">
        <f t="shared" si="155"/>
        <v>9.5468492559044605E-5</v>
      </c>
      <c r="BB599" s="226">
        <f t="shared" si="158"/>
        <v>8.5964912280701589E-5</v>
      </c>
      <c r="BC599" s="226">
        <f t="shared" si="158"/>
        <v>7.7407382743141474E-5</v>
      </c>
      <c r="BD599" s="226">
        <f t="shared" si="158"/>
        <v>6.970172764880875E-5</v>
      </c>
      <c r="BE599" s="226">
        <f t="shared" si="158"/>
        <v>6.2763145646584632E-5</v>
      </c>
    </row>
    <row r="600" spans="5:57" s="10" customFormat="1" x14ac:dyDescent="0.35">
      <c r="E600" s="10" t="s">
        <v>632</v>
      </c>
      <c r="F600" s="10" t="s">
        <v>615</v>
      </c>
      <c r="G600" s="43" t="s">
        <v>616</v>
      </c>
      <c r="I600" s="20"/>
      <c r="J600" s="200"/>
      <c r="K600" s="200"/>
      <c r="L600" s="200"/>
      <c r="M600" s="200"/>
      <c r="N600" s="200">
        <v>4.4000000000000003E-3</v>
      </c>
      <c r="O600" s="226">
        <f t="shared" si="156"/>
        <v>3.9466493568703354E-3</v>
      </c>
      <c r="P600" s="226">
        <f t="shared" si="156"/>
        <v>3.540009351382962E-3</v>
      </c>
      <c r="Q600" s="226">
        <f t="shared" si="156"/>
        <v>3.1752671886251227E-3</v>
      </c>
      <c r="R600" s="226">
        <f t="shared" si="156"/>
        <v>2.848105956336095E-3</v>
      </c>
      <c r="S600" s="226">
        <f t="shared" si="156"/>
        <v>2.5546535320164591E-3</v>
      </c>
      <c r="T600" s="226">
        <f t="shared" si="156"/>
        <v>2.2914367543543841E-3</v>
      </c>
      <c r="U600" s="226">
        <f t="shared" si="156"/>
        <v>2.0553403165640407E-3</v>
      </c>
      <c r="V600" s="226">
        <f t="shared" si="156"/>
        <v>1.8435698951175326E-3</v>
      </c>
      <c r="W600" s="226">
        <f t="shared" si="156"/>
        <v>1.6536190774798004E-3</v>
      </c>
      <c r="X600" s="226">
        <f t="shared" si="156"/>
        <v>1.48323969741913E-3</v>
      </c>
      <c r="Y600" s="226">
        <f t="shared" si="156"/>
        <v>1.3304152267963091E-3</v>
      </c>
      <c r="Z600" s="226">
        <f t="shared" si="156"/>
        <v>1.1933369089104898E-3</v>
      </c>
      <c r="AA600" s="226">
        <f t="shared" si="156"/>
        <v>1.0703823509275498E-3</v>
      </c>
      <c r="AB600" s="226">
        <f t="shared" si="156"/>
        <v>9.6009632202126633E-4</v>
      </c>
      <c r="AC600" s="226">
        <f t="shared" si="156"/>
        <v>8.6117352996336488E-4</v>
      </c>
      <c r="AD600" s="226">
        <f t="shared" ref="AD600:AG615" si="159">AC600*(1+($AH600/$N600)^(1/($AH$6-$N$6))-1)</f>
        <v>7.7244317231447057E-4</v>
      </c>
      <c r="AE600" s="226">
        <f t="shared" si="159"/>
        <v>6.9285507937131522E-4</v>
      </c>
      <c r="AF600" s="226">
        <f t="shared" si="159"/>
        <v>6.2146728486480601E-4</v>
      </c>
      <c r="AG600" s="226">
        <f t="shared" si="159"/>
        <v>5.5743487730173645E-4</v>
      </c>
      <c r="AH600" s="227">
        <v>5.0000000000000001E-4</v>
      </c>
      <c r="AI600" s="226">
        <f t="shared" si="157"/>
        <v>4.4848288146253815E-4</v>
      </c>
      <c r="AJ600" s="226">
        <f t="shared" si="157"/>
        <v>4.0227378992988206E-4</v>
      </c>
      <c r="AK600" s="226">
        <f t="shared" si="157"/>
        <v>3.6082581688921849E-4</v>
      </c>
      <c r="AL600" s="226">
        <f t="shared" si="157"/>
        <v>3.2364840412910171E-4</v>
      </c>
      <c r="AM600" s="226">
        <f t="shared" si="157"/>
        <v>2.9030153772914314E-4</v>
      </c>
      <c r="AN600" s="226">
        <f t="shared" si="157"/>
        <v>2.6039054026754369E-4</v>
      </c>
      <c r="AO600" s="226">
        <f t="shared" si="157"/>
        <v>2.3356139960955012E-4</v>
      </c>
      <c r="AP600" s="226">
        <f t="shared" si="157"/>
        <v>2.0949657899062873E-4</v>
      </c>
      <c r="AQ600" s="226">
        <f t="shared" si="157"/>
        <v>1.8791125880452279E-4</v>
      </c>
      <c r="AR600" s="226">
        <f t="shared" si="157"/>
        <v>1.6854996561581023E-4</v>
      </c>
      <c r="AS600" s="226">
        <f t="shared" si="157"/>
        <v>1.511835484995806E-4</v>
      </c>
      <c r="AT600" s="226">
        <f t="shared" si="157"/>
        <v>1.3560646692164659E-4</v>
      </c>
      <c r="AU600" s="226">
        <f t="shared" si="157"/>
        <v>1.2163435805994885E-4</v>
      </c>
      <c r="AV600" s="226">
        <f t="shared" si="157"/>
        <v>1.0910185477514391E-4</v>
      </c>
      <c r="AW600" s="226">
        <f t="shared" si="157"/>
        <v>9.7860628404927827E-5</v>
      </c>
      <c r="AX600" s="226">
        <f t="shared" ref="AX600:BE615" si="160">AW600*(1+($AH600/$N600)^(1/($AH$6-$N$6))-1)</f>
        <v>8.7777633217553475E-5</v>
      </c>
      <c r="AY600" s="226">
        <f t="shared" si="160"/>
        <v>7.8733531746740369E-5</v>
      </c>
      <c r="AZ600" s="226">
        <f t="shared" si="160"/>
        <v>7.0621282371000687E-5</v>
      </c>
      <c r="BA600" s="226">
        <f t="shared" si="160"/>
        <v>6.334487242065187E-5</v>
      </c>
      <c r="BB600" s="226">
        <f t="shared" si="158"/>
        <v>5.6818181818181628E-5</v>
      </c>
      <c r="BC600" s="226">
        <f t="shared" si="158"/>
        <v>5.0963963802560981E-5</v>
      </c>
      <c r="BD600" s="226">
        <f t="shared" si="158"/>
        <v>4.5712930673850078E-5</v>
      </c>
      <c r="BE600" s="226">
        <f t="shared" si="158"/>
        <v>4.1002933737411051E-5</v>
      </c>
    </row>
    <row r="601" spans="5:57" s="10" customFormat="1" x14ac:dyDescent="0.35">
      <c r="E601" s="109" t="s">
        <v>633</v>
      </c>
      <c r="F601" s="10" t="s">
        <v>615</v>
      </c>
      <c r="G601" s="43" t="s">
        <v>616</v>
      </c>
      <c r="I601" s="20"/>
      <c r="J601" s="200"/>
      <c r="K601" s="200"/>
      <c r="L601" s="200"/>
      <c r="M601" s="200"/>
      <c r="N601" s="200">
        <v>5.3E-3</v>
      </c>
      <c r="O601" s="226">
        <f t="shared" ref="O601:AD616" si="161">N601*(1+($AH601/$N601)^(1/($AH$6-$N$6))-1)</f>
        <v>4.7897955715233143E-3</v>
      </c>
      <c r="P601" s="226">
        <f t="shared" si="161"/>
        <v>4.3287059654687453E-3</v>
      </c>
      <c r="Q601" s="226">
        <f t="shared" si="161"/>
        <v>3.9120031441186318E-3</v>
      </c>
      <c r="R601" s="226">
        <f t="shared" si="161"/>
        <v>3.5354142142423966E-3</v>
      </c>
      <c r="S601" s="226">
        <f t="shared" si="161"/>
        <v>3.195077612618643E-3</v>
      </c>
      <c r="T601" s="226">
        <f t="shared" si="161"/>
        <v>2.8875035093573697E-3</v>
      </c>
      <c r="U601" s="226">
        <f t="shared" si="161"/>
        <v>2.6095380229958411E-3</v>
      </c>
      <c r="V601" s="226">
        <f t="shared" si="161"/>
        <v>2.3583308804277702E-3</v>
      </c>
      <c r="W601" s="226">
        <f t="shared" si="161"/>
        <v>2.1313061900489834E-3</v>
      </c>
      <c r="X601" s="226">
        <f t="shared" si="161"/>
        <v>1.9261360284258202E-3</v>
      </c>
      <c r="Y601" s="226">
        <f t="shared" si="161"/>
        <v>1.7407165696425467E-3</v>
      </c>
      <c r="Z601" s="226">
        <f t="shared" si="161"/>
        <v>1.5731465125568159E-3</v>
      </c>
      <c r="AA601" s="226">
        <f t="shared" si="161"/>
        <v>1.4217075847550908E-3</v>
      </c>
      <c r="AB601" s="226">
        <f t="shared" si="161"/>
        <v>1.284846923294536E-3</v>
      </c>
      <c r="AC601" s="226">
        <f t="shared" si="161"/>
        <v>1.1611611515625515E-3</v>
      </c>
      <c r="AD601" s="226">
        <f t="shared" si="161"/>
        <v>1.0493819889772114E-3</v>
      </c>
      <c r="AE601" s="226">
        <f t="shared" si="159"/>
        <v>9.4836324596969321E-4</v>
      </c>
      <c r="AF601" s="226">
        <f t="shared" si="159"/>
        <v>8.5706907089454936E-4</v>
      </c>
      <c r="AG601" s="226">
        <f t="shared" si="159"/>
        <v>7.7456332835100256E-4</v>
      </c>
      <c r="AH601" s="227">
        <v>6.9999999999999999E-4</v>
      </c>
      <c r="AI601" s="226">
        <f t="shared" ref="AI601:AX616" si="162">AH601*(1+($AH601/$N601)^(1/($AH$6-$N$6))-1)</f>
        <v>6.3261450944647544E-4</v>
      </c>
      <c r="AJ601" s="226">
        <f t="shared" si="162"/>
        <v>5.7171588223172104E-4</v>
      </c>
      <c r="AK601" s="226">
        <f t="shared" si="162"/>
        <v>5.1667966054397014E-4</v>
      </c>
      <c r="AL601" s="226">
        <f t="shared" si="162"/>
        <v>4.6694149999427874E-4</v>
      </c>
      <c r="AM601" s="226">
        <f t="shared" si="162"/>
        <v>4.2199138279868867E-4</v>
      </c>
      <c r="AN601" s="226">
        <f t="shared" si="162"/>
        <v>3.8136838802833178E-4</v>
      </c>
      <c r="AO601" s="226">
        <f t="shared" si="162"/>
        <v>3.4465596530133742E-4</v>
      </c>
      <c r="AP601" s="226">
        <f t="shared" si="162"/>
        <v>3.1147766345272434E-4</v>
      </c>
      <c r="AQ601" s="226">
        <f t="shared" si="162"/>
        <v>2.8149327038382797E-4</v>
      </c>
      <c r="AR601" s="226">
        <f t="shared" si="162"/>
        <v>2.5439532450907058E-4</v>
      </c>
      <c r="AS601" s="226">
        <f t="shared" si="162"/>
        <v>2.2990596202826087E-4</v>
      </c>
      <c r="AT601" s="226">
        <f t="shared" si="162"/>
        <v>2.0777406769618322E-4</v>
      </c>
      <c r="AU601" s="226">
        <f t="shared" si="162"/>
        <v>1.8777269987331388E-4</v>
      </c>
      <c r="AV601" s="226">
        <f t="shared" si="162"/>
        <v>1.696967634539953E-4</v>
      </c>
      <c r="AW601" s="226">
        <f t="shared" si="162"/>
        <v>1.533609068101483E-4</v>
      </c>
      <c r="AX601" s="226">
        <f t="shared" si="162"/>
        <v>1.3859762118566943E-4</v>
      </c>
      <c r="AY601" s="226">
        <f t="shared" si="160"/>
        <v>1.2525552305260099E-4</v>
      </c>
      <c r="AZ601" s="226">
        <f t="shared" si="160"/>
        <v>1.1319780181626125E-4</v>
      </c>
      <c r="BA601" s="226">
        <f t="shared" si="160"/>
        <v>1.0230081695201922E-4</v>
      </c>
      <c r="BB601" s="226">
        <f t="shared" si="160"/>
        <v>9.2452830188679021E-5</v>
      </c>
      <c r="BC601" s="226">
        <f t="shared" si="160"/>
        <v>8.3552859738213526E-5</v>
      </c>
      <c r="BD601" s="226">
        <f t="shared" si="160"/>
        <v>7.5509644823057307E-5</v>
      </c>
      <c r="BE601" s="226">
        <f t="shared" si="160"/>
        <v>6.8240709883165702E-5</v>
      </c>
    </row>
    <row r="602" spans="5:57" s="10" customFormat="1" x14ac:dyDescent="0.35">
      <c r="E602" s="109" t="s">
        <v>634</v>
      </c>
      <c r="F602" s="10" t="s">
        <v>615</v>
      </c>
      <c r="G602" s="43" t="s">
        <v>616</v>
      </c>
      <c r="I602" s="20"/>
      <c r="J602" s="200"/>
      <c r="K602" s="200"/>
      <c r="L602" s="200"/>
      <c r="M602" s="200"/>
      <c r="N602" s="200">
        <v>6.3E-3</v>
      </c>
      <c r="O602" s="226">
        <f t="shared" si="161"/>
        <v>5.7159134940081039E-3</v>
      </c>
      <c r="P602" s="226">
        <f t="shared" si="161"/>
        <v>5.1859789001561796E-3</v>
      </c>
      <c r="Q602" s="226">
        <f t="shared" si="161"/>
        <v>4.7051756785784146E-3</v>
      </c>
      <c r="R602" s="226">
        <f t="shared" si="161"/>
        <v>4.2689487544230317E-3</v>
      </c>
      <c r="S602" s="226">
        <f t="shared" si="161"/>
        <v>3.8731653635929674E-3</v>
      </c>
      <c r="T602" s="226">
        <f t="shared" si="161"/>
        <v>3.5140758994104521E-3</v>
      </c>
      <c r="U602" s="226">
        <f t="shared" si="161"/>
        <v>3.188278389271249E-3</v>
      </c>
      <c r="V602" s="226">
        <f t="shared" si="161"/>
        <v>2.8926862647444375E-3</v>
      </c>
      <c r="W602" s="226">
        <f t="shared" si="161"/>
        <v>2.6244991197753378E-3</v>
      </c>
      <c r="X602" s="226">
        <f t="shared" si="161"/>
        <v>2.3811761799581339E-3</v>
      </c>
      <c r="Y602" s="226">
        <f t="shared" si="161"/>
        <v>2.1604122315291058E-3</v>
      </c>
      <c r="Z602" s="226">
        <f t="shared" si="161"/>
        <v>1.9601157820345041E-3</v>
      </c>
      <c r="AA602" s="226">
        <f t="shared" si="161"/>
        <v>1.7783892457697253E-3</v>
      </c>
      <c r="AB602" s="226">
        <f t="shared" si="161"/>
        <v>1.6135109662688996E-3</v>
      </c>
      <c r="AC602" s="226">
        <f t="shared" si="161"/>
        <v>1.4639189055280092E-3</v>
      </c>
      <c r="AD602" s="226">
        <f t="shared" si="161"/>
        <v>1.3281958454350988E-3</v>
      </c>
      <c r="AE602" s="226">
        <f t="shared" si="159"/>
        <v>1.2050559612076163E-3</v>
      </c>
      <c r="AF602" s="226">
        <f t="shared" si="159"/>
        <v>1.0933326396351619E-3</v>
      </c>
      <c r="AG602" s="226">
        <f t="shared" si="159"/>
        <v>9.9196742671906705E-4</v>
      </c>
      <c r="AH602" s="227">
        <v>8.9999999999999998E-4</v>
      </c>
      <c r="AI602" s="226">
        <f t="shared" si="162"/>
        <v>8.1655907057258631E-4</v>
      </c>
      <c r="AJ602" s="226">
        <f t="shared" si="162"/>
        <v>7.4085412859373992E-4</v>
      </c>
      <c r="AK602" s="226">
        <f t="shared" si="162"/>
        <v>6.7216795408263071E-4</v>
      </c>
      <c r="AL602" s="226">
        <f t="shared" si="162"/>
        <v>6.0984982206043305E-4</v>
      </c>
      <c r="AM602" s="226">
        <f t="shared" si="162"/>
        <v>5.5330933765613817E-4</v>
      </c>
      <c r="AN602" s="226">
        <f t="shared" si="162"/>
        <v>5.0201084277292165E-4</v>
      </c>
      <c r="AO602" s="226">
        <f t="shared" si="162"/>
        <v>4.5546834132446408E-4</v>
      </c>
      <c r="AP602" s="226">
        <f t="shared" si="162"/>
        <v>4.1324089496349101E-4</v>
      </c>
      <c r="AQ602" s="226">
        <f t="shared" si="162"/>
        <v>3.7492844568219109E-4</v>
      </c>
      <c r="AR602" s="226">
        <f t="shared" si="162"/>
        <v>3.4016802570830486E-4</v>
      </c>
      <c r="AS602" s="226">
        <f t="shared" si="162"/>
        <v>3.0863031878987227E-4</v>
      </c>
      <c r="AT602" s="226">
        <f t="shared" si="162"/>
        <v>2.8001654029064345E-4</v>
      </c>
      <c r="AU602" s="226">
        <f t="shared" si="162"/>
        <v>2.5405560653853223E-4</v>
      </c>
      <c r="AV602" s="226">
        <f t="shared" si="162"/>
        <v>2.3050156660984285E-4</v>
      </c>
      <c r="AW602" s="226">
        <f t="shared" si="162"/>
        <v>2.0913127221828707E-4</v>
      </c>
      <c r="AX602" s="226">
        <f t="shared" si="162"/>
        <v>1.897422636335856E-4</v>
      </c>
      <c r="AY602" s="226">
        <f t="shared" si="160"/>
        <v>1.7215085160108811E-4</v>
      </c>
      <c r="AZ602" s="226">
        <f t="shared" si="160"/>
        <v>1.5619037709073749E-4</v>
      </c>
      <c r="BA602" s="226">
        <f t="shared" si="160"/>
        <v>1.417096323884382E-4</v>
      </c>
      <c r="BB602" s="226">
        <f t="shared" si="160"/>
        <v>1.2857142857142885E-4</v>
      </c>
      <c r="BC602" s="226">
        <f t="shared" si="160"/>
        <v>1.16651295796084E-4</v>
      </c>
      <c r="BD602" s="226">
        <f t="shared" si="160"/>
        <v>1.0583630408482021E-4</v>
      </c>
      <c r="BE602" s="226">
        <f t="shared" si="160"/>
        <v>9.6023993440376009E-5</v>
      </c>
    </row>
    <row r="603" spans="5:57" s="10" customFormat="1" x14ac:dyDescent="0.35">
      <c r="E603" s="109" t="s">
        <v>635</v>
      </c>
      <c r="F603" s="10" t="s">
        <v>615</v>
      </c>
      <c r="G603" s="43" t="s">
        <v>616</v>
      </c>
      <c r="I603" s="20"/>
      <c r="J603" s="200"/>
      <c r="K603" s="200"/>
      <c r="L603" s="200"/>
      <c r="M603" s="200"/>
      <c r="N603" s="200">
        <v>7.6E-3</v>
      </c>
      <c r="O603" s="226">
        <f t="shared" si="161"/>
        <v>6.8998960337545148E-3</v>
      </c>
      <c r="P603" s="226">
        <f t="shared" si="161"/>
        <v>6.26428490481859E-3</v>
      </c>
      <c r="Q603" s="226">
        <f t="shared" si="161"/>
        <v>5.6872256011929042E-3</v>
      </c>
      <c r="R603" s="226">
        <f t="shared" si="161"/>
        <v>5.163324390623429E-3</v>
      </c>
      <c r="S603" s="226">
        <f t="shared" si="161"/>
        <v>4.6876844057698085E-3</v>
      </c>
      <c r="T603" s="226">
        <f t="shared" si="161"/>
        <v>4.2558598735347357E-3</v>
      </c>
      <c r="U603" s="226">
        <f t="shared" si="161"/>
        <v>3.8638145607391206E-3</v>
      </c>
      <c r="V603" s="226">
        <f t="shared" si="161"/>
        <v>3.5078840477377371E-3</v>
      </c>
      <c r="W603" s="226">
        <f t="shared" si="161"/>
        <v>3.1847414773495193E-3</v>
      </c>
      <c r="X603" s="226">
        <f t="shared" si="161"/>
        <v>2.89136645896019E-3</v>
      </c>
      <c r="Y603" s="226">
        <f t="shared" si="161"/>
        <v>2.6250168371460859E-3</v>
      </c>
      <c r="Z603" s="226">
        <f t="shared" si="161"/>
        <v>2.3832030609425132E-3</v>
      </c>
      <c r="AA603" s="226">
        <f t="shared" si="161"/>
        <v>2.1636649141880088E-3</v>
      </c>
      <c r="AB603" s="226">
        <f t="shared" si="161"/>
        <v>1.9643503894446902E-3</v>
      </c>
      <c r="AC603" s="226">
        <f t="shared" si="161"/>
        <v>1.7833965080307308E-3</v>
      </c>
      <c r="AD603" s="226">
        <f t="shared" si="161"/>
        <v>1.6191119068911699E-3</v>
      </c>
      <c r="AE603" s="226">
        <f t="shared" si="159"/>
        <v>1.4699610295477753E-3</v>
      </c>
      <c r="AF603" s="226">
        <f t="shared" si="159"/>
        <v>1.3345497733618945E-3</v>
      </c>
      <c r="AG603" s="226">
        <f t="shared" si="159"/>
        <v>1.2116124589562794E-3</v>
      </c>
      <c r="AH603" s="227">
        <v>1.1000000000000001E-3</v>
      </c>
      <c r="AI603" s="226">
        <f t="shared" si="162"/>
        <v>9.9866916278025888E-4</v>
      </c>
      <c r="AJ603" s="226">
        <f t="shared" si="162"/>
        <v>9.066728151711119E-4</v>
      </c>
      <c r="AK603" s="226">
        <f t="shared" si="162"/>
        <v>8.2315107385686783E-4</v>
      </c>
      <c r="AL603" s="226">
        <f t="shared" si="162"/>
        <v>7.4732326706391735E-4</v>
      </c>
      <c r="AM603" s="226">
        <f t="shared" si="162"/>
        <v>6.7848063767720918E-4</v>
      </c>
      <c r="AN603" s="226">
        <f t="shared" si="162"/>
        <v>6.1597971853792231E-4</v>
      </c>
      <c r="AO603" s="226">
        <f t="shared" si="162"/>
        <v>5.5923631800171487E-4</v>
      </c>
      <c r="AP603" s="226">
        <f t="shared" si="162"/>
        <v>5.0772005954098827E-4</v>
      </c>
      <c r="AQ603" s="226">
        <f t="shared" si="162"/>
        <v>4.6094942435321988E-4</v>
      </c>
      <c r="AR603" s="226">
        <f t="shared" si="162"/>
        <v>4.1848725063897485E-4</v>
      </c>
      <c r="AS603" s="226">
        <f t="shared" si="162"/>
        <v>3.7993664748167027E-4</v>
      </c>
      <c r="AT603" s="226">
        <f t="shared" si="162"/>
        <v>3.4493728513641634E-4</v>
      </c>
      <c r="AU603" s="226">
        <f t="shared" si="162"/>
        <v>3.1316202705352757E-4</v>
      </c>
      <c r="AV603" s="226">
        <f t="shared" si="162"/>
        <v>2.8431387215646832E-4</v>
      </c>
      <c r="AW603" s="226">
        <f t="shared" si="162"/>
        <v>2.5812317879392158E-4</v>
      </c>
      <c r="AX603" s="226">
        <f t="shared" si="162"/>
        <v>2.3434514441845883E-4</v>
      </c>
      <c r="AY603" s="226">
        <f t="shared" si="160"/>
        <v>2.1275751743454646E-4</v>
      </c>
      <c r="AZ603" s="226">
        <f t="shared" si="160"/>
        <v>1.931585198286953E-4</v>
      </c>
      <c r="BA603" s="226">
        <f t="shared" si="160"/>
        <v>1.7536496116472467E-4</v>
      </c>
      <c r="BB603" s="226">
        <f t="shared" si="160"/>
        <v>1.5921052631578925E-4</v>
      </c>
      <c r="BC603" s="226">
        <f t="shared" si="160"/>
        <v>1.4454422092872147E-4</v>
      </c>
      <c r="BD603" s="226">
        <f t="shared" si="160"/>
        <v>1.3122896009055548E-4</v>
      </c>
      <c r="BE603" s="226">
        <f t="shared" si="160"/>
        <v>1.1914028700559911E-4</v>
      </c>
    </row>
    <row r="604" spans="5:57" s="10" customFormat="1" x14ac:dyDescent="0.35">
      <c r="E604" s="10" t="s">
        <v>636</v>
      </c>
      <c r="F604" s="10" t="s">
        <v>615</v>
      </c>
      <c r="G604" s="43" t="s">
        <v>616</v>
      </c>
      <c r="I604" s="20"/>
      <c r="J604" s="200"/>
      <c r="K604" s="200"/>
      <c r="L604" s="200"/>
      <c r="M604" s="200"/>
      <c r="N604" s="200">
        <v>9.1000000000000004E-3</v>
      </c>
      <c r="O604" s="226">
        <f t="shared" si="161"/>
        <v>8.2869691957105137E-3</v>
      </c>
      <c r="P604" s="226">
        <f t="shared" si="161"/>
        <v>7.546577851720325E-3</v>
      </c>
      <c r="Q604" s="226">
        <f t="shared" si="161"/>
        <v>6.8723360648612706E-3</v>
      </c>
      <c r="R604" s="226">
        <f t="shared" si="161"/>
        <v>6.2583337661621715E-3</v>
      </c>
      <c r="S604" s="226">
        <f t="shared" si="161"/>
        <v>5.6991889161165802E-3</v>
      </c>
      <c r="T604" s="226">
        <f t="shared" si="161"/>
        <v>5.1900003283948237E-3</v>
      </c>
      <c r="U604" s="226">
        <f t="shared" si="161"/>
        <v>4.7263047084764127E-3</v>
      </c>
      <c r="V604" s="226">
        <f t="shared" si="161"/>
        <v>4.3040375306247908E-3</v>
      </c>
      <c r="W604" s="226">
        <f t="shared" si="161"/>
        <v>3.9194974102713838E-3</v>
      </c>
      <c r="X604" s="226">
        <f t="shared" si="161"/>
        <v>3.569313659514955E-3</v>
      </c>
      <c r="Y604" s="226">
        <f t="shared" si="161"/>
        <v>3.2504167413438677E-3</v>
      </c>
      <c r="Z604" s="226">
        <f t="shared" si="161"/>
        <v>2.9600113635976245E-3</v>
      </c>
      <c r="AA604" s="226">
        <f t="shared" si="161"/>
        <v>2.6955519768227017E-3</v>
      </c>
      <c r="AB604" s="226">
        <f t="shared" si="161"/>
        <v>2.4547204612490451E-3</v>
      </c>
      <c r="AC604" s="226">
        <f t="shared" si="161"/>
        <v>2.2354058073023233E-3</v>
      </c>
      <c r="AD604" s="226">
        <f t="shared" si="161"/>
        <v>2.0356856115414006E-3</v>
      </c>
      <c r="AE604" s="226">
        <f t="shared" si="159"/>
        <v>1.8538092258235941E-3</v>
      </c>
      <c r="AF604" s="226">
        <f t="shared" si="159"/>
        <v>1.688182411991657E-3</v>
      </c>
      <c r="AG604" s="226">
        <f t="shared" si="159"/>
        <v>1.537353367573092E-3</v>
      </c>
      <c r="AH604" s="227">
        <v>1.4E-3</v>
      </c>
      <c r="AI604" s="226">
        <f t="shared" si="162"/>
        <v>1.2749183378016175E-3</v>
      </c>
      <c r="AJ604" s="226">
        <f t="shared" si="162"/>
        <v>1.1610119771877424E-3</v>
      </c>
      <c r="AK604" s="226">
        <f t="shared" si="162"/>
        <v>1.0572824715171186E-3</v>
      </c>
      <c r="AL604" s="226">
        <f t="shared" si="162"/>
        <v>9.628205794095649E-4</v>
      </c>
      <c r="AM604" s="226">
        <f t="shared" si="162"/>
        <v>8.7679829478716628E-4</v>
      </c>
      <c r="AN604" s="226">
        <f t="shared" si="162"/>
        <v>7.9846158898381906E-4</v>
      </c>
      <c r="AO604" s="226">
        <f t="shared" si="162"/>
        <v>7.2712380130406356E-4</v>
      </c>
      <c r="AP604" s="226">
        <f t="shared" si="162"/>
        <v>6.6215962009612164E-4</v>
      </c>
      <c r="AQ604" s="226">
        <f t="shared" si="162"/>
        <v>6.0299960158021284E-4</v>
      </c>
      <c r="AR604" s="226">
        <f t="shared" si="162"/>
        <v>5.4912517838691616E-4</v>
      </c>
      <c r="AS604" s="226">
        <f t="shared" si="162"/>
        <v>5.000641140529028E-4</v>
      </c>
      <c r="AT604" s="226">
        <f t="shared" si="162"/>
        <v>4.5538636363040379E-4</v>
      </c>
      <c r="AU604" s="226">
        <f t="shared" si="162"/>
        <v>4.1470030412656957E-4</v>
      </c>
      <c r="AV604" s="226">
        <f t="shared" si="162"/>
        <v>3.776493017306224E-4</v>
      </c>
      <c r="AW604" s="226">
        <f t="shared" si="162"/>
        <v>3.4390858573881902E-4</v>
      </c>
      <c r="AX604" s="226">
        <f t="shared" si="162"/>
        <v>3.1318240177560016E-4</v>
      </c>
      <c r="AY604" s="226">
        <f t="shared" si="160"/>
        <v>2.8520141935747605E-4</v>
      </c>
      <c r="AZ604" s="226">
        <f t="shared" si="160"/>
        <v>2.5972037107563958E-4</v>
      </c>
      <c r="BA604" s="226">
        <f t="shared" si="160"/>
        <v>2.3651590270355266E-4</v>
      </c>
      <c r="BB604" s="226">
        <f t="shared" si="160"/>
        <v>2.1538461538461604E-4</v>
      </c>
      <c r="BC604" s="226">
        <f t="shared" si="160"/>
        <v>1.9614128273871099E-4</v>
      </c>
      <c r="BD604" s="226">
        <f t="shared" si="160"/>
        <v>1.7861722725965321E-4</v>
      </c>
      <c r="BE604" s="226">
        <f t="shared" si="160"/>
        <v>1.6265884177186487E-4</v>
      </c>
    </row>
    <row r="605" spans="5:57" s="10" customFormat="1" x14ac:dyDescent="0.35">
      <c r="E605" s="10" t="s">
        <v>637</v>
      </c>
      <c r="F605" s="10" t="s">
        <v>615</v>
      </c>
      <c r="G605" s="43" t="s">
        <v>616</v>
      </c>
      <c r="I605" s="20"/>
      <c r="J605" s="200"/>
      <c r="K605" s="200"/>
      <c r="L605" s="200"/>
      <c r="M605" s="200"/>
      <c r="N605" s="200">
        <v>1.09E-2</v>
      </c>
      <c r="O605" s="226">
        <f t="shared" si="161"/>
        <v>9.961363731115596E-3</v>
      </c>
      <c r="P605" s="226">
        <f t="shared" si="161"/>
        <v>9.1035566406958927E-3</v>
      </c>
      <c r="Q605" s="226">
        <f t="shared" si="161"/>
        <v>8.3196182518151009E-3</v>
      </c>
      <c r="R605" s="226">
        <f t="shared" si="161"/>
        <v>7.603187478014522E-3</v>
      </c>
      <c r="S605" s="226">
        <f t="shared" si="161"/>
        <v>6.9484510077400113E-3</v>
      </c>
      <c r="T605" s="226">
        <f t="shared" si="161"/>
        <v>6.3500961335720149E-3</v>
      </c>
      <c r="U605" s="226">
        <f t="shared" si="161"/>
        <v>5.8032676434918943E-3</v>
      </c>
      <c r="V605" s="226">
        <f t="shared" si="161"/>
        <v>5.3035284243887005E-3</v>
      </c>
      <c r="W605" s="226">
        <f t="shared" si="161"/>
        <v>4.8468234581326829E-3</v>
      </c>
      <c r="X605" s="226">
        <f t="shared" si="161"/>
        <v>4.4294469180700168E-3</v>
      </c>
      <c r="Y605" s="226">
        <f t="shared" si="161"/>
        <v>4.0480120989508641E-3</v>
      </c>
      <c r="Z605" s="226">
        <f t="shared" si="161"/>
        <v>3.6994239362941519E-3</v>
      </c>
      <c r="AA605" s="226">
        <f t="shared" si="161"/>
        <v>3.3808538922038035E-3</v>
      </c>
      <c r="AB605" s="226">
        <f t="shared" si="161"/>
        <v>3.0897170038532082E-3</v>
      </c>
      <c r="AC605" s="226">
        <f t="shared" si="161"/>
        <v>2.8236509084031648E-3</v>
      </c>
      <c r="AD605" s="226">
        <f t="shared" si="161"/>
        <v>2.5804966741558616E-3</v>
      </c>
      <c r="AE605" s="226">
        <f t="shared" si="159"/>
        <v>2.3582812824037265E-3</v>
      </c>
      <c r="AF605" s="226">
        <f t="shared" si="159"/>
        <v>2.1552016178261707E-3</v>
      </c>
      <c r="AG605" s="226">
        <f t="shared" si="159"/>
        <v>1.9696098375280068E-3</v>
      </c>
      <c r="AH605" s="227">
        <v>1.8E-3</v>
      </c>
      <c r="AI605" s="226">
        <f t="shared" si="162"/>
        <v>1.6449958455053279E-3</v>
      </c>
      <c r="AJ605" s="226">
        <f t="shared" si="162"/>
        <v>1.5033396287387714E-3</v>
      </c>
      <c r="AK605" s="226">
        <f t="shared" si="162"/>
        <v>1.3738819131437782E-3</v>
      </c>
      <c r="AL605" s="226">
        <f t="shared" si="162"/>
        <v>1.2555722440757927E-3</v>
      </c>
      <c r="AM605" s="226">
        <f t="shared" si="162"/>
        <v>1.147450625131378E-3</v>
      </c>
      <c r="AN605" s="226">
        <f t="shared" si="162"/>
        <v>1.0486397284797824E-3</v>
      </c>
      <c r="AO605" s="226">
        <f t="shared" si="162"/>
        <v>9.5833777598948726E-4</v>
      </c>
      <c r="AP605" s="226">
        <f t="shared" si="162"/>
        <v>8.7581203338529009E-4</v>
      </c>
      <c r="AQ605" s="226">
        <f t="shared" si="162"/>
        <v>8.0039286464576431E-4</v>
      </c>
      <c r="AR605" s="226">
        <f t="shared" si="162"/>
        <v>7.3146829839688357E-4</v>
      </c>
      <c r="AS605" s="226">
        <f t="shared" si="162"/>
        <v>6.6847906221206941E-4</v>
      </c>
      <c r="AT605" s="226">
        <f t="shared" si="162"/>
        <v>6.1091404452563985E-4</v>
      </c>
      <c r="AU605" s="226">
        <f t="shared" si="162"/>
        <v>5.58306147336408E-4</v>
      </c>
      <c r="AV605" s="226">
        <f t="shared" si="162"/>
        <v>5.1022849604915373E-4</v>
      </c>
      <c r="AW605" s="226">
        <f t="shared" si="162"/>
        <v>4.6629097569960527E-4</v>
      </c>
      <c r="AX605" s="226">
        <f t="shared" si="162"/>
        <v>4.2613706545693137E-4</v>
      </c>
      <c r="AY605" s="226">
        <f t="shared" si="160"/>
        <v>3.8944094571804669E-4</v>
      </c>
      <c r="AZ605" s="226">
        <f t="shared" si="160"/>
        <v>3.5590485431991818E-4</v>
      </c>
      <c r="BA605" s="226">
        <f t="shared" si="160"/>
        <v>3.252566704174691E-4</v>
      </c>
      <c r="BB605" s="226">
        <f t="shared" si="160"/>
        <v>2.9724770642201799E-4</v>
      </c>
      <c r="BC605" s="226">
        <f t="shared" si="160"/>
        <v>2.716506900834483E-4</v>
      </c>
      <c r="BD605" s="226">
        <f t="shared" si="160"/>
        <v>2.4825792034218212E-4</v>
      </c>
      <c r="BE605" s="226">
        <f t="shared" si="160"/>
        <v>2.2687958198704567E-4</v>
      </c>
    </row>
    <row r="606" spans="5:57" s="10" customFormat="1" x14ac:dyDescent="0.35">
      <c r="E606" s="10" t="s">
        <v>638</v>
      </c>
      <c r="F606" s="10" t="s">
        <v>615</v>
      </c>
      <c r="G606" s="43" t="s">
        <v>616</v>
      </c>
      <c r="I606" s="20"/>
      <c r="J606" s="200"/>
      <c r="K606" s="200"/>
      <c r="L606" s="200"/>
      <c r="M606" s="200"/>
      <c r="N606" s="200">
        <v>1.06E-2</v>
      </c>
      <c r="O606" s="226">
        <f t="shared" si="161"/>
        <v>9.6730407661204474E-3</v>
      </c>
      <c r="P606" s="226">
        <f t="shared" si="161"/>
        <v>8.8271431757573626E-3</v>
      </c>
      <c r="Q606" s="226">
        <f t="shared" si="161"/>
        <v>8.0552184705172513E-3</v>
      </c>
      <c r="R606" s="226">
        <f t="shared" si="161"/>
        <v>7.3507977967282798E-3</v>
      </c>
      <c r="S606" s="226">
        <f t="shared" si="161"/>
        <v>6.7079779954019817E-3</v>
      </c>
      <c r="T606" s="226">
        <f t="shared" si="161"/>
        <v>6.1213721328077621E-3</v>
      </c>
      <c r="U606" s="226">
        <f t="shared" si="161"/>
        <v>5.5860643570984098E-3</v>
      </c>
      <c r="V606" s="226">
        <f t="shared" si="161"/>
        <v>5.0975687026778606E-3</v>
      </c>
      <c r="W606" s="226">
        <f t="shared" si="161"/>
        <v>4.6517914970851566E-3</v>
      </c>
      <c r="X606" s="226">
        <f t="shared" si="161"/>
        <v>4.2449970553582244E-3</v>
      </c>
      <c r="Y606" s="226">
        <f t="shared" si="161"/>
        <v>3.8737763743906944E-3</v>
      </c>
      <c r="Z606" s="226">
        <f t="shared" si="161"/>
        <v>3.5350185649354196E-3</v>
      </c>
      <c r="AA606" s="226">
        <f t="shared" si="161"/>
        <v>3.2258847818502747E-3</v>
      </c>
      <c r="AB606" s="226">
        <f t="shared" si="161"/>
        <v>2.9437844341174781E-3</v>
      </c>
      <c r="AC606" s="226">
        <f t="shared" si="161"/>
        <v>2.6863534752725638E-3</v>
      </c>
      <c r="AD606" s="226">
        <f t="shared" si="161"/>
        <v>2.4514345923132871E-3</v>
      </c>
      <c r="AE606" s="226">
        <f t="shared" si="159"/>
        <v>2.2370591270683285E-3</v>
      </c>
      <c r="AF606" s="226">
        <f t="shared" si="159"/>
        <v>2.04143057852394E-3</v>
      </c>
      <c r="AG606" s="226">
        <f t="shared" si="159"/>
        <v>1.8629095478553696E-3</v>
      </c>
      <c r="AH606" s="227">
        <v>1.6999999999999999E-3</v>
      </c>
      <c r="AI606" s="226">
        <f t="shared" si="162"/>
        <v>1.5513367266419584E-3</v>
      </c>
      <c r="AJ606" s="226">
        <f t="shared" si="162"/>
        <v>1.415673905545992E-3</v>
      </c>
      <c r="AK606" s="226">
        <f t="shared" si="162"/>
        <v>1.2918746603659743E-3</v>
      </c>
      <c r="AL606" s="226">
        <f t="shared" si="162"/>
        <v>1.1789015334375543E-3</v>
      </c>
      <c r="AM606" s="226">
        <f t="shared" si="162"/>
        <v>1.0758077917154122E-3</v>
      </c>
      <c r="AN606" s="226">
        <f t="shared" si="162"/>
        <v>9.8172949299747138E-4</v>
      </c>
      <c r="AO606" s="226">
        <f t="shared" si="162"/>
        <v>8.9587824594974507E-4</v>
      </c>
      <c r="AP606" s="226">
        <f t="shared" si="162"/>
        <v>8.1753460325965693E-4</v>
      </c>
      <c r="AQ606" s="226">
        <f t="shared" si="162"/>
        <v>7.4604203255139315E-4</v>
      </c>
      <c r="AR606" s="226">
        <f t="shared" si="162"/>
        <v>6.8080141453858334E-4</v>
      </c>
      <c r="AS606" s="226">
        <f t="shared" si="162"/>
        <v>6.2126602230794172E-4</v>
      </c>
      <c r="AT606" s="226">
        <f t="shared" si="162"/>
        <v>5.6693693965945429E-4</v>
      </c>
      <c r="AU606" s="226">
        <f t="shared" si="162"/>
        <v>5.1735888010806313E-4</v>
      </c>
      <c r="AV606" s="226">
        <f t="shared" si="162"/>
        <v>4.7211637150940708E-4</v>
      </c>
      <c r="AW606" s="226">
        <f t="shared" si="162"/>
        <v>4.3083027433616608E-4</v>
      </c>
      <c r="AX606" s="226">
        <f t="shared" si="162"/>
        <v>3.9315460442760285E-4</v>
      </c>
      <c r="AY606" s="226">
        <f t="shared" si="160"/>
        <v>3.5877363358643023E-4</v>
      </c>
      <c r="AZ606" s="226">
        <f t="shared" si="160"/>
        <v>3.2739924372553766E-4</v>
      </c>
      <c r="BA606" s="226">
        <f t="shared" si="160"/>
        <v>2.9876851239189902E-4</v>
      </c>
      <c r="BB606" s="226">
        <f t="shared" si="160"/>
        <v>2.7264150943396236E-4</v>
      </c>
      <c r="BC606" s="226">
        <f t="shared" si="160"/>
        <v>2.487992863482387E-4</v>
      </c>
      <c r="BD606" s="226">
        <f t="shared" si="160"/>
        <v>2.2704204145548935E-4</v>
      </c>
      <c r="BE606" s="226">
        <f t="shared" si="160"/>
        <v>2.0718744553039215E-4</v>
      </c>
    </row>
    <row r="607" spans="5:57" s="10" customFormat="1" x14ac:dyDescent="0.35">
      <c r="E607" s="10" t="s">
        <v>639</v>
      </c>
      <c r="F607" s="10" t="s">
        <v>615</v>
      </c>
      <c r="G607" s="43" t="s">
        <v>616</v>
      </c>
      <c r="I607" s="20"/>
      <c r="J607" s="200"/>
      <c r="K607" s="200"/>
      <c r="L607" s="200"/>
      <c r="M607" s="200"/>
      <c r="N607" s="200">
        <v>1.03E-2</v>
      </c>
      <c r="O607" s="226">
        <f t="shared" si="161"/>
        <v>9.4127778601684718E-3</v>
      </c>
      <c r="P607" s="226">
        <f t="shared" si="161"/>
        <v>8.601979324745412E-3</v>
      </c>
      <c r="Q607" s="226">
        <f t="shared" si="161"/>
        <v>7.8610214118049072E-3</v>
      </c>
      <c r="R607" s="226">
        <f t="shared" si="161"/>
        <v>7.1838881847910221E-3</v>
      </c>
      <c r="S607" s="226">
        <f t="shared" si="161"/>
        <v>6.5650819083229901E-3</v>
      </c>
      <c r="T607" s="226">
        <f t="shared" si="161"/>
        <v>5.9995784113451665E-3</v>
      </c>
      <c r="U607" s="226">
        <f t="shared" si="161"/>
        <v>5.4827862952091756E-3</v>
      </c>
      <c r="V607" s="226">
        <f t="shared" si="161"/>
        <v>5.0105096554932081E-3</v>
      </c>
      <c r="W607" s="226">
        <f t="shared" si="161"/>
        <v>4.5789140148919244E-3</v>
      </c>
      <c r="X607" s="226">
        <f t="shared" si="161"/>
        <v>4.1844951905815365E-3</v>
      </c>
      <c r="Y607" s="226">
        <f t="shared" si="161"/>
        <v>3.8240508432900323E-3</v>
      </c>
      <c r="Z607" s="226">
        <f t="shared" si="161"/>
        <v>3.4946544770756297E-3</v>
      </c>
      <c r="AA607" s="226">
        <f t="shared" si="161"/>
        <v>3.1936316787141857E-3</v>
      </c>
      <c r="AB607" s="226">
        <f t="shared" si="161"/>
        <v>2.9185384037799566E-3</v>
      </c>
      <c r="AC607" s="226">
        <f t="shared" si="161"/>
        <v>2.6671411331214956E-3</v>
      </c>
      <c r="AD607" s="226">
        <f t="shared" si="161"/>
        <v>2.4373987386204525E-3</v>
      </c>
      <c r="AE607" s="226">
        <f t="shared" si="159"/>
        <v>2.2274459109989471E-3</v>
      </c>
      <c r="AF607" s="226">
        <f t="shared" si="159"/>
        <v>2.0355780151236581E-3</v>
      </c>
      <c r="AG607" s="226">
        <f t="shared" si="159"/>
        <v>1.8602372498448204E-3</v>
      </c>
      <c r="AH607" s="227">
        <v>1.6999999999999999E-3</v>
      </c>
      <c r="AI607" s="226">
        <f t="shared" si="162"/>
        <v>1.5535652778918834E-3</v>
      </c>
      <c r="AJ607" s="226">
        <f t="shared" si="162"/>
        <v>1.4197441603948735E-3</v>
      </c>
      <c r="AK607" s="226">
        <f t="shared" si="162"/>
        <v>1.297450135928965E-3</v>
      </c>
      <c r="AL607" s="226">
        <f t="shared" si="162"/>
        <v>1.1856902829266733E-3</v>
      </c>
      <c r="AM607" s="226">
        <f t="shared" si="162"/>
        <v>1.0835572081698136E-3</v>
      </c>
      <c r="AN607" s="226">
        <f t="shared" si="162"/>
        <v>9.9022167954240597E-4</v>
      </c>
      <c r="AO607" s="226">
        <f t="shared" si="162"/>
        <v>9.0492589338403862E-4</v>
      </c>
      <c r="AP607" s="226">
        <f t="shared" si="162"/>
        <v>8.2697732178043228E-4</v>
      </c>
      <c r="AQ607" s="226">
        <f t="shared" si="162"/>
        <v>7.5574308983653114E-4</v>
      </c>
      <c r="AR607" s="226">
        <f t="shared" si="162"/>
        <v>6.906448372804478E-4</v>
      </c>
      <c r="AS607" s="226">
        <f t="shared" si="162"/>
        <v>6.3115402267893738E-4</v>
      </c>
      <c r="AT607" s="226">
        <f t="shared" si="162"/>
        <v>5.7678763213869614E-4</v>
      </c>
      <c r="AU607" s="226">
        <f t="shared" si="162"/>
        <v>5.2710425765185582E-4</v>
      </c>
      <c r="AV607" s="226">
        <f t="shared" si="162"/>
        <v>4.8170051324523554E-4</v>
      </c>
      <c r="AW607" s="226">
        <f t="shared" si="162"/>
        <v>4.4020775983558662E-4</v>
      </c>
      <c r="AX607" s="226">
        <f t="shared" si="162"/>
        <v>4.0228911219949217E-4</v>
      </c>
      <c r="AY607" s="226">
        <f t="shared" si="160"/>
        <v>3.6763670375710773E-4</v>
      </c>
      <c r="AZ607" s="226">
        <f t="shared" si="160"/>
        <v>3.3596918696215716E-4</v>
      </c>
      <c r="BA607" s="226">
        <f t="shared" si="160"/>
        <v>3.0702944900351406E-4</v>
      </c>
      <c r="BB607" s="226">
        <f t="shared" si="160"/>
        <v>2.8058252427184483E-4</v>
      </c>
      <c r="BC607" s="226">
        <f t="shared" si="160"/>
        <v>2.5641368664234984E-4</v>
      </c>
      <c r="BD607" s="226">
        <f t="shared" si="160"/>
        <v>2.3432670608459092E-4</v>
      </c>
      <c r="BE607" s="226">
        <f t="shared" si="160"/>
        <v>2.1414225544458658E-4</v>
      </c>
    </row>
    <row r="608" spans="5:57" s="10" customFormat="1" x14ac:dyDescent="0.35">
      <c r="E608" s="10" t="s">
        <v>640</v>
      </c>
      <c r="F608" s="10" t="s">
        <v>615</v>
      </c>
      <c r="G608" s="43" t="s">
        <v>616</v>
      </c>
      <c r="I608" s="20"/>
      <c r="J608" s="200"/>
      <c r="K608" s="200"/>
      <c r="L608" s="200"/>
      <c r="M608" s="200"/>
      <c r="N608" s="200">
        <v>0.01</v>
      </c>
      <c r="O608" s="226">
        <f t="shared" si="161"/>
        <v>9.1521355994161457E-3</v>
      </c>
      <c r="P608" s="226">
        <f t="shared" si="161"/>
        <v>8.3761586030100324E-3</v>
      </c>
      <c r="Q608" s="226">
        <f t="shared" si="161"/>
        <v>7.6659739336963923E-3</v>
      </c>
      <c r="R608" s="226">
        <f t="shared" si="161"/>
        <v>7.016003294277897E-3</v>
      </c>
      <c r="S608" s="226">
        <f t="shared" si="161"/>
        <v>6.4211413515181687E-3</v>
      </c>
      <c r="T608" s="226">
        <f t="shared" si="161"/>
        <v>5.8767156352112528E-3</v>
      </c>
      <c r="U608" s="226">
        <f t="shared" si="161"/>
        <v>5.3784498372662368E-3</v>
      </c>
      <c r="V608" s="226">
        <f t="shared" si="161"/>
        <v>4.92243022253183E-3</v>
      </c>
      <c r="W608" s="226">
        <f t="shared" si="161"/>
        <v>4.5050748875275493E-3</v>
      </c>
      <c r="X608" s="226">
        <f t="shared" si="161"/>
        <v>4.1231056256176568E-3</v>
      </c>
      <c r="Y608" s="226">
        <f t="shared" si="161"/>
        <v>3.7735221776368333E-3</v>
      </c>
      <c r="Z608" s="226">
        <f t="shared" si="161"/>
        <v>3.4535786657136393E-3</v>
      </c>
      <c r="AA608" s="226">
        <f t="shared" si="161"/>
        <v>3.1607620251861905E-3</v>
      </c>
      <c r="AB608" s="226">
        <f t="shared" si="161"/>
        <v>2.8927722651989202E-3</v>
      </c>
      <c r="AC608" s="226">
        <f t="shared" si="161"/>
        <v>2.6475044029330716E-3</v>
      </c>
      <c r="AD608" s="226">
        <f t="shared" si="161"/>
        <v>2.4230319295694747E-3</v>
      </c>
      <c r="AE608" s="226">
        <f t="shared" si="159"/>
        <v>2.2175916781134782E-3</v>
      </c>
      <c r="AF608" s="226">
        <f t="shared" si="159"/>
        <v>2.0295699742231351E-3</v>
      </c>
      <c r="AG608" s="226">
        <f t="shared" si="159"/>
        <v>1.8574899612593661E-3</v>
      </c>
      <c r="AH608" s="227">
        <v>1.6999999999999999E-3</v>
      </c>
      <c r="AI608" s="226">
        <f t="shared" si="162"/>
        <v>1.5558630519007445E-3</v>
      </c>
      <c r="AJ608" s="226">
        <f t="shared" si="162"/>
        <v>1.4239469625117053E-3</v>
      </c>
      <c r="AK608" s="226">
        <f t="shared" si="162"/>
        <v>1.3032155687283864E-3</v>
      </c>
      <c r="AL608" s="226">
        <f t="shared" si="162"/>
        <v>1.1927205600272422E-3</v>
      </c>
      <c r="AM608" s="226">
        <f t="shared" si="162"/>
        <v>1.0915940297580883E-3</v>
      </c>
      <c r="AN608" s="226">
        <f t="shared" si="162"/>
        <v>9.9904165798591271E-4</v>
      </c>
      <c r="AO608" s="226">
        <f t="shared" si="162"/>
        <v>9.1433647233526007E-4</v>
      </c>
      <c r="AP608" s="226">
        <f t="shared" si="162"/>
        <v>8.3681313783041087E-4</v>
      </c>
      <c r="AQ608" s="226">
        <f t="shared" si="162"/>
        <v>7.6586273087968324E-4</v>
      </c>
      <c r="AR608" s="226">
        <f t="shared" si="162"/>
        <v>7.0092795635500155E-4</v>
      </c>
      <c r="AS608" s="226">
        <f t="shared" si="162"/>
        <v>6.4149877019826151E-4</v>
      </c>
      <c r="AT608" s="226">
        <f t="shared" si="162"/>
        <v>5.8710837317131853E-4</v>
      </c>
      <c r="AU608" s="226">
        <f t="shared" si="162"/>
        <v>5.3732954428165232E-4</v>
      </c>
      <c r="AV608" s="226">
        <f t="shared" si="162"/>
        <v>4.9177128508381637E-4</v>
      </c>
      <c r="AW608" s="226">
        <f t="shared" si="162"/>
        <v>4.5007574849862216E-4</v>
      </c>
      <c r="AX608" s="226">
        <f t="shared" si="162"/>
        <v>4.1191542802681072E-4</v>
      </c>
      <c r="AY608" s="226">
        <f t="shared" si="160"/>
        <v>3.7699058527929129E-4</v>
      </c>
      <c r="AZ608" s="226">
        <f t="shared" si="160"/>
        <v>3.4502689561793297E-4</v>
      </c>
      <c r="BA608" s="226">
        <f t="shared" si="160"/>
        <v>3.1577329341409227E-4</v>
      </c>
      <c r="BB608" s="226">
        <f t="shared" si="160"/>
        <v>2.8899999999999933E-4</v>
      </c>
      <c r="BC608" s="226">
        <f t="shared" si="160"/>
        <v>2.6449671882312594E-4</v>
      </c>
      <c r="BD608" s="226">
        <f t="shared" si="160"/>
        <v>2.4207098362698931E-4</v>
      </c>
      <c r="BE608" s="226">
        <f t="shared" si="160"/>
        <v>2.2154664668382515E-4</v>
      </c>
    </row>
    <row r="609" spans="5:57" s="10" customFormat="1" x14ac:dyDescent="0.35">
      <c r="E609" s="10" t="s">
        <v>641</v>
      </c>
      <c r="F609" s="10" t="s">
        <v>615</v>
      </c>
      <c r="G609" s="43" t="s">
        <v>616</v>
      </c>
      <c r="I609" s="20"/>
      <c r="J609" s="200"/>
      <c r="K609" s="200"/>
      <c r="L609" s="200"/>
      <c r="M609" s="200"/>
      <c r="N609" s="200">
        <v>9.7000000000000003E-3</v>
      </c>
      <c r="O609" s="226">
        <f t="shared" si="161"/>
        <v>8.8641918428910456E-3</v>
      </c>
      <c r="P609" s="226">
        <f t="shared" si="161"/>
        <v>8.1004017554202213E-3</v>
      </c>
      <c r="Q609" s="226">
        <f t="shared" si="161"/>
        <v>7.4024242437666218E-3</v>
      </c>
      <c r="R609" s="226">
        <f t="shared" si="161"/>
        <v>6.76458851538299E-3</v>
      </c>
      <c r="S609" s="226">
        <f t="shared" si="161"/>
        <v>6.1817124060383867E-3</v>
      </c>
      <c r="T609" s="226">
        <f t="shared" si="161"/>
        <v>5.6490602767735928E-3</v>
      </c>
      <c r="U609" s="226">
        <f t="shared" si="161"/>
        <v>5.1623045386985887E-3</v>
      </c>
      <c r="V609" s="226">
        <f t="shared" si="161"/>
        <v>4.717490493036232E-3</v>
      </c>
      <c r="W609" s="226">
        <f t="shared" si="161"/>
        <v>4.311004200751322E-3</v>
      </c>
      <c r="X609" s="226">
        <f t="shared" si="161"/>
        <v>3.9395431207184433E-3</v>
      </c>
      <c r="Y609" s="226">
        <f t="shared" si="161"/>
        <v>3.6000892778752535E-3</v>
      </c>
      <c r="Z609" s="226">
        <f t="shared" si="161"/>
        <v>3.2898847433630242E-3</v>
      </c>
      <c r="AA609" s="226">
        <f t="shared" si="161"/>
        <v>3.0064092274402288E-3</v>
      </c>
      <c r="AB609" s="226">
        <f t="shared" si="161"/>
        <v>2.7473596031204173E-3</v>
      </c>
      <c r="AC609" s="226">
        <f t="shared" si="161"/>
        <v>2.5106311941719985E-3</v>
      </c>
      <c r="AD609" s="226">
        <f t="shared" si="161"/>
        <v>2.2943006754522922E-3</v>
      </c>
      <c r="AE609" s="226">
        <f t="shared" si="159"/>
        <v>2.0966104466477965E-3</v>
      </c>
      <c r="AF609" s="226">
        <f t="shared" si="159"/>
        <v>1.9159543524634587E-3</v>
      </c>
      <c r="AG609" s="226">
        <f t="shared" si="159"/>
        <v>1.750864633243112E-3</v>
      </c>
      <c r="AH609" s="227">
        <v>1.6000000000000001E-3</v>
      </c>
      <c r="AI609" s="226">
        <f t="shared" si="162"/>
        <v>1.462134736971719E-3</v>
      </c>
      <c r="AJ609" s="226">
        <f t="shared" si="162"/>
        <v>1.3361487431620986E-3</v>
      </c>
      <c r="AK609" s="226">
        <f t="shared" si="162"/>
        <v>1.2210184319615049E-3</v>
      </c>
      <c r="AL609" s="226">
        <f t="shared" si="162"/>
        <v>1.1158084149085346E-3</v>
      </c>
      <c r="AM609" s="226">
        <f t="shared" si="162"/>
        <v>1.0196639020269506E-3</v>
      </c>
      <c r="AN609" s="226">
        <f t="shared" si="162"/>
        <v>9.3180375699358244E-4</v>
      </c>
      <c r="AO609" s="226">
        <f t="shared" si="162"/>
        <v>8.5151415071316942E-4</v>
      </c>
      <c r="AP609" s="226">
        <f t="shared" si="162"/>
        <v>7.7814276173793532E-4</v>
      </c>
      <c r="AQ609" s="226">
        <f t="shared" si="162"/>
        <v>7.1109347641258938E-4</v>
      </c>
      <c r="AR609" s="226">
        <f t="shared" si="162"/>
        <v>6.498215456855166E-4</v>
      </c>
      <c r="AS609" s="226">
        <f t="shared" si="162"/>
        <v>5.938291592371554E-4</v>
      </c>
      <c r="AT609" s="226">
        <f t="shared" si="162"/>
        <v>5.4266140096709693E-4</v>
      </c>
      <c r="AU609" s="226">
        <f t="shared" si="162"/>
        <v>4.9590255297983173E-4</v>
      </c>
      <c r="AV609" s="226">
        <f t="shared" si="162"/>
        <v>4.5317271804048135E-4</v>
      </c>
      <c r="AW609" s="226">
        <f t="shared" si="162"/>
        <v>4.1412473305929884E-4</v>
      </c>
      <c r="AX609" s="226">
        <f t="shared" si="162"/>
        <v>3.7844134852821327E-4</v>
      </c>
      <c r="AY609" s="226">
        <f t="shared" si="160"/>
        <v>3.4583265099345106E-4</v>
      </c>
      <c r="AZ609" s="226">
        <f t="shared" si="160"/>
        <v>3.1603370762283865E-4</v>
      </c>
      <c r="BA609" s="226">
        <f t="shared" si="160"/>
        <v>2.8880241373082266E-4</v>
      </c>
      <c r="BB609" s="226">
        <f t="shared" si="160"/>
        <v>2.6391752577319621E-4</v>
      </c>
      <c r="BC609" s="226">
        <f t="shared" si="160"/>
        <v>2.4117686383038692E-4</v>
      </c>
      <c r="BD609" s="226">
        <f t="shared" si="160"/>
        <v>2.2039566897519178E-4</v>
      </c>
      <c r="BE609" s="226">
        <f t="shared" si="160"/>
        <v>2.0140510217921752E-4</v>
      </c>
    </row>
    <row r="610" spans="5:57" s="10" customFormat="1" x14ac:dyDescent="0.35">
      <c r="E610" s="10" t="s">
        <v>642</v>
      </c>
      <c r="F610" s="10" t="s">
        <v>615</v>
      </c>
      <c r="G610" s="43" t="s">
        <v>616</v>
      </c>
      <c r="I610" s="20"/>
      <c r="J610" s="200"/>
      <c r="K610" s="200"/>
      <c r="L610" s="200"/>
      <c r="M610" s="200"/>
      <c r="N610" s="200">
        <v>9.4999999999999998E-3</v>
      </c>
      <c r="O610" s="226">
        <f t="shared" si="161"/>
        <v>8.6904731908661586E-3</v>
      </c>
      <c r="P610" s="226">
        <f t="shared" si="161"/>
        <v>7.9499288717014144E-3</v>
      </c>
      <c r="Q610" s="226">
        <f t="shared" si="161"/>
        <v>7.2724888135593671E-3</v>
      </c>
      <c r="R610" s="226">
        <f t="shared" si="161"/>
        <v>6.6527756910643911E-3</v>
      </c>
      <c r="S610" s="226">
        <f t="shared" si="161"/>
        <v>6.0858703987411765E-3</v>
      </c>
      <c r="T610" s="226">
        <f t="shared" si="161"/>
        <v>5.5672730045627505E-3</v>
      </c>
      <c r="U610" s="226">
        <f t="shared" si="161"/>
        <v>5.092867030777418E-3</v>
      </c>
      <c r="V610" s="226">
        <f t="shared" si="161"/>
        <v>4.6588867784860301E-3</v>
      </c>
      <c r="W610" s="226">
        <f t="shared" si="161"/>
        <v>4.2618874366014371E-3</v>
      </c>
      <c r="X610" s="226">
        <f t="shared" si="161"/>
        <v>3.898717737923588E-3</v>
      </c>
      <c r="Y610" s="226">
        <f t="shared" si="161"/>
        <v>3.566494945282031E-3</v>
      </c>
      <c r="Z610" s="226">
        <f t="shared" si="161"/>
        <v>3.2625819691929638E-3</v>
      </c>
      <c r="AA610" s="226">
        <f t="shared" si="161"/>
        <v>2.9845664353973442E-3</v>
      </c>
      <c r="AB610" s="226">
        <f t="shared" si="161"/>
        <v>2.7302415361241681E-3</v>
      </c>
      <c r="AC610" s="226">
        <f t="shared" si="161"/>
        <v>2.497588513081718E-3</v>
      </c>
      <c r="AD610" s="226">
        <f t="shared" si="161"/>
        <v>2.2847606331317834E-3</v>
      </c>
      <c r="AE610" s="226">
        <f t="shared" si="159"/>
        <v>2.0900685294503321E-3</v>
      </c>
      <c r="AF610" s="226">
        <f t="shared" si="159"/>
        <v>1.911966791816965E-3</v>
      </c>
      <c r="AG610" s="226">
        <f t="shared" si="159"/>
        <v>1.7490416995907066E-3</v>
      </c>
      <c r="AH610" s="227">
        <v>1.6000000000000001E-3</v>
      </c>
      <c r="AI610" s="226">
        <f t="shared" si="162"/>
        <v>1.4636586426721953E-3</v>
      </c>
      <c r="AJ610" s="226">
        <f t="shared" si="162"/>
        <v>1.338935388918133E-3</v>
      </c>
      <c r="AK610" s="226">
        <f t="shared" si="162"/>
        <v>1.2248402212310515E-3</v>
      </c>
      <c r="AL610" s="226">
        <f t="shared" si="162"/>
        <v>1.1204674848108451E-3</v>
      </c>
      <c r="AM610" s="226">
        <f t="shared" si="162"/>
        <v>1.0249886987353561E-3</v>
      </c>
      <c r="AN610" s="226">
        <f t="shared" si="162"/>
        <v>9.3764597971583187E-4</v>
      </c>
      <c r="AO610" s="226">
        <f t="shared" si="162"/>
        <v>8.5774602623619697E-4</v>
      </c>
      <c r="AP610" s="226">
        <f t="shared" si="162"/>
        <v>7.846546153239632E-4</v>
      </c>
      <c r="AQ610" s="226">
        <f t="shared" si="162"/>
        <v>7.1779156826971586E-4</v>
      </c>
      <c r="AR610" s="226">
        <f t="shared" si="162"/>
        <v>6.566261453344991E-4</v>
      </c>
      <c r="AS610" s="226">
        <f t="shared" si="162"/>
        <v>6.0067283288960528E-4</v>
      </c>
      <c r="AT610" s="226">
        <f t="shared" si="162"/>
        <v>5.4948748954828871E-4</v>
      </c>
      <c r="AU610" s="226">
        <f t="shared" si="162"/>
        <v>5.0266382069850013E-4</v>
      </c>
      <c r="AV610" s="226">
        <f t="shared" si="162"/>
        <v>4.5983015345249148E-4</v>
      </c>
      <c r="AW610" s="226">
        <f t="shared" si="162"/>
        <v>4.2064648641376305E-4</v>
      </c>
      <c r="AX610" s="226">
        <f t="shared" si="162"/>
        <v>3.8480179084324776E-4</v>
      </c>
      <c r="AY610" s="226">
        <f t="shared" si="160"/>
        <v>3.5201154180216119E-4</v>
      </c>
      <c r="AZ610" s="226">
        <f t="shared" si="160"/>
        <v>3.220154596744362E-4</v>
      </c>
      <c r="BA610" s="226">
        <f t="shared" si="160"/>
        <v>2.9457544414159269E-4</v>
      </c>
      <c r="BB610" s="226">
        <f t="shared" si="160"/>
        <v>2.6947368421052661E-4</v>
      </c>
      <c r="BC610" s="226">
        <f t="shared" si="160"/>
        <v>2.4651092929215947E-4</v>
      </c>
      <c r="BD610" s="226">
        <f t="shared" si="160"/>
        <v>2.2550490760726475E-4</v>
      </c>
      <c r="BE610" s="226">
        <f t="shared" si="160"/>
        <v>2.0628887936522994E-4</v>
      </c>
    </row>
    <row r="611" spans="5:57" s="10" customFormat="1" x14ac:dyDescent="0.35">
      <c r="E611" s="109" t="s">
        <v>643</v>
      </c>
      <c r="F611" s="10" t="s">
        <v>615</v>
      </c>
      <c r="G611" s="43" t="s">
        <v>616</v>
      </c>
      <c r="I611" s="20"/>
      <c r="J611" s="200"/>
      <c r="K611" s="200"/>
      <c r="L611" s="200"/>
      <c r="M611" s="200"/>
      <c r="N611" s="200">
        <v>9.4999999999999998E-3</v>
      </c>
      <c r="O611" s="226">
        <f t="shared" si="161"/>
        <v>8.6904731908661586E-3</v>
      </c>
      <c r="P611" s="226">
        <f t="shared" si="161"/>
        <v>7.9499288717014144E-3</v>
      </c>
      <c r="Q611" s="226">
        <f t="shared" si="161"/>
        <v>7.2724888135593671E-3</v>
      </c>
      <c r="R611" s="226">
        <f t="shared" si="161"/>
        <v>6.6527756910643911E-3</v>
      </c>
      <c r="S611" s="226">
        <f t="shared" si="161"/>
        <v>6.0858703987411765E-3</v>
      </c>
      <c r="T611" s="226">
        <f t="shared" si="161"/>
        <v>5.5672730045627505E-3</v>
      </c>
      <c r="U611" s="226">
        <f t="shared" si="161"/>
        <v>5.092867030777418E-3</v>
      </c>
      <c r="V611" s="226">
        <f t="shared" si="161"/>
        <v>4.6588867784860301E-3</v>
      </c>
      <c r="W611" s="226">
        <f t="shared" si="161"/>
        <v>4.2618874366014371E-3</v>
      </c>
      <c r="X611" s="226">
        <f t="shared" si="161"/>
        <v>3.898717737923588E-3</v>
      </c>
      <c r="Y611" s="226">
        <f t="shared" si="161"/>
        <v>3.566494945282031E-3</v>
      </c>
      <c r="Z611" s="226">
        <f t="shared" si="161"/>
        <v>3.2625819691929638E-3</v>
      </c>
      <c r="AA611" s="226">
        <f t="shared" si="161"/>
        <v>2.9845664353973442E-3</v>
      </c>
      <c r="AB611" s="226">
        <f t="shared" si="161"/>
        <v>2.7302415361241681E-3</v>
      </c>
      <c r="AC611" s="226">
        <f t="shared" si="161"/>
        <v>2.497588513081718E-3</v>
      </c>
      <c r="AD611" s="226">
        <f t="shared" si="161"/>
        <v>2.2847606331317834E-3</v>
      </c>
      <c r="AE611" s="226">
        <f t="shared" si="159"/>
        <v>2.0900685294503321E-3</v>
      </c>
      <c r="AF611" s="226">
        <f t="shared" si="159"/>
        <v>1.911966791816965E-3</v>
      </c>
      <c r="AG611" s="226">
        <f t="shared" si="159"/>
        <v>1.7490416995907066E-3</v>
      </c>
      <c r="AH611" s="227">
        <v>1.6000000000000001E-3</v>
      </c>
      <c r="AI611" s="226">
        <f t="shared" si="162"/>
        <v>1.4636586426721953E-3</v>
      </c>
      <c r="AJ611" s="226">
        <f t="shared" si="162"/>
        <v>1.338935388918133E-3</v>
      </c>
      <c r="AK611" s="226">
        <f t="shared" si="162"/>
        <v>1.2248402212310515E-3</v>
      </c>
      <c r="AL611" s="226">
        <f t="shared" si="162"/>
        <v>1.1204674848108451E-3</v>
      </c>
      <c r="AM611" s="226">
        <f t="shared" si="162"/>
        <v>1.0249886987353561E-3</v>
      </c>
      <c r="AN611" s="226">
        <f t="shared" si="162"/>
        <v>9.3764597971583187E-4</v>
      </c>
      <c r="AO611" s="226">
        <f t="shared" si="162"/>
        <v>8.5774602623619697E-4</v>
      </c>
      <c r="AP611" s="226">
        <f t="shared" si="162"/>
        <v>7.846546153239632E-4</v>
      </c>
      <c r="AQ611" s="226">
        <f t="shared" si="162"/>
        <v>7.1779156826971586E-4</v>
      </c>
      <c r="AR611" s="226">
        <f t="shared" si="162"/>
        <v>6.566261453344991E-4</v>
      </c>
      <c r="AS611" s="226">
        <f t="shared" si="162"/>
        <v>6.0067283288960528E-4</v>
      </c>
      <c r="AT611" s="226">
        <f t="shared" si="162"/>
        <v>5.4948748954828871E-4</v>
      </c>
      <c r="AU611" s="226">
        <f t="shared" si="162"/>
        <v>5.0266382069850013E-4</v>
      </c>
      <c r="AV611" s="226">
        <f t="shared" si="162"/>
        <v>4.5983015345249148E-4</v>
      </c>
      <c r="AW611" s="226">
        <f t="shared" si="162"/>
        <v>4.2064648641376305E-4</v>
      </c>
      <c r="AX611" s="226">
        <f t="shared" si="162"/>
        <v>3.8480179084324776E-4</v>
      </c>
      <c r="AY611" s="226">
        <f t="shared" si="160"/>
        <v>3.5201154180216119E-4</v>
      </c>
      <c r="AZ611" s="226">
        <f t="shared" si="160"/>
        <v>3.220154596744362E-4</v>
      </c>
      <c r="BA611" s="226">
        <f t="shared" si="160"/>
        <v>2.9457544414159269E-4</v>
      </c>
      <c r="BB611" s="226">
        <f t="shared" si="160"/>
        <v>2.6947368421052661E-4</v>
      </c>
      <c r="BC611" s="226">
        <f t="shared" si="160"/>
        <v>2.4651092929215947E-4</v>
      </c>
      <c r="BD611" s="226">
        <f t="shared" si="160"/>
        <v>2.2550490760726475E-4</v>
      </c>
      <c r="BE611" s="226">
        <f t="shared" si="160"/>
        <v>2.0628887936522994E-4</v>
      </c>
    </row>
    <row r="612" spans="5:57" s="10" customFormat="1" x14ac:dyDescent="0.35">
      <c r="E612" s="109" t="s">
        <v>644</v>
      </c>
      <c r="F612" s="10" t="s">
        <v>615</v>
      </c>
      <c r="G612" s="43" t="s">
        <v>616</v>
      </c>
      <c r="I612" s="20"/>
      <c r="J612" s="200"/>
      <c r="K612" s="200"/>
      <c r="L612" s="200"/>
      <c r="M612" s="200"/>
      <c r="N612" s="200">
        <v>9.5999999999999992E-3</v>
      </c>
      <c r="O612" s="226">
        <f t="shared" si="161"/>
        <v>8.777355136913547E-3</v>
      </c>
      <c r="P612" s="226">
        <f t="shared" si="161"/>
        <v>8.0252044999481915E-3</v>
      </c>
      <c r="Q612" s="226">
        <f t="shared" si="161"/>
        <v>7.3375072856668722E-3</v>
      </c>
      <c r="R612" s="226">
        <f t="shared" si="161"/>
        <v>6.7087403402071562E-3</v>
      </c>
      <c r="S612" s="226">
        <f t="shared" si="161"/>
        <v>6.1338538007642109E-3</v>
      </c>
      <c r="T612" s="226">
        <f t="shared" si="161"/>
        <v>5.6082305382515038E-3</v>
      </c>
      <c r="U612" s="226">
        <f t="shared" si="161"/>
        <v>5.1276490754080485E-3</v>
      </c>
      <c r="V612" s="226">
        <f t="shared" si="161"/>
        <v>4.6882496825336288E-3</v>
      </c>
      <c r="W612" s="226">
        <f t="shared" si="161"/>
        <v>4.2865033785541512E-3</v>
      </c>
      <c r="X612" s="226">
        <f t="shared" si="161"/>
        <v>3.9191835884530785E-3</v>
      </c>
      <c r="Y612" s="226">
        <f t="shared" si="161"/>
        <v>3.583340229439156E-3</v>
      </c>
      <c r="Z612" s="226">
        <f t="shared" si="161"/>
        <v>3.2762760177267444E-3</v>
      </c>
      <c r="AA612" s="226">
        <f t="shared" si="161"/>
        <v>2.9955248056396356E-3</v>
      </c>
      <c r="AB612" s="226">
        <f t="shared" si="161"/>
        <v>2.7388317750555221E-3</v>
      </c>
      <c r="AC612" s="226">
        <f t="shared" si="161"/>
        <v>2.5041353281172536E-3</v>
      </c>
      <c r="AD612" s="226">
        <f t="shared" si="161"/>
        <v>2.2895505297684028E-3</v>
      </c>
      <c r="AE612" s="226">
        <f t="shared" si="159"/>
        <v>2.0933539691339398E-3</v>
      </c>
      <c r="AF612" s="226">
        <f t="shared" si="159"/>
        <v>1.913969918162099E-3</v>
      </c>
      <c r="AG612" s="226">
        <f t="shared" si="159"/>
        <v>1.7499576763623022E-3</v>
      </c>
      <c r="AH612" s="227">
        <v>1.6000000000000001E-3</v>
      </c>
      <c r="AI612" s="226">
        <f t="shared" si="162"/>
        <v>1.4628925228189246E-3</v>
      </c>
      <c r="AJ612" s="226">
        <f t="shared" si="162"/>
        <v>1.3375340833246985E-3</v>
      </c>
      <c r="AK612" s="226">
        <f t="shared" si="162"/>
        <v>1.2229178809444786E-3</v>
      </c>
      <c r="AL612" s="226">
        <f t="shared" si="162"/>
        <v>1.1181233900345259E-3</v>
      </c>
      <c r="AM612" s="226">
        <f t="shared" si="162"/>
        <v>1.022308966794035E-3</v>
      </c>
      <c r="AN612" s="226">
        <f t="shared" si="162"/>
        <v>9.3470508970858374E-4</v>
      </c>
      <c r="AO612" s="226">
        <f t="shared" si="162"/>
        <v>8.546081792346746E-4</v>
      </c>
      <c r="AP612" s="226">
        <f t="shared" si="162"/>
        <v>7.8137494708893803E-4</v>
      </c>
      <c r="AQ612" s="226">
        <f t="shared" si="162"/>
        <v>7.1441722975902513E-4</v>
      </c>
      <c r="AR612" s="226">
        <f t="shared" si="162"/>
        <v>6.5319726474217968E-4</v>
      </c>
      <c r="AS612" s="226">
        <f t="shared" si="162"/>
        <v>5.972233715731926E-4</v>
      </c>
      <c r="AT612" s="226">
        <f t="shared" si="162"/>
        <v>5.4604600295445733E-4</v>
      </c>
      <c r="AU612" s="226">
        <f t="shared" si="162"/>
        <v>4.9925413427327249E-4</v>
      </c>
      <c r="AV612" s="226">
        <f t="shared" si="162"/>
        <v>4.5647196250925357E-4</v>
      </c>
      <c r="AW612" s="226">
        <f t="shared" si="162"/>
        <v>4.1735588801954218E-4</v>
      </c>
      <c r="AX612" s="226">
        <f t="shared" si="162"/>
        <v>3.8159175496140039E-4</v>
      </c>
      <c r="AY612" s="226">
        <f t="shared" si="160"/>
        <v>3.4889232818898993E-4</v>
      </c>
      <c r="AZ612" s="226">
        <f t="shared" si="160"/>
        <v>3.189949863603498E-4</v>
      </c>
      <c r="BA612" s="226">
        <f t="shared" si="160"/>
        <v>2.9165961272705035E-4</v>
      </c>
      <c r="BB612" s="226">
        <f t="shared" si="160"/>
        <v>2.6666666666666576E-4</v>
      </c>
      <c r="BC612" s="226">
        <f t="shared" si="160"/>
        <v>2.4381542046981994E-4</v>
      </c>
      <c r="BD612" s="226">
        <f t="shared" si="160"/>
        <v>2.2292234722078236E-4</v>
      </c>
      <c r="BE612" s="226">
        <f t="shared" si="160"/>
        <v>2.0381964682407913E-4</v>
      </c>
    </row>
    <row r="613" spans="5:57" s="10" customFormat="1" x14ac:dyDescent="0.35">
      <c r="E613" s="109" t="s">
        <v>645</v>
      </c>
      <c r="F613" s="10" t="s">
        <v>615</v>
      </c>
      <c r="G613" s="43" t="s">
        <v>616</v>
      </c>
      <c r="I613" s="20"/>
      <c r="J613" s="200"/>
      <c r="K613" s="200"/>
      <c r="L613" s="200"/>
      <c r="M613" s="200"/>
      <c r="N613" s="200">
        <v>9.5999999999999992E-3</v>
      </c>
      <c r="O613" s="226">
        <f t="shared" si="161"/>
        <v>8.8040016942330674E-3</v>
      </c>
      <c r="P613" s="226">
        <f t="shared" si="161"/>
        <v>8.0740047741727841E-3</v>
      </c>
      <c r="Q613" s="226">
        <f t="shared" si="161"/>
        <v>7.4045366365690706E-3</v>
      </c>
      <c r="R613" s="226">
        <f t="shared" si="161"/>
        <v>6.7905784472255129E-3</v>
      </c>
      <c r="S613" s="226">
        <f t="shared" si="161"/>
        <v>6.2275275160620812E-3</v>
      </c>
      <c r="T613" s="226">
        <f t="shared" si="161"/>
        <v>5.711162791905585E-3</v>
      </c>
      <c r="U613" s="226">
        <f t="shared" si="161"/>
        <v>5.2376132183310038E-3</v>
      </c>
      <c r="V613" s="226">
        <f t="shared" si="161"/>
        <v>4.8033287133253822E-3</v>
      </c>
      <c r="W613" s="226">
        <f t="shared" si="161"/>
        <v>4.4050535552161473E-3</v>
      </c>
      <c r="X613" s="226">
        <f t="shared" si="161"/>
        <v>4.0398019753448292E-3</v>
      </c>
      <c r="Y613" s="226">
        <f t="shared" si="161"/>
        <v>3.7048357745106224E-3</v>
      </c>
      <c r="Z613" s="226">
        <f t="shared" si="161"/>
        <v>3.3976437953798753E-3</v>
      </c>
      <c r="AA613" s="226">
        <f t="shared" si="161"/>
        <v>3.1159230969713433E-3</v>
      </c>
      <c r="AB613" s="226">
        <f t="shared" si="161"/>
        <v>2.8575616900870476E-3</v>
      </c>
      <c r="AC613" s="226">
        <f t="shared" si="161"/>
        <v>2.6206227042606125E-3</v>
      </c>
      <c r="AD613" s="226">
        <f t="shared" si="161"/>
        <v>2.4033298675266747E-3</v>
      </c>
      <c r="AE613" s="226">
        <f t="shared" si="159"/>
        <v>2.2040541901568521E-3</v>
      </c>
      <c r="AF613" s="226">
        <f t="shared" si="159"/>
        <v>2.0213017525335854E-3</v>
      </c>
      <c r="AG613" s="226">
        <f t="shared" si="159"/>
        <v>1.8537025056106205E-3</v>
      </c>
      <c r="AH613" s="227">
        <v>1.6999999999999999E-3</v>
      </c>
      <c r="AI613" s="226">
        <f t="shared" si="162"/>
        <v>1.5590419666871057E-3</v>
      </c>
      <c r="AJ613" s="226">
        <f t="shared" si="162"/>
        <v>1.4297716787597639E-3</v>
      </c>
      <c r="AK613" s="226">
        <f t="shared" si="162"/>
        <v>1.3112200293924397E-3</v>
      </c>
      <c r="AL613" s="226">
        <f t="shared" si="162"/>
        <v>1.2024982666961849E-3</v>
      </c>
      <c r="AM613" s="226">
        <f t="shared" si="162"/>
        <v>1.1027913309693271E-3</v>
      </c>
      <c r="AN613" s="226">
        <f t="shared" si="162"/>
        <v>1.0113517443999477E-3</v>
      </c>
      <c r="AO613" s="226">
        <f t="shared" si="162"/>
        <v>9.2749400741278215E-4</v>
      </c>
      <c r="AP613" s="226">
        <f t="shared" si="162"/>
        <v>8.5058945965137004E-4</v>
      </c>
      <c r="AQ613" s="226">
        <f t="shared" si="162"/>
        <v>7.8006156706952629E-4</v>
      </c>
      <c r="AR613" s="226">
        <f t="shared" si="162"/>
        <v>7.1538159980064704E-4</v>
      </c>
      <c r="AS613" s="226">
        <f t="shared" si="162"/>
        <v>6.5606466840292289E-4</v>
      </c>
      <c r="AT613" s="226">
        <f t="shared" si="162"/>
        <v>6.0166608876518644E-4</v>
      </c>
      <c r="AU613" s="226">
        <f t="shared" si="162"/>
        <v>5.5177804842200886E-4</v>
      </c>
      <c r="AV613" s="226">
        <f t="shared" si="162"/>
        <v>5.0602654928624813E-4</v>
      </c>
      <c r="AW613" s="226">
        <f t="shared" si="162"/>
        <v>4.6406860387948352E-4</v>
      </c>
      <c r="AX613" s="226">
        <f t="shared" si="162"/>
        <v>4.2558966404118205E-4</v>
      </c>
      <c r="AY613" s="226">
        <f t="shared" si="160"/>
        <v>3.9030126284027598E-4</v>
      </c>
      <c r="AZ613" s="226">
        <f t="shared" si="160"/>
        <v>3.5793885201115583E-4</v>
      </c>
      <c r="BA613" s="226">
        <f t="shared" si="160"/>
        <v>3.2825981870188077E-4</v>
      </c>
      <c r="BB613" s="226">
        <f t="shared" si="160"/>
        <v>3.0104166666666647E-4</v>
      </c>
      <c r="BC613" s="226">
        <f t="shared" si="160"/>
        <v>2.7608034826750815E-4</v>
      </c>
      <c r="BD613" s="226">
        <f t="shared" si="160"/>
        <v>2.5318873478037473E-4</v>
      </c>
      <c r="BE613" s="226">
        <f t="shared" si="160"/>
        <v>2.3219521353824439E-4</v>
      </c>
    </row>
    <row r="614" spans="5:57" s="10" customFormat="1" x14ac:dyDescent="0.35">
      <c r="E614" s="10" t="s">
        <v>646</v>
      </c>
      <c r="F614" s="10" t="s">
        <v>615</v>
      </c>
      <c r="G614" s="43" t="s">
        <v>616</v>
      </c>
      <c r="I614" s="20"/>
      <c r="J614" s="200"/>
      <c r="K614" s="200"/>
      <c r="L614" s="200"/>
      <c r="M614" s="200"/>
      <c r="N614" s="200">
        <v>9.7000000000000003E-3</v>
      </c>
      <c r="O614" s="226">
        <f t="shared" si="161"/>
        <v>8.8911020216804939E-3</v>
      </c>
      <c r="P614" s="226">
        <f t="shared" si="161"/>
        <v>8.1496592948382442E-3</v>
      </c>
      <c r="Q614" s="226">
        <f t="shared" si="161"/>
        <v>7.4700466218910865E-3</v>
      </c>
      <c r="R614" s="226">
        <f t="shared" si="161"/>
        <v>6.8471078991694202E-3</v>
      </c>
      <c r="S614" s="226">
        <f t="shared" si="161"/>
        <v>6.2761169984504855E-3</v>
      </c>
      <c r="T614" s="226">
        <f t="shared" si="161"/>
        <v>5.7527419106418991E-3</v>
      </c>
      <c r="U614" s="226">
        <f t="shared" si="161"/>
        <v>5.2730118795787928E-3</v>
      </c>
      <c r="V614" s="226">
        <f t="shared" si="161"/>
        <v>4.8332872765843573E-3</v>
      </c>
      <c r="W614" s="226">
        <f t="shared" si="161"/>
        <v>4.4302319872372977E-3</v>
      </c>
      <c r="X614" s="226">
        <f t="shared" si="161"/>
        <v>4.0607881008493949E-3</v>
      </c>
      <c r="Y614" s="226">
        <f t="shared" si="161"/>
        <v>3.7221527106266129E-3</v>
      </c>
      <c r="Z614" s="226">
        <f t="shared" si="161"/>
        <v>3.4117566485005984E-3</v>
      </c>
      <c r="AA614" s="226">
        <f t="shared" si="161"/>
        <v>3.1272449932954159E-3</v>
      </c>
      <c r="AB614" s="226">
        <f t="shared" si="161"/>
        <v>2.8664592043483581E-3</v>
      </c>
      <c r="AC614" s="226">
        <f t="shared" si="161"/>
        <v>2.6274207450357055E-3</v>
      </c>
      <c r="AD614" s="226">
        <f t="shared" si="161"/>
        <v>2.4083160719579619E-3</v>
      </c>
      <c r="AE614" s="226">
        <f t="shared" si="159"/>
        <v>2.2074828759001091E-3</v>
      </c>
      <c r="AF614" s="226">
        <f t="shared" si="159"/>
        <v>2.0233974701794359E-3</v>
      </c>
      <c r="AG614" s="226">
        <f t="shared" si="159"/>
        <v>1.8546632306985131E-3</v>
      </c>
      <c r="AH614" s="227">
        <v>1.6999999999999999E-3</v>
      </c>
      <c r="AI614" s="226">
        <f t="shared" si="162"/>
        <v>1.5582343749336947E-3</v>
      </c>
      <c r="AJ614" s="226">
        <f t="shared" si="162"/>
        <v>1.4282908042500013E-3</v>
      </c>
      <c r="AK614" s="226">
        <f t="shared" si="162"/>
        <v>1.3091834285788499E-3</v>
      </c>
      <c r="AL614" s="226">
        <f t="shared" si="162"/>
        <v>1.2000086008853621E-3</v>
      </c>
      <c r="AM614" s="226">
        <f t="shared" si="162"/>
        <v>1.0999380306562704E-3</v>
      </c>
      <c r="AN614" s="226">
        <f t="shared" si="162"/>
        <v>1.0082124998032193E-3</v>
      </c>
      <c r="AO614" s="226">
        <f t="shared" si="162"/>
        <v>9.2413610260659248E-4</v>
      </c>
      <c r="AP614" s="226">
        <f t="shared" si="162"/>
        <v>8.4707096599932025E-4</v>
      </c>
      <c r="AQ614" s="226">
        <f t="shared" si="162"/>
        <v>7.7643241013437164E-4</v>
      </c>
      <c r="AR614" s="226">
        <f t="shared" si="162"/>
        <v>7.116845125199969E-4</v>
      </c>
      <c r="AS614" s="226">
        <f t="shared" si="162"/>
        <v>6.5233604206858147E-4</v>
      </c>
      <c r="AT614" s="226">
        <f t="shared" si="162"/>
        <v>5.9793673221144499E-4</v>
      </c>
      <c r="AU614" s="226">
        <f t="shared" si="162"/>
        <v>5.4807386480435112E-4</v>
      </c>
      <c r="AV614" s="226">
        <f t="shared" si="162"/>
        <v>5.0236913890641319E-4</v>
      </c>
      <c r="AW614" s="226">
        <f t="shared" si="162"/>
        <v>4.6047580067636073E-4</v>
      </c>
      <c r="AX614" s="226">
        <f t="shared" si="162"/>
        <v>4.2207601261118913E-4</v>
      </c>
      <c r="AY614" s="226">
        <f t="shared" si="160"/>
        <v>3.8687844216806031E-4</v>
      </c>
      <c r="AZ614" s="226">
        <f t="shared" si="160"/>
        <v>3.5461605147474648E-4</v>
      </c>
      <c r="BA614" s="226">
        <f t="shared" si="160"/>
        <v>3.2504407135953322E-4</v>
      </c>
      <c r="BB614" s="226">
        <f t="shared" si="160"/>
        <v>2.9793814432989735E-4</v>
      </c>
      <c r="BC614" s="226">
        <f t="shared" si="160"/>
        <v>2.7309262241106031E-4</v>
      </c>
      <c r="BD614" s="226">
        <f t="shared" si="160"/>
        <v>2.5031900693041299E-4</v>
      </c>
      <c r="BE614" s="226">
        <f t="shared" si="160"/>
        <v>2.2944451841072663E-4</v>
      </c>
    </row>
    <row r="615" spans="5:57" s="10" customFormat="1" x14ac:dyDescent="0.35">
      <c r="E615" s="10" t="s">
        <v>647</v>
      </c>
      <c r="F615" s="10" t="s">
        <v>615</v>
      </c>
      <c r="G615" s="43" t="s">
        <v>616</v>
      </c>
      <c r="I615" s="20"/>
      <c r="J615" s="200"/>
      <c r="K615" s="200"/>
      <c r="L615" s="200"/>
      <c r="M615" s="200"/>
      <c r="N615" s="200">
        <v>9.7000000000000003E-3</v>
      </c>
      <c r="O615" s="226">
        <f t="shared" si="161"/>
        <v>8.8911020216804939E-3</v>
      </c>
      <c r="P615" s="226">
        <f t="shared" si="161"/>
        <v>8.1496592948382442E-3</v>
      </c>
      <c r="Q615" s="226">
        <f t="shared" si="161"/>
        <v>7.4700466218910865E-3</v>
      </c>
      <c r="R615" s="226">
        <f t="shared" si="161"/>
        <v>6.8471078991694202E-3</v>
      </c>
      <c r="S615" s="226">
        <f t="shared" si="161"/>
        <v>6.2761169984504855E-3</v>
      </c>
      <c r="T615" s="226">
        <f t="shared" si="161"/>
        <v>5.7527419106418991E-3</v>
      </c>
      <c r="U615" s="226">
        <f t="shared" si="161"/>
        <v>5.2730118795787928E-3</v>
      </c>
      <c r="V615" s="226">
        <f t="shared" si="161"/>
        <v>4.8332872765843573E-3</v>
      </c>
      <c r="W615" s="226">
        <f t="shared" si="161"/>
        <v>4.4302319872372977E-3</v>
      </c>
      <c r="X615" s="226">
        <f t="shared" si="161"/>
        <v>4.0607881008493949E-3</v>
      </c>
      <c r="Y615" s="226">
        <f t="shared" si="161"/>
        <v>3.7221527106266129E-3</v>
      </c>
      <c r="Z615" s="226">
        <f t="shared" si="161"/>
        <v>3.4117566485005984E-3</v>
      </c>
      <c r="AA615" s="226">
        <f t="shared" si="161"/>
        <v>3.1272449932954159E-3</v>
      </c>
      <c r="AB615" s="226">
        <f t="shared" si="161"/>
        <v>2.8664592043483581E-3</v>
      </c>
      <c r="AC615" s="226">
        <f t="shared" si="161"/>
        <v>2.6274207450357055E-3</v>
      </c>
      <c r="AD615" s="226">
        <f t="shared" si="161"/>
        <v>2.4083160719579619E-3</v>
      </c>
      <c r="AE615" s="226">
        <f t="shared" si="159"/>
        <v>2.2074828759001091E-3</v>
      </c>
      <c r="AF615" s="226">
        <f t="shared" si="159"/>
        <v>2.0233974701794359E-3</v>
      </c>
      <c r="AG615" s="226">
        <f t="shared" si="159"/>
        <v>1.8546632306985131E-3</v>
      </c>
      <c r="AH615" s="227">
        <v>1.6999999999999999E-3</v>
      </c>
      <c r="AI615" s="226">
        <f t="shared" si="162"/>
        <v>1.5582343749336947E-3</v>
      </c>
      <c r="AJ615" s="226">
        <f t="shared" si="162"/>
        <v>1.4282908042500013E-3</v>
      </c>
      <c r="AK615" s="226">
        <f t="shared" si="162"/>
        <v>1.3091834285788499E-3</v>
      </c>
      <c r="AL615" s="226">
        <f t="shared" si="162"/>
        <v>1.2000086008853621E-3</v>
      </c>
      <c r="AM615" s="226">
        <f t="shared" si="162"/>
        <v>1.0999380306562704E-3</v>
      </c>
      <c r="AN615" s="226">
        <f t="shared" si="162"/>
        <v>1.0082124998032193E-3</v>
      </c>
      <c r="AO615" s="226">
        <f t="shared" si="162"/>
        <v>9.2413610260659248E-4</v>
      </c>
      <c r="AP615" s="226">
        <f t="shared" si="162"/>
        <v>8.4707096599932025E-4</v>
      </c>
      <c r="AQ615" s="226">
        <f t="shared" si="162"/>
        <v>7.7643241013437164E-4</v>
      </c>
      <c r="AR615" s="226">
        <f t="shared" si="162"/>
        <v>7.116845125199969E-4</v>
      </c>
      <c r="AS615" s="226">
        <f t="shared" si="162"/>
        <v>6.5233604206858147E-4</v>
      </c>
      <c r="AT615" s="226">
        <f t="shared" si="162"/>
        <v>5.9793673221144499E-4</v>
      </c>
      <c r="AU615" s="226">
        <f t="shared" si="162"/>
        <v>5.4807386480435112E-4</v>
      </c>
      <c r="AV615" s="226">
        <f t="shared" si="162"/>
        <v>5.0236913890641319E-4</v>
      </c>
      <c r="AW615" s="226">
        <f t="shared" si="162"/>
        <v>4.6047580067636073E-4</v>
      </c>
      <c r="AX615" s="226">
        <f t="shared" si="162"/>
        <v>4.2207601261118913E-4</v>
      </c>
      <c r="AY615" s="226">
        <f t="shared" si="160"/>
        <v>3.8687844216806031E-4</v>
      </c>
      <c r="AZ615" s="226">
        <f t="shared" si="160"/>
        <v>3.5461605147474648E-4</v>
      </c>
      <c r="BA615" s="226">
        <f t="shared" si="160"/>
        <v>3.2504407135953322E-4</v>
      </c>
      <c r="BB615" s="226">
        <f t="shared" si="160"/>
        <v>2.9793814432989735E-4</v>
      </c>
      <c r="BC615" s="226">
        <f t="shared" si="160"/>
        <v>2.7309262241106031E-4</v>
      </c>
      <c r="BD615" s="226">
        <f t="shared" si="160"/>
        <v>2.5031900693041299E-4</v>
      </c>
      <c r="BE615" s="226">
        <f t="shared" si="160"/>
        <v>2.2944451841072663E-4</v>
      </c>
    </row>
    <row r="616" spans="5:57" s="10" customFormat="1" x14ac:dyDescent="0.35">
      <c r="E616" s="10" t="s">
        <v>648</v>
      </c>
      <c r="F616" s="10" t="s">
        <v>615</v>
      </c>
      <c r="G616" s="43" t="s">
        <v>616</v>
      </c>
      <c r="I616" s="20"/>
      <c r="J616" s="200"/>
      <c r="K616" s="200"/>
      <c r="L616" s="200"/>
      <c r="M616" s="200"/>
      <c r="N616" s="200">
        <v>9.9000000000000008E-3</v>
      </c>
      <c r="O616" s="226">
        <f t="shared" si="161"/>
        <v>9.0911130871878711E-3</v>
      </c>
      <c r="P616" s="226">
        <f t="shared" si="161"/>
        <v>8.3483168852564234E-3</v>
      </c>
      <c r="Q616" s="226">
        <f t="shared" si="161"/>
        <v>7.6662114031864808E-3</v>
      </c>
      <c r="R616" s="226">
        <f t="shared" si="161"/>
        <v>7.0398378602684348E-3</v>
      </c>
      <c r="S616" s="226">
        <f t="shared" si="161"/>
        <v>6.464642636683538E-3</v>
      </c>
      <c r="T616" s="226">
        <f t="shared" si="161"/>
        <v>5.9364441695299412E-3</v>
      </c>
      <c r="U616" s="226">
        <f t="shared" si="161"/>
        <v>5.4514025536337154E-3</v>
      </c>
      <c r="V616" s="226">
        <f t="shared" si="161"/>
        <v>5.0059916261483688E-3</v>
      </c>
      <c r="W616" s="226">
        <f t="shared" si="161"/>
        <v>4.5969733320030638E-3</v>
      </c>
      <c r="X616" s="226">
        <f t="shared" si="161"/>
        <v>4.2213741838410795E-3</v>
      </c>
      <c r="Y616" s="226">
        <f t="shared" si="161"/>
        <v>3.8764636453166319E-3</v>
      </c>
      <c r="Z616" s="226">
        <f t="shared" si="161"/>
        <v>3.5597342806006093E-3</v>
      </c>
      <c r="AA616" s="226">
        <f t="shared" si="161"/>
        <v>3.2688835257858083E-3</v>
      </c>
      <c r="AB616" s="226">
        <f t="shared" si="161"/>
        <v>3.0017969496731506E-3</v>
      </c>
      <c r="AC616" s="226">
        <f t="shared" si="161"/>
        <v>2.7565328822479001E-3</v>
      </c>
      <c r="AD616" s="226">
        <f t="shared" ref="AD616:AG631" si="163">AC616*(1+($AH616/$N616)^(1/($AH$6-$N$6))-1)</f>
        <v>2.5313082990977361E-3</v>
      </c>
      <c r="AE616" s="226">
        <f t="shared" si="163"/>
        <v>2.32448585915502E-3</v>
      </c>
      <c r="AF616" s="226">
        <f t="shared" si="163"/>
        <v>2.1345620015300348E-3</v>
      </c>
      <c r="AG616" s="226">
        <f t="shared" si="163"/>
        <v>1.9601560149013772E-3</v>
      </c>
      <c r="AH616" s="227">
        <v>1.8E-3</v>
      </c>
      <c r="AI616" s="226">
        <f t="shared" si="162"/>
        <v>1.6529296522159766E-3</v>
      </c>
      <c r="AJ616" s="226">
        <f t="shared" si="162"/>
        <v>1.5178757973193496E-3</v>
      </c>
      <c r="AK616" s="226">
        <f t="shared" si="162"/>
        <v>1.3938566187611781E-3</v>
      </c>
      <c r="AL616" s="226">
        <f t="shared" si="162"/>
        <v>1.2799705200488062E-3</v>
      </c>
      <c r="AM616" s="226">
        <f t="shared" si="162"/>
        <v>1.1753895703060977E-3</v>
      </c>
      <c r="AN616" s="226">
        <f t="shared" si="162"/>
        <v>1.0793534853690801E-3</v>
      </c>
      <c r="AO616" s="226">
        <f t="shared" si="162"/>
        <v>9.9116410066067543E-4</v>
      </c>
      <c r="AP616" s="226">
        <f t="shared" si="162"/>
        <v>9.1018029566333964E-4</v>
      </c>
      <c r="AQ616" s="226">
        <f t="shared" si="162"/>
        <v>8.3581333309146601E-4</v>
      </c>
      <c r="AR616" s="226">
        <f t="shared" si="162"/>
        <v>7.6752257888019614E-4</v>
      </c>
      <c r="AS616" s="226">
        <f t="shared" si="162"/>
        <v>7.0481157187575114E-4</v>
      </c>
      <c r="AT616" s="226">
        <f t="shared" si="162"/>
        <v>6.4722441465465616E-4</v>
      </c>
      <c r="AU616" s="226">
        <f t="shared" si="162"/>
        <v>5.9434245923378325E-4</v>
      </c>
      <c r="AV616" s="226">
        <f t="shared" si="162"/>
        <v>5.4578126357693638E-4</v>
      </c>
      <c r="AW616" s="226">
        <f t="shared" si="162"/>
        <v>5.0118779677234542E-4</v>
      </c>
      <c r="AX616" s="226">
        <f t="shared" ref="AX616:BE631" si="164">AW616*(1+($AH616/$N616)^(1/($AH$6-$N$6))-1)</f>
        <v>4.602378725632247E-4</v>
      </c>
      <c r="AY616" s="226">
        <f t="shared" si="164"/>
        <v>4.2263379257363997E-4</v>
      </c>
      <c r="AZ616" s="226">
        <f t="shared" si="164"/>
        <v>3.8810218209636992E-4</v>
      </c>
      <c r="BA616" s="226">
        <f t="shared" si="164"/>
        <v>3.563920027093413E-4</v>
      </c>
      <c r="BB616" s="226">
        <f t="shared" si="164"/>
        <v>3.2727272727272607E-4</v>
      </c>
      <c r="BC616" s="226">
        <f t="shared" si="164"/>
        <v>3.0053266403926737E-4</v>
      </c>
      <c r="BD616" s="226">
        <f t="shared" si="164"/>
        <v>2.759774176944262E-4</v>
      </c>
      <c r="BE616" s="226">
        <f t="shared" si="164"/>
        <v>2.5342847613839508E-4</v>
      </c>
    </row>
    <row r="617" spans="5:57" s="10" customFormat="1" x14ac:dyDescent="0.35">
      <c r="E617" s="10" t="s">
        <v>649</v>
      </c>
      <c r="F617" s="10" t="s">
        <v>615</v>
      </c>
      <c r="G617" s="43" t="s">
        <v>616</v>
      </c>
      <c r="I617" s="20"/>
      <c r="J617" s="200"/>
      <c r="K617" s="200"/>
      <c r="L617" s="200"/>
      <c r="M617" s="200"/>
      <c r="N617" s="200">
        <v>0.01</v>
      </c>
      <c r="O617" s="226">
        <f t="shared" ref="O617:AD632" si="165">N617*(1+($AH617/$N617)^(1/($AH$6-$N$6))-1)</f>
        <v>9.2031749948335677E-3</v>
      </c>
      <c r="P617" s="226">
        <f t="shared" si="165"/>
        <v>8.4698429985529834E-3</v>
      </c>
      <c r="Q617" s="226">
        <f t="shared" si="165"/>
        <v>7.7949447294448975E-3</v>
      </c>
      <c r="R617" s="226">
        <f t="shared" si="165"/>
        <v>7.1738240420136986E-3</v>
      </c>
      <c r="S617" s="226">
        <f t="shared" si="165"/>
        <v>6.6021958040796344E-3</v>
      </c>
      <c r="T617" s="226">
        <f t="shared" si="165"/>
        <v>6.0761163335100793E-3</v>
      </c>
      <c r="U617" s="226">
        <f t="shared" si="165"/>
        <v>5.591956190625978E-3</v>
      </c>
      <c r="V617" s="226">
        <f t="shared" si="165"/>
        <v>5.1463751385773769E-3</v>
      </c>
      <c r="W617" s="226">
        <f t="shared" si="165"/>
        <v>4.7362990989388452E-3</v>
      </c>
      <c r="X617" s="226">
        <f t="shared" si="165"/>
        <v>4.3588989435406735E-3</v>
      </c>
      <c r="Y617" s="226">
        <f t="shared" si="165"/>
        <v>4.011570976219998E-3</v>
      </c>
      <c r="Z617" s="226">
        <f t="shared" si="165"/>
        <v>3.6919189698347969E-3</v>
      </c>
      <c r="AA617" s="226">
        <f t="shared" si="165"/>
        <v>3.3977376346135306E-3</v>
      </c>
      <c r="AB617" s="226">
        <f t="shared" si="165"/>
        <v>3.1269974037880198E-3</v>
      </c>
      <c r="AC617" s="226">
        <f t="shared" si="165"/>
        <v>2.8778304315451387E-3</v>
      </c>
      <c r="AD617" s="226">
        <f t="shared" si="165"/>
        <v>2.6485177066967315E-3</v>
      </c>
      <c r="AE617" s="226">
        <f t="shared" si="163"/>
        <v>2.4374771931645303E-3</v>
      </c>
      <c r="AF617" s="226">
        <f t="shared" si="163"/>
        <v>2.2432529154608914E-3</v>
      </c>
      <c r="AG617" s="226">
        <f t="shared" si="163"/>
        <v>2.0645049138657175E-3</v>
      </c>
      <c r="AH617" s="227">
        <v>1.9E-3</v>
      </c>
      <c r="AI617" s="226">
        <f t="shared" ref="AI617:AX632" si="166">AH617*(1+($AH617/$N617)^(1/($AH$6-$N$6))-1)</f>
        <v>1.7486032490183778E-3</v>
      </c>
      <c r="AJ617" s="226">
        <f t="shared" si="166"/>
        <v>1.6092701697250668E-3</v>
      </c>
      <c r="AK617" s="226">
        <f t="shared" si="166"/>
        <v>1.4810394985945306E-3</v>
      </c>
      <c r="AL617" s="226">
        <f t="shared" si="166"/>
        <v>1.3630265679826028E-3</v>
      </c>
      <c r="AM617" s="226">
        <f t="shared" si="166"/>
        <v>1.2544172027751305E-3</v>
      </c>
      <c r="AN617" s="226">
        <f t="shared" si="166"/>
        <v>1.1544621033669151E-3</v>
      </c>
      <c r="AO617" s="226">
        <f t="shared" si="166"/>
        <v>1.0624716762189358E-3</v>
      </c>
      <c r="AP617" s="226">
        <f t="shared" si="166"/>
        <v>9.7781127632970161E-4</v>
      </c>
      <c r="AQ617" s="226">
        <f t="shared" si="166"/>
        <v>8.9989682879838058E-4</v>
      </c>
      <c r="AR617" s="226">
        <f t="shared" si="166"/>
        <v>8.28190799272728E-4</v>
      </c>
      <c r="AS617" s="226">
        <f t="shared" si="166"/>
        <v>7.6219848548179968E-4</v>
      </c>
      <c r="AT617" s="226">
        <f t="shared" si="166"/>
        <v>7.0146460426861144E-4</v>
      </c>
      <c r="AU617" s="226">
        <f t="shared" si="166"/>
        <v>6.4557015057657089E-4</v>
      </c>
      <c r="AV617" s="226">
        <f t="shared" si="166"/>
        <v>5.9412950671972379E-4</v>
      </c>
      <c r="AW617" s="226">
        <f t="shared" si="166"/>
        <v>5.4678778199357641E-4</v>
      </c>
      <c r="AX617" s="226">
        <f t="shared" si="166"/>
        <v>5.0321836427237902E-4</v>
      </c>
      <c r="AY617" s="226">
        <f t="shared" si="164"/>
        <v>4.6312066670126079E-4</v>
      </c>
      <c r="AZ617" s="226">
        <f t="shared" si="164"/>
        <v>4.2621805393756938E-4</v>
      </c>
      <c r="BA617" s="226">
        <f t="shared" si="164"/>
        <v>3.9225593363448634E-4</v>
      </c>
      <c r="BB617" s="226">
        <f t="shared" si="164"/>
        <v>3.6099999999999999E-4</v>
      </c>
      <c r="BC617" s="226">
        <f t="shared" si="164"/>
        <v>3.3223461731349176E-4</v>
      </c>
      <c r="BD617" s="226">
        <f t="shared" si="164"/>
        <v>3.0576133224776266E-4</v>
      </c>
      <c r="BE617" s="226">
        <f t="shared" si="164"/>
        <v>2.8139750473296079E-4</v>
      </c>
    </row>
    <row r="618" spans="5:57" s="10" customFormat="1" x14ac:dyDescent="0.35">
      <c r="E618" s="10" t="s">
        <v>650</v>
      </c>
      <c r="F618" s="10" t="s">
        <v>615</v>
      </c>
      <c r="G618" s="43" t="s">
        <v>616</v>
      </c>
      <c r="I618" s="20"/>
      <c r="J618" s="200"/>
      <c r="K618" s="200"/>
      <c r="L618" s="200"/>
      <c r="M618" s="200"/>
      <c r="N618" s="200">
        <v>1.01E-2</v>
      </c>
      <c r="O618" s="226">
        <f t="shared" si="165"/>
        <v>9.3144411878293178E-3</v>
      </c>
      <c r="P618" s="226">
        <f t="shared" si="165"/>
        <v>8.5899816476763605E-3</v>
      </c>
      <c r="Q618" s="226">
        <f t="shared" si="165"/>
        <v>7.9218691942390743E-3</v>
      </c>
      <c r="R618" s="226">
        <f t="shared" si="165"/>
        <v>7.3057212581600682E-3</v>
      </c>
      <c r="S618" s="226">
        <f t="shared" si="165"/>
        <v>6.7374961380006308E-3</v>
      </c>
      <c r="T618" s="226">
        <f t="shared" si="165"/>
        <v>6.2134664881815889E-3</v>
      </c>
      <c r="U618" s="226">
        <f t="shared" si="165"/>
        <v>5.7301948689817608E-3</v>
      </c>
      <c r="V618" s="226">
        <f t="shared" si="165"/>
        <v>5.2845111982110834E-3</v>
      </c>
      <c r="W618" s="226">
        <f t="shared" si="165"/>
        <v>4.87349195664976E-3</v>
      </c>
      <c r="X618" s="226">
        <f t="shared" si="165"/>
        <v>4.494441010848854E-3</v>
      </c>
      <c r="Y618" s="226">
        <f t="shared" si="165"/>
        <v>4.1448719274970102E-3</v>
      </c>
      <c r="Z618" s="226">
        <f t="shared" si="165"/>
        <v>3.8224916633421437E-3</v>
      </c>
      <c r="AA618" s="226">
        <f t="shared" si="165"/>
        <v>3.5251855236800261E-3</v>
      </c>
      <c r="AB618" s="226">
        <f t="shared" si="165"/>
        <v>3.2510032907430595E-3</v>
      </c>
      <c r="AC618" s="226">
        <f t="shared" si="165"/>
        <v>2.9981464309966144E-3</v>
      </c>
      <c r="AD618" s="226">
        <f t="shared" si="165"/>
        <v>2.7649562974275581E-3</v>
      </c>
      <c r="AE618" s="226">
        <f t="shared" si="163"/>
        <v>2.5499032494363662E-3</v>
      </c>
      <c r="AF618" s="226">
        <f t="shared" si="163"/>
        <v>2.3515766189633569E-3</v>
      </c>
      <c r="AG618" s="226">
        <f t="shared" si="163"/>
        <v>2.1686754570305646E-3</v>
      </c>
      <c r="AH618" s="227">
        <v>2E-3</v>
      </c>
      <c r="AI618" s="226">
        <f t="shared" si="166"/>
        <v>1.8444437995701621E-3</v>
      </c>
      <c r="AJ618" s="226">
        <f t="shared" si="166"/>
        <v>1.7009864648864083E-3</v>
      </c>
      <c r="AK618" s="226">
        <f t="shared" si="166"/>
        <v>1.5686869691562526E-3</v>
      </c>
      <c r="AL618" s="226">
        <f t="shared" si="166"/>
        <v>1.4466774768633801E-3</v>
      </c>
      <c r="AM618" s="226">
        <f t="shared" si="166"/>
        <v>1.3341576510892341E-3</v>
      </c>
      <c r="AN618" s="226">
        <f t="shared" si="166"/>
        <v>1.2303894036003148E-3</v>
      </c>
      <c r="AO618" s="226">
        <f t="shared" si="166"/>
        <v>1.1346920532637151E-3</v>
      </c>
      <c r="AP618" s="226">
        <f t="shared" si="166"/>
        <v>1.0464378610318978E-3</v>
      </c>
      <c r="AQ618" s="226">
        <f t="shared" si="166"/>
        <v>9.6504791220787338E-4</v>
      </c>
      <c r="AR618" s="226">
        <f t="shared" si="166"/>
        <v>8.899883189799711E-4</v>
      </c>
      <c r="AS618" s="226">
        <f t="shared" si="166"/>
        <v>8.2076671831623972E-4</v>
      </c>
      <c r="AT618" s="226">
        <f t="shared" si="166"/>
        <v>7.5692904224596914E-4</v>
      </c>
      <c r="AU618" s="226">
        <f t="shared" si="166"/>
        <v>6.9805653934257956E-4</v>
      </c>
      <c r="AV618" s="226">
        <f t="shared" si="166"/>
        <v>6.4376302786991286E-4</v>
      </c>
      <c r="AW618" s="226">
        <f t="shared" si="166"/>
        <v>5.9369236257358709E-4</v>
      </c>
      <c r="AX618" s="226">
        <f t="shared" si="166"/>
        <v>5.4751609850050664E-4</v>
      </c>
      <c r="AY618" s="226">
        <f t="shared" si="164"/>
        <v>5.0493133652205276E-4</v>
      </c>
      <c r="AZ618" s="226">
        <f t="shared" si="164"/>
        <v>4.656587364283876E-4</v>
      </c>
      <c r="BA618" s="226">
        <f t="shared" si="164"/>
        <v>4.2944068456050795E-4</v>
      </c>
      <c r="BB618" s="226">
        <f t="shared" si="164"/>
        <v>3.9603960396039737E-4</v>
      </c>
      <c r="BC618" s="226">
        <f t="shared" si="164"/>
        <v>3.6523639595448877E-4</v>
      </c>
      <c r="BD618" s="226">
        <f t="shared" si="164"/>
        <v>3.3682900294780473E-4</v>
      </c>
      <c r="BE618" s="226">
        <f t="shared" si="164"/>
        <v>3.1063108300123914E-4</v>
      </c>
    </row>
    <row r="619" spans="5:57" s="10" customFormat="1" x14ac:dyDescent="0.35">
      <c r="E619" s="10" t="s">
        <v>651</v>
      </c>
      <c r="F619" s="10" t="s">
        <v>615</v>
      </c>
      <c r="G619" s="43" t="s">
        <v>616</v>
      </c>
      <c r="I619" s="20"/>
      <c r="J619" s="200"/>
      <c r="K619" s="200"/>
      <c r="L619" s="200"/>
      <c r="M619" s="200"/>
      <c r="N619" s="200">
        <v>1.0200000000000001E-2</v>
      </c>
      <c r="O619" s="226">
        <f t="shared" si="165"/>
        <v>9.4249949875800064E-3</v>
      </c>
      <c r="P619" s="226">
        <f t="shared" si="165"/>
        <v>8.7088755407753165E-3</v>
      </c>
      <c r="Q619" s="226">
        <f t="shared" si="165"/>
        <v>8.0471674822809279E-3</v>
      </c>
      <c r="R619" s="226">
        <f t="shared" si="165"/>
        <v>7.4357365867367209E-3</v>
      </c>
      <c r="S619" s="226">
        <f t="shared" si="165"/>
        <v>6.8707627508783186E-3</v>
      </c>
      <c r="T619" s="226">
        <f t="shared" si="165"/>
        <v>6.3487161262627016E-3</v>
      </c>
      <c r="U619" s="226">
        <f t="shared" si="165"/>
        <v>5.8663350654504223E-3</v>
      </c>
      <c r="V619" s="226">
        <f t="shared" si="165"/>
        <v>5.4206057438563778E-3</v>
      </c>
      <c r="W619" s="226">
        <f t="shared" si="165"/>
        <v>5.0087433299503669E-3</v>
      </c>
      <c r="X619" s="226">
        <f t="shared" si="165"/>
        <v>4.6281745861624498E-3</v>
      </c>
      <c r="Y619" s="226">
        <f t="shared" si="165"/>
        <v>4.2765217917868879E-3</v>
      </c>
      <c r="Z619" s="226">
        <f t="shared" si="165"/>
        <v>3.951587887438047E-3</v>
      </c>
      <c r="AA619" s="226">
        <f t="shared" si="165"/>
        <v>3.651342748243672E-3</v>
      </c>
      <c r="AB619" s="226">
        <f t="shared" si="165"/>
        <v>3.3739105000130595E-3</v>
      </c>
      <c r="AC619" s="226">
        <f t="shared" si="165"/>
        <v>3.1175577991339838E-3</v>
      </c>
      <c r="AD619" s="226">
        <f t="shared" si="165"/>
        <v>2.8806830029734069E-3</v>
      </c>
      <c r="AE619" s="226">
        <f t="shared" si="163"/>
        <v>2.6618061631207132E-3</v>
      </c>
      <c r="AF619" s="226">
        <f t="shared" si="163"/>
        <v>2.4595597789531655E-3</v>
      </c>
      <c r="AG619" s="226">
        <f t="shared" si="163"/>
        <v>2.2726802537536245E-3</v>
      </c>
      <c r="AH619" s="227">
        <v>2.0999999999999999E-3</v>
      </c>
      <c r="AI619" s="226">
        <f t="shared" si="166"/>
        <v>1.9404401445017657E-3</v>
      </c>
      <c r="AJ619" s="226">
        <f t="shared" si="166"/>
        <v>1.7930037878066826E-3</v>
      </c>
      <c r="AK619" s="226">
        <f t="shared" si="166"/>
        <v>1.6567697757637202E-3</v>
      </c>
      <c r="AL619" s="226">
        <f t="shared" si="166"/>
        <v>1.5308869443281482E-3</v>
      </c>
      <c r="AM619" s="226">
        <f t="shared" si="166"/>
        <v>1.4145688016514184E-3</v>
      </c>
      <c r="AN619" s="226">
        <f t="shared" si="166"/>
        <v>1.307088614230556E-3</v>
      </c>
      <c r="AO619" s="226">
        <f t="shared" si="166"/>
        <v>1.2077748664162634E-3</v>
      </c>
      <c r="AP619" s="226">
        <f t="shared" si="166"/>
        <v>1.1160070649116071E-3</v>
      </c>
      <c r="AQ619" s="226">
        <f t="shared" si="166"/>
        <v>1.031211862048605E-3</v>
      </c>
      <c r="AR619" s="226">
        <f t="shared" si="166"/>
        <v>9.5285947362168096E-4</v>
      </c>
      <c r="AS619" s="226">
        <f t="shared" si="166"/>
        <v>8.8046036889730052E-4</v>
      </c>
      <c r="AT619" s="226">
        <f t="shared" si="166"/>
        <v>8.1356221211959802E-4</v>
      </c>
      <c r="AU619" s="226">
        <f t="shared" si="166"/>
        <v>7.5174703640310903E-4</v>
      </c>
      <c r="AV619" s="226">
        <f t="shared" si="166"/>
        <v>6.9462863235562997E-4</v>
      </c>
      <c r="AW619" s="226">
        <f t="shared" si="166"/>
        <v>6.4185013511582024E-4</v>
      </c>
      <c r="AX619" s="226">
        <f t="shared" si="166"/>
        <v>5.9308179472981914E-4</v>
      </c>
      <c r="AY619" s="226">
        <f t="shared" si="164"/>
        <v>5.4801891593661751E-4</v>
      </c>
      <c r="AZ619" s="226">
        <f t="shared" si="164"/>
        <v>5.0637995449035768E-4</v>
      </c>
      <c r="BA619" s="226">
        <f t="shared" si="164"/>
        <v>4.6790475812574631E-4</v>
      </c>
      <c r="BB619" s="226">
        <f t="shared" si="164"/>
        <v>4.3235294117646998E-4</v>
      </c>
      <c r="BC619" s="226">
        <f t="shared" si="164"/>
        <v>3.9950238269153947E-4</v>
      </c>
      <c r="BD619" s="226">
        <f t="shared" si="164"/>
        <v>3.691478386660812E-4</v>
      </c>
      <c r="BE619" s="226">
        <f t="shared" si="164"/>
        <v>3.4109965971605959E-4</v>
      </c>
    </row>
    <row r="620" spans="5:57" s="10" customFormat="1" x14ac:dyDescent="0.35">
      <c r="E620" s="10" t="s">
        <v>652</v>
      </c>
      <c r="F620" s="10" t="s">
        <v>615</v>
      </c>
      <c r="G620" s="43" t="s">
        <v>616</v>
      </c>
      <c r="I620" s="20"/>
      <c r="J620" s="200"/>
      <c r="K620" s="200"/>
      <c r="L620" s="200"/>
      <c r="M620" s="200"/>
      <c r="N620" s="200">
        <v>1.03E-2</v>
      </c>
      <c r="O620" s="226">
        <f t="shared" si="165"/>
        <v>9.5349077916528375E-3</v>
      </c>
      <c r="P620" s="226">
        <f t="shared" si="165"/>
        <v>8.8266472422642711E-3</v>
      </c>
      <c r="Q620" s="226">
        <f t="shared" si="165"/>
        <v>8.1709968509161776E-3</v>
      </c>
      <c r="R620" s="226">
        <f t="shared" si="165"/>
        <v>7.5640486931428602E-3</v>
      </c>
      <c r="S620" s="226">
        <f t="shared" si="165"/>
        <v>7.0021851282222637E-3</v>
      </c>
      <c r="T620" s="226">
        <f t="shared" si="165"/>
        <v>6.4820572366681636E-3</v>
      </c>
      <c r="U620" s="226">
        <f t="shared" si="165"/>
        <v>6.0005648594026149E-3</v>
      </c>
      <c r="V620" s="226">
        <f t="shared" si="165"/>
        <v>5.5548381196345829E-3</v>
      </c>
      <c r="W620" s="226">
        <f t="shared" si="165"/>
        <v>5.1422203173081531E-3</v>
      </c>
      <c r="X620" s="226">
        <f t="shared" si="165"/>
        <v>4.7602520941647606E-3</v>
      </c>
      <c r="Y620" s="226">
        <f t="shared" si="165"/>
        <v>4.4066567750372142E-3</v>
      </c>
      <c r="Z620" s="226">
        <f t="shared" si="165"/>
        <v>4.0793267980040867E-3</v>
      </c>
      <c r="AA620" s="226">
        <f t="shared" si="165"/>
        <v>3.7763111525230472E-3</v>
      </c>
      <c r="AB620" s="226">
        <f t="shared" si="165"/>
        <v>3.495803750669661E-3</v>
      </c>
      <c r="AC620" s="226">
        <f t="shared" si="165"/>
        <v>3.2361326621698412E-3</v>
      </c>
      <c r="AD620" s="226">
        <f t="shared" si="165"/>
        <v>2.9957501490626656E-3</v>
      </c>
      <c r="AE620" s="226">
        <f t="shared" si="163"/>
        <v>2.773223440596384E-3</v>
      </c>
      <c r="AF620" s="226">
        <f t="shared" si="163"/>
        <v>2.5672261933725E-3</v>
      </c>
      <c r="AG620" s="226">
        <f t="shared" si="163"/>
        <v>2.3765305858371557E-3</v>
      </c>
      <c r="AH620" s="227">
        <v>2.2000000000000001E-3</v>
      </c>
      <c r="AI620" s="226">
        <f t="shared" si="166"/>
        <v>2.0365822467608001E-3</v>
      </c>
      <c r="AJ620" s="226">
        <f t="shared" si="166"/>
        <v>1.8853032944642128E-3</v>
      </c>
      <c r="AK620" s="226">
        <f t="shared" si="166"/>
        <v>1.7452614633024842E-3</v>
      </c>
      <c r="AL620" s="226">
        <f t="shared" si="166"/>
        <v>1.6156220509625523E-3</v>
      </c>
      <c r="AM620" s="226">
        <f t="shared" si="166"/>
        <v>1.4956123574843667E-3</v>
      </c>
      <c r="AN620" s="226">
        <f t="shared" si="166"/>
        <v>1.3845170796766948E-3</v>
      </c>
      <c r="AO620" s="226">
        <f t="shared" si="166"/>
        <v>1.2816740476393931E-3</v>
      </c>
      <c r="AP620" s="226">
        <f t="shared" si="166"/>
        <v>1.1864702779802018E-3</v>
      </c>
      <c r="AQ620" s="226">
        <f t="shared" si="166"/>
        <v>1.0983383202017411E-3</v>
      </c>
      <c r="AR620" s="226">
        <f t="shared" si="166"/>
        <v>1.0167528744817933E-3</v>
      </c>
      <c r="AS620" s="226">
        <f t="shared" si="166"/>
        <v>9.4122766068756021E-4</v>
      </c>
      <c r="AT620" s="226">
        <f t="shared" si="166"/>
        <v>8.713125199620379E-4</v>
      </c>
      <c r="AU620" s="226">
        <f t="shared" si="166"/>
        <v>8.0659073160686443E-4</v>
      </c>
      <c r="AV620" s="226">
        <f t="shared" si="166"/>
        <v>7.4667652926924794E-4</v>
      </c>
      <c r="AW620" s="226">
        <f t="shared" si="166"/>
        <v>6.9121280162850963E-4</v>
      </c>
      <c r="AX620" s="226">
        <f t="shared" si="166"/>
        <v>6.3986896387746247E-4</v>
      </c>
      <c r="AY620" s="226">
        <f t="shared" si="164"/>
        <v>5.9233898731184901E-4</v>
      </c>
      <c r="AZ620" s="226">
        <f t="shared" si="164"/>
        <v>5.4833957528344665E-4</v>
      </c>
      <c r="BA620" s="226">
        <f t="shared" si="164"/>
        <v>5.076084746448294E-4</v>
      </c>
      <c r="BB620" s="226">
        <f t="shared" si="164"/>
        <v>4.6990291262135876E-4</v>
      </c>
      <c r="BC620" s="226">
        <f t="shared" si="164"/>
        <v>4.3499814979356852E-4</v>
      </c>
      <c r="BD620" s="226">
        <f t="shared" si="164"/>
        <v>4.0268614056517129E-4</v>
      </c>
      <c r="BE620" s="226">
        <f t="shared" si="164"/>
        <v>3.7277429313256903E-4</v>
      </c>
    </row>
    <row r="621" spans="5:57" s="10" customFormat="1" x14ac:dyDescent="0.35">
      <c r="E621" s="10" t="s">
        <v>653</v>
      </c>
      <c r="F621" s="10" t="s">
        <v>615</v>
      </c>
      <c r="G621" s="43" t="s">
        <v>616</v>
      </c>
      <c r="I621" s="20"/>
      <c r="J621" s="200"/>
      <c r="K621" s="200"/>
      <c r="L621" s="200"/>
      <c r="M621" s="200"/>
      <c r="N621" s="200">
        <v>1.04E-2</v>
      </c>
      <c r="O621" s="226">
        <f t="shared" si="165"/>
        <v>9.6228298426520777E-3</v>
      </c>
      <c r="P621" s="226">
        <f t="shared" si="165"/>
        <v>8.9037359789072516E-3</v>
      </c>
      <c r="Q621" s="226">
        <f t="shared" si="165"/>
        <v>8.2383784893195876E-3</v>
      </c>
      <c r="R621" s="226">
        <f t="shared" si="165"/>
        <v>7.6227417675084107E-3</v>
      </c>
      <c r="S621" s="226">
        <f t="shared" si="165"/>
        <v>7.0531102849240752E-3</v>
      </c>
      <c r="T621" s="226">
        <f t="shared" si="165"/>
        <v>6.5260461666618932E-3</v>
      </c>
      <c r="U621" s="226">
        <f t="shared" si="165"/>
        <v>6.0383684429883904E-3</v>
      </c>
      <c r="V621" s="226">
        <f t="shared" si="165"/>
        <v>5.5871338513574275E-3</v>
      </c>
      <c r="W621" s="226">
        <f t="shared" si="165"/>
        <v>5.1696190730513361E-3</v>
      </c>
      <c r="X621" s="226">
        <f t="shared" si="165"/>
        <v>4.7833042972405546E-3</v>
      </c>
      <c r="Y621" s="226">
        <f t="shared" si="165"/>
        <v>4.4258580132665705E-3</v>
      </c>
      <c r="Z621" s="226">
        <f t="shared" si="165"/>
        <v>4.0951229393656145E-3</v>
      </c>
      <c r="AA621" s="226">
        <f t="shared" si="165"/>
        <v>3.789103002909282E-3</v>
      </c>
      <c r="AB621" s="226">
        <f t="shared" si="165"/>
        <v>3.5059512935844274E-3</v>
      </c>
      <c r="AC621" s="226">
        <f t="shared" si="165"/>
        <v>3.2439589168066236E-3</v>
      </c>
      <c r="AD621" s="226">
        <f t="shared" si="165"/>
        <v>3.0015446800946239E-3</v>
      </c>
      <c r="AE621" s="226">
        <f t="shared" si="163"/>
        <v>2.7772455501603975E-3</v>
      </c>
      <c r="AF621" s="226">
        <f t="shared" si="163"/>
        <v>2.5697078231207847E-3</v>
      </c>
      <c r="AG621" s="226">
        <f t="shared" si="163"/>
        <v>2.377678954540692E-3</v>
      </c>
      <c r="AH621" s="227">
        <v>2.2000000000000001E-3</v>
      </c>
      <c r="AI621" s="226">
        <f t="shared" si="166"/>
        <v>2.0355986205610166E-3</v>
      </c>
      <c r="AJ621" s="226">
        <f t="shared" si="166"/>
        <v>1.883482610922688E-3</v>
      </c>
      <c r="AK621" s="226">
        <f t="shared" si="166"/>
        <v>1.7427339112022207E-3</v>
      </c>
      <c r="AL621" s="226">
        <f t="shared" si="166"/>
        <v>1.6125030662037024E-3</v>
      </c>
      <c r="AM621" s="226">
        <f t="shared" si="166"/>
        <v>1.4920040987339391E-3</v>
      </c>
      <c r="AN621" s="226">
        <f t="shared" si="166"/>
        <v>1.3805097660246313E-3</v>
      </c>
      <c r="AO621" s="226">
        <f t="shared" si="166"/>
        <v>1.2773471706321597E-3</v>
      </c>
      <c r="AP621" s="226">
        <f t="shared" si="166"/>
        <v>1.1818936993256098E-3</v>
      </c>
      <c r="AQ621" s="226">
        <f t="shared" si="166"/>
        <v>1.0935732654531673E-3</v>
      </c>
      <c r="AR621" s="226">
        <f t="shared" si="166"/>
        <v>1.011852832108579E-3</v>
      </c>
      <c r="AS621" s="226">
        <f t="shared" si="166"/>
        <v>9.3623919511408239E-4</v>
      </c>
      <c r="AT621" s="226">
        <f t="shared" si="166"/>
        <v>8.6627600640426473E-4</v>
      </c>
      <c r="AU621" s="226">
        <f t="shared" si="166"/>
        <v>8.0154101984619436E-4</v>
      </c>
      <c r="AV621" s="226">
        <f t="shared" si="166"/>
        <v>7.4164354287362892E-4</v>
      </c>
      <c r="AW621" s="226">
        <f t="shared" si="166"/>
        <v>6.8622207855524738E-4</v>
      </c>
      <c r="AX621" s="226">
        <f t="shared" si="166"/>
        <v>6.3494214386617049E-4</v>
      </c>
      <c r="AY621" s="226">
        <f t="shared" si="164"/>
        <v>5.874942509954687E-4</v>
      </c>
      <c r="AZ621" s="226">
        <f t="shared" si="164"/>
        <v>5.4359203950631984E-4</v>
      </c>
      <c r="BA621" s="226">
        <f t="shared" si="164"/>
        <v>5.0297054807591553E-4</v>
      </c>
      <c r="BB621" s="226">
        <f t="shared" si="164"/>
        <v>4.6538461538461458E-4</v>
      </c>
      <c r="BC621" s="226">
        <f t="shared" si="164"/>
        <v>4.3060740050329118E-4</v>
      </c>
      <c r="BD621" s="226">
        <f t="shared" si="164"/>
        <v>3.984290138490294E-4</v>
      </c>
      <c r="BE621" s="226">
        <f t="shared" si="164"/>
        <v>3.6865525044662293E-4</v>
      </c>
    </row>
    <row r="622" spans="5:57" s="10" customFormat="1" x14ac:dyDescent="0.35">
      <c r="E622" s="10" t="s">
        <v>654</v>
      </c>
      <c r="F622" s="10" t="s">
        <v>615</v>
      </c>
      <c r="G622" s="43" t="s">
        <v>616</v>
      </c>
      <c r="I622" s="20"/>
      <c r="J622" s="200"/>
      <c r="K622" s="200"/>
      <c r="L622" s="200"/>
      <c r="M622" s="200"/>
      <c r="N622" s="200">
        <v>1.0500000000000001E-2</v>
      </c>
      <c r="O622" s="226">
        <f t="shared" si="165"/>
        <v>9.7323165436134246E-3</v>
      </c>
      <c r="P622" s="226">
        <f t="shared" si="165"/>
        <v>9.0207605052468158E-3</v>
      </c>
      <c r="Q622" s="226">
        <f t="shared" si="165"/>
        <v>8.3612282572560169E-3</v>
      </c>
      <c r="R622" s="226">
        <f t="shared" si="165"/>
        <v>7.7499161993353121E-3</v>
      </c>
      <c r="S622" s="226">
        <f t="shared" si="165"/>
        <v>7.183298822705594E-3</v>
      </c>
      <c r="T622" s="226">
        <f t="shared" si="165"/>
        <v>6.6581083780891896E-3</v>
      </c>
      <c r="U622" s="226">
        <f t="shared" si="165"/>
        <v>6.1713160302141494E-3</v>
      </c>
      <c r="V622" s="226">
        <f t="shared" si="165"/>
        <v>5.7201143901637989E-3</v>
      </c>
      <c r="W622" s="226">
        <f t="shared" si="165"/>
        <v>5.301901324833558E-3</v>
      </c>
      <c r="X622" s="226">
        <f t="shared" si="165"/>
        <v>4.9142649501222446E-3</v>
      </c>
      <c r="Y622" s="226">
        <f t="shared" si="165"/>
        <v>4.55496972131184E-3</v>
      </c>
      <c r="Z622" s="226">
        <f t="shared" si="165"/>
        <v>4.2219435404172809E-3</v>
      </c>
      <c r="AA622" s="226">
        <f t="shared" si="165"/>
        <v>3.913265806152851E-3</v>
      </c>
      <c r="AB622" s="226">
        <f t="shared" si="165"/>
        <v>3.6271563375979161E-3</v>
      </c>
      <c r="AC622" s="226">
        <f t="shared" si="165"/>
        <v>3.3619651076834743E-3</v>
      </c>
      <c r="AD622" s="226">
        <f t="shared" si="165"/>
        <v>3.11616272729133E-3</v>
      </c>
      <c r="AE622" s="226">
        <f t="shared" si="163"/>
        <v>2.8883316250865659E-3</v>
      </c>
      <c r="AF622" s="226">
        <f t="shared" si="163"/>
        <v>2.677157872216365E-3</v>
      </c>
      <c r="AG622" s="226">
        <f t="shared" si="163"/>
        <v>2.4814236047272613E-3</v>
      </c>
      <c r="AH622" s="227">
        <v>2.3E-3</v>
      </c>
      <c r="AI622" s="226">
        <f t="shared" si="166"/>
        <v>2.131840766696274E-3</v>
      </c>
      <c r="AJ622" s="226">
        <f t="shared" si="166"/>
        <v>1.9759761106731121E-3</v>
      </c>
      <c r="AK622" s="226">
        <f t="shared" si="166"/>
        <v>1.8315071420656039E-3</v>
      </c>
      <c r="AL622" s="226">
        <f t="shared" si="166"/>
        <v>1.6976006912829732E-3</v>
      </c>
      <c r="AM622" s="226">
        <f t="shared" si="166"/>
        <v>1.5734845040212254E-3</v>
      </c>
      <c r="AN622" s="226">
        <f t="shared" si="166"/>
        <v>1.4584427875814416E-3</v>
      </c>
      <c r="AO622" s="226">
        <f t="shared" si="166"/>
        <v>1.3518120828088136E-3</v>
      </c>
      <c r="AP622" s="226">
        <f t="shared" si="166"/>
        <v>1.2529774378454036E-3</v>
      </c>
      <c r="AQ622" s="226">
        <f t="shared" si="166"/>
        <v>1.1613688616302078E-3</v>
      </c>
      <c r="AR622" s="226">
        <f t="shared" si="166"/>
        <v>1.076458036693444E-3</v>
      </c>
      <c r="AS622" s="226">
        <f t="shared" si="166"/>
        <v>9.9775527228735555E-4</v>
      </c>
      <c r="AT622" s="226">
        <f t="shared" si="166"/>
        <v>9.2480668028188076E-4</v>
      </c>
      <c r="AU622" s="226">
        <f t="shared" si="166"/>
        <v>8.5719155753824375E-4</v>
      </c>
      <c r="AV622" s="226">
        <f t="shared" si="166"/>
        <v>7.9451995966430553E-4</v>
      </c>
      <c r="AW622" s="226">
        <f t="shared" si="166"/>
        <v>7.3643045215923729E-4</v>
      </c>
      <c r="AX622" s="226">
        <f t="shared" si="166"/>
        <v>6.8258802597810089E-4</v>
      </c>
      <c r="AY622" s="226">
        <f t="shared" si="164"/>
        <v>6.3268216549515249E-4</v>
      </c>
      <c r="AZ622" s="226">
        <f t="shared" si="164"/>
        <v>5.8642505772358471E-4</v>
      </c>
      <c r="BA622" s="226">
        <f t="shared" si="164"/>
        <v>5.4354993246406673E-4</v>
      </c>
      <c r="BB622" s="226">
        <f t="shared" si="164"/>
        <v>5.0380952380952345E-4</v>
      </c>
      <c r="BC622" s="226">
        <f t="shared" si="164"/>
        <v>4.6697464413346921E-4</v>
      </c>
      <c r="BD622" s="226">
        <f t="shared" si="164"/>
        <v>4.3283286233791946E-4</v>
      </c>
      <c r="BE622" s="226">
        <f t="shared" si="164"/>
        <v>4.0118727873817957E-4</v>
      </c>
    </row>
    <row r="623" spans="5:57" s="10" customFormat="1" x14ac:dyDescent="0.35">
      <c r="E623" s="10" t="s">
        <v>655</v>
      </c>
      <c r="F623" s="10" t="s">
        <v>615</v>
      </c>
      <c r="G623" s="43" t="s">
        <v>616</v>
      </c>
      <c r="I623" s="20"/>
      <c r="J623" s="200"/>
      <c r="K623" s="200"/>
      <c r="L623" s="200"/>
      <c r="M623" s="200"/>
      <c r="N623" s="200">
        <v>1.0500000000000001E-2</v>
      </c>
      <c r="O623" s="226">
        <f t="shared" si="165"/>
        <v>9.7530487766609476E-3</v>
      </c>
      <c r="P623" s="226">
        <f t="shared" si="165"/>
        <v>9.0592343276121538E-3</v>
      </c>
      <c r="Q623" s="226">
        <f t="shared" si="165"/>
        <v>8.4147765977526257E-3</v>
      </c>
      <c r="R623" s="226">
        <f t="shared" si="165"/>
        <v>7.8161644383415631E-3</v>
      </c>
      <c r="S623" s="226">
        <f t="shared" si="165"/>
        <v>7.2601364774807602E-3</v>
      </c>
      <c r="T623" s="226">
        <f t="shared" si="165"/>
        <v>6.7436633514366901E-3</v>
      </c>
      <c r="U623" s="226">
        <f t="shared" si="165"/>
        <v>6.2639311999945595E-3</v>
      </c>
      <c r="V623" s="226">
        <f t="shared" si="165"/>
        <v>5.8183263359233598E-3</v>
      </c>
      <c r="W623" s="226">
        <f t="shared" si="165"/>
        <v>5.4044210050277616E-3</v>
      </c>
      <c r="X623" s="226">
        <f t="shared" si="165"/>
        <v>5.0199601592044512E-3</v>
      </c>
      <c r="Y623" s="226">
        <f t="shared" si="165"/>
        <v>4.6628491704395871E-3</v>
      </c>
      <c r="Z623" s="226">
        <f t="shared" si="165"/>
        <v>4.3311424188105076E-3</v>
      </c>
      <c r="AA623" s="226">
        <f t="shared" si="165"/>
        <v>4.0230326923165862E-3</v>
      </c>
      <c r="AB623" s="226">
        <f t="shared" si="165"/>
        <v>3.7368413407871696E-3</v>
      </c>
      <c r="AC623" s="226">
        <f t="shared" si="165"/>
        <v>3.4710091302228912E-3</v>
      </c>
      <c r="AD623" s="226">
        <f t="shared" si="165"/>
        <v>3.2240877477427952E-3</v>
      </c>
      <c r="AE623" s="226">
        <f t="shared" si="163"/>
        <v>2.9947319108543256E-3</v>
      </c>
      <c r="AF623" s="226">
        <f t="shared" si="163"/>
        <v>2.781692038055741E-3</v>
      </c>
      <c r="AG623" s="226">
        <f t="shared" si="163"/>
        <v>2.5838074408387661E-3</v>
      </c>
      <c r="AH623" s="227">
        <v>2.3999999999999998E-3</v>
      </c>
      <c r="AI623" s="226">
        <f t="shared" si="166"/>
        <v>2.2292682918082164E-3</v>
      </c>
      <c r="AJ623" s="226">
        <f t="shared" si="166"/>
        <v>2.0706821320256347E-3</v>
      </c>
      <c r="AK623" s="226">
        <f t="shared" si="166"/>
        <v>1.9233775080577428E-3</v>
      </c>
      <c r="AL623" s="226">
        <f t="shared" si="166"/>
        <v>1.7865518716209286E-3</v>
      </c>
      <c r="AM623" s="226">
        <f t="shared" si="166"/>
        <v>1.6594597662813165E-3</v>
      </c>
      <c r="AN623" s="226">
        <f t="shared" si="166"/>
        <v>1.541408766042672E-3</v>
      </c>
      <c r="AO623" s="226">
        <f t="shared" si="166"/>
        <v>1.4317557028558994E-3</v>
      </c>
      <c r="AP623" s="226">
        <f t="shared" si="166"/>
        <v>1.3299031624967681E-3</v>
      </c>
      <c r="AQ623" s="226">
        <f t="shared" si="166"/>
        <v>1.2352962297206315E-3</v>
      </c>
      <c r="AR623" s="226">
        <f t="shared" si="166"/>
        <v>1.1474194649610176E-3</v>
      </c>
      <c r="AS623" s="226">
        <f t="shared" si="166"/>
        <v>1.0657940961004773E-3</v>
      </c>
      <c r="AT623" s="226">
        <f t="shared" si="166"/>
        <v>9.8997541001383054E-4</v>
      </c>
      <c r="AU623" s="226">
        <f t="shared" si="166"/>
        <v>9.1955032967236286E-4</v>
      </c>
      <c r="AV623" s="226">
        <f t="shared" si="166"/>
        <v>8.5413516360849612E-4</v>
      </c>
      <c r="AW623" s="226">
        <f t="shared" si="166"/>
        <v>7.9337351547951822E-4</v>
      </c>
      <c r="AX623" s="226">
        <f t="shared" si="166"/>
        <v>7.3693434234121057E-4</v>
      </c>
      <c r="AY623" s="226">
        <f t="shared" si="164"/>
        <v>6.8451015105241747E-4</v>
      </c>
      <c r="AZ623" s="226">
        <f t="shared" si="164"/>
        <v>6.3581532298416954E-4</v>
      </c>
      <c r="BA623" s="226">
        <f t="shared" si="164"/>
        <v>5.9058455790600385E-4</v>
      </c>
      <c r="BB623" s="226">
        <f t="shared" si="164"/>
        <v>5.4857142857142832E-4</v>
      </c>
      <c r="BC623" s="226">
        <f t="shared" si="164"/>
        <v>5.0954703812759218E-4</v>
      </c>
      <c r="BD623" s="226">
        <f t="shared" si="164"/>
        <v>4.7329877303443066E-4</v>
      </c>
      <c r="BE623" s="226">
        <f t="shared" si="164"/>
        <v>4.3962914469891255E-4</v>
      </c>
    </row>
    <row r="624" spans="5:57" s="10" customFormat="1" x14ac:dyDescent="0.35">
      <c r="E624" s="10" t="s">
        <v>656</v>
      </c>
      <c r="F624" s="10" t="s">
        <v>615</v>
      </c>
      <c r="G624" s="43" t="s">
        <v>616</v>
      </c>
      <c r="I624" s="20"/>
      <c r="J624" s="200"/>
      <c r="K624" s="200"/>
      <c r="L624" s="200"/>
      <c r="M624" s="200"/>
      <c r="N624" s="200">
        <v>1.06E-2</v>
      </c>
      <c r="O624" s="226">
        <f t="shared" si="165"/>
        <v>9.8613772329232251E-3</v>
      </c>
      <c r="P624" s="226">
        <f t="shared" si="165"/>
        <v>9.174222729246841E-3</v>
      </c>
      <c r="Q624" s="226">
        <f t="shared" si="165"/>
        <v>8.5349501086756201E-3</v>
      </c>
      <c r="R624" s="226">
        <f t="shared" si="165"/>
        <v>7.940222894889562E-3</v>
      </c>
      <c r="S624" s="226">
        <f t="shared" si="165"/>
        <v>7.3869371018867609E-3</v>
      </c>
      <c r="T624" s="226">
        <f t="shared" si="165"/>
        <v>6.8722050337341484E-3</v>
      </c>
      <c r="U624" s="226">
        <f t="shared" si="165"/>
        <v>6.3933402131741805E-3</v>
      </c>
      <c r="V624" s="226">
        <f t="shared" si="165"/>
        <v>5.9478433604272058E-3</v>
      </c>
      <c r="W624" s="226">
        <f t="shared" si="165"/>
        <v>5.5333893490104166E-3</v>
      </c>
      <c r="X624" s="226">
        <f t="shared" si="165"/>
        <v>5.1478150704935078E-3</v>
      </c>
      <c r="Y624" s="226">
        <f t="shared" si="165"/>
        <v>4.78910814485507E-3</v>
      </c>
      <c r="Z624" s="226">
        <f t="shared" si="165"/>
        <v>4.4553964175170725E-3</v>
      </c>
      <c r="AA624" s="226">
        <f t="shared" si="165"/>
        <v>4.1449381882406183E-3</v>
      </c>
      <c r="AB624" s="226">
        <f t="shared" si="165"/>
        <v>3.856113120885856E-3</v>
      </c>
      <c r="AC624" s="226">
        <f t="shared" si="165"/>
        <v>3.5874137865924815E-3</v>
      </c>
      <c r="AD624" s="226">
        <f t="shared" si="165"/>
        <v>3.3374377962432067E-3</v>
      </c>
      <c r="AE624" s="226">
        <f t="shared" si="163"/>
        <v>3.1048804811481339E-3</v>
      </c>
      <c r="AF624" s="226">
        <f t="shared" si="163"/>
        <v>2.8885280837492372E-3</v>
      </c>
      <c r="AG624" s="226">
        <f t="shared" si="163"/>
        <v>2.6872514228060448E-3</v>
      </c>
      <c r="AH624" s="227">
        <v>2.5000000000000001E-3</v>
      </c>
      <c r="AI624" s="226">
        <f t="shared" si="166"/>
        <v>2.3257965171988738E-3</v>
      </c>
      <c r="AJ624" s="226">
        <f t="shared" si="166"/>
        <v>2.1637317757657645E-3</v>
      </c>
      <c r="AK624" s="226">
        <f t="shared" si="166"/>
        <v>2.0129599312914198E-3</v>
      </c>
      <c r="AL624" s="226">
        <f t="shared" si="166"/>
        <v>1.8726940789833874E-3</v>
      </c>
      <c r="AM624" s="226">
        <f t="shared" si="166"/>
        <v>1.7422021466714059E-3</v>
      </c>
      <c r="AN624" s="226">
        <f t="shared" si="166"/>
        <v>1.6208030739939029E-3</v>
      </c>
      <c r="AO624" s="226">
        <f t="shared" si="166"/>
        <v>1.507863257824099E-3</v>
      </c>
      <c r="AP624" s="226">
        <f t="shared" si="166"/>
        <v>1.4027932453837748E-3</v>
      </c>
      <c r="AQ624" s="226">
        <f t="shared" si="166"/>
        <v>1.3050446577854754E-3</v>
      </c>
      <c r="AR624" s="226">
        <f t="shared" si="166"/>
        <v>1.2141073279465819E-3</v>
      </c>
      <c r="AS624" s="226">
        <f t="shared" si="166"/>
        <v>1.1295066379375164E-3</v>
      </c>
      <c r="AT624" s="226">
        <f t="shared" si="166"/>
        <v>1.0508010418672339E-3</v>
      </c>
      <c r="AU624" s="226">
        <f t="shared" si="166"/>
        <v>9.7757976137750413E-4</v>
      </c>
      <c r="AV624" s="226">
        <f t="shared" si="166"/>
        <v>9.0946064171836211E-4</v>
      </c>
      <c r="AW624" s="226">
        <f t="shared" si="166"/>
        <v>8.460881572152077E-4</v>
      </c>
      <c r="AX624" s="226">
        <f t="shared" si="166"/>
        <v>7.8713155571773729E-4</v>
      </c>
      <c r="AY624" s="226">
        <f t="shared" si="164"/>
        <v>7.3228313234625778E-4</v>
      </c>
      <c r="AZ624" s="226">
        <f t="shared" si="164"/>
        <v>6.8125662352576334E-4</v>
      </c>
      <c r="BA624" s="226">
        <f t="shared" si="164"/>
        <v>6.3378571292595383E-4</v>
      </c>
      <c r="BB624" s="226">
        <f t="shared" si="164"/>
        <v>5.8962264150943546E-4</v>
      </c>
      <c r="BC624" s="226">
        <f t="shared" si="164"/>
        <v>5.48536914433698E-4</v>
      </c>
      <c r="BD624" s="226">
        <f t="shared" si="164"/>
        <v>5.1031409805796452E-4</v>
      </c>
      <c r="BE624" s="226">
        <f t="shared" si="164"/>
        <v>4.7475470077627937E-4</v>
      </c>
    </row>
    <row r="625" spans="4:57" s="10" customFormat="1" x14ac:dyDescent="0.35">
      <c r="E625" s="10" t="s">
        <v>657</v>
      </c>
      <c r="F625" s="10" t="s">
        <v>615</v>
      </c>
      <c r="G625" s="43" t="s">
        <v>616</v>
      </c>
      <c r="I625" s="20"/>
      <c r="J625" s="200"/>
      <c r="K625" s="200"/>
      <c r="L625" s="200"/>
      <c r="M625" s="200"/>
      <c r="N625" s="200">
        <v>1.06E-2</v>
      </c>
      <c r="O625" s="226">
        <f t="shared" si="165"/>
        <v>9.8807347194678121E-3</v>
      </c>
      <c r="P625" s="226">
        <f t="shared" si="165"/>
        <v>9.2102753392921382E-3</v>
      </c>
      <c r="Q625" s="226">
        <f t="shared" si="165"/>
        <v>8.5853101246039648E-3</v>
      </c>
      <c r="R625" s="226">
        <f t="shared" si="165"/>
        <v>8.0027520590163145E-3</v>
      </c>
      <c r="S625" s="226">
        <f t="shared" si="165"/>
        <v>7.4597235963033042E-3</v>
      </c>
      <c r="T625" s="226">
        <f t="shared" si="165"/>
        <v>6.953542446757297E-3</v>
      </c>
      <c r="U625" s="226">
        <f t="shared" si="165"/>
        <v>6.4817083280158481E-3</v>
      </c>
      <c r="V625" s="226">
        <f t="shared" si="165"/>
        <v>6.0418906149141373E-3</v>
      </c>
      <c r="W625" s="226">
        <f t="shared" si="165"/>
        <v>5.631916827359325E-3</v>
      </c>
      <c r="X625" s="226">
        <f t="shared" si="165"/>
        <v>5.2497618993626689E-3</v>
      </c>
      <c r="Y625" s="226">
        <f t="shared" si="165"/>
        <v>4.8935381762237745E-3</v>
      </c>
      <c r="Z625" s="226">
        <f t="shared" si="165"/>
        <v>4.5614860904580612E-3</v>
      </c>
      <c r="AA625" s="226">
        <f t="shared" si="165"/>
        <v>4.2519654704111761E-3</v>
      </c>
      <c r="AB625" s="226">
        <f t="shared" si="165"/>
        <v>3.9634474386292451E-3</v>
      </c>
      <c r="AC625" s="226">
        <f t="shared" si="165"/>
        <v>3.6945068599669581E-3</v>
      </c>
      <c r="AD625" s="226">
        <f t="shared" si="165"/>
        <v>3.4438153021308991E-3</v>
      </c>
      <c r="AE625" s="226">
        <f t="shared" si="163"/>
        <v>3.2101344738867275E-3</v>
      </c>
      <c r="AF625" s="226">
        <f t="shared" si="163"/>
        <v>2.9923101085182198E-3</v>
      </c>
      <c r="AG625" s="226">
        <f t="shared" si="163"/>
        <v>2.7892662623255162E-3</v>
      </c>
      <c r="AH625" s="227">
        <v>2.5999999999999999E-3</v>
      </c>
      <c r="AI625" s="226">
        <f t="shared" si="166"/>
        <v>2.4235764406241806E-3</v>
      </c>
      <c r="AJ625" s="226">
        <f t="shared" si="166"/>
        <v>2.2591241398263739E-3</v>
      </c>
      <c r="AK625" s="226">
        <f t="shared" si="166"/>
        <v>2.105830785280218E-3</v>
      </c>
      <c r="AL625" s="226">
        <f t="shared" si="166"/>
        <v>1.9629391842870205E-3</v>
      </c>
      <c r="AM625" s="226">
        <f t="shared" si="166"/>
        <v>1.8297435236215652E-3</v>
      </c>
      <c r="AN625" s="226">
        <f t="shared" si="166"/>
        <v>1.7055858831668842E-3</v>
      </c>
      <c r="AO625" s="226">
        <f t="shared" si="166"/>
        <v>1.5898529861170948E-3</v>
      </c>
      <c r="AP625" s="226">
        <f t="shared" si="166"/>
        <v>1.4819731696959204E-3</v>
      </c>
      <c r="AQ625" s="226">
        <f t="shared" si="166"/>
        <v>1.3814135614277591E-3</v>
      </c>
      <c r="AR625" s="226">
        <f t="shared" si="166"/>
        <v>1.2876774470134849E-3</v>
      </c>
      <c r="AS625" s="226">
        <f t="shared" si="166"/>
        <v>1.2003018168096052E-3</v>
      </c>
      <c r="AT625" s="226">
        <f t="shared" si="166"/>
        <v>1.1188550787916E-3</v>
      </c>
      <c r="AU625" s="226">
        <f t="shared" si="166"/>
        <v>1.0429349267046281E-3</v>
      </c>
      <c r="AV625" s="226">
        <f t="shared" si="166"/>
        <v>9.7216635287132429E-4</v>
      </c>
      <c r="AW625" s="226">
        <f t="shared" si="166"/>
        <v>9.0619979584095195E-4</v>
      </c>
      <c r="AX625" s="226">
        <f t="shared" si="166"/>
        <v>8.4470941373022057E-4</v>
      </c>
      <c r="AY625" s="226">
        <f t="shared" si="164"/>
        <v>7.8739147472693314E-4</v>
      </c>
      <c r="AZ625" s="226">
        <f t="shared" si="164"/>
        <v>7.3396285680635579E-4</v>
      </c>
      <c r="BA625" s="226">
        <f t="shared" si="164"/>
        <v>6.8415964924965495E-4</v>
      </c>
      <c r="BB625" s="226">
        <f t="shared" si="164"/>
        <v>6.3773584905660254E-4</v>
      </c>
      <c r="BC625" s="226">
        <f t="shared" si="164"/>
        <v>5.944621458134771E-4</v>
      </c>
      <c r="BD625" s="226">
        <f t="shared" si="164"/>
        <v>5.5412478901401517E-4</v>
      </c>
      <c r="BE625" s="226">
        <f t="shared" si="164"/>
        <v>5.1652453223854304E-4</v>
      </c>
    </row>
    <row r="626" spans="4:57" s="10" customFormat="1" x14ac:dyDescent="0.35">
      <c r="E626" s="10" t="s">
        <v>658</v>
      </c>
      <c r="F626" s="10" t="s">
        <v>615</v>
      </c>
      <c r="G626" s="43" t="s">
        <v>616</v>
      </c>
      <c r="I626" s="20"/>
      <c r="J626" s="200"/>
      <c r="K626" s="200"/>
      <c r="L626" s="200"/>
      <c r="M626" s="200"/>
      <c r="N626" s="200">
        <v>1.0500000000000001E-2</v>
      </c>
      <c r="O626" s="226">
        <f t="shared" si="165"/>
        <v>9.7921600102907642E-3</v>
      </c>
      <c r="P626" s="226">
        <f t="shared" si="165"/>
        <v>9.1320378730607252E-3</v>
      </c>
      <c r="Q626" s="226">
        <f t="shared" si="165"/>
        <v>8.5164167688615185E-3</v>
      </c>
      <c r="R626" s="226">
        <f t="shared" si="165"/>
        <v>7.9422967347633749E-3</v>
      </c>
      <c r="S626" s="226">
        <f t="shared" si="165"/>
        <v>7.4068800453345549E-3</v>
      </c>
      <c r="T626" s="226">
        <f t="shared" si="165"/>
        <v>6.9075575791376822E-3</v>
      </c>
      <c r="U626" s="226">
        <f t="shared" si="165"/>
        <v>6.4418961043059891E-3</v>
      </c>
      <c r="V626" s="226">
        <f t="shared" si="165"/>
        <v>6.0076264212412349E-3</v>
      </c>
      <c r="W626" s="226">
        <f t="shared" si="165"/>
        <v>5.6026323046518695E-3</v>
      </c>
      <c r="X626" s="226">
        <f t="shared" si="165"/>
        <v>5.2249401910452586E-3</v>
      </c>
      <c r="Y626" s="226">
        <f t="shared" si="165"/>
        <v>4.8727095614204156E-3</v>
      </c>
      <c r="Z626" s="226">
        <f t="shared" si="165"/>
        <v>4.5442239722954698E-3</v>
      </c>
      <c r="AA626" s="226">
        <f t="shared" si="165"/>
        <v>4.2378826913634614E-3</v>
      </c>
      <c r="AB626" s="226">
        <f t="shared" si="165"/>
        <v>3.9521928970164457E-3</v>
      </c>
      <c r="AC626" s="226">
        <f t="shared" si="165"/>
        <v>3.68576240372568E-3</v>
      </c>
      <c r="AD626" s="226">
        <f t="shared" si="165"/>
        <v>3.437292877828168E-3</v>
      </c>
      <c r="AE626" s="226">
        <f t="shared" si="163"/>
        <v>3.2055735106596419E-3</v>
      </c>
      <c r="AF626" s="226">
        <f t="shared" si="163"/>
        <v>2.989475118202735E-3</v>
      </c>
      <c r="AG626" s="226">
        <f t="shared" si="163"/>
        <v>2.787944638497531E-3</v>
      </c>
      <c r="AH626" s="227">
        <v>2.5999999999999999E-3</v>
      </c>
      <c r="AI626" s="226">
        <f t="shared" si="166"/>
        <v>2.4247253358815222E-3</v>
      </c>
      <c r="AJ626" s="226">
        <f t="shared" si="166"/>
        <v>2.2612665209483696E-3</v>
      </c>
      <c r="AK626" s="226">
        <f t="shared" si="166"/>
        <v>2.1088270094323756E-3</v>
      </c>
      <c r="AL626" s="226">
        <f t="shared" si="166"/>
        <v>1.966663953369978E-3</v>
      </c>
      <c r="AM626" s="226">
        <f t="shared" si="166"/>
        <v>1.8340845826542702E-3</v>
      </c>
      <c r="AN626" s="226">
        <f t="shared" si="166"/>
        <v>1.7104428291198066E-3</v>
      </c>
      <c r="AO626" s="226">
        <f t="shared" si="166"/>
        <v>1.5951361782091018E-3</v>
      </c>
      <c r="AP626" s="226">
        <f t="shared" si="166"/>
        <v>1.4876027328787817E-3</v>
      </c>
      <c r="AQ626" s="226">
        <f t="shared" si="166"/>
        <v>1.3873184754376055E-3</v>
      </c>
      <c r="AR626" s="226">
        <f t="shared" si="166"/>
        <v>1.2937947139731113E-3</v>
      </c>
      <c r="AS626" s="226">
        <f t="shared" si="166"/>
        <v>1.2065757009231501E-3</v>
      </c>
      <c r="AT626" s="226">
        <f t="shared" si="166"/>
        <v>1.1252364121874495E-3</v>
      </c>
      <c r="AU626" s="226">
        <f t="shared" si="166"/>
        <v>1.0493804759566664E-3</v>
      </c>
      <c r="AV626" s="226">
        <f t="shared" si="166"/>
        <v>9.7863824116597672E-4</v>
      </c>
      <c r="AW626" s="226">
        <f t="shared" si="166"/>
        <v>9.1266497616064428E-4</v>
      </c>
      <c r="AX626" s="226">
        <f t="shared" si="166"/>
        <v>8.5113918879554603E-4</v>
      </c>
      <c r="AY626" s="226">
        <f t="shared" si="164"/>
        <v>7.9376105978238719E-4</v>
      </c>
      <c r="AZ626" s="226">
        <f t="shared" si="164"/>
        <v>7.4025098165020071E-4</v>
      </c>
      <c r="BA626" s="226">
        <f t="shared" si="164"/>
        <v>6.9034819619938825E-4</v>
      </c>
      <c r="BB626" s="226">
        <f t="shared" si="164"/>
        <v>6.438095238095249E-4</v>
      </c>
      <c r="BC626" s="226">
        <f t="shared" si="164"/>
        <v>6.0040817840875899E-4</v>
      </c>
      <c r="BD626" s="226">
        <f t="shared" si="164"/>
        <v>5.5993266233007356E-4</v>
      </c>
      <c r="BE626" s="226">
        <f t="shared" si="164"/>
        <v>5.2218573566897028E-4</v>
      </c>
    </row>
    <row r="627" spans="4:57" s="10" customFormat="1" x14ac:dyDescent="0.35">
      <c r="E627" s="10" t="s">
        <v>659</v>
      </c>
      <c r="F627" s="10" t="s">
        <v>615</v>
      </c>
      <c r="G627" s="43" t="s">
        <v>616</v>
      </c>
      <c r="I627" s="20"/>
      <c r="J627" s="200"/>
      <c r="K627" s="200"/>
      <c r="L627" s="200"/>
      <c r="M627" s="200"/>
      <c r="N627" s="200">
        <v>1.04E-2</v>
      </c>
      <c r="O627" s="226">
        <f t="shared" si="165"/>
        <v>9.7218711441749654E-3</v>
      </c>
      <c r="P627" s="226">
        <f t="shared" si="165"/>
        <v>9.087959475379024E-3</v>
      </c>
      <c r="Q627" s="226">
        <f t="shared" si="165"/>
        <v>8.4953818252998838E-3</v>
      </c>
      <c r="R627" s="226">
        <f t="shared" si="165"/>
        <v>7.9414430217434034E-3</v>
      </c>
      <c r="S627" s="226">
        <f t="shared" si="165"/>
        <v>7.4236236304035417E-3</v>
      </c>
      <c r="T627" s="226">
        <f t="shared" si="165"/>
        <v>6.9395684959264988E-3</v>
      </c>
      <c r="U627" s="226">
        <f t="shared" si="165"/>
        <v>6.4870760301512977E-3</v>
      </c>
      <c r="V627" s="226">
        <f t="shared" si="165"/>
        <v>6.0640881988074024E-3</v>
      </c>
      <c r="W627" s="226">
        <f t="shared" si="165"/>
        <v>5.6686811611266945E-3</v>
      </c>
      <c r="X627" s="226">
        <f t="shared" si="165"/>
        <v>5.299056519796716E-3</v>
      </c>
      <c r="Y627" s="226">
        <f t="shared" si="165"/>
        <v>4.9535331414580679E-3</v>
      </c>
      <c r="Z627" s="226">
        <f t="shared" si="165"/>
        <v>4.6305395105438038E-3</v>
      </c>
      <c r="AA627" s="226">
        <f t="shared" si="165"/>
        <v>4.3286065816844112E-3</v>
      </c>
      <c r="AB627" s="226">
        <f t="shared" si="165"/>
        <v>4.0463610981695689E-3</v>
      </c>
      <c r="AC627" s="226">
        <f t="shared" si="165"/>
        <v>3.7825193460775822E-3</v>
      </c>
      <c r="AD627" s="226">
        <f t="shared" si="165"/>
        <v>3.5358813156649237E-3</v>
      </c>
      <c r="AE627" s="226">
        <f t="shared" si="163"/>
        <v>3.3053252434605994E-3</v>
      </c>
      <c r="AF627" s="226">
        <f t="shared" si="163"/>
        <v>3.089802510241605E-3</v>
      </c>
      <c r="AG627" s="226">
        <f t="shared" si="163"/>
        <v>2.8883328716843492E-3</v>
      </c>
      <c r="AH627" s="227">
        <v>2.7000000000000001E-3</v>
      </c>
      <c r="AI627" s="226">
        <f t="shared" si="166"/>
        <v>2.5239473162761931E-3</v>
      </c>
      <c r="AJ627" s="226">
        <f t="shared" si="166"/>
        <v>2.3593740945695545E-3</v>
      </c>
      <c r="AK627" s="226">
        <f t="shared" si="166"/>
        <v>2.2055318200297777E-3</v>
      </c>
      <c r="AL627" s="226">
        <f t="shared" si="166"/>
        <v>2.0617207844910758E-3</v>
      </c>
      <c r="AM627" s="226">
        <f t="shared" si="166"/>
        <v>1.9272869040470734E-3</v>
      </c>
      <c r="AN627" s="226">
        <f t="shared" si="166"/>
        <v>1.8016187441347643E-3</v>
      </c>
      <c r="AO627" s="226">
        <f t="shared" si="166"/>
        <v>1.6841447385969716E-3</v>
      </c>
      <c r="AP627" s="226">
        <f t="shared" si="166"/>
        <v>1.5743305900749989E-3</v>
      </c>
      <c r="AQ627" s="226">
        <f t="shared" si="166"/>
        <v>1.4716768399078923E-3</v>
      </c>
      <c r="AR627" s="226">
        <f t="shared" si="166"/>
        <v>1.3757165964856863E-3</v>
      </c>
      <c r="AS627" s="226">
        <f t="shared" si="166"/>
        <v>1.2860134117246911E-3</v>
      </c>
      <c r="AT627" s="226">
        <f t="shared" si="166"/>
        <v>1.2021592960065649E-3</v>
      </c>
      <c r="AU627" s="226">
        <f t="shared" si="166"/>
        <v>1.1237728625526841E-3</v>
      </c>
      <c r="AV627" s="226">
        <f t="shared" si="166"/>
        <v>1.0504975927940229E-3</v>
      </c>
      <c r="AW627" s="226">
        <f t="shared" si="166"/>
        <v>9.8200021484706485E-4</v>
      </c>
      <c r="AX627" s="226">
        <f t="shared" si="166"/>
        <v>9.1796918772070154E-4</v>
      </c>
      <c r="AY627" s="226">
        <f t="shared" si="164"/>
        <v>8.581132843599635E-4</v>
      </c>
      <c r="AZ627" s="226">
        <f t="shared" si="164"/>
        <v>8.0216026708195541E-4</v>
      </c>
      <c r="BA627" s="226">
        <f t="shared" si="164"/>
        <v>7.4985564937959091E-4</v>
      </c>
      <c r="BB627" s="226">
        <f t="shared" si="164"/>
        <v>7.0096153846154093E-4</v>
      </c>
      <c r="BC627" s="226">
        <f t="shared" si="164"/>
        <v>6.5525555326401391E-4</v>
      </c>
      <c r="BD627" s="226">
        <f t="shared" si="164"/>
        <v>6.1252981301325178E-4</v>
      </c>
      <c r="BE627" s="226">
        <f t="shared" si="164"/>
        <v>5.7258999173850184E-4</v>
      </c>
    </row>
    <row r="628" spans="4:57" s="10" customFormat="1" x14ac:dyDescent="0.35">
      <c r="E628" s="10" t="s">
        <v>660</v>
      </c>
      <c r="F628" s="10" t="s">
        <v>615</v>
      </c>
      <c r="G628" s="43" t="s">
        <v>616</v>
      </c>
      <c r="I628" s="20"/>
      <c r="J628" s="200"/>
      <c r="K628" s="200"/>
      <c r="L628" s="200"/>
      <c r="M628" s="200"/>
      <c r="N628" s="200">
        <v>1.03E-2</v>
      </c>
      <c r="O628" s="226">
        <f t="shared" si="165"/>
        <v>9.6505766624553919E-3</v>
      </c>
      <c r="P628" s="226">
        <f t="shared" si="165"/>
        <v>9.0420999920319076E-3</v>
      </c>
      <c r="Q628" s="226">
        <f t="shared" si="165"/>
        <v>8.4719882682224475E-3</v>
      </c>
      <c r="R628" s="226">
        <f t="shared" si="165"/>
        <v>7.9378225500877104E-3</v>
      </c>
      <c r="S628" s="226">
        <f t="shared" si="165"/>
        <v>7.4373364128726797E-3</v>
      </c>
      <c r="T628" s="226">
        <f t="shared" si="165"/>
        <v>6.9684063317377457E-3</v>
      </c>
      <c r="U628" s="226">
        <f t="shared" si="165"/>
        <v>6.5290426718033661E-3</v>
      </c>
      <c r="V628" s="226">
        <f t="shared" si="165"/>
        <v>6.1173812462797048E-3</v>
      </c>
      <c r="W628" s="226">
        <f t="shared" si="165"/>
        <v>5.7316754068630288E-3</v>
      </c>
      <c r="X628" s="226">
        <f t="shared" si="165"/>
        <v>5.3702886328390155E-3</v>
      </c>
      <c r="Y628" s="226">
        <f t="shared" si="165"/>
        <v>5.0316875874490945E-3</v>
      </c>
      <c r="Z628" s="226">
        <f t="shared" si="165"/>
        <v>4.7144356120585144E-3</v>
      </c>
      <c r="AA628" s="226">
        <f t="shared" si="165"/>
        <v>4.4171866305223783E-3</v>
      </c>
      <c r="AB628" s="226">
        <f t="shared" si="165"/>
        <v>4.1386794378863332E-3</v>
      </c>
      <c r="AC628" s="226">
        <f t="shared" si="165"/>
        <v>3.8777323491893051E-3</v>
      </c>
      <c r="AD628" s="226">
        <f t="shared" si="165"/>
        <v>3.6332381856635561E-3</v>
      </c>
      <c r="AE628" s="226">
        <f t="shared" si="163"/>
        <v>3.4041595770588819E-3</v>
      </c>
      <c r="AF628" s="226">
        <f t="shared" si="163"/>
        <v>3.1895245601590741E-3</v>
      </c>
      <c r="AG628" s="226">
        <f t="shared" si="163"/>
        <v>2.9884224548154814E-3</v>
      </c>
      <c r="AH628" s="227">
        <v>2.8E-3</v>
      </c>
      <c r="AI628" s="226">
        <f t="shared" si="166"/>
        <v>2.6234577334830192E-3</v>
      </c>
      <c r="AJ628" s="226">
        <f t="shared" si="166"/>
        <v>2.4580465997756642E-3</v>
      </c>
      <c r="AK628" s="226">
        <f t="shared" si="166"/>
        <v>2.3030647719439663E-3</v>
      </c>
      <c r="AL628" s="226">
        <f t="shared" si="166"/>
        <v>2.1578546738102514E-3</v>
      </c>
      <c r="AM628" s="226">
        <f t="shared" si="166"/>
        <v>2.0218001899071363E-3</v>
      </c>
      <c r="AN628" s="226">
        <f t="shared" si="166"/>
        <v>1.8943240513461833E-3</v>
      </c>
      <c r="AO628" s="226">
        <f t="shared" si="166"/>
        <v>1.774885386509653E-3</v>
      </c>
      <c r="AP628" s="226">
        <f t="shared" si="166"/>
        <v>1.6629774261731236E-3</v>
      </c>
      <c r="AQ628" s="226">
        <f t="shared" si="166"/>
        <v>1.5581253533219885E-3</v>
      </c>
      <c r="AR628" s="226">
        <f t="shared" si="166"/>
        <v>1.4598842885387615E-3</v>
      </c>
      <c r="AS628" s="226">
        <f t="shared" si="166"/>
        <v>1.3678374024133461E-3</v>
      </c>
      <c r="AT628" s="226">
        <f t="shared" si="166"/>
        <v>1.2815941469673632E-3</v>
      </c>
      <c r="AU628" s="226">
        <f t="shared" si="166"/>
        <v>1.2007885985886079E-3</v>
      </c>
      <c r="AV628" s="226">
        <f t="shared" si="166"/>
        <v>1.1250779054448286E-3</v>
      </c>
      <c r="AW628" s="226">
        <f t="shared" si="166"/>
        <v>1.0541408327893258E-3</v>
      </c>
      <c r="AX628" s="226">
        <f t="shared" si="166"/>
        <v>9.8767639998620957E-4</v>
      </c>
      <c r="AY628" s="226">
        <f t="shared" si="164"/>
        <v>9.2540260347231756E-4</v>
      </c>
      <c r="AZ628" s="226">
        <f t="shared" si="164"/>
        <v>8.6705522023741829E-4</v>
      </c>
      <c r="BA628" s="226">
        <f t="shared" si="164"/>
        <v>8.1238668674595612E-4</v>
      </c>
      <c r="BB628" s="226">
        <f t="shared" si="164"/>
        <v>7.6116504854368769E-4</v>
      </c>
      <c r="BC628" s="226">
        <f t="shared" si="164"/>
        <v>7.1317297609246964E-4</v>
      </c>
      <c r="BD628" s="226">
        <f t="shared" si="164"/>
        <v>6.6820684265746059E-4</v>
      </c>
      <c r="BE628" s="226">
        <f t="shared" si="164"/>
        <v>6.2607586033428062E-4</v>
      </c>
    </row>
    <row r="629" spans="4:57" s="10" customFormat="1" x14ac:dyDescent="0.35">
      <c r="E629" s="10" t="s">
        <v>661</v>
      </c>
      <c r="F629" s="10" t="s">
        <v>615</v>
      </c>
      <c r="G629" s="43" t="s">
        <v>616</v>
      </c>
      <c r="I629" s="20"/>
      <c r="J629" s="200"/>
      <c r="K629" s="200"/>
      <c r="L629" s="200"/>
      <c r="M629" s="200"/>
      <c r="N629" s="200">
        <v>1.01E-2</v>
      </c>
      <c r="O629" s="226">
        <f t="shared" si="165"/>
        <v>9.4724693053919156E-3</v>
      </c>
      <c r="P629" s="226">
        <f t="shared" si="165"/>
        <v>8.8839281922368316E-3</v>
      </c>
      <c r="Q629" s="226">
        <f t="shared" si="165"/>
        <v>8.3319541695316118E-3</v>
      </c>
      <c r="R629" s="226">
        <f t="shared" si="165"/>
        <v>7.814275259883206E-3</v>
      </c>
      <c r="S629" s="226">
        <f t="shared" si="165"/>
        <v>7.328760647834367E-3</v>
      </c>
      <c r="T629" s="226">
        <f t="shared" si="165"/>
        <v>6.8734119092252691E-3</v>
      </c>
      <c r="U629" s="226">
        <f t="shared" si="165"/>
        <v>6.4463547854902584E-3</v>
      </c>
      <c r="V629" s="226">
        <f t="shared" si="165"/>
        <v>6.0458314690319571E-3</v>
      </c>
      <c r="W629" s="226">
        <f t="shared" si="165"/>
        <v>5.6701933679185875E-3</v>
      </c>
      <c r="X629" s="226">
        <f t="shared" si="165"/>
        <v>5.3178943201233298E-3</v>
      </c>
      <c r="Y629" s="226">
        <f t="shared" si="165"/>
        <v>4.9874842293748771E-3</v>
      </c>
      <c r="Z629" s="226">
        <f t="shared" si="165"/>
        <v>4.6776030964237403E-3</v>
      </c>
      <c r="AA629" s="226">
        <f t="shared" si="165"/>
        <v>4.3869754211564417E-3</v>
      </c>
      <c r="AB629" s="226">
        <f t="shared" si="165"/>
        <v>4.1144049525161557E-3</v>
      </c>
      <c r="AC629" s="226">
        <f t="shared" si="165"/>
        <v>3.8587697646199773E-3</v>
      </c>
      <c r="AD629" s="226">
        <f t="shared" si="165"/>
        <v>3.6190176388056559E-3</v>
      </c>
      <c r="AE629" s="226">
        <f t="shared" si="163"/>
        <v>3.394161732599852E-3</v>
      </c>
      <c r="AF629" s="226">
        <f t="shared" si="163"/>
        <v>3.1832765177809844E-3</v>
      </c>
      <c r="AG629" s="226">
        <f t="shared" si="163"/>
        <v>2.9854939708173506E-3</v>
      </c>
      <c r="AH629" s="227">
        <v>2.8E-3</v>
      </c>
      <c r="AI629" s="226">
        <f t="shared" si="166"/>
        <v>2.6260310945640957E-3</v>
      </c>
      <c r="AJ629" s="226">
        <f t="shared" si="166"/>
        <v>2.4628711820062509E-3</v>
      </c>
      <c r="AK629" s="226">
        <f t="shared" si="166"/>
        <v>2.3098486806622299E-3</v>
      </c>
      <c r="AL629" s="226">
        <f t="shared" si="166"/>
        <v>2.1663337354131669E-3</v>
      </c>
      <c r="AM629" s="226">
        <f t="shared" si="166"/>
        <v>2.0317356251422017E-3</v>
      </c>
      <c r="AN629" s="226">
        <f t="shared" si="166"/>
        <v>1.9055003312703725E-3</v>
      </c>
      <c r="AO629" s="226">
        <f t="shared" si="166"/>
        <v>1.7871082573636368E-3</v>
      </c>
      <c r="AP629" s="226">
        <f t="shared" si="166"/>
        <v>1.6760720904247016E-3</v>
      </c>
      <c r="AQ629" s="226">
        <f t="shared" si="166"/>
        <v>1.5719347950665396E-3</v>
      </c>
      <c r="AR629" s="226">
        <f t="shared" si="166"/>
        <v>1.4742677323114188E-3</v>
      </c>
      <c r="AS629" s="226">
        <f t="shared" si="166"/>
        <v>1.3826688952722436E-3</v>
      </c>
      <c r="AT629" s="226">
        <f t="shared" si="166"/>
        <v>1.2967612544541067E-3</v>
      </c>
      <c r="AU629" s="226">
        <f t="shared" si="166"/>
        <v>1.2161912058651528E-3</v>
      </c>
      <c r="AV629" s="226">
        <f t="shared" si="166"/>
        <v>1.1406271155490338E-3</v>
      </c>
      <c r="AW629" s="226">
        <f t="shared" si="166"/>
        <v>1.069757954548113E-3</v>
      </c>
      <c r="AX629" s="226">
        <f t="shared" si="166"/>
        <v>1.0032920186787962E-3</v>
      </c>
      <c r="AY629" s="226">
        <f t="shared" si="164"/>
        <v>9.4095572784946434E-4</v>
      </c>
      <c r="AZ629" s="226">
        <f t="shared" si="164"/>
        <v>8.824924999788872E-4</v>
      </c>
      <c r="BA629" s="226">
        <f t="shared" si="164"/>
        <v>8.2766169488005794E-4</v>
      </c>
      <c r="BB629" s="226">
        <f t="shared" si="164"/>
        <v>7.762376237623761E-4</v>
      </c>
      <c r="BC629" s="226">
        <f t="shared" si="164"/>
        <v>7.2800862027519475E-4</v>
      </c>
      <c r="BD629" s="226">
        <f t="shared" si="164"/>
        <v>6.8277616926905955E-4</v>
      </c>
      <c r="BE629" s="226">
        <f t="shared" si="164"/>
        <v>6.4035408968853881E-4</v>
      </c>
    </row>
    <row r="630" spans="4:57" s="10" customFormat="1" x14ac:dyDescent="0.35">
      <c r="E630" s="10" t="s">
        <v>662</v>
      </c>
      <c r="F630" s="10" t="s">
        <v>615</v>
      </c>
      <c r="G630" s="43" t="s">
        <v>616</v>
      </c>
      <c r="I630" s="20"/>
      <c r="J630" s="200"/>
      <c r="K630" s="200"/>
      <c r="L630" s="200"/>
      <c r="M630" s="200"/>
      <c r="N630" s="200">
        <v>0.01</v>
      </c>
      <c r="O630" s="226">
        <f t="shared" si="165"/>
        <v>9.3998278492056601E-3</v>
      </c>
      <c r="P630" s="226">
        <f t="shared" si="165"/>
        <v>8.8356763594702303E-3</v>
      </c>
      <c r="Q630" s="226">
        <f t="shared" si="165"/>
        <v>8.3053836710316343E-3</v>
      </c>
      <c r="R630" s="226">
        <f t="shared" si="165"/>
        <v>7.8069176729301092E-3</v>
      </c>
      <c r="S630" s="226">
        <f t="shared" si="165"/>
        <v>7.338368215846428E-3</v>
      </c>
      <c r="T630" s="226">
        <f t="shared" si="165"/>
        <v>6.8979397923038905E-3</v>
      </c>
      <c r="U630" s="226">
        <f t="shared" si="165"/>
        <v>6.4839446561842018E-3</v>
      </c>
      <c r="V630" s="226">
        <f t="shared" si="165"/>
        <v>6.0947963551908476E-3</v>
      </c>
      <c r="W630" s="226">
        <f t="shared" si="165"/>
        <v>5.7290036514760076E-3</v>
      </c>
      <c r="X630" s="226">
        <f t="shared" si="165"/>
        <v>5.385164807134509E-3</v>
      </c>
      <c r="Y630" s="226">
        <f t="shared" si="165"/>
        <v>5.0619622126665187E-3</v>
      </c>
      <c r="Z630" s="226">
        <f t="shared" si="165"/>
        <v>4.7581573378249441E-3</v>
      </c>
      <c r="AA630" s="226">
        <f t="shared" si="165"/>
        <v>4.4725859854989171E-3</v>
      </c>
      <c r="AB630" s="226">
        <f t="shared" si="165"/>
        <v>4.2041538304459659E-3</v>
      </c>
      <c r="AC630" s="226">
        <f t="shared" si="165"/>
        <v>3.9518322257770643E-3</v>
      </c>
      <c r="AD630" s="226">
        <f t="shared" si="165"/>
        <v>3.7146542611247637E-3</v>
      </c>
      <c r="AE630" s="226">
        <f t="shared" si="163"/>
        <v>3.4917110573891028E-3</v>
      </c>
      <c r="AF630" s="226">
        <f t="shared" si="163"/>
        <v>3.2821482838625432E-3</v>
      </c>
      <c r="AG630" s="226">
        <f t="shared" si="163"/>
        <v>3.0851628843873696E-3</v>
      </c>
      <c r="AH630" s="227">
        <v>2.8999999999999998E-3</v>
      </c>
      <c r="AI630" s="226">
        <f t="shared" si="166"/>
        <v>2.7259500762696412E-3</v>
      </c>
      <c r="AJ630" s="226">
        <f t="shared" si="166"/>
        <v>2.5623461442463667E-3</v>
      </c>
      <c r="AK630" s="226">
        <f t="shared" si="166"/>
        <v>2.4085612645991738E-3</v>
      </c>
      <c r="AL630" s="226">
        <f t="shared" si="166"/>
        <v>2.2640061251497316E-3</v>
      </c>
      <c r="AM630" s="226">
        <f t="shared" si="166"/>
        <v>2.1281267825954643E-3</v>
      </c>
      <c r="AN630" s="226">
        <f t="shared" si="166"/>
        <v>2.0004025397681283E-3</v>
      </c>
      <c r="AO630" s="226">
        <f t="shared" si="166"/>
        <v>1.8803439502934184E-3</v>
      </c>
      <c r="AP630" s="226">
        <f t="shared" si="166"/>
        <v>1.7674909430053457E-3</v>
      </c>
      <c r="AQ630" s="226">
        <f t="shared" si="166"/>
        <v>1.6614110589280421E-3</v>
      </c>
      <c r="AR630" s="226">
        <f t="shared" si="166"/>
        <v>1.5616977940690075E-3</v>
      </c>
      <c r="AS630" s="226">
        <f t="shared" si="166"/>
        <v>1.4679690416732902E-3</v>
      </c>
      <c r="AT630" s="226">
        <f t="shared" si="166"/>
        <v>1.3798656279692338E-3</v>
      </c>
      <c r="AU630" s="226">
        <f t="shared" si="166"/>
        <v>1.2970499357946859E-3</v>
      </c>
      <c r="AV630" s="226">
        <f t="shared" si="166"/>
        <v>1.21920461082933E-3</v>
      </c>
      <c r="AW630" s="226">
        <f t="shared" si="166"/>
        <v>1.1460313454753485E-3</v>
      </c>
      <c r="AX630" s="226">
        <f t="shared" si="166"/>
        <v>1.0772497357261813E-3</v>
      </c>
      <c r="AY630" s="226">
        <f t="shared" si="164"/>
        <v>1.0125962066428397E-3</v>
      </c>
      <c r="AZ630" s="226">
        <f t="shared" si="164"/>
        <v>9.5182300232013743E-4</v>
      </c>
      <c r="BA630" s="226">
        <f t="shared" si="164"/>
        <v>8.9469723647233712E-4</v>
      </c>
      <c r="BB630" s="226">
        <f t="shared" si="164"/>
        <v>8.4100000000000158E-4</v>
      </c>
      <c r="BC630" s="226">
        <f t="shared" si="164"/>
        <v>7.9052552211819746E-4</v>
      </c>
      <c r="BD630" s="226">
        <f t="shared" si="164"/>
        <v>7.4308038183144767E-4</v>
      </c>
      <c r="BE630" s="226">
        <f t="shared" si="164"/>
        <v>6.9848276673376171E-4</v>
      </c>
    </row>
    <row r="631" spans="4:57" s="10" customFormat="1" x14ac:dyDescent="0.35">
      <c r="E631" s="10" t="s">
        <v>663</v>
      </c>
      <c r="F631" s="10" t="s">
        <v>615</v>
      </c>
      <c r="G631" s="43" t="s">
        <v>616</v>
      </c>
      <c r="I631" s="20"/>
      <c r="J631" s="200"/>
      <c r="K631" s="200"/>
      <c r="L631" s="200"/>
      <c r="M631" s="200"/>
      <c r="N631" s="200">
        <v>1.0200000000000001E-2</v>
      </c>
      <c r="O631" s="226">
        <f t="shared" si="165"/>
        <v>9.6103288297278624E-3</v>
      </c>
      <c r="P631" s="226">
        <f t="shared" si="165"/>
        <v>9.0547470799508343E-3</v>
      </c>
      <c r="Q631" s="226">
        <f t="shared" si="165"/>
        <v>8.5312840106221248E-3</v>
      </c>
      <c r="R631" s="226">
        <f t="shared" si="165"/>
        <v>8.0380828119488382E-3</v>
      </c>
      <c r="S631" s="226">
        <f t="shared" si="165"/>
        <v>7.5733940179815613E-3</v>
      </c>
      <c r="T631" s="226">
        <f t="shared" si="165"/>
        <v>7.1355693009702683E-3</v>
      </c>
      <c r="U631" s="226">
        <f t="shared" si="165"/>
        <v>6.7230556244740839E-3</v>
      </c>
      <c r="V631" s="226">
        <f t="shared" si="165"/>
        <v>6.3343897344850337E-3</v>
      </c>
      <c r="W631" s="226">
        <f t="shared" si="165"/>
        <v>5.9681929690248766E-3</v>
      </c>
      <c r="X631" s="226">
        <f t="shared" si="165"/>
        <v>5.6231663678038132E-3</v>
      </c>
      <c r="Y631" s="226">
        <f t="shared" si="165"/>
        <v>5.2980860645942254E-3</v>
      </c>
      <c r="Z631" s="226">
        <f t="shared" si="165"/>
        <v>4.9917989459754234E-3</v>
      </c>
      <c r="AA631" s="226">
        <f t="shared" si="165"/>
        <v>4.7032185610502717E-3</v>
      </c>
      <c r="AB631" s="226">
        <f t="shared" si="165"/>
        <v>4.4313212676247663E-3</v>
      </c>
      <c r="AC631" s="226">
        <f t="shared" si="165"/>
        <v>4.175142601180442E-3</v>
      </c>
      <c r="AD631" s="226">
        <f t="shared" si="165"/>
        <v>3.9337738537597432E-3</v>
      </c>
      <c r="AE631" s="226">
        <f t="shared" si="163"/>
        <v>3.7063588506291113E-3</v>
      </c>
      <c r="AF631" s="226">
        <f t="shared" si="163"/>
        <v>3.4920909132860759E-3</v>
      </c>
      <c r="AG631" s="226">
        <f t="shared" si="163"/>
        <v>3.2902099980376348E-3</v>
      </c>
      <c r="AH631" s="227">
        <v>3.0999999999999999E-3</v>
      </c>
      <c r="AI631" s="226">
        <f t="shared" si="166"/>
        <v>2.9207862129565069E-3</v>
      </c>
      <c r="AJ631" s="226">
        <f t="shared" si="166"/>
        <v>2.7519329360634883E-3</v>
      </c>
      <c r="AK631" s="226">
        <f t="shared" si="166"/>
        <v>2.5928412189145673E-3</v>
      </c>
      <c r="AL631" s="226">
        <f t="shared" si="166"/>
        <v>2.442946736964843E-3</v>
      </c>
      <c r="AM631" s="226">
        <f t="shared" si="166"/>
        <v>2.3017177897787099E-3</v>
      </c>
      <c r="AN631" s="226">
        <f t="shared" si="166"/>
        <v>2.1686534150007677E-3</v>
      </c>
      <c r="AO631" s="226">
        <f t="shared" si="166"/>
        <v>2.0432816113597706E-3</v>
      </c>
      <c r="AP631" s="226">
        <f t="shared" si="166"/>
        <v>1.9251576644023142E-3</v>
      </c>
      <c r="AQ631" s="226">
        <f t="shared" si="166"/>
        <v>1.8138625690173645E-3</v>
      </c>
      <c r="AR631" s="226">
        <f t="shared" si="166"/>
        <v>1.7090015431560611E-3</v>
      </c>
      <c r="AS631" s="226">
        <f t="shared" si="166"/>
        <v>1.6102026274747157E-3</v>
      </c>
      <c r="AT631" s="226">
        <f t="shared" si="166"/>
        <v>1.5171153659337073E-3</v>
      </c>
      <c r="AU631" s="226">
        <f t="shared" si="166"/>
        <v>1.4294095626721415E-3</v>
      </c>
      <c r="AV631" s="226">
        <f t="shared" si="166"/>
        <v>1.3467741107487036E-3</v>
      </c>
      <c r="AW631" s="226">
        <f t="shared" si="166"/>
        <v>1.268915888594056E-3</v>
      </c>
      <c r="AX631" s="226">
        <f t="shared" si="166"/>
        <v>1.1955587202603143E-3</v>
      </c>
      <c r="AY631" s="226">
        <f t="shared" si="164"/>
        <v>1.126442395779436E-3</v>
      </c>
      <c r="AZ631" s="226">
        <f t="shared" si="164"/>
        <v>1.0613217481555723E-3</v>
      </c>
      <c r="BA631" s="226">
        <f t="shared" si="164"/>
        <v>9.9996578371732065E-4</v>
      </c>
      <c r="BB631" s="226">
        <f t="shared" si="164"/>
        <v>9.4215686274509638E-4</v>
      </c>
      <c r="BC631" s="226">
        <f t="shared" si="164"/>
        <v>8.8768992746717217E-4</v>
      </c>
      <c r="BD631" s="226">
        <f t="shared" si="164"/>
        <v>8.3637177468596081E-4</v>
      </c>
      <c r="BE631" s="226">
        <f t="shared" si="164"/>
        <v>7.8802037045442599E-4</v>
      </c>
    </row>
    <row r="632" spans="4:57" s="10" customFormat="1" x14ac:dyDescent="0.35">
      <c r="E632" s="10" t="s">
        <v>664</v>
      </c>
      <c r="F632" s="10" t="s">
        <v>615</v>
      </c>
      <c r="G632" s="43" t="s">
        <v>616</v>
      </c>
      <c r="I632" s="20"/>
      <c r="J632" s="200"/>
      <c r="K632" s="200"/>
      <c r="L632" s="200"/>
      <c r="M632" s="200"/>
      <c r="N632" s="200">
        <v>1.04E-2</v>
      </c>
      <c r="O632" s="226">
        <f t="shared" si="165"/>
        <v>9.8199068763721326E-3</v>
      </c>
      <c r="P632" s="226">
        <f t="shared" si="165"/>
        <v>9.2721702942904511E-3</v>
      </c>
      <c r="Q632" s="226">
        <f t="shared" si="165"/>
        <v>8.7549854645957905E-3</v>
      </c>
      <c r="R632" s="226">
        <f t="shared" si="165"/>
        <v>8.2666482659925263E-3</v>
      </c>
      <c r="S632" s="226">
        <f t="shared" si="165"/>
        <v>7.8055496299778626E-3</v>
      </c>
      <c r="T632" s="226">
        <f t="shared" si="165"/>
        <v>7.3701702389695738E-3</v>
      </c>
      <c r="U632" s="226">
        <f t="shared" si="165"/>
        <v>6.959075520162554E-3</v>
      </c>
      <c r="V632" s="226">
        <f t="shared" si="165"/>
        <v>6.5709109186189649E-3</v>
      </c>
      <c r="W632" s="226">
        <f t="shared" si="165"/>
        <v>6.2043974340168367E-3</v>
      </c>
      <c r="X632" s="226">
        <f t="shared" si="165"/>
        <v>5.8583274063507256E-3</v>
      </c>
      <c r="Y632" s="226">
        <f t="shared" si="165"/>
        <v>5.5315605366983468E-3</v>
      </c>
      <c r="Z632" s="226">
        <f t="shared" si="165"/>
        <v>5.2230201299416175E-3</v>
      </c>
      <c r="AA632" s="226">
        <f t="shared" si="165"/>
        <v>4.9316895470618996E-3</v>
      </c>
      <c r="AB632" s="226">
        <f t="shared" si="165"/>
        <v>4.6566088553197799E-3</v>
      </c>
      <c r="AC632" s="226">
        <f t="shared" si="165"/>
        <v>4.3968716652817378E-3</v>
      </c>
      <c r="AD632" s="226">
        <f t="shared" ref="AD632:AG647" si="167">AC632*(1+($AH632/$N632)^(1/($AH$6-$N$6))-1)</f>
        <v>4.1516221442717237E-3</v>
      </c>
      <c r="AE632" s="226">
        <f t="shared" si="167"/>
        <v>3.9200521964069916E-3</v>
      </c>
      <c r="AF632" s="226">
        <f t="shared" si="167"/>
        <v>3.7013987999264131E-3</v>
      </c>
      <c r="AG632" s="226">
        <f t="shared" si="167"/>
        <v>3.494941493037783E-3</v>
      </c>
      <c r="AH632" s="227">
        <v>3.3E-3</v>
      </c>
      <c r="AI632" s="226">
        <f t="shared" si="166"/>
        <v>3.1159319896180804E-3</v>
      </c>
      <c r="AJ632" s="226">
        <f t="shared" si="166"/>
        <v>2.9421309587652393E-3</v>
      </c>
      <c r="AK632" s="226">
        <f t="shared" si="166"/>
        <v>2.7780242339582794E-3</v>
      </c>
      <c r="AL632" s="226">
        <f t="shared" si="166"/>
        <v>2.6230710844014743E-3</v>
      </c>
      <c r="AM632" s="226">
        <f t="shared" si="166"/>
        <v>2.4767609402814371E-3</v>
      </c>
      <c r="AN632" s="226">
        <f t="shared" si="166"/>
        <v>2.3386117104422684E-3</v>
      </c>
      <c r="AO632" s="226">
        <f t="shared" si="166"/>
        <v>2.2081681938977333E-3</v>
      </c>
      <c r="AP632" s="226">
        <f t="shared" si="166"/>
        <v>2.0850005799464021E-3</v>
      </c>
      <c r="AQ632" s="226">
        <f t="shared" si="166"/>
        <v>1.9687030319476499E-3</v>
      </c>
      <c r="AR632" s="226">
        <f t="shared" si="166"/>
        <v>1.8588923500920569E-3</v>
      </c>
      <c r="AS632" s="226">
        <f t="shared" si="166"/>
        <v>1.7552067087600522E-3</v>
      </c>
      <c r="AT632" s="226">
        <f t="shared" si="166"/>
        <v>1.6573044643083976E-3</v>
      </c>
      <c r="AU632" s="226">
        <f t="shared" si="166"/>
        <v>1.5648630293561795E-3</v>
      </c>
      <c r="AV632" s="226">
        <f t="shared" si="166"/>
        <v>1.4775778098610839E-3</v>
      </c>
      <c r="AW632" s="226">
        <f t="shared" si="166"/>
        <v>1.3951612014836282E-3</v>
      </c>
      <c r="AX632" s="226">
        <f t="shared" ref="AX632:BE647" si="168">AW632*(1+($AH632/$N632)^(1/($AH$6-$N$6))-1)</f>
        <v>1.3173416419323737E-3</v>
      </c>
      <c r="AY632" s="226">
        <f t="shared" si="168"/>
        <v>1.243862716167603E-3</v>
      </c>
      <c r="AZ632" s="226">
        <f t="shared" si="168"/>
        <v>1.1744823115151118E-3</v>
      </c>
      <c r="BA632" s="226">
        <f t="shared" si="168"/>
        <v>1.1089718199062196E-3</v>
      </c>
      <c r="BB632" s="226">
        <f t="shared" si="168"/>
        <v>1.0471153846153851E-3</v>
      </c>
      <c r="BC632" s="226">
        <f t="shared" si="168"/>
        <v>9.8870918901342985E-4</v>
      </c>
      <c r="BD632" s="226">
        <f t="shared" si="168"/>
        <v>9.3356078499281679E-4</v>
      </c>
      <c r="BE632" s="226">
        <f t="shared" si="168"/>
        <v>8.8148845885214686E-4</v>
      </c>
    </row>
    <row r="633" spans="4:57" s="10" customFormat="1" x14ac:dyDescent="0.35">
      <c r="E633" s="10" t="s">
        <v>665</v>
      </c>
      <c r="F633" s="10" t="s">
        <v>615</v>
      </c>
      <c r="G633" s="43" t="s">
        <v>616</v>
      </c>
      <c r="I633" s="20"/>
      <c r="J633" s="200"/>
      <c r="K633" s="200"/>
      <c r="L633" s="200"/>
      <c r="M633" s="200"/>
      <c r="N633" s="200">
        <v>1.0500000000000001E-2</v>
      </c>
      <c r="O633" s="226">
        <f t="shared" ref="O633:AD648" si="169">N633*(1+($AH633/$N633)^(1/($AH$6-$N$6))-1)</f>
        <v>9.9387836377216737E-3</v>
      </c>
      <c r="P633" s="226">
        <f t="shared" si="169"/>
        <v>9.4075638283280059E-3</v>
      </c>
      <c r="Q633" s="226">
        <f t="shared" si="169"/>
        <v>8.9047372807436811E-3</v>
      </c>
      <c r="R633" s="226">
        <f t="shared" si="169"/>
        <v>8.4287863984824265E-3</v>
      </c>
      <c r="S633" s="226">
        <f t="shared" si="169"/>
        <v>7.9782746993417274E-3</v>
      </c>
      <c r="T633" s="226">
        <f t="shared" si="169"/>
        <v>7.5518424799110818E-3</v>
      </c>
      <c r="U633" s="226">
        <f t="shared" si="169"/>
        <v>7.1482027118087354E-3</v>
      </c>
      <c r="V633" s="226">
        <f t="shared" si="169"/>
        <v>6.7661371572611765E-3</v>
      </c>
      <c r="W633" s="226">
        <f t="shared" si="169"/>
        <v>6.4044926923017154E-3</v>
      </c>
      <c r="X633" s="226">
        <f t="shared" si="169"/>
        <v>6.0621778264910772E-3</v>
      </c>
      <c r="Y633" s="226">
        <f t="shared" si="169"/>
        <v>5.7381594086560617E-3</v>
      </c>
      <c r="Z633" s="226">
        <f t="shared" si="169"/>
        <v>5.4314595087037653E-3</v>
      </c>
      <c r="AA633" s="226">
        <f t="shared" si="169"/>
        <v>5.1411524661002647E-3</v>
      </c>
      <c r="AB633" s="226">
        <f t="shared" si="169"/>
        <v>4.8663620961056893E-3</v>
      </c>
      <c r="AC633" s="226">
        <f t="shared" si="169"/>
        <v>4.6062590453337304E-3</v>
      </c>
      <c r="AD633" s="226">
        <f t="shared" si="169"/>
        <v>4.3600582886543175E-3</v>
      </c>
      <c r="AE633" s="226">
        <f t="shared" si="167"/>
        <v>4.1270167598847895E-3</v>
      </c>
      <c r="AF633" s="226">
        <f t="shared" si="167"/>
        <v>3.9064311091186726E-3</v>
      </c>
      <c r="AG633" s="226">
        <f t="shared" si="167"/>
        <v>3.6976355799233896E-3</v>
      </c>
      <c r="AH633" s="227">
        <v>3.5000000000000001E-3</v>
      </c>
      <c r="AI633" s="226">
        <f t="shared" ref="AI633:AX648" si="170">AH633*(1+($AH633/$N633)^(1/($AH$6-$N$6))-1)</f>
        <v>3.3129278792405578E-3</v>
      </c>
      <c r="AJ633" s="226">
        <f t="shared" si="170"/>
        <v>3.1358546094426682E-3</v>
      </c>
      <c r="AK633" s="226">
        <f t="shared" si="170"/>
        <v>2.9682457602478933E-3</v>
      </c>
      <c r="AL633" s="226">
        <f t="shared" si="170"/>
        <v>2.8095954661608085E-3</v>
      </c>
      <c r="AM633" s="226">
        <f t="shared" si="170"/>
        <v>2.6594248997805752E-3</v>
      </c>
      <c r="AN633" s="226">
        <f t="shared" si="170"/>
        <v>2.5172808266370268E-3</v>
      </c>
      <c r="AO633" s="226">
        <f t="shared" si="170"/>
        <v>2.3827342372695782E-3</v>
      </c>
      <c r="AP633" s="226">
        <f t="shared" si="170"/>
        <v>2.2553790524203919E-3</v>
      </c>
      <c r="AQ633" s="226">
        <f t="shared" si="170"/>
        <v>2.1348308974339049E-3</v>
      </c>
      <c r="AR633" s="226">
        <f t="shared" si="170"/>
        <v>2.0207259421636922E-3</v>
      </c>
      <c r="AS633" s="226">
        <f t="shared" si="170"/>
        <v>1.9127198028853539E-3</v>
      </c>
      <c r="AT633" s="226">
        <f t="shared" si="170"/>
        <v>1.8104865029012552E-3</v>
      </c>
      <c r="AU633" s="226">
        <f t="shared" si="170"/>
        <v>1.7137174887000882E-3</v>
      </c>
      <c r="AV633" s="226">
        <f t="shared" si="170"/>
        <v>1.6221206987018964E-3</v>
      </c>
      <c r="AW633" s="226">
        <f t="shared" si="170"/>
        <v>1.5354196817779101E-3</v>
      </c>
      <c r="AX633" s="226">
        <f t="shared" si="170"/>
        <v>1.4533527628847725E-3</v>
      </c>
      <c r="AY633" s="226">
        <f t="shared" si="168"/>
        <v>1.3756722532949298E-3</v>
      </c>
      <c r="AZ633" s="226">
        <f t="shared" si="168"/>
        <v>1.3021437030395575E-3</v>
      </c>
      <c r="BA633" s="226">
        <f t="shared" si="168"/>
        <v>1.2325451933077965E-3</v>
      </c>
      <c r="BB633" s="226">
        <f t="shared" si="168"/>
        <v>1.1666666666666689E-3</v>
      </c>
      <c r="BC633" s="226">
        <f t="shared" si="168"/>
        <v>1.1043092930801881E-3</v>
      </c>
      <c r="BD633" s="226">
        <f t="shared" si="168"/>
        <v>1.0452848698142248E-3</v>
      </c>
      <c r="BE633" s="226">
        <f t="shared" si="168"/>
        <v>9.8941525341596638E-4</v>
      </c>
    </row>
    <row r="634" spans="4:57" s="10" customFormat="1" x14ac:dyDescent="0.35">
      <c r="E634" s="10" t="s">
        <v>666</v>
      </c>
      <c r="F634" s="10" t="s">
        <v>615</v>
      </c>
      <c r="G634" s="43" t="s">
        <v>616</v>
      </c>
      <c r="I634" s="20"/>
      <c r="J634" s="200"/>
      <c r="K634" s="200"/>
      <c r="L634" s="200"/>
      <c r="M634" s="200"/>
      <c r="N634" s="200">
        <v>1.0699999999999999E-2</v>
      </c>
      <c r="O634" s="226">
        <f t="shared" si="169"/>
        <v>1.0146696610047759E-2</v>
      </c>
      <c r="P634" s="226">
        <f t="shared" si="169"/>
        <v>9.6220048688181962E-3</v>
      </c>
      <c r="Q634" s="226">
        <f t="shared" si="169"/>
        <v>9.1244452508692179E-3</v>
      </c>
      <c r="R634" s="226">
        <f t="shared" si="169"/>
        <v>8.6526147379029049E-3</v>
      </c>
      <c r="S634" s="226">
        <f t="shared" si="169"/>
        <v>8.2051828625353922E-3</v>
      </c>
      <c r="T634" s="226">
        <f t="shared" si="169"/>
        <v>7.7808879566457793E-3</v>
      </c>
      <c r="U634" s="226">
        <f t="shared" si="169"/>
        <v>7.3785335937251563E-3</v>
      </c>
      <c r="V634" s="226">
        <f t="shared" si="169"/>
        <v>6.9969852151938842E-3</v>
      </c>
      <c r="W634" s="226">
        <f t="shared" si="169"/>
        <v>6.6351669311740264E-3</v>
      </c>
      <c r="X634" s="226">
        <f t="shared" si="169"/>
        <v>6.2920584866957468E-3</v>
      </c>
      <c r="Y634" s="226">
        <f t="shared" si="169"/>
        <v>5.9666923847829876E-3</v>
      </c>
      <c r="Z634" s="226">
        <f t="shared" si="169"/>
        <v>5.6581511583061054E-3</v>
      </c>
      <c r="AA634" s="226">
        <f t="shared" si="169"/>
        <v>5.3655647829086318E-3</v>
      </c>
      <c r="AB634" s="226">
        <f t="shared" si="169"/>
        <v>5.0881082237131453E-3</v>
      </c>
      <c r="AC634" s="226">
        <f t="shared" si="169"/>
        <v>4.824999108888439E-3</v>
      </c>
      <c r="AD634" s="226">
        <f t="shared" si="169"/>
        <v>4.5754955235179241E-3</v>
      </c>
      <c r="AE634" s="226">
        <f t="shared" si="167"/>
        <v>4.338893917548413E-3</v>
      </c>
      <c r="AF634" s="226">
        <f t="shared" si="167"/>
        <v>4.1145271219201239E-3</v>
      </c>
      <c r="AG634" s="226">
        <f t="shared" si="167"/>
        <v>3.9017624672837837E-3</v>
      </c>
      <c r="AH634" s="227">
        <v>3.7000000000000002E-3</v>
      </c>
      <c r="AI634" s="226">
        <f t="shared" si="170"/>
        <v>3.5086707903903471E-3</v>
      </c>
      <c r="AJ634" s="226">
        <f t="shared" si="170"/>
        <v>3.3272353284698438E-3</v>
      </c>
      <c r="AK634" s="226">
        <f t="shared" si="170"/>
        <v>3.1551820026370194E-3</v>
      </c>
      <c r="AL634" s="226">
        <f t="shared" si="170"/>
        <v>2.9920256570318453E-3</v>
      </c>
      <c r="AM634" s="226">
        <f t="shared" si="170"/>
        <v>2.8373062234935465E-3</v>
      </c>
      <c r="AN634" s="226">
        <f t="shared" si="170"/>
        <v>2.6905874242606899E-3</v>
      </c>
      <c r="AO634" s="226">
        <f t="shared" si="170"/>
        <v>2.5514555417554276E-3</v>
      </c>
      <c r="AP634" s="226">
        <f t="shared" si="170"/>
        <v>2.4195182519829318E-3</v>
      </c>
      <c r="AQ634" s="226">
        <f t="shared" si="170"/>
        <v>2.2944035182564386E-3</v>
      </c>
      <c r="AR634" s="226">
        <f t="shared" si="170"/>
        <v>2.1757585421284353E-3</v>
      </c>
      <c r="AS634" s="226">
        <f t="shared" si="170"/>
        <v>2.0632487685698178E-3</v>
      </c>
      <c r="AT634" s="226">
        <f t="shared" si="170"/>
        <v>1.9565569425918305E-3</v>
      </c>
      <c r="AU634" s="226">
        <f t="shared" si="170"/>
        <v>1.8553822146506482E-3</v>
      </c>
      <c r="AV634" s="226">
        <f t="shared" si="170"/>
        <v>1.7594392923120223E-3</v>
      </c>
      <c r="AW634" s="226">
        <f t="shared" si="170"/>
        <v>1.6684576357838528E-3</v>
      </c>
      <c r="AX634" s="226">
        <f t="shared" si="170"/>
        <v>1.5821806950482541E-3</v>
      </c>
      <c r="AY634" s="226">
        <f t="shared" si="168"/>
        <v>1.5003651864419745E-3</v>
      </c>
      <c r="AZ634" s="226">
        <f t="shared" si="168"/>
        <v>1.4227804066452765E-3</v>
      </c>
      <c r="BA634" s="226">
        <f t="shared" si="168"/>
        <v>1.3492075821448597E-3</v>
      </c>
      <c r="BB634" s="226">
        <f t="shared" si="168"/>
        <v>1.2794392523364469E-3</v>
      </c>
      <c r="BC634" s="226">
        <f t="shared" si="168"/>
        <v>1.2132786845275014E-3</v>
      </c>
      <c r="BD634" s="226">
        <f t="shared" si="168"/>
        <v>1.1505393191905051E-3</v>
      </c>
      <c r="BE634" s="226">
        <f t="shared" si="168"/>
        <v>1.0910442439025193E-3</v>
      </c>
    </row>
    <row r="635" spans="4:57" s="10" customFormat="1" x14ac:dyDescent="0.35">
      <c r="E635" s="10" t="s">
        <v>667</v>
      </c>
      <c r="F635" s="10" t="s">
        <v>615</v>
      </c>
      <c r="G635" s="43" t="s">
        <v>616</v>
      </c>
      <c r="I635" s="20"/>
      <c r="J635" s="200"/>
      <c r="K635" s="200"/>
      <c r="L635" s="200"/>
      <c r="M635" s="200"/>
      <c r="N635" s="200">
        <v>1.09E-2</v>
      </c>
      <c r="O635" s="226">
        <f t="shared" si="169"/>
        <v>1.03540057873742E-2</v>
      </c>
      <c r="P635" s="226">
        <f t="shared" si="169"/>
        <v>9.8353610866952681E-3</v>
      </c>
      <c r="Q635" s="226">
        <f t="shared" si="169"/>
        <v>9.342695927757598E-3</v>
      </c>
      <c r="R635" s="226">
        <f t="shared" si="169"/>
        <v>8.8747089638238109E-3</v>
      </c>
      <c r="S635" s="226">
        <f t="shared" si="169"/>
        <v>8.4301640341920576E-3</v>
      </c>
      <c r="T635" s="226">
        <f t="shared" si="169"/>
        <v>8.0078868989484769E-3</v>
      </c>
      <c r="U635" s="226">
        <f t="shared" si="169"/>
        <v>7.6067621372798684E-3</v>
      </c>
      <c r="V635" s="226">
        <f t="shared" si="169"/>
        <v>7.225730201153642E-3</v>
      </c>
      <c r="W635" s="226">
        <f t="shared" si="169"/>
        <v>6.8637846165825094E-3</v>
      </c>
      <c r="X635" s="226">
        <f t="shared" si="169"/>
        <v>6.5199693250812211E-3</v>
      </c>
      <c r="Y635" s="226">
        <f t="shared" si="169"/>
        <v>6.1933761582929564E-3</v>
      </c>
      <c r="Z635" s="226">
        <f t="shared" si="169"/>
        <v>5.8831424391147394E-3</v>
      </c>
      <c r="AA635" s="226">
        <f t="shared" si="169"/>
        <v>5.5884487029853923E-3</v>
      </c>
      <c r="AB635" s="226">
        <f t="shared" si="169"/>
        <v>5.308516533316935E-3</v>
      </c>
      <c r="AC635" s="226">
        <f t="shared" si="169"/>
        <v>5.0426065053518505E-3</v>
      </c>
      <c r="AD635" s="226">
        <f t="shared" si="169"/>
        <v>4.790016233015032E-3</v>
      </c>
      <c r="AE635" s="226">
        <f t="shared" si="167"/>
        <v>4.5500785136012847E-3</v>
      </c>
      <c r="AF635" s="226">
        <f t="shared" si="167"/>
        <v>4.3221595653976791E-3</v>
      </c>
      <c r="AG635" s="226">
        <f t="shared" si="167"/>
        <v>4.1056573535855345E-3</v>
      </c>
      <c r="AH635" s="227">
        <v>3.8999999999999998E-3</v>
      </c>
      <c r="AI635" s="226">
        <f t="shared" si="170"/>
        <v>3.7046442725467321E-3</v>
      </c>
      <c r="AJ635" s="226">
        <f t="shared" si="170"/>
        <v>3.519074150285463E-3</v>
      </c>
      <c r="AK635" s="226">
        <f t="shared" si="170"/>
        <v>3.3427994603903331E-3</v>
      </c>
      <c r="AL635" s="226">
        <f t="shared" si="170"/>
        <v>3.175354583386501E-3</v>
      </c>
      <c r="AM635" s="226">
        <f t="shared" si="170"/>
        <v>3.0162972232430298E-3</v>
      </c>
      <c r="AN635" s="226">
        <f t="shared" si="170"/>
        <v>2.8652072390733083E-3</v>
      </c>
      <c r="AO635" s="226">
        <f t="shared" si="170"/>
        <v>2.7216855353570171E-3</v>
      </c>
      <c r="AP635" s="226">
        <f t="shared" si="170"/>
        <v>2.5853530077522206E-3</v>
      </c>
      <c r="AQ635" s="226">
        <f t="shared" si="170"/>
        <v>2.4558495417130082E-3</v>
      </c>
      <c r="AR635" s="226">
        <f t="shared" si="170"/>
        <v>2.3328330612675929E-3</v>
      </c>
      <c r="AS635" s="226">
        <f t="shared" si="170"/>
        <v>2.2159786254442688E-3</v>
      </c>
      <c r="AT635" s="226">
        <f t="shared" si="170"/>
        <v>2.104977569958485E-3</v>
      </c>
      <c r="AU635" s="226">
        <f t="shared" si="170"/>
        <v>1.9995366918938566E-3</v>
      </c>
      <c r="AV635" s="226">
        <f t="shared" si="170"/>
        <v>1.8993774752234913E-3</v>
      </c>
      <c r="AW635" s="226">
        <f t="shared" si="170"/>
        <v>1.8042353551258922E-3</v>
      </c>
      <c r="AX635" s="226">
        <f t="shared" si="170"/>
        <v>1.7138590191521682E-3</v>
      </c>
      <c r="AY635" s="226">
        <f t="shared" si="168"/>
        <v>1.6280097433986258E-3</v>
      </c>
      <c r="AZ635" s="226">
        <f t="shared" si="168"/>
        <v>1.5464607619312806E-3</v>
      </c>
      <c r="BA635" s="226">
        <f t="shared" si="168"/>
        <v>1.46899666779666E-3</v>
      </c>
      <c r="BB635" s="226">
        <f t="shared" si="168"/>
        <v>1.3954128440367003E-3</v>
      </c>
      <c r="BC635" s="226">
        <f t="shared" si="168"/>
        <v>1.325514923204797E-3</v>
      </c>
      <c r="BD635" s="226">
        <f t="shared" si="168"/>
        <v>1.2591182739553519E-3</v>
      </c>
      <c r="BE635" s="226">
        <f t="shared" si="168"/>
        <v>1.1960475133506723E-3</v>
      </c>
    </row>
    <row r="636" spans="4:57" s="10" customFormat="1" x14ac:dyDescent="0.35">
      <c r="E636" s="10" t="s">
        <v>668</v>
      </c>
      <c r="F636" s="10" t="s">
        <v>615</v>
      </c>
      <c r="G636" s="43" t="s">
        <v>616</v>
      </c>
      <c r="I636" s="20"/>
      <c r="J636" s="200"/>
      <c r="K636" s="200"/>
      <c r="L636" s="200"/>
      <c r="M636" s="200"/>
      <c r="N636" s="200">
        <v>1.1299999999999999E-2</v>
      </c>
      <c r="O636" s="226">
        <f t="shared" si="169"/>
        <v>1.0779463719095465E-2</v>
      </c>
      <c r="P636" s="226">
        <f t="shared" si="169"/>
        <v>1.0282906024008448E-2</v>
      </c>
      <c r="Q636" s="226">
        <f t="shared" si="169"/>
        <v>9.8092223374041838E-3</v>
      </c>
      <c r="R636" s="226">
        <f t="shared" si="169"/>
        <v>9.3573589644769233E-3</v>
      </c>
      <c r="S636" s="226">
        <f t="shared" si="169"/>
        <v>8.9263107490382045E-3</v>
      </c>
      <c r="T636" s="226">
        <f t="shared" si="169"/>
        <v>8.5151188375778061E-3</v>
      </c>
      <c r="U636" s="226">
        <f t="shared" si="169"/>
        <v>8.1228685463235681E-3</v>
      </c>
      <c r="V636" s="226">
        <f t="shared" si="169"/>
        <v>7.7486873265554543E-3</v>
      </c>
      <c r="W636" s="226">
        <f t="shared" si="169"/>
        <v>7.3917428236477314E-3</v>
      </c>
      <c r="X636" s="226">
        <f t="shared" si="169"/>
        <v>7.0512410255216809E-3</v>
      </c>
      <c r="Y636" s="226">
        <f t="shared" si="169"/>
        <v>6.7264244963901303E-3</v>
      </c>
      <c r="Z636" s="226">
        <f t="shared" si="169"/>
        <v>6.4165706918648145E-3</v>
      </c>
      <c r="AA636" s="226">
        <f t="shared" si="169"/>
        <v>6.1209903516785897E-3</v>
      </c>
      <c r="AB636" s="226">
        <f t="shared" si="169"/>
        <v>5.8390259664471466E-3</v>
      </c>
      <c r="AC636" s="226">
        <f t="shared" si="169"/>
        <v>5.5700503150595895E-3</v>
      </c>
      <c r="AD636" s="226">
        <f t="shared" si="169"/>
        <v>5.3134650694443468E-3</v>
      </c>
      <c r="AE636" s="226">
        <f t="shared" si="167"/>
        <v>5.0686994636067618E-3</v>
      </c>
      <c r="AF636" s="226">
        <f t="shared" si="167"/>
        <v>4.8352090239776758E-3</v>
      </c>
      <c r="AG636" s="226">
        <f t="shared" si="167"/>
        <v>4.6124743582487042E-3</v>
      </c>
      <c r="AH636" s="227">
        <v>4.4000000000000003E-3</v>
      </c>
      <c r="AI636" s="226">
        <f t="shared" si="170"/>
        <v>4.1973133065504476E-3</v>
      </c>
      <c r="AJ636" s="226">
        <f t="shared" si="170"/>
        <v>4.003963407578511E-3</v>
      </c>
      <c r="AK636" s="226">
        <f t="shared" si="170"/>
        <v>3.8195202021750808E-3</v>
      </c>
      <c r="AL636" s="226">
        <f t="shared" si="170"/>
        <v>3.643573402097209E-3</v>
      </c>
      <c r="AM636" s="226">
        <f t="shared" si="170"/>
        <v>3.4757316190945223E-3</v>
      </c>
      <c r="AN636" s="226">
        <f t="shared" si="170"/>
        <v>3.3156214942780837E-3</v>
      </c>
      <c r="AO636" s="226">
        <f t="shared" si="170"/>
        <v>3.1628868675950177E-3</v>
      </c>
      <c r="AP636" s="226">
        <f t="shared" si="170"/>
        <v>3.0171879855614161E-3</v>
      </c>
      <c r="AQ636" s="226">
        <f t="shared" si="170"/>
        <v>2.8782007454911523E-3</v>
      </c>
      <c r="AR636" s="226">
        <f t="shared" si="170"/>
        <v>2.745615974539416E-3</v>
      </c>
      <c r="AS636" s="226">
        <f t="shared" si="170"/>
        <v>2.6191387419572192E-3</v>
      </c>
      <c r="AT636" s="226">
        <f t="shared" si="170"/>
        <v>2.4984877030270079E-3</v>
      </c>
      <c r="AU636" s="226">
        <f t="shared" si="170"/>
        <v>2.3833944732199823E-3</v>
      </c>
      <c r="AV636" s="226">
        <f t="shared" si="170"/>
        <v>2.2736030311829602E-3</v>
      </c>
      <c r="AW636" s="226">
        <f t="shared" si="170"/>
        <v>2.1688691492267433E-3</v>
      </c>
      <c r="AX636" s="226">
        <f t="shared" si="170"/>
        <v>2.0689598500491266E-3</v>
      </c>
      <c r="AY636" s="226">
        <f t="shared" si="168"/>
        <v>1.9736528884840491E-3</v>
      </c>
      <c r="AZ636" s="226">
        <f t="shared" si="168"/>
        <v>1.8827362571240511E-3</v>
      </c>
      <c r="BA636" s="226">
        <f t="shared" si="168"/>
        <v>1.7960077147163099E-3</v>
      </c>
      <c r="BB636" s="226">
        <f t="shared" si="168"/>
        <v>1.7132743362831878E-3</v>
      </c>
      <c r="BC636" s="226">
        <f t="shared" si="168"/>
        <v>1.6343520839665476E-3</v>
      </c>
      <c r="BD636" s="226">
        <f t="shared" si="168"/>
        <v>1.5590653976411918E-3</v>
      </c>
      <c r="BE636" s="226">
        <f t="shared" si="168"/>
        <v>1.4872468043867586E-3</v>
      </c>
    </row>
    <row r="637" spans="4:57" s="10" customFormat="1" x14ac:dyDescent="0.35">
      <c r="E637" s="10" t="s">
        <v>669</v>
      </c>
      <c r="F637" s="10" t="s">
        <v>615</v>
      </c>
      <c r="G637" s="43" t="s">
        <v>616</v>
      </c>
      <c r="I637" s="20"/>
      <c r="J637" s="200"/>
      <c r="K637" s="200"/>
      <c r="L637" s="200"/>
      <c r="M637" s="200"/>
      <c r="N637" s="200">
        <v>1.17E-2</v>
      </c>
      <c r="O637" s="226">
        <f t="shared" si="169"/>
        <v>1.1190220146228934E-2</v>
      </c>
      <c r="P637" s="226">
        <f t="shared" si="169"/>
        <v>1.0702651873595547E-2</v>
      </c>
      <c r="Q637" s="226">
        <f t="shared" si="169"/>
        <v>1.0236327402904593E-2</v>
      </c>
      <c r="R637" s="226">
        <f t="shared" si="169"/>
        <v>9.7903211219981436E-3</v>
      </c>
      <c r="S637" s="226">
        <f t="shared" si="169"/>
        <v>9.3637477484986558E-3</v>
      </c>
      <c r="T637" s="226">
        <f t="shared" si="169"/>
        <v>8.9557605726030328E-3</v>
      </c>
      <c r="U637" s="226">
        <f t="shared" si="169"/>
        <v>8.5655497764397636E-3</v>
      </c>
      <c r="V637" s="226">
        <f t="shared" si="169"/>
        <v>8.1923408266532469E-3</v>
      </c>
      <c r="W637" s="226">
        <f t="shared" si="169"/>
        <v>7.8353929370246975E-3</v>
      </c>
      <c r="X637" s="226">
        <f t="shared" si="169"/>
        <v>7.493997598078091E-3</v>
      </c>
      <c r="Y637" s="226">
        <f t="shared" si="169"/>
        <v>7.1674771707525373E-3</v>
      </c>
      <c r="Z637" s="226">
        <f t="shared" si="169"/>
        <v>6.8551835413496577E-3</v>
      </c>
      <c r="AA637" s="226">
        <f t="shared" si="169"/>
        <v>6.5564968350861489E-3</v>
      </c>
      <c r="AB637" s="226">
        <f t="shared" si="169"/>
        <v>6.2708241856980571E-3</v>
      </c>
      <c r="AC637" s="226">
        <f t="shared" si="169"/>
        <v>5.9975985586545339E-3</v>
      </c>
      <c r="AD637" s="226">
        <f t="shared" si="169"/>
        <v>5.7362776256452627E-3</v>
      </c>
      <c r="AE637" s="226">
        <f t="shared" si="167"/>
        <v>5.4863426881075119E-3</v>
      </c>
      <c r="AF637" s="226">
        <f t="shared" si="167"/>
        <v>5.2472976476561099E-3</v>
      </c>
      <c r="AG637" s="226">
        <f t="shared" si="167"/>
        <v>5.0186680213727426E-3</v>
      </c>
      <c r="AH637" s="227">
        <v>4.7999999999999996E-3</v>
      </c>
      <c r="AI637" s="226">
        <f t="shared" si="170"/>
        <v>4.5908595471708443E-3</v>
      </c>
      <c r="AJ637" s="226">
        <f t="shared" si="170"/>
        <v>4.3908315378853521E-3</v>
      </c>
      <c r="AK637" s="226">
        <f t="shared" si="170"/>
        <v>4.1995189345249602E-3</v>
      </c>
      <c r="AL637" s="226">
        <f t="shared" si="170"/>
        <v>4.0165419987684683E-3</v>
      </c>
      <c r="AM637" s="226">
        <f t="shared" si="170"/>
        <v>3.8415375378456017E-3</v>
      </c>
      <c r="AN637" s="226">
        <f t="shared" si="170"/>
        <v>3.6741581836320127E-3</v>
      </c>
      <c r="AO637" s="226">
        <f t="shared" si="170"/>
        <v>3.5140717031547737E-3</v>
      </c>
      <c r="AP637" s="226">
        <f t="shared" si="170"/>
        <v>3.3609603391397923E-3</v>
      </c>
      <c r="AQ637" s="226">
        <f t="shared" si="170"/>
        <v>3.214520179292182E-3</v>
      </c>
      <c r="AR637" s="226">
        <f t="shared" si="170"/>
        <v>3.0744605530576767E-3</v>
      </c>
      <c r="AS637" s="226">
        <f t="shared" si="170"/>
        <v>2.9405034546677064E-3</v>
      </c>
      <c r="AT637" s="226">
        <f t="shared" si="170"/>
        <v>2.8123829913229356E-3</v>
      </c>
      <c r="AU637" s="226">
        <f t="shared" si="170"/>
        <v>2.6898448554199578E-3</v>
      </c>
      <c r="AV637" s="226">
        <f t="shared" si="170"/>
        <v>2.5726458197735612E-3</v>
      </c>
      <c r="AW637" s="226">
        <f t="shared" si="170"/>
        <v>2.4605532548326284E-3</v>
      </c>
      <c r="AX637" s="226">
        <f t="shared" si="170"/>
        <v>2.3533446669313893E-3</v>
      </c>
      <c r="AY637" s="226">
        <f t="shared" si="168"/>
        <v>2.2508072566594915E-3</v>
      </c>
      <c r="AZ637" s="226">
        <f t="shared" si="168"/>
        <v>2.152737496474301E-3</v>
      </c>
      <c r="BA637" s="226">
        <f t="shared" si="168"/>
        <v>2.0589407267170221E-3</v>
      </c>
      <c r="BB637" s="226">
        <f t="shared" si="168"/>
        <v>1.9692307692307743E-3</v>
      </c>
      <c r="BC637" s="226">
        <f t="shared" si="168"/>
        <v>1.8834295578136846E-3</v>
      </c>
      <c r="BD637" s="226">
        <f t="shared" si="168"/>
        <v>1.8013667847734825E-3</v>
      </c>
      <c r="BE637" s="226">
        <f t="shared" si="168"/>
        <v>1.7228795628820397E-3</v>
      </c>
    </row>
    <row r="638" spans="4:57" s="10" customFormat="1" x14ac:dyDescent="0.35">
      <c r="E638" s="10" t="s">
        <v>670</v>
      </c>
      <c r="F638" s="10" t="s">
        <v>615</v>
      </c>
      <c r="G638" s="43" t="s">
        <v>616</v>
      </c>
      <c r="I638" s="20"/>
      <c r="J638" s="200"/>
      <c r="K638" s="200"/>
      <c r="L638" s="200"/>
      <c r="M638" s="200"/>
      <c r="N638" s="200">
        <v>1.21E-2</v>
      </c>
      <c r="O638" s="226">
        <f t="shared" si="169"/>
        <v>1.1610739874198714E-2</v>
      </c>
      <c r="P638" s="226">
        <f t="shared" si="169"/>
        <v>1.1141262845149418E-2</v>
      </c>
      <c r="Q638" s="226">
        <f t="shared" si="169"/>
        <v>1.069076898885165E-2</v>
      </c>
      <c r="R638" s="226">
        <f t="shared" si="169"/>
        <v>1.0258490726008835E-2</v>
      </c>
      <c r="S638" s="226">
        <f t="shared" si="169"/>
        <v>9.8436915141792147E-3</v>
      </c>
      <c r="T638" s="226">
        <f t="shared" si="169"/>
        <v>9.4456645928092664E-3</v>
      </c>
      <c r="U638" s="226">
        <f t="shared" si="169"/>
        <v>9.0637317790113643E-3</v>
      </c>
      <c r="V638" s="226">
        <f t="shared" si="169"/>
        <v>8.697242312033825E-3</v>
      </c>
      <c r="W638" s="226">
        <f t="shared" si="169"/>
        <v>8.3455717444544907E-3</v>
      </c>
      <c r="X638" s="226">
        <f t="shared" si="169"/>
        <v>8.0081208782085845E-3</v>
      </c>
      <c r="Y638" s="226">
        <f t="shared" si="169"/>
        <v>7.6843147436379856E-3</v>
      </c>
      <c r="Z638" s="226">
        <f t="shared" si="169"/>
        <v>7.3736016198223658E-3</v>
      </c>
      <c r="AA638" s="226">
        <f t="shared" si="169"/>
        <v>7.0754520945229557E-3</v>
      </c>
      <c r="AB638" s="226">
        <f t="shared" si="169"/>
        <v>6.7893581621372304E-3</v>
      </c>
      <c r="AC638" s="226">
        <f t="shared" si="169"/>
        <v>6.5148323581275397E-3</v>
      </c>
      <c r="AD638" s="226">
        <f t="shared" si="169"/>
        <v>6.2514069284488804E-3</v>
      </c>
      <c r="AE638" s="226">
        <f t="shared" si="167"/>
        <v>5.9986330325606215E-3</v>
      </c>
      <c r="AF638" s="226">
        <f t="shared" si="167"/>
        <v>5.7560799786642277E-3</v>
      </c>
      <c r="AG638" s="226">
        <f t="shared" si="167"/>
        <v>5.5233344898639363E-3</v>
      </c>
      <c r="AH638" s="227">
        <v>5.3E-3</v>
      </c>
      <c r="AI638" s="226">
        <f t="shared" si="170"/>
        <v>5.0856959779548086E-3</v>
      </c>
      <c r="AJ638" s="226">
        <f t="shared" si="170"/>
        <v>4.8800572792803238E-3</v>
      </c>
      <c r="AK638" s="226">
        <f t="shared" si="170"/>
        <v>4.6827335240424584E-3</v>
      </c>
      <c r="AL638" s="226">
        <f t="shared" si="170"/>
        <v>4.4933884998220519E-3</v>
      </c>
      <c r="AM638" s="226">
        <f t="shared" si="170"/>
        <v>4.3116995888553581E-3</v>
      </c>
      <c r="AN638" s="226">
        <f t="shared" si="170"/>
        <v>4.1373572183379427E-3</v>
      </c>
      <c r="AO638" s="226">
        <f t="shared" si="170"/>
        <v>3.9700643329553904E-3</v>
      </c>
      <c r="AP638" s="226">
        <f t="shared" si="170"/>
        <v>3.8095358887420883E-3</v>
      </c>
      <c r="AQ638" s="226">
        <f t="shared" si="170"/>
        <v>3.6554983674056858E-3</v>
      </c>
      <c r="AR638" s="226">
        <f t="shared" si="170"/>
        <v>3.5076893102897102E-3</v>
      </c>
      <c r="AS638" s="226">
        <f t="shared" si="170"/>
        <v>3.3658568711802746E-3</v>
      </c>
      <c r="AT638" s="226">
        <f t="shared" si="170"/>
        <v>3.2297593871949202E-3</v>
      </c>
      <c r="AU638" s="226">
        <f t="shared" si="170"/>
        <v>3.0991649670224514E-3</v>
      </c>
      <c r="AV638" s="226">
        <f t="shared" si="170"/>
        <v>2.973851095812175E-3</v>
      </c>
      <c r="AW638" s="226">
        <f t="shared" si="170"/>
        <v>2.8536042560393356E-3</v>
      </c>
      <c r="AX638" s="226">
        <f t="shared" si="170"/>
        <v>2.7382195637007493E-3</v>
      </c>
      <c r="AY638" s="226">
        <f t="shared" si="168"/>
        <v>2.627500419220768E-3</v>
      </c>
      <c r="AZ638" s="226">
        <f t="shared" si="168"/>
        <v>2.5212581724727606E-3</v>
      </c>
      <c r="BA638" s="226">
        <f t="shared" si="168"/>
        <v>2.4193118013453602E-3</v>
      </c>
      <c r="BB638" s="226">
        <f t="shared" si="168"/>
        <v>2.3214876033057926E-3</v>
      </c>
      <c r="BC638" s="226">
        <f t="shared" si="168"/>
        <v>2.2276188994347578E-3</v>
      </c>
      <c r="BD638" s="226">
        <f t="shared" si="168"/>
        <v>2.137545750428578E-3</v>
      </c>
      <c r="BE638" s="226">
        <f t="shared" si="168"/>
        <v>2.0511146840847191E-3</v>
      </c>
    </row>
    <row r="639" spans="4:57" s="10" customFormat="1" x14ac:dyDescent="0.35">
      <c r="E639" s="10" t="s">
        <v>671</v>
      </c>
      <c r="F639" s="10" t="s">
        <v>615</v>
      </c>
      <c r="G639" s="43" t="s">
        <v>616</v>
      </c>
      <c r="I639" s="20"/>
      <c r="J639" s="200"/>
      <c r="K639" s="200"/>
      <c r="L639" s="200"/>
      <c r="M639" s="200"/>
      <c r="N639" s="200">
        <v>1.2500000000000001E-2</v>
      </c>
      <c r="O639" s="226">
        <f t="shared" si="169"/>
        <v>1.2039462904663394E-2</v>
      </c>
      <c r="P639" s="226">
        <f t="shared" si="169"/>
        <v>1.1595893362621273E-2</v>
      </c>
      <c r="Q639" s="226">
        <f t="shared" si="169"/>
        <v>1.11686662388569E-2</v>
      </c>
      <c r="R639" s="226">
        <f t="shared" si="169"/>
        <v>1.0757179430182725E-2</v>
      </c>
      <c r="S639" s="226">
        <f t="shared" si="169"/>
        <v>1.0360853016679441E-2</v>
      </c>
      <c r="T639" s="226">
        <f t="shared" si="169"/>
        <v>9.9791284443985547E-3</v>
      </c>
      <c r="U639" s="226">
        <f t="shared" si="169"/>
        <v>9.6114677381766156E-3</v>
      </c>
      <c r="V639" s="226">
        <f t="shared" si="169"/>
        <v>9.2573527434517064E-3</v>
      </c>
      <c r="W639" s="226">
        <f t="shared" si="169"/>
        <v>8.9162843960136559E-3</v>
      </c>
      <c r="X639" s="226">
        <f t="shared" si="169"/>
        <v>8.5877820186588353E-3</v>
      </c>
      <c r="Y639" s="226">
        <f t="shared" si="169"/>
        <v>8.2713826437582679E-3</v>
      </c>
      <c r="Z639" s="226">
        <f t="shared" si="169"/>
        <v>7.9666403607843422E-3</v>
      </c>
      <c r="AA639" s="226">
        <f t="shared" si="169"/>
        <v>7.6731256878765815E-3</v>
      </c>
      <c r="AB639" s="226">
        <f t="shared" si="169"/>
        <v>7.3904249665607902E-3</v>
      </c>
      <c r="AC639" s="226">
        <f t="shared" si="169"/>
        <v>7.1181397787685461E-3</v>
      </c>
      <c r="AD639" s="226">
        <f t="shared" si="169"/>
        <v>6.8558863853354236E-3</v>
      </c>
      <c r="AE639" s="226">
        <f t="shared" si="167"/>
        <v>6.6032951851866094E-3</v>
      </c>
      <c r="AF639" s="226">
        <f t="shared" si="167"/>
        <v>6.3600101944477254E-3</v>
      </c>
      <c r="AG639" s="226">
        <f t="shared" si="167"/>
        <v>6.1256885447467518E-3</v>
      </c>
      <c r="AH639" s="227">
        <v>5.8999999999999999E-3</v>
      </c>
      <c r="AI639" s="226">
        <f t="shared" si="170"/>
        <v>5.6826264910011214E-3</v>
      </c>
      <c r="AJ639" s="226">
        <f t="shared" si="170"/>
        <v>5.4732616671572401E-3</v>
      </c>
      <c r="AK639" s="226">
        <f t="shared" si="170"/>
        <v>5.2716104647404565E-3</v>
      </c>
      <c r="AL639" s="226">
        <f t="shared" si="170"/>
        <v>5.0773886910462458E-3</v>
      </c>
      <c r="AM639" s="226">
        <f t="shared" si="170"/>
        <v>4.8903226238726956E-3</v>
      </c>
      <c r="AN639" s="226">
        <f t="shared" si="170"/>
        <v>4.710148625756117E-3</v>
      </c>
      <c r="AO639" s="226">
        <f t="shared" si="170"/>
        <v>4.5366127724193617E-3</v>
      </c>
      <c r="AP639" s="226">
        <f t="shared" si="170"/>
        <v>4.3694704949092042E-3</v>
      </c>
      <c r="AQ639" s="226">
        <f t="shared" si="170"/>
        <v>4.2084862349184449E-3</v>
      </c>
      <c r="AR639" s="226">
        <f t="shared" si="170"/>
        <v>4.0534331128069699E-3</v>
      </c>
      <c r="AS639" s="226">
        <f t="shared" si="170"/>
        <v>3.9040926078539023E-3</v>
      </c>
      <c r="AT639" s="226">
        <f t="shared" si="170"/>
        <v>3.7602542502902098E-3</v>
      </c>
      <c r="AU639" s="226">
        <f t="shared" si="170"/>
        <v>3.6217153246777467E-3</v>
      </c>
      <c r="AV639" s="226">
        <f t="shared" si="170"/>
        <v>3.4882805842166931E-3</v>
      </c>
      <c r="AW639" s="226">
        <f t="shared" si="170"/>
        <v>3.3597619755787538E-3</v>
      </c>
      <c r="AX639" s="226">
        <f t="shared" si="170"/>
        <v>3.2359783738783198E-3</v>
      </c>
      <c r="AY639" s="226">
        <f t="shared" si="168"/>
        <v>3.1167553274080799E-3</v>
      </c>
      <c r="AZ639" s="226">
        <f t="shared" si="168"/>
        <v>3.0019248117793269E-3</v>
      </c>
      <c r="BA639" s="226">
        <f t="shared" si="168"/>
        <v>2.8913249931204672E-3</v>
      </c>
      <c r="BB639" s="226">
        <f t="shared" si="168"/>
        <v>2.7848E-3</v>
      </c>
      <c r="BC639" s="226">
        <f t="shared" si="168"/>
        <v>2.682199703752529E-3</v>
      </c>
      <c r="BD639" s="226">
        <f t="shared" si="168"/>
        <v>2.5833795068982172E-3</v>
      </c>
      <c r="BE639" s="226">
        <f t="shared" si="168"/>
        <v>2.4882001393574955E-3</v>
      </c>
    </row>
    <row r="640" spans="4:57" s="10" customFormat="1" x14ac:dyDescent="0.35">
      <c r="D640" s="169"/>
      <c r="E640" s="10" t="s">
        <v>672</v>
      </c>
      <c r="F640" s="10" t="s">
        <v>615</v>
      </c>
      <c r="G640" s="43" t="s">
        <v>616</v>
      </c>
      <c r="I640" s="20"/>
      <c r="J640" s="200"/>
      <c r="K640" s="200"/>
      <c r="L640" s="200"/>
      <c r="M640" s="200"/>
      <c r="N640" s="200">
        <v>1.2999999999999999E-2</v>
      </c>
      <c r="O640" s="226">
        <f t="shared" si="169"/>
        <v>1.2557172276022995E-2</v>
      </c>
      <c r="P640" s="226">
        <f t="shared" si="169"/>
        <v>1.21294288899785E-2</v>
      </c>
      <c r="Q640" s="226">
        <f t="shared" si="169"/>
        <v>1.1716256013940798E-2</v>
      </c>
      <c r="R640" s="226">
        <f t="shared" si="169"/>
        <v>1.131715732284962E-2</v>
      </c>
      <c r="S640" s="226">
        <f t="shared" si="169"/>
        <v>1.0931653398298297E-2</v>
      </c>
      <c r="T640" s="226">
        <f t="shared" si="169"/>
        <v>1.0559281152631071E-2</v>
      </c>
      <c r="U640" s="226">
        <f t="shared" si="169"/>
        <v>1.0199593272657769E-2</v>
      </c>
      <c r="V640" s="226">
        <f t="shared" si="169"/>
        <v>9.8521576823175985E-3</v>
      </c>
      <c r="W640" s="226">
        <f t="shared" si="169"/>
        <v>9.5165570236465779E-3</v>
      </c>
      <c r="X640" s="226">
        <f t="shared" si="169"/>
        <v>9.1923881554251321E-3</v>
      </c>
      <c r="Y640" s="226">
        <f t="shared" si="169"/>
        <v>8.8792616689035864E-3</v>
      </c>
      <c r="Z640" s="226">
        <f t="shared" si="169"/>
        <v>8.5768014200238284E-3</v>
      </c>
      <c r="AA640" s="226">
        <f t="shared" si="169"/>
        <v>8.2846440775752213E-3</v>
      </c>
      <c r="AB640" s="226">
        <f t="shared" si="169"/>
        <v>8.0024386867419747E-3</v>
      </c>
      <c r="AC640" s="226">
        <f t="shared" si="169"/>
        <v>7.7298462475177063E-3</v>
      </c>
      <c r="AD640" s="226">
        <f t="shared" si="169"/>
        <v>7.4665393074807478E-3</v>
      </c>
      <c r="AE640" s="226">
        <f t="shared" si="167"/>
        <v>7.2122015684410136E-3</v>
      </c>
      <c r="AF640" s="226">
        <f t="shared" si="167"/>
        <v>6.9665275064859271E-3</v>
      </c>
      <c r="AG640" s="226">
        <f t="shared" si="167"/>
        <v>6.7292220049689757E-3</v>
      </c>
      <c r="AH640" s="227">
        <v>6.4999999999999997E-3</v>
      </c>
      <c r="AI640" s="226">
        <f t="shared" si="170"/>
        <v>6.2785861380114973E-3</v>
      </c>
      <c r="AJ640" s="226">
        <f t="shared" si="170"/>
        <v>6.06471444498925E-3</v>
      </c>
      <c r="AK640" s="226">
        <f t="shared" si="170"/>
        <v>5.8581280069703989E-3</v>
      </c>
      <c r="AL640" s="226">
        <f t="shared" si="170"/>
        <v>5.6585786614248099E-3</v>
      </c>
      <c r="AM640" s="226">
        <f t="shared" si="170"/>
        <v>5.4658266991491483E-3</v>
      </c>
      <c r="AN640" s="226">
        <f t="shared" si="170"/>
        <v>5.2796405763155356E-3</v>
      </c>
      <c r="AO640" s="226">
        <f t="shared" si="170"/>
        <v>5.0997966363288847E-3</v>
      </c>
      <c r="AP640" s="226">
        <f t="shared" si="170"/>
        <v>4.9260788411587993E-3</v>
      </c>
      <c r="AQ640" s="226">
        <f t="shared" si="170"/>
        <v>4.7582785118232889E-3</v>
      </c>
      <c r="AR640" s="226">
        <f t="shared" si="170"/>
        <v>4.596194077712566E-3</v>
      </c>
      <c r="AS640" s="226">
        <f t="shared" si="170"/>
        <v>4.4396308344517932E-3</v>
      </c>
      <c r="AT640" s="226">
        <f t="shared" si="170"/>
        <v>4.2884007100119142E-3</v>
      </c>
      <c r="AU640" s="226">
        <f t="shared" si="170"/>
        <v>4.1423220387876106E-3</v>
      </c>
      <c r="AV640" s="226">
        <f t="shared" si="170"/>
        <v>4.0012193433709873E-3</v>
      </c>
      <c r="AW640" s="226">
        <f t="shared" si="170"/>
        <v>3.8649231237588531E-3</v>
      </c>
      <c r="AX640" s="226">
        <f t="shared" si="170"/>
        <v>3.7332696537403739E-3</v>
      </c>
      <c r="AY640" s="226">
        <f t="shared" si="168"/>
        <v>3.6061007842205068E-3</v>
      </c>
      <c r="AZ640" s="226">
        <f t="shared" si="168"/>
        <v>3.4832637532429636E-3</v>
      </c>
      <c r="BA640" s="226">
        <f t="shared" si="168"/>
        <v>3.3646110024844879E-3</v>
      </c>
      <c r="BB640" s="226">
        <f t="shared" si="168"/>
        <v>3.2500000000000111E-3</v>
      </c>
      <c r="BC640" s="226">
        <f t="shared" si="168"/>
        <v>3.1392930690057595E-3</v>
      </c>
      <c r="BD640" s="226">
        <f t="shared" si="168"/>
        <v>3.0323572224946358E-3</v>
      </c>
      <c r="BE640" s="226">
        <f t="shared" si="168"/>
        <v>2.9290640034852103E-3</v>
      </c>
    </row>
    <row r="641" spans="4:57" s="10" customFormat="1" x14ac:dyDescent="0.35">
      <c r="D641" s="169"/>
      <c r="E641" s="10" t="s">
        <v>673</v>
      </c>
      <c r="F641" s="10" t="s">
        <v>615</v>
      </c>
      <c r="G641" s="43" t="s">
        <v>616</v>
      </c>
      <c r="I641" s="20"/>
      <c r="J641" s="200"/>
      <c r="K641" s="200"/>
      <c r="L641" s="200"/>
      <c r="M641" s="200"/>
      <c r="N641" s="200">
        <v>1.35E-2</v>
      </c>
      <c r="O641" s="226">
        <f t="shared" si="169"/>
        <v>1.3073142572232917E-2</v>
      </c>
      <c r="P641" s="226">
        <f t="shared" si="169"/>
        <v>1.2659781978809532E-2</v>
      </c>
      <c r="Q641" s="226">
        <f t="shared" si="169"/>
        <v>1.2259491462397184E-2</v>
      </c>
      <c r="R641" s="226">
        <f t="shared" si="169"/>
        <v>1.1871857759332638E-2</v>
      </c>
      <c r="S641" s="226">
        <f t="shared" si="169"/>
        <v>1.149648067296483E-2</v>
      </c>
      <c r="T641" s="226">
        <f t="shared" si="169"/>
        <v>1.1132972660488107E-2</v>
      </c>
      <c r="U641" s="226">
        <f t="shared" si="169"/>
        <v>1.0780958432839424E-2</v>
      </c>
      <c r="V641" s="226">
        <f t="shared" si="169"/>
        <v>1.044007456724641E-2</v>
      </c>
      <c r="W641" s="226">
        <f t="shared" si="169"/>
        <v>1.010996913202631E-2</v>
      </c>
      <c r="X641" s="226">
        <f t="shared" si="169"/>
        <v>9.790301323248431E-3</v>
      </c>
      <c r="Y641" s="226">
        <f t="shared" si="169"/>
        <v>9.4807411128849869E-3</v>
      </c>
      <c r="Z641" s="226">
        <f t="shared" si="169"/>
        <v>9.1809689080870824E-3</v>
      </c>
      <c r="AA641" s="226">
        <f t="shared" si="169"/>
        <v>8.8906752212340734E-3</v>
      </c>
      <c r="AB641" s="226">
        <f t="shared" si="169"/>
        <v>8.609560350415664E-3</v>
      </c>
      <c r="AC641" s="226">
        <f t="shared" si="169"/>
        <v>8.337334070016857E-3</v>
      </c>
      <c r="AD641" s="226">
        <f t="shared" si="169"/>
        <v>8.0737153310863185E-3</v>
      </c>
      <c r="AE641" s="226">
        <f t="shared" si="167"/>
        <v>7.8184319711788238E-3</v>
      </c>
      <c r="AF641" s="226">
        <f t="shared" si="167"/>
        <v>7.5712204333722079E-3</v>
      </c>
      <c r="AG641" s="226">
        <f t="shared" si="167"/>
        <v>7.3318254941687382E-3</v>
      </c>
      <c r="AH641" s="227">
        <v>7.1000000000000004E-3</v>
      </c>
      <c r="AI641" s="226">
        <f t="shared" si="170"/>
        <v>6.8755046120632379E-3</v>
      </c>
      <c r="AJ641" s="226">
        <f t="shared" si="170"/>
        <v>6.6581075592257542E-3</v>
      </c>
      <c r="AK641" s="226">
        <f t="shared" si="170"/>
        <v>6.4475843987422225E-3</v>
      </c>
      <c r="AL641" s="226">
        <f t="shared" si="170"/>
        <v>6.2437177845379053E-3</v>
      </c>
      <c r="AM641" s="226">
        <f t="shared" si="170"/>
        <v>6.0462972428185395E-3</v>
      </c>
      <c r="AN641" s="226">
        <f t="shared" si="170"/>
        <v>5.8551189547752262E-3</v>
      </c>
      <c r="AO641" s="226">
        <f t="shared" si="170"/>
        <v>5.6699855461599929E-3</v>
      </c>
      <c r="AP641" s="226">
        <f t="shared" si="170"/>
        <v>5.4907058835147789E-3</v>
      </c>
      <c r="AQ641" s="226">
        <f t="shared" si="170"/>
        <v>5.3170948768434673E-3</v>
      </c>
      <c r="AR641" s="226">
        <f t="shared" si="170"/>
        <v>5.1489732885232498E-3</v>
      </c>
      <c r="AS641" s="226">
        <f t="shared" si="170"/>
        <v>4.9861675482580307E-3</v>
      </c>
      <c r="AT641" s="226">
        <f t="shared" si="170"/>
        <v>4.8285095738828361E-3</v>
      </c>
      <c r="AU641" s="226">
        <f t="shared" si="170"/>
        <v>4.6758365978342171E-3</v>
      </c>
      <c r="AV641" s="226">
        <f t="shared" si="170"/>
        <v>4.5279909991074981E-3</v>
      </c>
      <c r="AW641" s="226">
        <f t="shared" si="170"/>
        <v>4.3848201405273851E-3</v>
      </c>
      <c r="AX641" s="226">
        <f t="shared" si="170"/>
        <v>4.246176211163917E-3</v>
      </c>
      <c r="AY641" s="226">
        <f t="shared" si="168"/>
        <v>4.1119160737310865E-3</v>
      </c>
      <c r="AZ641" s="226">
        <f t="shared" si="168"/>
        <v>3.9819011168105703E-3</v>
      </c>
      <c r="BA641" s="226">
        <f t="shared" si="168"/>
        <v>3.8559971117480048E-3</v>
      </c>
      <c r="BB641" s="226">
        <f t="shared" si="168"/>
        <v>3.734074074074075E-3</v>
      </c>
      <c r="BC641" s="226">
        <f t="shared" si="168"/>
        <v>3.6160061293073332E-3</v>
      </c>
      <c r="BD641" s="226">
        <f t="shared" si="168"/>
        <v>3.5016713830002123E-3</v>
      </c>
      <c r="BE641" s="226">
        <f t="shared" si="168"/>
        <v>3.3909517948940587E-3</v>
      </c>
    </row>
    <row r="642" spans="4:57" s="10" customFormat="1" x14ac:dyDescent="0.35">
      <c r="D642" s="169"/>
      <c r="E642" s="10" t="s">
        <v>674</v>
      </c>
      <c r="F642" s="10" t="s">
        <v>615</v>
      </c>
      <c r="G642" s="43" t="s">
        <v>616</v>
      </c>
      <c r="I642" s="20"/>
      <c r="J642" s="200"/>
      <c r="K642" s="200"/>
      <c r="L642" s="200"/>
      <c r="M642" s="200"/>
      <c r="N642" s="200">
        <v>1.3899999999999999E-2</v>
      </c>
      <c r="O642" s="226">
        <f t="shared" si="169"/>
        <v>1.3495488097374383E-2</v>
      </c>
      <c r="P642" s="226">
        <f t="shared" si="169"/>
        <v>1.3102748128516089E-2</v>
      </c>
      <c r="Q642" s="226">
        <f t="shared" si="169"/>
        <v>1.272143751160312E-2</v>
      </c>
      <c r="R642" s="226">
        <f t="shared" si="169"/>
        <v>1.2351223634484309E-2</v>
      </c>
      <c r="S642" s="226">
        <f t="shared" si="169"/>
        <v>1.1991783564546199E-2</v>
      </c>
      <c r="T642" s="226">
        <f t="shared" si="169"/>
        <v>1.1642803767023237E-2</v>
      </c>
      <c r="U642" s="226">
        <f t="shared" si="169"/>
        <v>1.1303979831505592E-2</v>
      </c>
      <c r="V642" s="226">
        <f t="shared" si="169"/>
        <v>1.097501620640603E-2</v>
      </c>
      <c r="W642" s="226">
        <f t="shared" si="169"/>
        <v>1.0655625941154212E-2</v>
      </c>
      <c r="X642" s="226">
        <f t="shared" si="169"/>
        <v>1.0345530435893553E-2</v>
      </c>
      <c r="Y642" s="226">
        <f t="shared" si="169"/>
        <v>1.0044459198462292E-2</v>
      </c>
      <c r="Z642" s="226">
        <f t="shared" si="169"/>
        <v>9.752149608446798E-3</v>
      </c>
      <c r="AA642" s="226">
        <f t="shared" si="169"/>
        <v>9.4683466881012954E-3</v>
      </c>
      <c r="AB642" s="226">
        <f t="shared" si="169"/>
        <v>9.1928028799341862E-3</v>
      </c>
      <c r="AC642" s="226">
        <f t="shared" si="169"/>
        <v>8.925277830766961E-3</v>
      </c>
      <c r="AD642" s="226">
        <f t="shared" si="169"/>
        <v>8.6655381820773363E-3</v>
      </c>
      <c r="AE642" s="226">
        <f t="shared" si="167"/>
        <v>8.4133573664437362E-3</v>
      </c>
      <c r="AF642" s="226">
        <f t="shared" si="167"/>
        <v>8.1685154099135626E-3</v>
      </c>
      <c r="AG642" s="226">
        <f t="shared" si="167"/>
        <v>7.9307987401228582E-3</v>
      </c>
      <c r="AH642" s="227">
        <v>7.7000000000000002E-3</v>
      </c>
      <c r="AI642" s="226">
        <f t="shared" si="170"/>
        <v>7.4759178668908459E-3</v>
      </c>
      <c r="AJ642" s="226">
        <f t="shared" si="170"/>
        <v>7.2583568769477623E-3</v>
      </c>
      <c r="AK642" s="226">
        <f t="shared" si="170"/>
        <v>7.0471272546290672E-3</v>
      </c>
      <c r="AL642" s="226">
        <f t="shared" si="170"/>
        <v>6.8420447471603738E-3</v>
      </c>
      <c r="AM642" s="226">
        <f t="shared" si="170"/>
        <v>6.6429304638133627E-3</v>
      </c>
      <c r="AN642" s="226">
        <f t="shared" si="170"/>
        <v>6.4496107198617932E-3</v>
      </c>
      <c r="AO642" s="226">
        <f t="shared" si="170"/>
        <v>6.2619168850786373E-3</v>
      </c>
      <c r="AP642" s="226">
        <f t="shared" si="170"/>
        <v>6.079685236642189E-3</v>
      </c>
      <c r="AQ642" s="226">
        <f t="shared" si="170"/>
        <v>5.902756816322836E-3</v>
      </c>
      <c r="AR642" s="226">
        <f t="shared" si="170"/>
        <v>5.7309772918259236E-3</v>
      </c>
      <c r="AS642" s="226">
        <f t="shared" si="170"/>
        <v>5.564196822169758E-3</v>
      </c>
      <c r="AT642" s="226">
        <f t="shared" si="170"/>
        <v>5.4022699269813193E-3</v>
      </c>
      <c r="AU642" s="226">
        <f t="shared" si="170"/>
        <v>5.2450553595956816E-3</v>
      </c>
      <c r="AV642" s="226">
        <f t="shared" si="170"/>
        <v>5.0924159838484345E-3</v>
      </c>
      <c r="AW642" s="226">
        <f t="shared" si="170"/>
        <v>4.9442186544536408E-3</v>
      </c>
      <c r="AX642" s="226">
        <f t="shared" si="170"/>
        <v>4.8003341008629853E-3</v>
      </c>
      <c r="AY642" s="226">
        <f t="shared" si="168"/>
        <v>4.6606368145048049E-3</v>
      </c>
      <c r="AZ642" s="226">
        <f t="shared" si="168"/>
        <v>4.5250049393046375E-3</v>
      </c>
      <c r="BA642" s="226">
        <f t="shared" si="168"/>
        <v>4.393320165391801E-3</v>
      </c>
      <c r="BB642" s="226">
        <f t="shared" si="168"/>
        <v>4.2654676258992736E-3</v>
      </c>
      <c r="BC642" s="226">
        <f t="shared" si="168"/>
        <v>4.1413357967668646E-3</v>
      </c>
      <c r="BD642" s="226">
        <f t="shared" si="168"/>
        <v>4.0208163994602652E-3</v>
      </c>
      <c r="BE642" s="226">
        <f t="shared" si="168"/>
        <v>3.9038043065211317E-3</v>
      </c>
    </row>
    <row r="643" spans="4:57" s="10" customFormat="1" x14ac:dyDescent="0.35">
      <c r="D643" s="169"/>
      <c r="E643" s="10" t="s">
        <v>675</v>
      </c>
      <c r="F643" s="10" t="s">
        <v>615</v>
      </c>
      <c r="G643" s="43" t="s">
        <v>616</v>
      </c>
      <c r="I643" s="20"/>
      <c r="J643" s="200"/>
      <c r="K643" s="200"/>
      <c r="L643" s="200"/>
      <c r="M643" s="200"/>
      <c r="N643" s="200">
        <v>1.44E-2</v>
      </c>
      <c r="O643" s="226">
        <f t="shared" si="169"/>
        <v>1.4017105168044823E-2</v>
      </c>
      <c r="P643" s="226">
        <f t="shared" si="169"/>
        <v>1.3644391478613118E-2</v>
      </c>
      <c r="Q643" s="226">
        <f t="shared" si="169"/>
        <v>1.3281588215951021E-2</v>
      </c>
      <c r="R643" s="226">
        <f t="shared" si="169"/>
        <v>1.2928431862614604E-2</v>
      </c>
      <c r="S643" s="226">
        <f t="shared" si="169"/>
        <v>1.2584665908067397E-2</v>
      </c>
      <c r="T643" s="226">
        <f t="shared" si="169"/>
        <v>1.2250040662367293E-2</v>
      </c>
      <c r="U643" s="226">
        <f t="shared" si="169"/>
        <v>1.1924313074807487E-2</v>
      </c>
      <c r="V643" s="226">
        <f t="shared" si="169"/>
        <v>1.1607246557379757E-2</v>
      </c>
      <c r="W643" s="226">
        <f t="shared" si="169"/>
        <v>1.1298610812931825E-2</v>
      </c>
      <c r="X643" s="226">
        <f t="shared" si="169"/>
        <v>1.0998181667894015E-2</v>
      </c>
      <c r="Y643" s="226">
        <f t="shared" si="169"/>
        <v>1.0705740909453684E-2</v>
      </c>
      <c r="Z643" s="226">
        <f t="shared" si="169"/>
        <v>1.0421076127059175E-2</v>
      </c>
      <c r="AA643" s="226">
        <f t="shared" si="169"/>
        <v>1.0143980558138173E-2</v>
      </c>
      <c r="AB643" s="226">
        <f t="shared" si="169"/>
        <v>9.8742529379183888E-3</v>
      </c>
      <c r="AC643" s="226">
        <f t="shared" si="169"/>
        <v>9.6116973532415027E-3</v>
      </c>
      <c r="AD643" s="226">
        <f t="shared" si="169"/>
        <v>9.3561231002641815E-3</v>
      </c>
      <c r="AE643" s="226">
        <f t="shared" si="167"/>
        <v>9.1073445459428203E-3</v>
      </c>
      <c r="AF643" s="226">
        <f t="shared" si="167"/>
        <v>8.865180993201386E-3</v>
      </c>
      <c r="AG643" s="226">
        <f t="shared" si="167"/>
        <v>8.6294565496844375E-3</v>
      </c>
      <c r="AH643" s="227">
        <v>8.3999999999999995E-3</v>
      </c>
      <c r="AI643" s="226">
        <f t="shared" si="170"/>
        <v>8.1766446813594795E-3</v>
      </c>
      <c r="AJ643" s="226">
        <f t="shared" si="170"/>
        <v>7.9592283625243183E-3</v>
      </c>
      <c r="AK643" s="226">
        <f t="shared" si="170"/>
        <v>7.7475931259714283E-3</v>
      </c>
      <c r="AL643" s="226">
        <f t="shared" si="170"/>
        <v>7.5415852531918511E-3</v>
      </c>
      <c r="AM643" s="226">
        <f t="shared" si="170"/>
        <v>7.3410551130393149E-3</v>
      </c>
      <c r="AN643" s="226">
        <f t="shared" si="170"/>
        <v>7.1458570530475874E-3</v>
      </c>
      <c r="AO643" s="226">
        <f t="shared" si="170"/>
        <v>6.955849293637701E-3</v>
      </c>
      <c r="AP643" s="226">
        <f t="shared" si="170"/>
        <v>6.7708938251381913E-3</v>
      </c>
      <c r="AQ643" s="226">
        <f t="shared" si="170"/>
        <v>6.5908563075435644E-3</v>
      </c>
      <c r="AR643" s="226">
        <f t="shared" si="170"/>
        <v>6.4156059729381749E-3</v>
      </c>
      <c r="AS643" s="226">
        <f t="shared" si="170"/>
        <v>6.2450155305146483E-3</v>
      </c>
      <c r="AT643" s="226">
        <f t="shared" si="170"/>
        <v>6.0789610741178515E-3</v>
      </c>
      <c r="AU643" s="226">
        <f t="shared" si="170"/>
        <v>5.9173219922472675E-3</v>
      </c>
      <c r="AV643" s="226">
        <f t="shared" si="170"/>
        <v>5.7599808804523938E-3</v>
      </c>
      <c r="AW643" s="226">
        <f t="shared" si="170"/>
        <v>5.6068234560575437E-3</v>
      </c>
      <c r="AX643" s="226">
        <f t="shared" si="170"/>
        <v>5.4577384751541063E-3</v>
      </c>
      <c r="AY643" s="226">
        <f t="shared" si="168"/>
        <v>5.312617651799979E-3</v>
      </c>
      <c r="AZ643" s="226">
        <f t="shared" si="168"/>
        <v>5.1713555793674749E-3</v>
      </c>
      <c r="BA643" s="226">
        <f t="shared" si="168"/>
        <v>5.0338496539825877E-3</v>
      </c>
      <c r="BB643" s="226">
        <f t="shared" si="168"/>
        <v>4.8999999999999981E-3</v>
      </c>
      <c r="BC643" s="226">
        <f t="shared" si="168"/>
        <v>4.7697093974596949E-3</v>
      </c>
      <c r="BD643" s="226">
        <f t="shared" si="168"/>
        <v>4.6428832114725179E-3</v>
      </c>
      <c r="BE643" s="226">
        <f t="shared" si="168"/>
        <v>4.5194293234833323E-3</v>
      </c>
    </row>
    <row r="644" spans="4:57" s="10" customFormat="1" x14ac:dyDescent="0.35">
      <c r="D644" s="169"/>
      <c r="E644" s="10" t="s">
        <v>676</v>
      </c>
      <c r="F644" s="10" t="s">
        <v>615</v>
      </c>
      <c r="G644" s="43" t="s">
        <v>616</v>
      </c>
      <c r="I644" s="20"/>
      <c r="J644" s="200"/>
      <c r="K644" s="200"/>
      <c r="L644" s="200"/>
      <c r="M644" s="200"/>
      <c r="N644" s="200">
        <v>1.49E-2</v>
      </c>
      <c r="O644" s="226">
        <f t="shared" si="169"/>
        <v>1.4537141729692754E-2</v>
      </c>
      <c r="P644" s="226">
        <f t="shared" si="169"/>
        <v>1.4183120112025131E-2</v>
      </c>
      <c r="Q644" s="226">
        <f t="shared" si="169"/>
        <v>1.3837719948843296E-2</v>
      </c>
      <c r="R644" s="226">
        <f t="shared" si="169"/>
        <v>1.3500731282693407E-2</v>
      </c>
      <c r="S644" s="226">
        <f t="shared" si="169"/>
        <v>1.3171949269195351E-2</v>
      </c>
      <c r="T644" s="226">
        <f t="shared" si="169"/>
        <v>1.2851174052524544E-2</v>
      </c>
      <c r="U644" s="226">
        <f t="shared" si="169"/>
        <v>1.2538210643926127E-2</v>
      </c>
      <c r="V644" s="226">
        <f t="shared" si="169"/>
        <v>1.2232868803187675E-2</v>
      </c>
      <c r="W644" s="226">
        <f t="shared" si="169"/>
        <v>1.1934962922998404E-2</v>
      </c>
      <c r="X644" s="226">
        <f t="shared" si="169"/>
        <v>1.1644311916124557E-2</v>
      </c>
      <c r="Y644" s="226">
        <f t="shared" si="169"/>
        <v>1.1360739105332409E-2</v>
      </c>
      <c r="Z644" s="226">
        <f t="shared" si="169"/>
        <v>1.1084072115991953E-2</v>
      </c>
      <c r="AA644" s="226">
        <f t="shared" si="169"/>
        <v>1.0814142771296005E-2</v>
      </c>
      <c r="AB644" s="226">
        <f t="shared" si="169"/>
        <v>1.0550786990031034E-2</v>
      </c>
      <c r="AC644" s="226">
        <f t="shared" si="169"/>
        <v>1.0293844686837554E-2</v>
      </c>
      <c r="AD644" s="226">
        <f t="shared" si="169"/>
        <v>1.0043159674899479E-2</v>
      </c>
      <c r="AE644" s="226">
        <f t="shared" si="167"/>
        <v>9.7985795710032707E-3</v>
      </c>
      <c r="AF644" s="226">
        <f t="shared" si="167"/>
        <v>9.5599557029091668E-3</v>
      </c>
      <c r="AG644" s="226">
        <f t="shared" si="167"/>
        <v>9.3271430189781936E-3</v>
      </c>
      <c r="AH644" s="227">
        <v>9.1000000000000004E-3</v>
      </c>
      <c r="AI644" s="226">
        <f t="shared" si="170"/>
        <v>8.8783885731680591E-3</v>
      </c>
      <c r="AJ644" s="226">
        <f t="shared" si="170"/>
        <v>8.6621740281495781E-3</v>
      </c>
      <c r="AK644" s="226">
        <f t="shared" si="170"/>
        <v>8.4512249351995986E-3</v>
      </c>
      <c r="AL644" s="226">
        <f t="shared" si="170"/>
        <v>8.2454130652691287E-3</v>
      </c>
      <c r="AM644" s="226">
        <f t="shared" si="170"/>
        <v>8.0446133120589056E-3</v>
      </c>
      <c r="AN644" s="226">
        <f t="shared" si="170"/>
        <v>7.8487036159713662E-3</v>
      </c>
      <c r="AO644" s="226">
        <f t="shared" si="170"/>
        <v>7.6575648899146146E-3</v>
      </c>
      <c r="AP644" s="226">
        <f t="shared" si="170"/>
        <v>7.4710809469132784E-3</v>
      </c>
      <c r="AQ644" s="226">
        <f t="shared" si="170"/>
        <v>7.2891384294822472E-3</v>
      </c>
      <c r="AR644" s="226">
        <f t="shared" si="170"/>
        <v>7.1116267407203681E-3</v>
      </c>
      <c r="AS644" s="226">
        <f t="shared" si="170"/>
        <v>6.9384379770822107E-3</v>
      </c>
      <c r="AT644" s="226">
        <f t="shared" si="170"/>
        <v>6.7694668627870328E-3</v>
      </c>
      <c r="AU644" s="226">
        <f t="shared" si="170"/>
        <v>6.6046106858250785E-3</v>
      </c>
      <c r="AV644" s="226">
        <f t="shared" si="170"/>
        <v>6.4437692355223111E-3</v>
      </c>
      <c r="AW644" s="226">
        <f t="shared" si="170"/>
        <v>6.2868447416256218E-3</v>
      </c>
      <c r="AX644" s="226">
        <f t="shared" si="170"/>
        <v>6.1337418148714956E-3</v>
      </c>
      <c r="AY644" s="226">
        <f t="shared" si="168"/>
        <v>5.984367389001999E-3</v>
      </c>
      <c r="AZ644" s="226">
        <f t="shared" si="168"/>
        <v>5.8386306641928475E-3</v>
      </c>
      <c r="BA644" s="226">
        <f t="shared" si="168"/>
        <v>5.6964430518591652E-3</v>
      </c>
      <c r="BB644" s="226">
        <f t="shared" si="168"/>
        <v>5.5577181208053836E-3</v>
      </c>
      <c r="BC644" s="226">
        <f t="shared" si="168"/>
        <v>5.4223715446865463E-3</v>
      </c>
      <c r="BD644" s="226">
        <f t="shared" si="168"/>
        <v>5.2903210507490844E-3</v>
      </c>
      <c r="BE644" s="226">
        <f t="shared" si="168"/>
        <v>5.161486369819902E-3</v>
      </c>
    </row>
    <row r="645" spans="4:57" s="10" customFormat="1" x14ac:dyDescent="0.35">
      <c r="D645" s="169"/>
      <c r="E645" s="10" t="s">
        <v>677</v>
      </c>
      <c r="F645" s="10" t="s">
        <v>615</v>
      </c>
      <c r="G645" s="43" t="s">
        <v>616</v>
      </c>
      <c r="I645" s="20"/>
      <c r="J645" s="200"/>
      <c r="K645" s="200"/>
      <c r="L645" s="200"/>
      <c r="M645" s="200"/>
      <c r="N645" s="200">
        <v>1.54E-2</v>
      </c>
      <c r="O645" s="226">
        <f t="shared" si="169"/>
        <v>1.506351917158451E-2</v>
      </c>
      <c r="P645" s="226">
        <f t="shared" si="169"/>
        <v>1.4734390248876237E-2</v>
      </c>
      <c r="Q645" s="226">
        <f t="shared" si="169"/>
        <v>1.4412452597113963E-2</v>
      </c>
      <c r="R645" s="226">
        <f t="shared" si="169"/>
        <v>1.4097549091310333E-2</v>
      </c>
      <c r="S645" s="226">
        <f t="shared" si="169"/>
        <v>1.3789526039565389E-2</v>
      </c>
      <c r="T645" s="226">
        <f t="shared" si="169"/>
        <v>1.3488233108055652E-2</v>
      </c>
      <c r="U645" s="226">
        <f t="shared" si="169"/>
        <v>1.3193523247662157E-2</v>
      </c>
      <c r="V645" s="226">
        <f t="shared" si="169"/>
        <v>1.2905252622201612E-2</v>
      </c>
      <c r="W645" s="226">
        <f t="shared" si="169"/>
        <v>1.2623280538225666E-2</v>
      </c>
      <c r="X645" s="226">
        <f t="shared" si="169"/>
        <v>1.2347469376354022E-2</v>
      </c>
      <c r="Y645" s="226">
        <f t="shared" si="169"/>
        <v>1.2077684524107886E-2</v>
      </c>
      <c r="Z645" s="226">
        <f t="shared" si="169"/>
        <v>1.1813794310210951E-2</v>
      </c>
      <c r="AA645" s="226">
        <f t="shared" si="169"/>
        <v>1.1555669940325888E-2</v>
      </c>
      <c r="AB645" s="226">
        <f t="shared" si="169"/>
        <v>1.1303185434194923E-2</v>
      </c>
      <c r="AC645" s="226">
        <f t="shared" si="169"/>
        <v>1.1056217564153896E-2</v>
      </c>
      <c r="AD645" s="226">
        <f t="shared" si="169"/>
        <v>1.0814645794989714E-2</v>
      </c>
      <c r="AE645" s="226">
        <f t="shared" si="167"/>
        <v>1.0578352225111906E-2</v>
      </c>
      <c r="AF645" s="226">
        <f t="shared" si="167"/>
        <v>1.0347221529009536E-2</v>
      </c>
      <c r="AG645" s="226">
        <f t="shared" si="167"/>
        <v>1.0121140900965398E-2</v>
      </c>
      <c r="AH645" s="227">
        <v>9.9000000000000008E-3</v>
      </c>
      <c r="AI645" s="226">
        <f t="shared" si="170"/>
        <v>9.6836908960186135E-3</v>
      </c>
      <c r="AJ645" s="226">
        <f t="shared" si="170"/>
        <v>9.4721080171347241E-3</v>
      </c>
      <c r="AK645" s="226">
        <f t="shared" si="170"/>
        <v>9.2651480981446911E-3</v>
      </c>
      <c r="AL645" s="226">
        <f t="shared" si="170"/>
        <v>9.0627101301280714E-3</v>
      </c>
      <c r="AM645" s="226">
        <f t="shared" si="170"/>
        <v>8.8646953111491782E-3</v>
      </c>
      <c r="AN645" s="226">
        <f t="shared" si="170"/>
        <v>8.6710069980357758E-3</v>
      </c>
      <c r="AO645" s="226">
        <f t="shared" si="170"/>
        <v>8.481550659211386E-3</v>
      </c>
      <c r="AP645" s="226">
        <f t="shared" si="170"/>
        <v>8.2962338285581787E-3</v>
      </c>
      <c r="AQ645" s="226">
        <f t="shared" si="170"/>
        <v>8.1149660602879269E-3</v>
      </c>
      <c r="AR645" s="226">
        <f t="shared" si="170"/>
        <v>7.9376588847990138E-3</v>
      </c>
      <c r="AS645" s="226">
        <f t="shared" si="170"/>
        <v>7.7642257654979259E-3</v>
      </c>
      <c r="AT645" s="226">
        <f t="shared" si="170"/>
        <v>7.5945820565641829E-3</v>
      </c>
      <c r="AU645" s="226">
        <f t="shared" si="170"/>
        <v>7.4286449616380703E-3</v>
      </c>
      <c r="AV645" s="226">
        <f t="shared" si="170"/>
        <v>7.2663334934110219E-3</v>
      </c>
      <c r="AW645" s="226">
        <f t="shared" si="170"/>
        <v>7.1075684340989329E-3</v>
      </c>
      <c r="AX645" s="226">
        <f t="shared" si="170"/>
        <v>6.952272296779102E-3</v>
      </c>
      <c r="AY645" s="226">
        <f t="shared" si="168"/>
        <v>6.8003692875719399E-3</v>
      </c>
      <c r="AZ645" s="226">
        <f t="shared" si="168"/>
        <v>6.6517852686489871E-3</v>
      </c>
      <c r="BA645" s="226">
        <f t="shared" si="168"/>
        <v>6.5064477220491837E-3</v>
      </c>
      <c r="BB645" s="226">
        <f t="shared" si="168"/>
        <v>6.3642857142857294E-3</v>
      </c>
      <c r="BC645" s="226">
        <f t="shared" si="168"/>
        <v>6.2252298617262664E-3</v>
      </c>
      <c r="BD645" s="226">
        <f t="shared" si="168"/>
        <v>6.0892122967294805E-3</v>
      </c>
      <c r="BE645" s="226">
        <f t="shared" si="168"/>
        <v>5.9561666345216016E-3</v>
      </c>
    </row>
    <row r="646" spans="4:57" s="10" customFormat="1" x14ac:dyDescent="0.35">
      <c r="D646" s="169"/>
      <c r="E646" s="10" t="s">
        <v>678</v>
      </c>
      <c r="F646" s="10" t="s">
        <v>615</v>
      </c>
      <c r="G646" s="43" t="s">
        <v>616</v>
      </c>
      <c r="I646" s="20"/>
      <c r="J646" s="200"/>
      <c r="K646" s="200"/>
      <c r="L646" s="200"/>
      <c r="M646" s="200"/>
      <c r="N646" s="200">
        <v>1.6500000000000001E-2</v>
      </c>
      <c r="O646" s="226">
        <f t="shared" si="169"/>
        <v>1.6146520038125497E-2</v>
      </c>
      <c r="P646" s="226">
        <f t="shared" si="169"/>
        <v>1.580061268736898E-2</v>
      </c>
      <c r="Q646" s="226">
        <f t="shared" si="169"/>
        <v>1.5462115719470496E-2</v>
      </c>
      <c r="R646" s="226">
        <f t="shared" si="169"/>
        <v>1.5130870381590642E-2</v>
      </c>
      <c r="S646" s="226">
        <f t="shared" si="169"/>
        <v>1.4806721321856538E-2</v>
      </c>
      <c r="T646" s="226">
        <f t="shared" si="169"/>
        <v>1.4489516516502826E-2</v>
      </c>
      <c r="U646" s="226">
        <f t="shared" si="169"/>
        <v>1.4179107198573529E-2</v>
      </c>
      <c r="V646" s="226">
        <f t="shared" si="169"/>
        <v>1.387534778815133E-2</v>
      </c>
      <c r="W646" s="226">
        <f t="shared" si="169"/>
        <v>1.357809582408156E-2</v>
      </c>
      <c r="X646" s="226">
        <f t="shared" si="169"/>
        <v>1.3287211897158851E-2</v>
      </c>
      <c r="Y646" s="226">
        <f t="shared" si="169"/>
        <v>1.3002559584745145E-2</v>
      </c>
      <c r="Z646" s="226">
        <f t="shared" si="169"/>
        <v>1.2724005386788377E-2</v>
      </c>
      <c r="AA646" s="226">
        <f t="shared" si="169"/>
        <v>1.2451418663211837E-2</v>
      </c>
      <c r="AB646" s="226">
        <f t="shared" si="169"/>
        <v>1.218467157264483E-2</v>
      </c>
      <c r="AC646" s="226">
        <f t="shared" si="169"/>
        <v>1.1923639012465931E-2</v>
      </c>
      <c r="AD646" s="226">
        <f t="shared" si="169"/>
        <v>1.166819856013067E-2</v>
      </c>
      <c r="AE646" s="226">
        <f t="shared" si="167"/>
        <v>1.1418230415756177E-2</v>
      </c>
      <c r="AF646" s="226">
        <f t="shared" si="167"/>
        <v>1.1173617345935827E-2</v>
      </c>
      <c r="AG646" s="226">
        <f t="shared" si="167"/>
        <v>1.0934244628757544E-2</v>
      </c>
      <c r="AH646" s="227">
        <v>1.0699999999999999E-2</v>
      </c>
      <c r="AI646" s="226">
        <f t="shared" si="170"/>
        <v>1.0470773600481383E-2</v>
      </c>
      <c r="AJ646" s="226">
        <f t="shared" si="170"/>
        <v>1.0246457924536248E-2</v>
      </c>
      <c r="AK646" s="226">
        <f t="shared" si="170"/>
        <v>1.002694776959602E-2</v>
      </c>
      <c r="AL646" s="226">
        <f t="shared" si="170"/>
        <v>9.8121401868496907E-3</v>
      </c>
      <c r="AM646" s="226">
        <f t="shared" si="170"/>
        <v>9.6019344329615133E-3</v>
      </c>
      <c r="AN646" s="226">
        <f t="shared" si="170"/>
        <v>9.3962319228230451E-3</v>
      </c>
      <c r="AO646" s="226">
        <f t="shared" si="170"/>
        <v>9.1949361833173794E-3</v>
      </c>
      <c r="AP646" s="226">
        <f t="shared" si="170"/>
        <v>8.9979528080738926E-3</v>
      </c>
      <c r="AQ646" s="226">
        <f t="shared" si="170"/>
        <v>8.8051894131922839E-3</v>
      </c>
      <c r="AR646" s="226">
        <f t="shared" si="170"/>
        <v>8.6165555939151338E-3</v>
      </c>
      <c r="AS646" s="226">
        <f t="shared" si="170"/>
        <v>8.4319628822286698E-3</v>
      </c>
      <c r="AT646" s="226">
        <f t="shared" si="170"/>
        <v>8.2513247053718573E-3</v>
      </c>
      <c r="AU646" s="226">
        <f t="shared" si="170"/>
        <v>8.0745563452343429E-3</v>
      </c>
      <c r="AV646" s="226">
        <f t="shared" si="170"/>
        <v>7.9015748986242234E-3</v>
      </c>
      <c r="AW646" s="226">
        <f t="shared" si="170"/>
        <v>7.7322992383869974E-3</v>
      </c>
      <c r="AX646" s="226">
        <f t="shared" si="170"/>
        <v>7.5666499753574649E-3</v>
      </c>
      <c r="AY646" s="226">
        <f t="shared" si="168"/>
        <v>7.4045494211267332E-3</v>
      </c>
      <c r="AZ646" s="226">
        <f t="shared" si="168"/>
        <v>7.2459215516068693E-3</v>
      </c>
      <c r="BA646" s="226">
        <f t="shared" si="168"/>
        <v>7.0906919713761033E-3</v>
      </c>
      <c r="BB646" s="226">
        <f t="shared" si="168"/>
        <v>6.9387878787878689E-3</v>
      </c>
      <c r="BC646" s="226">
        <f t="shared" si="168"/>
        <v>6.790138031827311E-3</v>
      </c>
      <c r="BD646" s="226">
        <f t="shared" si="168"/>
        <v>6.6446727146992545E-3</v>
      </c>
      <c r="BE646" s="226">
        <f t="shared" si="168"/>
        <v>6.5023237051319545E-3</v>
      </c>
    </row>
    <row r="647" spans="4:57" s="10" customFormat="1" x14ac:dyDescent="0.35">
      <c r="D647" s="169"/>
      <c r="E647" s="10" t="s">
        <v>679</v>
      </c>
      <c r="F647" s="10" t="s">
        <v>615</v>
      </c>
      <c r="G647" s="43" t="s">
        <v>616</v>
      </c>
      <c r="I647" s="20"/>
      <c r="J647" s="200"/>
      <c r="K647" s="200"/>
      <c r="L647" s="200"/>
      <c r="M647" s="200"/>
      <c r="N647" s="200">
        <v>1.7600000000000001E-2</v>
      </c>
      <c r="O647" s="226">
        <f t="shared" si="169"/>
        <v>1.7229470326419718E-2</v>
      </c>
      <c r="P647" s="226">
        <f t="shared" si="169"/>
        <v>1.686674134823736E-2</v>
      </c>
      <c r="Q647" s="226">
        <f t="shared" si="169"/>
        <v>1.6511648838798413E-2</v>
      </c>
      <c r="R647" s="226">
        <f t="shared" si="169"/>
        <v>1.6164032028882943E-2</v>
      </c>
      <c r="S647" s="226">
        <f t="shared" si="169"/>
        <v>1.5823733533916848E-2</v>
      </c>
      <c r="T647" s="226">
        <f t="shared" si="169"/>
        <v>1.5490599282715506E-2</v>
      </c>
      <c r="U647" s="226">
        <f t="shared" si="169"/>
        <v>1.5164478447727576E-2</v>
      </c>
      <c r="V647" s="226">
        <f t="shared" si="169"/>
        <v>1.4845223376747362E-2</v>
      </c>
      <c r="W647" s="226">
        <f t="shared" si="169"/>
        <v>1.4532689526064827E-2</v>
      </c>
      <c r="X647" s="226">
        <f t="shared" si="169"/>
        <v>1.4226735395022986E-2</v>
      </c>
      <c r="Y647" s="226">
        <f t="shared" si="169"/>
        <v>1.3927222461953045E-2</v>
      </c>
      <c r="Z647" s="226">
        <f t="shared" si="169"/>
        <v>1.3634015121458303E-2</v>
      </c>
      <c r="AA647" s="226">
        <f t="shared" si="169"/>
        <v>1.3346980623018381E-2</v>
      </c>
      <c r="AB647" s="226">
        <f t="shared" si="169"/>
        <v>1.306598901088603E-2</v>
      </c>
      <c r="AC647" s="226">
        <f t="shared" si="169"/>
        <v>1.2790913065249258E-2</v>
      </c>
      <c r="AD647" s="226">
        <f t="shared" si="169"/>
        <v>1.2521628244632179E-2</v>
      </c>
      <c r="AE647" s="226">
        <f t="shared" si="167"/>
        <v>1.2258012629508474E-2</v>
      </c>
      <c r="AF647" s="226">
        <f t="shared" si="167"/>
        <v>1.1999946867101952E-2</v>
      </c>
      <c r="AG647" s="226">
        <f t="shared" si="167"/>
        <v>1.1747314117349222E-2</v>
      </c>
      <c r="AH647" s="227">
        <v>1.15E-2</v>
      </c>
      <c r="AI647" s="226">
        <f t="shared" si="170"/>
        <v>1.1257892542831063E-2</v>
      </c>
      <c r="AJ647" s="226">
        <f t="shared" si="170"/>
        <v>1.1020882130950546E-2</v>
      </c>
      <c r="AK647" s="226">
        <f t="shared" si="170"/>
        <v>1.0788861457169415E-2</v>
      </c>
      <c r="AL647" s="226">
        <f t="shared" si="170"/>
        <v>1.056172547341783E-2</v>
      </c>
      <c r="AM647" s="226">
        <f t="shared" si="170"/>
        <v>1.0339371343184302E-2</v>
      </c>
      <c r="AN647" s="226">
        <f t="shared" si="170"/>
        <v>1.0121698394956153E-2</v>
      </c>
      <c r="AO647" s="226">
        <f t="shared" si="170"/>
        <v>9.9086080766401761E-3</v>
      </c>
      <c r="AP647" s="226">
        <f t="shared" si="170"/>
        <v>9.7000039109428771E-3</v>
      </c>
      <c r="AQ647" s="226">
        <f t="shared" si="170"/>
        <v>9.4957914516900846E-3</v>
      </c>
      <c r="AR647" s="226">
        <f t="shared" si="170"/>
        <v>9.2958782410661536E-3</v>
      </c>
      <c r="AS647" s="226">
        <f t="shared" si="170"/>
        <v>9.1001737677534091E-3</v>
      </c>
      <c r="AT647" s="226">
        <f t="shared" si="170"/>
        <v>8.9085894259528665E-3</v>
      </c>
      <c r="AU647" s="226">
        <f t="shared" si="170"/>
        <v>8.7210384752676902E-3</v>
      </c>
      <c r="AV647" s="226">
        <f t="shared" si="170"/>
        <v>8.53743600143121E-3</v>
      </c>
      <c r="AW647" s="226">
        <f t="shared" si="170"/>
        <v>8.357698877861728E-3</v>
      </c>
      <c r="AX647" s="226">
        <f t="shared" si="170"/>
        <v>8.1817457280267038E-3</v>
      </c>
      <c r="AY647" s="226">
        <f t="shared" si="168"/>
        <v>8.0094968885992823E-3</v>
      </c>
      <c r="AZ647" s="226">
        <f t="shared" si="168"/>
        <v>7.8408743733904759E-3</v>
      </c>
      <c r="BA647" s="226">
        <f t="shared" si="168"/>
        <v>7.6758018380406814E-3</v>
      </c>
      <c r="BB647" s="226">
        <f t="shared" si="168"/>
        <v>7.5142045454545357E-3</v>
      </c>
      <c r="BC647" s="226">
        <f t="shared" si="168"/>
        <v>7.3560093319634699E-3</v>
      </c>
      <c r="BD647" s="226">
        <f t="shared" si="168"/>
        <v>7.201144574200632E-3</v>
      </c>
      <c r="BE647" s="226">
        <f t="shared" si="168"/>
        <v>7.0495401566731892E-3</v>
      </c>
    </row>
    <row r="648" spans="4:57" s="10" customFormat="1" x14ac:dyDescent="0.35">
      <c r="D648" s="169"/>
      <c r="E648" s="10" t="s">
        <v>680</v>
      </c>
      <c r="F648" s="10" t="s">
        <v>615</v>
      </c>
      <c r="G648" s="43" t="s">
        <v>616</v>
      </c>
      <c r="I648" s="20"/>
      <c r="J648" s="200"/>
      <c r="K648" s="200"/>
      <c r="L648" s="200"/>
      <c r="M648" s="200"/>
      <c r="N648" s="200">
        <v>1.8800000000000001E-2</v>
      </c>
      <c r="O648" s="226">
        <f t="shared" si="169"/>
        <v>1.8420247340490685E-2</v>
      </c>
      <c r="P648" s="226">
        <f t="shared" si="169"/>
        <v>1.804816553642841E-2</v>
      </c>
      <c r="Q648" s="226">
        <f t="shared" si="169"/>
        <v>1.7683599639528248E-2</v>
      </c>
      <c r="R648" s="226">
        <f t="shared" si="169"/>
        <v>1.7326397831400119E-2</v>
      </c>
      <c r="S648" s="226">
        <f t="shared" si="169"/>
        <v>1.6976411360326148E-2</v>
      </c>
      <c r="T648" s="226">
        <f t="shared" si="169"/>
        <v>1.6633494479315083E-2</v>
      </c>
      <c r="U648" s="226">
        <f t="shared" si="169"/>
        <v>1.6297504385407984E-2</v>
      </c>
      <c r="V648" s="226">
        <f t="shared" si="169"/>
        <v>1.5968301160209929E-2</v>
      </c>
      <c r="W648" s="226">
        <f t="shared" si="169"/>
        <v>1.5645747711622939E-2</v>
      </c>
      <c r="X648" s="226">
        <f t="shared" si="169"/>
        <v>1.5329709716755886E-2</v>
      </c>
      <c r="Y648" s="226">
        <f t="shared" si="169"/>
        <v>1.5020055565987596E-2</v>
      </c>
      <c r="Z648" s="226">
        <f t="shared" si="169"/>
        <v>1.4716656308159857E-2</v>
      </c>
      <c r="AA648" s="226">
        <f t="shared" si="169"/>
        <v>1.4419385596877502E-2</v>
      </c>
      <c r="AB648" s="226">
        <f t="shared" si="169"/>
        <v>1.4128119637893217E-2</v>
      </c>
      <c r="AC648" s="226">
        <f t="shared" si="169"/>
        <v>1.3842737137555145E-2</v>
      </c>
      <c r="AD648" s="226">
        <f t="shared" ref="AD648:AG650" si="171">AC648*(1+($AH648/$N648)^(1/($AH$6-$N$6))-1)</f>
        <v>1.3563119252295841E-2</v>
      </c>
      <c r="AE648" s="226">
        <f t="shared" si="171"/>
        <v>1.3289149539141515E-2</v>
      </c>
      <c r="AF648" s="226">
        <f t="shared" si="171"/>
        <v>1.3020713907220984E-2</v>
      </c>
      <c r="AG648" s="226">
        <f t="shared" si="171"/>
        <v>1.2757700570254117E-2</v>
      </c>
      <c r="AH648" s="227">
        <v>1.2500000000000001E-2</v>
      </c>
      <c r="AI648" s="226">
        <f t="shared" si="170"/>
        <v>1.2247504880645403E-2</v>
      </c>
      <c r="AJ648" s="226">
        <f t="shared" si="170"/>
        <v>1.2000110064114637E-2</v>
      </c>
      <c r="AK648" s="226">
        <f t="shared" si="170"/>
        <v>1.1757712526282082E-2</v>
      </c>
      <c r="AL648" s="226">
        <f t="shared" si="170"/>
        <v>1.152021132406923E-2</v>
      </c>
      <c r="AM648" s="226">
        <f t="shared" si="170"/>
        <v>1.1287507553408346E-2</v>
      </c>
      <c r="AN648" s="226">
        <f t="shared" si="170"/>
        <v>1.1059504308055244E-2</v>
      </c>
      <c r="AO648" s="226">
        <f t="shared" si="170"/>
        <v>1.0836106639234035E-2</v>
      </c>
      <c r="AP648" s="226">
        <f t="shared" si="170"/>
        <v>1.0617221516097031E-2</v>
      </c>
      <c r="AQ648" s="226">
        <f t="shared" si="170"/>
        <v>1.040275778698334E-2</v>
      </c>
      <c r="AR648" s="226">
        <f t="shared" si="170"/>
        <v>1.0192626141460033E-2</v>
      </c>
      <c r="AS648" s="226">
        <f t="shared" si="170"/>
        <v>9.986739073130052E-3</v>
      </c>
      <c r="AT648" s="226">
        <f t="shared" si="170"/>
        <v>9.7850108431913954E-3</v>
      </c>
      <c r="AU648" s="226">
        <f t="shared" si="170"/>
        <v>9.5873574447323841E-3</v>
      </c>
      <c r="AV648" s="226">
        <f t="shared" si="170"/>
        <v>9.3936965677481523E-3</v>
      </c>
      <c r="AW648" s="226">
        <f t="shared" si="170"/>
        <v>9.2039475648637969E-3</v>
      </c>
      <c r="AX648" s="226">
        <f t="shared" ref="AX648:BE650" si="172">AW648*(1+($AH648/$N648)^(1/($AH$6-$N$6))-1)</f>
        <v>9.0180314177498964E-3</v>
      </c>
      <c r="AY648" s="226">
        <f t="shared" si="172"/>
        <v>8.8358707042164343E-3</v>
      </c>
      <c r="AZ648" s="226">
        <f t="shared" si="172"/>
        <v>8.6573895659713997E-3</v>
      </c>
      <c r="BA648" s="226">
        <f t="shared" si="172"/>
        <v>8.482513677030663E-3</v>
      </c>
      <c r="BB648" s="226">
        <f t="shared" si="172"/>
        <v>8.3111702127659538E-3</v>
      </c>
      <c r="BC648" s="226">
        <f t="shared" si="172"/>
        <v>8.1432878195780555E-3</v>
      </c>
      <c r="BD648" s="226">
        <f t="shared" si="172"/>
        <v>7.9787965851825984E-3</v>
      </c>
      <c r="BE648" s="226">
        <f t="shared" si="172"/>
        <v>7.8176280094960585E-3</v>
      </c>
    </row>
    <row r="649" spans="4:57" s="10" customFormat="1" x14ac:dyDescent="0.35">
      <c r="E649" s="10" t="s">
        <v>681</v>
      </c>
      <c r="F649" s="10" t="s">
        <v>615</v>
      </c>
      <c r="G649" s="43" t="s">
        <v>616</v>
      </c>
      <c r="I649" s="20"/>
      <c r="J649" s="200"/>
      <c r="K649" s="200"/>
      <c r="L649" s="200"/>
      <c r="M649" s="200"/>
      <c r="N649" s="200">
        <v>2.01E-2</v>
      </c>
      <c r="O649" s="226">
        <f t="shared" ref="O649:AD650" si="173">N649*(1+($AH649/$N649)^(1/($AH$6-$N$6))-1)</f>
        <v>1.9703933947687265E-2</v>
      </c>
      <c r="P649" s="226">
        <f t="shared" si="173"/>
        <v>1.931567228929466E-2</v>
      </c>
      <c r="Q649" s="226">
        <f t="shared" si="173"/>
        <v>1.8935061240966927E-2</v>
      </c>
      <c r="R649" s="226">
        <f t="shared" si="173"/>
        <v>1.8561950049125652E-2</v>
      </c>
      <c r="S649" s="226">
        <f t="shared" si="173"/>
        <v>1.8196190930758322E-2</v>
      </c>
      <c r="T649" s="226">
        <f t="shared" si="173"/>
        <v>1.7837639014883982E-2</v>
      </c>
      <c r="U649" s="226">
        <f t="shared" si="173"/>
        <v>1.7486152285172304E-2</v>
      </c>
      <c r="V649" s="226">
        <f t="shared" si="173"/>
        <v>1.7141591523693323E-2</v>
      </c>
      <c r="W649" s="226">
        <f t="shared" si="173"/>
        <v>1.6803820255775578E-2</v>
      </c>
      <c r="X649" s="226">
        <f t="shared" si="173"/>
        <v>1.6472704695950812E-2</v>
      </c>
      <c r="Y649" s="226">
        <f t="shared" si="173"/>
        <v>1.6148113694963814E-2</v>
      </c>
      <c r="Z649" s="226">
        <f t="shared" si="173"/>
        <v>1.5829918687826426E-2</v>
      </c>
      <c r="AA649" s="226">
        <f t="shared" si="173"/>
        <v>1.5517993642895134E-2</v>
      </c>
      <c r="AB649" s="226">
        <f t="shared" si="173"/>
        <v>1.5212215011952071E-2</v>
      </c>
      <c r="AC649" s="226">
        <f t="shared" si="173"/>
        <v>1.4912461681269664E-2</v>
      </c>
      <c r="AD649" s="226">
        <f t="shared" si="173"/>
        <v>1.4618614923639545E-2</v>
      </c>
      <c r="AE649" s="226">
        <f t="shared" si="171"/>
        <v>1.4330558351346712E-2</v>
      </c>
      <c r="AF649" s="226">
        <f t="shared" si="171"/>
        <v>1.4048177870070335E-2</v>
      </c>
      <c r="AG649" s="226">
        <f t="shared" si="171"/>
        <v>1.3771361633692929E-2</v>
      </c>
      <c r="AH649" s="227">
        <v>1.35E-2</v>
      </c>
      <c r="AI649" s="226">
        <f t="shared" ref="AI649:AX650" si="174">AH649*(1+($AH649/$N649)^(1/($AH$6-$N$6))-1)</f>
        <v>1.3233985487252641E-2</v>
      </c>
      <c r="AJ649" s="226">
        <f t="shared" si="174"/>
        <v>1.2973212731615816E-2</v>
      </c>
      <c r="AK649" s="226">
        <f t="shared" si="174"/>
        <v>1.2717578445425549E-2</v>
      </c>
      <c r="AL649" s="226">
        <f t="shared" si="174"/>
        <v>1.2466981376278424E-2</v>
      </c>
      <c r="AM649" s="226">
        <f t="shared" si="174"/>
        <v>1.222132226692723E-2</v>
      </c>
      <c r="AN649" s="226">
        <f t="shared" si="174"/>
        <v>1.1980503815966853E-2</v>
      </c>
      <c r="AO649" s="226">
        <f t="shared" si="174"/>
        <v>1.1744430639294831E-2</v>
      </c>
      <c r="AP649" s="226">
        <f t="shared" si="174"/>
        <v>1.1513009232331338E-2</v>
      </c>
      <c r="AQ649" s="226">
        <f t="shared" si="174"/>
        <v>1.12861479329836E-2</v>
      </c>
      <c r="AR649" s="226">
        <f t="shared" si="174"/>
        <v>1.1063756885340101E-2</v>
      </c>
      <c r="AS649" s="226">
        <f t="shared" si="174"/>
        <v>1.0845748004080176E-2</v>
      </c>
      <c r="AT649" s="226">
        <f t="shared" si="174"/>
        <v>1.0632034939584915E-2</v>
      </c>
      <c r="AU649" s="226">
        <f t="shared" si="174"/>
        <v>1.0422533043735539E-2</v>
      </c>
      <c r="AV649" s="226">
        <f t="shared" si="174"/>
        <v>1.021715933638572E-2</v>
      </c>
      <c r="AW649" s="226">
        <f t="shared" si="174"/>
        <v>1.0015832472494551E-2</v>
      </c>
      <c r="AX649" s="226">
        <f t="shared" si="174"/>
        <v>9.8184727099071573E-3</v>
      </c>
      <c r="AY649" s="226">
        <f t="shared" si="172"/>
        <v>9.6250018777701805E-3</v>
      </c>
      <c r="AZ649" s="226">
        <f t="shared" si="172"/>
        <v>9.435343345569629E-3</v>
      </c>
      <c r="BA649" s="226">
        <f t="shared" si="172"/>
        <v>9.2494219927788338E-3</v>
      </c>
      <c r="BB649" s="226">
        <f t="shared" si="172"/>
        <v>9.0671641791044803E-3</v>
      </c>
      <c r="BC649" s="226">
        <f t="shared" si="172"/>
        <v>8.8884977153189399E-3</v>
      </c>
      <c r="BD649" s="226">
        <f t="shared" si="172"/>
        <v>8.7133518346673416E-3</v>
      </c>
      <c r="BE649" s="226">
        <f t="shared" si="172"/>
        <v>8.5416571648380575E-3</v>
      </c>
    </row>
    <row r="650" spans="4:57" s="10" customFormat="1" x14ac:dyDescent="0.35">
      <c r="E650" s="10" t="s">
        <v>682</v>
      </c>
      <c r="F650" s="10" t="s">
        <v>615</v>
      </c>
      <c r="G650" s="43" t="s">
        <v>616</v>
      </c>
      <c r="I650" s="20"/>
      <c r="J650" s="200"/>
      <c r="K650" s="200"/>
      <c r="L650" s="200"/>
      <c r="M650" s="200"/>
      <c r="N650" s="200">
        <v>2.1499999999999998E-2</v>
      </c>
      <c r="O650" s="226">
        <f t="shared" si="173"/>
        <v>2.1087941090597261E-2</v>
      </c>
      <c r="P650" s="226">
        <f t="shared" si="173"/>
        <v>2.0683779508860484E-2</v>
      </c>
      <c r="Q650" s="226">
        <f t="shared" si="173"/>
        <v>2.0287363898314079E-2</v>
      </c>
      <c r="R650" s="226">
        <f t="shared" si="173"/>
        <v>1.9898545803309624E-2</v>
      </c>
      <c r="S650" s="226">
        <f t="shared" si="173"/>
        <v>1.9517179613429986E-2</v>
      </c>
      <c r="T650" s="226">
        <f t="shared" si="173"/>
        <v>1.914312250895895E-2</v>
      </c>
      <c r="U650" s="226">
        <f t="shared" si="173"/>
        <v>1.8776234407395943E-2</v>
      </c>
      <c r="V650" s="226">
        <f t="shared" si="173"/>
        <v>1.8416377910995863E-2</v>
      </c>
      <c r="W650" s="226">
        <f t="shared" si="173"/>
        <v>1.8063418255314299E-2</v>
      </c>
      <c r="X650" s="226">
        <f t="shared" si="173"/>
        <v>1.7717223258738934E-2</v>
      </c>
      <c r="Y650" s="226">
        <f t="shared" si="173"/>
        <v>1.73776632729882E-2</v>
      </c>
      <c r="Z650" s="226">
        <f t="shared" si="173"/>
        <v>1.704461113455864E-2</v>
      </c>
      <c r="AA650" s="226">
        <f t="shared" si="173"/>
        <v>1.6717942117102827E-2</v>
      </c>
      <c r="AB650" s="226">
        <f t="shared" si="173"/>
        <v>1.6397533884719966E-2</v>
      </c>
      <c r="AC650" s="226">
        <f t="shared" si="173"/>
        <v>1.6083266446141727E-2</v>
      </c>
      <c r="AD650" s="226">
        <f t="shared" si="173"/>
        <v>1.5775022109796106E-2</v>
      </c>
      <c r="AE650" s="226">
        <f t="shared" si="171"/>
        <v>1.547268543973254E-2</v>
      </c>
      <c r="AF650" s="226">
        <f t="shared" si="171"/>
        <v>1.5176143212391711E-2</v>
      </c>
      <c r="AG650" s="226">
        <f t="shared" si="171"/>
        <v>1.4885284374203903E-2</v>
      </c>
      <c r="AH650" s="227">
        <v>1.46E-2</v>
      </c>
      <c r="AI650" s="226">
        <f t="shared" si="174"/>
        <v>1.4320183252219535E-2</v>
      </c>
      <c r="AJ650" s="226">
        <f t="shared" si="174"/>
        <v>1.4045729340900608E-2</v>
      </c>
      <c r="AK650" s="226">
        <f t="shared" si="174"/>
        <v>1.3776535484436536E-2</v>
      </c>
      <c r="AL650" s="226">
        <f t="shared" si="174"/>
        <v>1.3512500871084673E-2</v>
      </c>
      <c r="AM650" s="226">
        <f t="shared" si="174"/>
        <v>1.3253526621212919E-2</v>
      </c>
      <c r="AN650" s="226">
        <f t="shared" si="174"/>
        <v>1.2999515750269796E-2</v>
      </c>
      <c r="AO650" s="226">
        <f t="shared" si="174"/>
        <v>1.2750373132464219E-2</v>
      </c>
      <c r="AP650" s="226">
        <f t="shared" si="174"/>
        <v>1.2506005465141374E-2</v>
      </c>
      <c r="AQ650" s="226">
        <f t="shared" si="174"/>
        <v>1.2266321233841335E-2</v>
      </c>
      <c r="AR650" s="226">
        <f t="shared" si="174"/>
        <v>1.2031230678027367E-2</v>
      </c>
      <c r="AS650" s="226">
        <f t="shared" si="174"/>
        <v>1.1800645757471055E-2</v>
      </c>
      <c r="AT650" s="226">
        <f t="shared" si="174"/>
        <v>1.157448011928168E-2</v>
      </c>
      <c r="AU650" s="226">
        <f t="shared" si="174"/>
        <v>1.1352649065567499E-2</v>
      </c>
      <c r="AV650" s="226">
        <f t="shared" si="174"/>
        <v>1.1135069521716813E-2</v>
      </c>
      <c r="AW650" s="226">
        <f t="shared" si="174"/>
        <v>1.0921660005286939E-2</v>
      </c>
      <c r="AX650" s="226">
        <f t="shared" si="174"/>
        <v>1.0712340595489448E-2</v>
      </c>
      <c r="AY650" s="226">
        <f t="shared" si="172"/>
        <v>1.0507032903260237E-2</v>
      </c>
      <c r="AZ650" s="226">
        <f t="shared" si="172"/>
        <v>1.030566004190321E-2</v>
      </c>
      <c r="BA650" s="226">
        <f t="shared" si="172"/>
        <v>1.0108146598296605E-2</v>
      </c>
      <c r="BB650" s="226">
        <f t="shared" si="172"/>
        <v>9.9144186046511585E-3</v>
      </c>
      <c r="BC650" s="226">
        <f t="shared" si="172"/>
        <v>9.7244035108095418E-3</v>
      </c>
      <c r="BD650" s="226">
        <f t="shared" si="172"/>
        <v>9.5380301570766896E-3</v>
      </c>
      <c r="BE650" s="226">
        <f t="shared" si="172"/>
        <v>9.3552287475708543E-3</v>
      </c>
    </row>
    <row r="651" spans="4:57" s="10" customFormat="1" ht="5.25" customHeight="1" x14ac:dyDescent="0.35">
      <c r="D651" s="169"/>
      <c r="E651" s="109"/>
      <c r="G651" s="302"/>
      <c r="I651" s="122"/>
      <c r="J651" s="226"/>
      <c r="K651" s="226"/>
      <c r="L651" s="226"/>
      <c r="M651" s="226"/>
      <c r="N651" s="226"/>
      <c r="O651" s="226"/>
      <c r="P651" s="226"/>
      <c r="Q651" s="226"/>
      <c r="R651" s="226"/>
      <c r="S651" s="226"/>
      <c r="T651" s="226"/>
      <c r="U651" s="226"/>
      <c r="V651" s="226"/>
      <c r="W651" s="226"/>
      <c r="X651" s="226"/>
      <c r="Y651" s="226"/>
      <c r="Z651" s="226"/>
      <c r="AA651" s="226"/>
      <c r="AB651" s="226"/>
      <c r="AC651" s="226"/>
      <c r="AD651" s="226"/>
      <c r="AE651" s="226"/>
      <c r="AF651" s="226"/>
      <c r="AG651" s="226"/>
      <c r="AH651" s="226"/>
      <c r="AI651" s="226"/>
      <c r="AJ651" s="226"/>
      <c r="AK651" s="226"/>
      <c r="AL651" s="226"/>
      <c r="AM651" s="226"/>
      <c r="AN651" s="226"/>
      <c r="AO651" s="226"/>
      <c r="AP651" s="226"/>
      <c r="AQ651" s="226"/>
      <c r="AR651" s="226"/>
      <c r="AS651" s="226"/>
      <c r="AT651" s="170"/>
      <c r="AU651" s="170"/>
      <c r="AV651" s="170"/>
      <c r="AW651" s="170"/>
      <c r="AX651" s="170"/>
      <c r="AY651" s="170"/>
      <c r="AZ651" s="170"/>
      <c r="BA651" s="170"/>
      <c r="BB651" s="170"/>
      <c r="BC651" s="170"/>
      <c r="BD651" s="170"/>
      <c r="BE651" s="170"/>
    </row>
    <row r="652" spans="4:57" s="10" customFormat="1" ht="15" customHeight="1" x14ac:dyDescent="0.35">
      <c r="D652" s="168" t="s">
        <v>684</v>
      </c>
      <c r="E652" s="109"/>
      <c r="G652" s="302"/>
      <c r="I652" s="122"/>
      <c r="J652" s="226"/>
      <c r="K652" s="226"/>
      <c r="L652" s="226"/>
      <c r="M652" s="226"/>
      <c r="N652" s="226"/>
      <c r="O652" s="226"/>
      <c r="P652" s="226"/>
      <c r="Q652" s="226"/>
      <c r="R652" s="226"/>
      <c r="S652" s="226"/>
      <c r="T652" s="226"/>
      <c r="U652" s="226"/>
      <c r="V652" s="226"/>
      <c r="W652" s="226"/>
      <c r="X652" s="226"/>
      <c r="Y652" s="226"/>
      <c r="Z652" s="226"/>
      <c r="AA652" s="226"/>
      <c r="AB652" s="226"/>
      <c r="AC652" s="226"/>
      <c r="AD652" s="226"/>
      <c r="AE652" s="226"/>
      <c r="AF652" s="226"/>
      <c r="AG652" s="226"/>
      <c r="AH652" s="226"/>
      <c r="AI652" s="226"/>
      <c r="AJ652" s="226"/>
      <c r="AK652" s="226"/>
      <c r="AL652" s="226"/>
      <c r="AM652" s="226"/>
      <c r="AN652" s="226"/>
      <c r="AO652" s="226"/>
      <c r="AP652" s="226"/>
      <c r="AQ652" s="226"/>
      <c r="AR652" s="226"/>
      <c r="AS652" s="226"/>
      <c r="AT652" s="170"/>
      <c r="AU652" s="170"/>
      <c r="AV652" s="170"/>
      <c r="AW652" s="170"/>
      <c r="AX652" s="170"/>
      <c r="AY652" s="170"/>
      <c r="AZ652" s="170"/>
      <c r="BA652" s="170"/>
      <c r="BB652" s="170"/>
      <c r="BC652" s="170"/>
      <c r="BD652" s="170"/>
      <c r="BE652" s="170"/>
    </row>
    <row r="653" spans="4:57" s="10" customFormat="1" ht="5.25" customHeight="1" x14ac:dyDescent="0.35">
      <c r="D653" s="169"/>
      <c r="E653" s="109"/>
      <c r="G653" s="302"/>
      <c r="I653" s="122"/>
      <c r="J653" s="226"/>
      <c r="K653" s="226"/>
      <c r="L653" s="226"/>
      <c r="M653" s="226"/>
      <c r="N653" s="226"/>
      <c r="O653" s="226"/>
      <c r="P653" s="226"/>
      <c r="Q653" s="226"/>
      <c r="R653" s="226"/>
      <c r="S653" s="226"/>
      <c r="T653" s="226"/>
      <c r="U653" s="226"/>
      <c r="V653" s="226"/>
      <c r="W653" s="226"/>
      <c r="X653" s="226"/>
      <c r="Y653" s="226"/>
      <c r="Z653" s="226"/>
      <c r="AA653" s="226"/>
      <c r="AB653" s="226"/>
      <c r="AC653" s="226"/>
      <c r="AD653" s="226"/>
      <c r="AE653" s="226"/>
      <c r="AF653" s="226"/>
      <c r="AG653" s="226"/>
      <c r="AH653" s="226"/>
      <c r="AI653" s="226"/>
      <c r="AJ653" s="226"/>
      <c r="AK653" s="226"/>
      <c r="AL653" s="226"/>
      <c r="AM653" s="226"/>
      <c r="AN653" s="226"/>
      <c r="AO653" s="226"/>
      <c r="AP653" s="226"/>
      <c r="AQ653" s="226"/>
      <c r="AR653" s="226"/>
      <c r="AS653" s="226"/>
      <c r="AT653" s="170"/>
      <c r="AU653" s="170"/>
      <c r="AV653" s="170"/>
      <c r="AW653" s="170"/>
      <c r="AX653" s="170"/>
      <c r="AY653" s="170"/>
      <c r="AZ653" s="170"/>
      <c r="BA653" s="170"/>
      <c r="BB653" s="170"/>
      <c r="BC653" s="170"/>
      <c r="BD653" s="170"/>
      <c r="BE653" s="170"/>
    </row>
    <row r="654" spans="4:57" s="10" customFormat="1" x14ac:dyDescent="0.35">
      <c r="E654" s="169" t="s">
        <v>614</v>
      </c>
      <c r="F654" s="10" t="s">
        <v>615</v>
      </c>
      <c r="G654" s="43" t="s">
        <v>616</v>
      </c>
      <c r="I654" s="20"/>
      <c r="J654" s="200"/>
      <c r="K654" s="200"/>
      <c r="L654" s="200"/>
      <c r="M654" s="200"/>
      <c r="N654" s="200">
        <v>1E-4</v>
      </c>
      <c r="O654" s="226">
        <f>N654*(1+($AH654/$N654)^(1/($AH$6-$N$6))-1)</f>
        <v>1E-4</v>
      </c>
      <c r="P654" s="226">
        <f t="shared" ref="P654:AG669" si="175">O654*(1+($AH654/$N654)^(1/($AH$6-$N$6))-1)</f>
        <v>1E-4</v>
      </c>
      <c r="Q654" s="226">
        <f t="shared" si="175"/>
        <v>1E-4</v>
      </c>
      <c r="R654" s="226">
        <f t="shared" si="175"/>
        <v>1E-4</v>
      </c>
      <c r="S654" s="226">
        <f t="shared" si="175"/>
        <v>1E-4</v>
      </c>
      <c r="T654" s="226">
        <f t="shared" si="175"/>
        <v>1E-4</v>
      </c>
      <c r="U654" s="226">
        <f t="shared" si="175"/>
        <v>1E-4</v>
      </c>
      <c r="V654" s="226">
        <f t="shared" si="175"/>
        <v>1E-4</v>
      </c>
      <c r="W654" s="226">
        <f t="shared" si="175"/>
        <v>1E-4</v>
      </c>
      <c r="X654" s="226">
        <f t="shared" si="175"/>
        <v>1E-4</v>
      </c>
      <c r="Y654" s="226">
        <f t="shared" si="175"/>
        <v>1E-4</v>
      </c>
      <c r="Z654" s="226">
        <f t="shared" si="175"/>
        <v>1E-4</v>
      </c>
      <c r="AA654" s="226">
        <f t="shared" si="175"/>
        <v>1E-4</v>
      </c>
      <c r="AB654" s="226">
        <f t="shared" si="175"/>
        <v>1E-4</v>
      </c>
      <c r="AC654" s="226">
        <f t="shared" si="175"/>
        <v>1E-4</v>
      </c>
      <c r="AD654" s="226">
        <f t="shared" si="175"/>
        <v>1E-4</v>
      </c>
      <c r="AE654" s="226">
        <f t="shared" si="175"/>
        <v>1E-4</v>
      </c>
      <c r="AF654" s="226">
        <f t="shared" si="175"/>
        <v>1E-4</v>
      </c>
      <c r="AG654" s="226">
        <f t="shared" si="175"/>
        <v>1E-4</v>
      </c>
      <c r="AH654" s="227">
        <v>1E-4</v>
      </c>
      <c r="AI654" s="226">
        <f>AH654*(1+($AH654/$N654)^(1/($AH$6-$N$6))-1)</f>
        <v>1E-4</v>
      </c>
      <c r="AJ654" s="226">
        <f t="shared" ref="AJ654:BB669" si="176">AI654*(1+($AH654/$N654)^(1/($AH$6-$N$6))-1)</f>
        <v>1E-4</v>
      </c>
      <c r="AK654" s="226">
        <f t="shared" si="176"/>
        <v>1E-4</v>
      </c>
      <c r="AL654" s="226">
        <f t="shared" si="176"/>
        <v>1E-4</v>
      </c>
      <c r="AM654" s="226">
        <f t="shared" si="176"/>
        <v>1E-4</v>
      </c>
      <c r="AN654" s="226">
        <f t="shared" si="176"/>
        <v>1E-4</v>
      </c>
      <c r="AO654" s="226">
        <f t="shared" si="176"/>
        <v>1E-4</v>
      </c>
      <c r="AP654" s="226">
        <f t="shared" si="176"/>
        <v>1E-4</v>
      </c>
      <c r="AQ654" s="226">
        <f t="shared" si="176"/>
        <v>1E-4</v>
      </c>
      <c r="AR654" s="226">
        <f t="shared" si="176"/>
        <v>1E-4</v>
      </c>
      <c r="AS654" s="226">
        <f t="shared" si="176"/>
        <v>1E-4</v>
      </c>
      <c r="AT654" s="226">
        <f t="shared" si="176"/>
        <v>1E-4</v>
      </c>
      <c r="AU654" s="226">
        <f t="shared" si="176"/>
        <v>1E-4</v>
      </c>
      <c r="AV654" s="226">
        <f t="shared" si="176"/>
        <v>1E-4</v>
      </c>
      <c r="AW654" s="226">
        <f t="shared" si="176"/>
        <v>1E-4</v>
      </c>
      <c r="AX654" s="226">
        <f t="shared" si="176"/>
        <v>1E-4</v>
      </c>
      <c r="AY654" s="226">
        <f t="shared" si="176"/>
        <v>1E-4</v>
      </c>
      <c r="AZ654" s="226">
        <f t="shared" si="176"/>
        <v>1E-4</v>
      </c>
      <c r="BA654" s="226">
        <f t="shared" si="176"/>
        <v>1E-4</v>
      </c>
      <c r="BB654" s="226">
        <f t="shared" si="176"/>
        <v>1E-4</v>
      </c>
      <c r="BC654" s="226">
        <f>BB654*(1+($AH654/$N654)^(1/($AH$6-$N$6))-1)</f>
        <v>1E-4</v>
      </c>
      <c r="BD654" s="226">
        <f>BC654*(1+($AH654/$N654)^(1/($AH$6-$N$6))-1)</f>
        <v>1E-4</v>
      </c>
      <c r="BE654" s="226">
        <f>BD654*(1+($AH654/$N654)^(1/($AH$6-$N$6))-1)</f>
        <v>1E-4</v>
      </c>
    </row>
    <row r="655" spans="4:57" s="10" customFormat="1" x14ac:dyDescent="0.35">
      <c r="D655" s="169"/>
      <c r="E655" s="10" t="s">
        <v>617</v>
      </c>
      <c r="F655" s="10" t="s">
        <v>615</v>
      </c>
      <c r="G655" s="43" t="s">
        <v>616</v>
      </c>
      <c r="I655" s="20"/>
      <c r="J655" s="200"/>
      <c r="K655" s="200"/>
      <c r="L655" s="200"/>
      <c r="M655" s="200"/>
      <c r="N655" s="200">
        <v>1.6199999999999999E-2</v>
      </c>
      <c r="O655" s="226">
        <f t="shared" ref="O655:AD670" si="177">N655*(1+($AH655/$N655)^(1/($AH$6-$N$6))-1)</f>
        <v>1.5667264248982068E-2</v>
      </c>
      <c r="P655" s="226">
        <f t="shared" si="177"/>
        <v>1.5152047472063683E-2</v>
      </c>
      <c r="Q655" s="226">
        <f t="shared" si="177"/>
        <v>1.4653773559132253E-2</v>
      </c>
      <c r="R655" s="226">
        <f t="shared" si="177"/>
        <v>1.4171885345411821E-2</v>
      </c>
      <c r="S655" s="226">
        <f t="shared" si="177"/>
        <v>1.3705843988447132E-2</v>
      </c>
      <c r="T655" s="226">
        <f t="shared" si="177"/>
        <v>1.325512836557553E-2</v>
      </c>
      <c r="U655" s="226">
        <f t="shared" si="177"/>
        <v>1.2819234491212941E-2</v>
      </c>
      <c r="V655" s="226">
        <f t="shared" si="177"/>
        <v>1.2397674953302368E-2</v>
      </c>
      <c r="W655" s="226">
        <f t="shared" si="177"/>
        <v>1.1989978368294732E-2</v>
      </c>
      <c r="X655" s="226">
        <f t="shared" si="177"/>
        <v>1.1595688854052618E-2</v>
      </c>
      <c r="Y655" s="226">
        <f t="shared" si="177"/>
        <v>1.1214365520087559E-2</v>
      </c>
      <c r="Z655" s="226">
        <f t="shared" si="177"/>
        <v>1.0845581974560804E-2</v>
      </c>
      <c r="AA655" s="226">
        <f t="shared" si="177"/>
        <v>1.0488925847496349E-2</v>
      </c>
      <c r="AB655" s="226">
        <f t="shared" si="177"/>
        <v>1.0143998329673056E-2</v>
      </c>
      <c r="AC655" s="226">
        <f t="shared" si="177"/>
        <v>9.8104137266802772E-3</v>
      </c>
      <c r="AD655" s="226">
        <f t="shared" si="177"/>
        <v>9.4877990276383255E-3</v>
      </c>
      <c r="AE655" s="226">
        <f t="shared" si="175"/>
        <v>9.1757934881015295E-3</v>
      </c>
      <c r="AF655" s="226">
        <f t="shared" si="175"/>
        <v>8.8740482266775056E-3</v>
      </c>
      <c r="AG655" s="226">
        <f t="shared" si="175"/>
        <v>8.5822258349115572E-3</v>
      </c>
      <c r="AH655" s="227">
        <v>8.3000000000000001E-3</v>
      </c>
      <c r="AI655" s="226">
        <f t="shared" ref="AI655:AX670" si="178">AH655*(1+($AH655/$N655)^(1/($AH$6-$N$6))-1)</f>
        <v>8.0270551399105675E-3</v>
      </c>
      <c r="AJ655" s="226">
        <f t="shared" si="178"/>
        <v>7.7630860505017657E-3</v>
      </c>
      <c r="AK655" s="226">
        <f t="shared" si="178"/>
        <v>7.5077975642467735E-3</v>
      </c>
      <c r="AL655" s="226">
        <f t="shared" si="178"/>
        <v>7.2609042201801323E-3</v>
      </c>
      <c r="AM655" s="226">
        <f t="shared" si="178"/>
        <v>7.0221299446982235E-3</v>
      </c>
      <c r="AN655" s="226">
        <f t="shared" si="178"/>
        <v>6.7912077428565996E-3</v>
      </c>
      <c r="AO655" s="226">
        <f t="shared" si="178"/>
        <v>6.567879399818977E-3</v>
      </c>
      <c r="AP655" s="226">
        <f t="shared" si="178"/>
        <v>6.3518951921240543E-3</v>
      </c>
      <c r="AQ655" s="226">
        <f t="shared" si="178"/>
        <v>6.1430136084473022E-3</v>
      </c>
      <c r="AR655" s="226">
        <f t="shared" si="178"/>
        <v>5.9410010795454792E-3</v>
      </c>
      <c r="AS655" s="226">
        <f t="shared" si="178"/>
        <v>5.7456317170818992E-3</v>
      </c>
      <c r="AT655" s="226">
        <f t="shared" si="178"/>
        <v>5.5566870610404134E-3</v>
      </c>
      <c r="AU655" s="226">
        <f t="shared" si="178"/>
        <v>5.373955835445662E-3</v>
      </c>
      <c r="AV655" s="226">
        <f t="shared" si="178"/>
        <v>5.1972337121164438E-3</v>
      </c>
      <c r="AW655" s="226">
        <f t="shared" si="178"/>
        <v>5.0263230821880455E-3</v>
      </c>
      <c r="AX655" s="226">
        <f t="shared" si="178"/>
        <v>4.8610328351480327E-3</v>
      </c>
      <c r="AY655" s="226">
        <f t="shared" si="176"/>
        <v>4.7011781451384398E-3</v>
      </c>
      <c r="AZ655" s="226">
        <f t="shared" si="176"/>
        <v>4.5465802642853902E-3</v>
      </c>
      <c r="BA655" s="226">
        <f t="shared" si="176"/>
        <v>4.3970663228250582E-3</v>
      </c>
      <c r="BB655" s="226">
        <f t="shared" si="176"/>
        <v>4.2524691358024743E-3</v>
      </c>
      <c r="BC655" s="226">
        <f t="shared" ref="BB655:BE670" si="179">BB655*(1+($AH655/$N655)^(1/($AH$6-$N$6))-1)</f>
        <v>4.112627016127024E-3</v>
      </c>
      <c r="BD655" s="226">
        <f t="shared" si="179"/>
        <v>3.9773835937756009E-3</v>
      </c>
      <c r="BE655" s="226">
        <f t="shared" si="179"/>
        <v>3.846587640941253E-3</v>
      </c>
    </row>
    <row r="656" spans="4:57" s="10" customFormat="1" x14ac:dyDescent="0.35">
      <c r="E656" s="10" t="s">
        <v>618</v>
      </c>
      <c r="F656" s="10" t="s">
        <v>615</v>
      </c>
      <c r="G656" s="43" t="s">
        <v>616</v>
      </c>
      <c r="I656" s="20"/>
      <c r="J656" s="200"/>
      <c r="K656" s="200"/>
      <c r="L656" s="200"/>
      <c r="M656" s="200"/>
      <c r="N656" s="200">
        <v>1.5699999999999999E-2</v>
      </c>
      <c r="O656" s="226">
        <f t="shared" si="177"/>
        <v>1.5170015493883726E-2</v>
      </c>
      <c r="P656" s="226">
        <f t="shared" si="177"/>
        <v>1.4657921661444098E-2</v>
      </c>
      <c r="Q656" s="226">
        <f t="shared" si="177"/>
        <v>1.4163114567658655E-2</v>
      </c>
      <c r="R656" s="226">
        <f t="shared" si="177"/>
        <v>1.3685010664524339E-2</v>
      </c>
      <c r="S656" s="226">
        <f t="shared" si="177"/>
        <v>1.3223046102853393E-2</v>
      </c>
      <c r="T656" s="226">
        <f t="shared" si="177"/>
        <v>1.2776676067300943E-2</v>
      </c>
      <c r="U656" s="226">
        <f t="shared" si="177"/>
        <v>1.2345374133840046E-2</v>
      </c>
      <c r="V656" s="226">
        <f t="shared" si="177"/>
        <v>1.1928631648926427E-2</v>
      </c>
      <c r="W656" s="226">
        <f t="shared" si="177"/>
        <v>1.1525957129620745E-2</v>
      </c>
      <c r="X656" s="226">
        <f t="shared" si="177"/>
        <v>1.1136875683960911E-2</v>
      </c>
      <c r="Y656" s="226">
        <f t="shared" si="177"/>
        <v>1.0760928450900889E-2</v>
      </c>
      <c r="Z656" s="226">
        <f t="shared" si="177"/>
        <v>1.0397672059155458E-2</v>
      </c>
      <c r="AA656" s="226">
        <f t="shared" si="177"/>
        <v>1.0046678104312753E-2</v>
      </c>
      <c r="AB656" s="226">
        <f t="shared" si="177"/>
        <v>9.7075326435978899E-3</v>
      </c>
      <c r="AC656" s="226">
        <f t="shared" si="177"/>
        <v>9.3798357076918509E-3</v>
      </c>
      <c r="AD656" s="226">
        <f t="shared" si="177"/>
        <v>9.0632008290298868E-3</v>
      </c>
      <c r="AE656" s="226">
        <f t="shared" si="175"/>
        <v>8.7572545860231353E-3</v>
      </c>
      <c r="AF656" s="226">
        <f t="shared" si="175"/>
        <v>8.461636162665943E-3</v>
      </c>
      <c r="AG656" s="226">
        <f t="shared" si="175"/>
        <v>8.1759969230095035E-3</v>
      </c>
      <c r="AH656" s="227">
        <v>7.9000000000000008E-3</v>
      </c>
      <c r="AI656" s="226">
        <f t="shared" si="178"/>
        <v>7.6333198981962712E-3</v>
      </c>
      <c r="AJ656" s="226">
        <f t="shared" si="178"/>
        <v>7.375642109898624E-3</v>
      </c>
      <c r="AK656" s="226">
        <f t="shared" si="178"/>
        <v>7.1266627442358853E-3</v>
      </c>
      <c r="AL656" s="226">
        <f t="shared" si="178"/>
        <v>6.8860881687733957E-3</v>
      </c>
      <c r="AM656" s="226">
        <f t="shared" si="178"/>
        <v>6.6536346632192255E-3</v>
      </c>
      <c r="AN656" s="226">
        <f t="shared" si="178"/>
        <v>6.4290280848202227E-3</v>
      </c>
      <c r="AO656" s="226">
        <f t="shared" si="178"/>
        <v>6.212003545053274E-3</v>
      </c>
      <c r="AP656" s="226">
        <f t="shared" si="178"/>
        <v>6.0023050972304974E-3</v>
      </c>
      <c r="AQ656" s="226">
        <f t="shared" si="178"/>
        <v>5.7996854346499312E-3</v>
      </c>
      <c r="AR656" s="226">
        <f t="shared" si="178"/>
        <v>5.6039055989357475E-3</v>
      </c>
      <c r="AS656" s="226">
        <f t="shared" si="178"/>
        <v>5.4147346982240168E-3</v>
      </c>
      <c r="AT656" s="226">
        <f t="shared" si="178"/>
        <v>5.2319496348616663E-3</v>
      </c>
      <c r="AU656" s="226">
        <f t="shared" si="178"/>
        <v>5.0553348422975024E-3</v>
      </c>
      <c r="AV656" s="226">
        <f t="shared" si="178"/>
        <v>4.8846820308549917E-3</v>
      </c>
      <c r="AW656" s="226">
        <f t="shared" si="178"/>
        <v>4.7197899420869842E-3</v>
      </c>
      <c r="AX656" s="226">
        <f t="shared" si="178"/>
        <v>4.5604641114226838E-3</v>
      </c>
      <c r="AY656" s="226">
        <f t="shared" si="176"/>
        <v>4.4065166388269298E-3</v>
      </c>
      <c r="AZ656" s="226">
        <f t="shared" si="176"/>
        <v>4.2577659672013357E-3</v>
      </c>
      <c r="BA656" s="226">
        <f t="shared" si="176"/>
        <v>4.1140366682659302E-3</v>
      </c>
      <c r="BB656" s="226">
        <f t="shared" si="179"/>
        <v>3.9751592356687864E-3</v>
      </c>
      <c r="BC656" s="226">
        <f t="shared" si="179"/>
        <v>3.840969885079649E-3</v>
      </c>
      <c r="BD656" s="226">
        <f t="shared" si="179"/>
        <v>3.7113103610317884E-3</v>
      </c>
      <c r="BE656" s="226">
        <f t="shared" si="179"/>
        <v>3.5860277502842955E-3</v>
      </c>
    </row>
    <row r="657" spans="5:57" s="10" customFormat="1" x14ac:dyDescent="0.35">
      <c r="E657" s="10" t="s">
        <v>619</v>
      </c>
      <c r="F657" s="10" t="s">
        <v>615</v>
      </c>
      <c r="G657" s="43" t="s">
        <v>616</v>
      </c>
      <c r="I657" s="20"/>
      <c r="J657" s="200"/>
      <c r="K657" s="200"/>
      <c r="L657" s="200"/>
      <c r="M657" s="200"/>
      <c r="N657" s="200">
        <v>1.5299999999999999E-2</v>
      </c>
      <c r="O657" s="226">
        <f t="shared" si="177"/>
        <v>1.4764200095453667E-2</v>
      </c>
      <c r="P657" s="226">
        <f t="shared" si="177"/>
        <v>1.4247163690104189E-2</v>
      </c>
      <c r="Q657" s="226">
        <f t="shared" si="177"/>
        <v>1.3748233693684988E-2</v>
      </c>
      <c r="R657" s="226">
        <f t="shared" si="177"/>
        <v>1.326677602696884E-2</v>
      </c>
      <c r="S657" s="226">
        <f t="shared" si="177"/>
        <v>1.2802178815930444E-2</v>
      </c>
      <c r="T657" s="226">
        <f t="shared" si="177"/>
        <v>1.2353851614129097E-2</v>
      </c>
      <c r="U657" s="226">
        <f t="shared" si="177"/>
        <v>1.1921224652323221E-2</v>
      </c>
      <c r="V657" s="226">
        <f t="shared" si="177"/>
        <v>1.1503748114363081E-2</v>
      </c>
      <c r="W657" s="226">
        <f t="shared" si="177"/>
        <v>1.1100891438441462E-2</v>
      </c>
      <c r="X657" s="226">
        <f t="shared" si="177"/>
        <v>1.0712142642814265E-2</v>
      </c>
      <c r="Y657" s="226">
        <f t="shared" si="177"/>
        <v>1.0337007675134097E-2</v>
      </c>
      <c r="Z657" s="226">
        <f t="shared" si="177"/>
        <v>9.9750097845699437E-3</v>
      </c>
      <c r="AA657" s="226">
        <f t="shared" si="177"/>
        <v>9.625688915914957E-3</v>
      </c>
      <c r="AB657" s="226">
        <f t="shared" si="177"/>
        <v>9.2886011249123483E-3</v>
      </c>
      <c r="AC657" s="226">
        <f t="shared" si="177"/>
        <v>8.9633180140563373E-3</v>
      </c>
      <c r="AD657" s="226">
        <f t="shared" si="177"/>
        <v>8.6494261881511214E-3</v>
      </c>
      <c r="AE657" s="226">
        <f t="shared" si="175"/>
        <v>8.3465267289359636E-3</v>
      </c>
      <c r="AF657" s="226">
        <f t="shared" si="175"/>
        <v>8.0542346881086902E-3</v>
      </c>
      <c r="AG657" s="226">
        <f t="shared" si="175"/>
        <v>7.7721785981033058E-3</v>
      </c>
      <c r="AH657" s="227">
        <v>7.4999999999999997E-3</v>
      </c>
      <c r="AI657" s="226">
        <f t="shared" si="178"/>
        <v>7.2373529879674846E-3</v>
      </c>
      <c r="AJ657" s="226">
        <f t="shared" si="178"/>
        <v>6.983903769658917E-3</v>
      </c>
      <c r="AK657" s="226">
        <f t="shared" si="178"/>
        <v>6.7393302420024458E-3</v>
      </c>
      <c r="AL657" s="226">
        <f t="shared" si="178"/>
        <v>6.5033215818474715E-3</v>
      </c>
      <c r="AM657" s="226">
        <f t="shared" si="178"/>
        <v>6.275577850946297E-3</v>
      </c>
      <c r="AN657" s="226">
        <f t="shared" si="178"/>
        <v>6.0558096147691667E-3</v>
      </c>
      <c r="AO657" s="226">
        <f t="shared" si="178"/>
        <v>5.8437375746682469E-3</v>
      </c>
      <c r="AP657" s="226">
        <f t="shared" si="178"/>
        <v>5.6390922129230803E-3</v>
      </c>
      <c r="AQ657" s="226">
        <f t="shared" si="178"/>
        <v>5.4416134502164037E-3</v>
      </c>
      <c r="AR657" s="226">
        <f t="shared" si="178"/>
        <v>5.2510503151050325E-3</v>
      </c>
      <c r="AS657" s="226">
        <f t="shared" si="178"/>
        <v>5.0671606250657347E-3</v>
      </c>
      <c r="AT657" s="226">
        <f t="shared" si="178"/>
        <v>4.889710678710758E-3</v>
      </c>
      <c r="AU657" s="226">
        <f t="shared" si="178"/>
        <v>4.7184749587818433E-3</v>
      </c>
      <c r="AV657" s="226">
        <f t="shared" si="178"/>
        <v>4.5532358455452702E-3</v>
      </c>
      <c r="AW657" s="226">
        <f t="shared" si="178"/>
        <v>4.3937833402236956E-3</v>
      </c>
      <c r="AX657" s="226">
        <f t="shared" si="178"/>
        <v>4.2399147981132959E-3</v>
      </c>
      <c r="AY657" s="226">
        <f t="shared" si="176"/>
        <v>4.0914346710470423E-3</v>
      </c>
      <c r="AZ657" s="226">
        <f t="shared" si="176"/>
        <v>3.9481542588768103E-3</v>
      </c>
      <c r="BA657" s="226">
        <f t="shared" si="176"/>
        <v>3.8098914696584846E-3</v>
      </c>
      <c r="BB657" s="226">
        <f t="shared" si="179"/>
        <v>3.6764705882352889E-3</v>
      </c>
      <c r="BC657" s="226">
        <f t="shared" si="179"/>
        <v>3.5477220529252325E-3</v>
      </c>
      <c r="BD657" s="226">
        <f t="shared" si="179"/>
        <v>3.4234822400288759E-3</v>
      </c>
      <c r="BE657" s="226">
        <f t="shared" si="179"/>
        <v>3.3035932558835471E-3</v>
      </c>
    </row>
    <row r="658" spans="5:57" s="10" customFormat="1" x14ac:dyDescent="0.35">
      <c r="E658" s="10" t="s">
        <v>620</v>
      </c>
      <c r="F658" s="10" t="s">
        <v>615</v>
      </c>
      <c r="G658" s="43" t="s">
        <v>616</v>
      </c>
      <c r="I658" s="20"/>
      <c r="J658" s="200"/>
      <c r="K658" s="200"/>
      <c r="L658" s="200"/>
      <c r="M658" s="200"/>
      <c r="N658" s="200">
        <v>1.49E-2</v>
      </c>
      <c r="O658" s="226">
        <f t="shared" si="177"/>
        <v>1.4357865227139333E-2</v>
      </c>
      <c r="P658" s="226">
        <f t="shared" si="177"/>
        <v>1.3835455965147436E-2</v>
      </c>
      <c r="Q658" s="226">
        <f t="shared" si="177"/>
        <v>1.333205450359784E-2</v>
      </c>
      <c r="R658" s="226">
        <f t="shared" si="177"/>
        <v>1.2846969245874749E-2</v>
      </c>
      <c r="S658" s="226">
        <f t="shared" si="177"/>
        <v>1.2379533759025065E-2</v>
      </c>
      <c r="T658" s="226">
        <f t="shared" si="177"/>
        <v>1.192910585818144E-2</v>
      </c>
      <c r="U658" s="226">
        <f t="shared" si="177"/>
        <v>1.1495066724298482E-2</v>
      </c>
      <c r="V658" s="226">
        <f t="shared" si="177"/>
        <v>1.1076820053990041E-2</v>
      </c>
      <c r="W658" s="226">
        <f t="shared" si="177"/>
        <v>1.0673791240299546E-2</v>
      </c>
      <c r="X658" s="226">
        <f t="shared" si="177"/>
        <v>1.0285426583277937E-2</v>
      </c>
      <c r="Y658" s="226">
        <f t="shared" si="177"/>
        <v>9.9111925292846171E-3</v>
      </c>
      <c r="Z658" s="226">
        <f t="shared" si="177"/>
        <v>9.5505749379663583E-3</v>
      </c>
      <c r="AA658" s="226">
        <f t="shared" si="177"/>
        <v>9.2030783759070849E-3</v>
      </c>
      <c r="AB658" s="226">
        <f t="shared" si="177"/>
        <v>8.8682254359781377E-3</v>
      </c>
      <c r="AC658" s="226">
        <f t="shared" si="177"/>
        <v>8.545556081453895E-3</v>
      </c>
      <c r="AD658" s="226">
        <f t="shared" si="177"/>
        <v>8.2346270139916737E-3</v>
      </c>
      <c r="AE658" s="226">
        <f t="shared" si="175"/>
        <v>7.9350110646075993E-3</v>
      </c>
      <c r="AF658" s="226">
        <f t="shared" si="175"/>
        <v>7.6462966068117652E-3</v>
      </c>
      <c r="AG658" s="226">
        <f t="shared" si="175"/>
        <v>7.3680869910963832E-3</v>
      </c>
      <c r="AH658" s="227">
        <v>7.1000000000000004E-3</v>
      </c>
      <c r="AI658" s="226">
        <f t="shared" si="178"/>
        <v>6.8416673229992793E-3</v>
      </c>
      <c r="AJ658" s="226">
        <f t="shared" si="178"/>
        <v>6.592734050506496E-3</v>
      </c>
      <c r="AK658" s="226">
        <f t="shared" si="178"/>
        <v>6.3528581862781651E-3</v>
      </c>
      <c r="AL658" s="226">
        <f t="shared" si="178"/>
        <v>6.1217101775644768E-3</v>
      </c>
      <c r="AM658" s="226">
        <f t="shared" si="178"/>
        <v>5.8989724623542249E-3</v>
      </c>
      <c r="AN658" s="226">
        <f t="shared" si="178"/>
        <v>5.684339033093168E-3</v>
      </c>
      <c r="AO658" s="226">
        <f t="shared" si="178"/>
        <v>5.4775150162764573E-3</v>
      </c>
      <c r="AP658" s="226">
        <f t="shared" si="178"/>
        <v>5.2782162673375354E-3</v>
      </c>
      <c r="AQ658" s="226">
        <f t="shared" si="178"/>
        <v>5.0861689802769641E-3</v>
      </c>
      <c r="AR658" s="226">
        <f t="shared" si="178"/>
        <v>4.9011093114948549E-3</v>
      </c>
      <c r="AS658" s="226">
        <f t="shared" si="178"/>
        <v>4.722783017310119E-3</v>
      </c>
      <c r="AT658" s="226">
        <f t="shared" si="178"/>
        <v>4.5509451046685323E-3</v>
      </c>
      <c r="AU658" s="226">
        <f t="shared" si="178"/>
        <v>4.3853594945597509E-3</v>
      </c>
      <c r="AV658" s="226">
        <f t="shared" si="178"/>
        <v>4.2257986976808569E-3</v>
      </c>
      <c r="AW658" s="226">
        <f t="shared" si="178"/>
        <v>4.072043501900849E-3</v>
      </c>
      <c r="AX658" s="226">
        <f t="shared" si="178"/>
        <v>3.9238826710967026E-3</v>
      </c>
      <c r="AY658" s="226">
        <f t="shared" si="176"/>
        <v>3.7811126549472445E-3</v>
      </c>
      <c r="AZ658" s="226">
        <f t="shared" si="176"/>
        <v>3.6435373092861423E-3</v>
      </c>
      <c r="BA658" s="226">
        <f t="shared" si="176"/>
        <v>3.5109676266298195E-3</v>
      </c>
      <c r="BB658" s="226">
        <f t="shared" si="179"/>
        <v>3.3832214765100802E-3</v>
      </c>
      <c r="BC658" s="226">
        <f t="shared" si="179"/>
        <v>3.2601233552547026E-3</v>
      </c>
      <c r="BD658" s="226">
        <f t="shared" si="179"/>
        <v>3.1415041448722351E-3</v>
      </c>
      <c r="BE658" s="226">
        <f t="shared" si="179"/>
        <v>3.0272008807097415E-3</v>
      </c>
    </row>
    <row r="659" spans="5:57" s="10" customFormat="1" x14ac:dyDescent="0.35">
      <c r="E659" s="10" t="s">
        <v>621</v>
      </c>
      <c r="F659" s="10" t="s">
        <v>615</v>
      </c>
      <c r="G659" s="43" t="s">
        <v>616</v>
      </c>
      <c r="I659" s="20"/>
      <c r="J659" s="200"/>
      <c r="K659" s="200"/>
      <c r="L659" s="200"/>
      <c r="M659" s="200"/>
      <c r="N659" s="200">
        <v>1.4500000000000001E-2</v>
      </c>
      <c r="O659" s="226">
        <f t="shared" si="177"/>
        <v>1.3950935867248028E-2</v>
      </c>
      <c r="P659" s="226">
        <f t="shared" si="177"/>
        <v>1.3422662867039137E-2</v>
      </c>
      <c r="Q659" s="226">
        <f t="shared" si="177"/>
        <v>1.2914393712121002E-2</v>
      </c>
      <c r="R659" s="226">
        <f t="shared" si="177"/>
        <v>1.2425370927047676E-2</v>
      </c>
      <c r="S659" s="226">
        <f t="shared" si="177"/>
        <v>1.1954865719311055E-2</v>
      </c>
      <c r="T659" s="226">
        <f t="shared" si="177"/>
        <v>1.1502176893218655E-2</v>
      </c>
      <c r="U659" s="226">
        <f t="shared" si="177"/>
        <v>1.1066629804899008E-2</v>
      </c>
      <c r="V659" s="226">
        <f t="shared" si="177"/>
        <v>1.0647575356877353E-2</v>
      </c>
      <c r="W659" s="226">
        <f t="shared" si="177"/>
        <v>1.0244389030723207E-2</v>
      </c>
      <c r="X659" s="226">
        <f t="shared" si="177"/>
        <v>9.856469956328183E-3</v>
      </c>
      <c r="Y659" s="226">
        <f t="shared" si="177"/>
        <v>9.4832400164269973E-3</v>
      </c>
      <c r="Z659" s="226">
        <f t="shared" si="177"/>
        <v>9.1241429850271154E-3</v>
      </c>
      <c r="AA659" s="226">
        <f t="shared" si="177"/>
        <v>8.7786436984630539E-3</v>
      </c>
      <c r="AB659" s="226">
        <f t="shared" si="177"/>
        <v>8.4462272578399375E-3</v>
      </c>
      <c r="AC659" s="226">
        <f t="shared" si="177"/>
        <v>8.1263982616777333E-3</v>
      </c>
      <c r="AD659" s="226">
        <f t="shared" si="177"/>
        <v>7.8186800676125455E-3</v>
      </c>
      <c r="AE659" s="226">
        <f t="shared" si="175"/>
        <v>7.5226140820546968E-3</v>
      </c>
      <c r="AF659" s="226">
        <f t="shared" si="175"/>
        <v>7.2377590767449635E-3</v>
      </c>
      <c r="AG659" s="226">
        <f t="shared" si="175"/>
        <v>6.9636905311904335E-3</v>
      </c>
      <c r="AH659" s="227">
        <v>6.7000000000000002E-3</v>
      </c>
      <c r="AI659" s="226">
        <f t="shared" si="178"/>
        <v>6.4462945041766752E-3</v>
      </c>
      <c r="AJ659" s="226">
        <f t="shared" si="178"/>
        <v>6.2021959454594639E-3</v>
      </c>
      <c r="AK659" s="226">
        <f t="shared" si="178"/>
        <v>5.9673405428421191E-3</v>
      </c>
      <c r="AL659" s="226">
        <f t="shared" si="178"/>
        <v>5.7413782904289267E-3</v>
      </c>
      <c r="AM659" s="226">
        <f t="shared" si="178"/>
        <v>5.5239724358195916E-3</v>
      </c>
      <c r="AN659" s="226">
        <f t="shared" si="178"/>
        <v>5.3147989782458618E-3</v>
      </c>
      <c r="AO659" s="226">
        <f t="shared" si="178"/>
        <v>5.1135461857119563E-3</v>
      </c>
      <c r="AP659" s="226">
        <f t="shared" si="178"/>
        <v>4.9199141304191911E-3</v>
      </c>
      <c r="AQ659" s="226">
        <f t="shared" si="178"/>
        <v>4.7336142417824471E-3</v>
      </c>
      <c r="AR659" s="226">
        <f t="shared" si="178"/>
        <v>4.5543688763723328E-3</v>
      </c>
      <c r="AS659" s="226">
        <f t="shared" si="178"/>
        <v>4.3819109041421294E-3</v>
      </c>
      <c r="AT659" s="226">
        <f t="shared" si="178"/>
        <v>4.2159833103228737E-3</v>
      </c>
      <c r="AU659" s="226">
        <f t="shared" si="178"/>
        <v>4.0563388123932729E-3</v>
      </c>
      <c r="AV659" s="226">
        <f t="shared" si="178"/>
        <v>3.9027394915536265E-3</v>
      </c>
      <c r="AW659" s="226">
        <f t="shared" si="178"/>
        <v>3.7549564381545394E-3</v>
      </c>
      <c r="AX659" s="226">
        <f t="shared" si="178"/>
        <v>3.6127694105520043E-3</v>
      </c>
      <c r="AY659" s="226">
        <f t="shared" si="176"/>
        <v>3.4759665068804465E-3</v>
      </c>
      <c r="AZ659" s="226">
        <f t="shared" si="176"/>
        <v>3.3443438492545695E-3</v>
      </c>
      <c r="BA659" s="226">
        <f t="shared" si="176"/>
        <v>3.2177052799293726E-3</v>
      </c>
      <c r="BB659" s="226">
        <f t="shared" si="179"/>
        <v>3.0958620689655199E-3</v>
      </c>
      <c r="BC659" s="226">
        <f t="shared" si="179"/>
        <v>2.9786326329643972E-3</v>
      </c>
      <c r="BD659" s="226">
        <f t="shared" si="179"/>
        <v>2.8658422644536855E-3</v>
      </c>
      <c r="BE659" s="226">
        <f t="shared" si="179"/>
        <v>2.7573228715201538E-3</v>
      </c>
    </row>
    <row r="660" spans="5:57" s="10" customFormat="1" x14ac:dyDescent="0.35">
      <c r="E660" s="10" t="s">
        <v>622</v>
      </c>
      <c r="F660" s="10" t="s">
        <v>615</v>
      </c>
      <c r="G660" s="43" t="s">
        <v>616</v>
      </c>
      <c r="I660" s="20"/>
      <c r="J660" s="200"/>
      <c r="K660" s="200"/>
      <c r="L660" s="200"/>
      <c r="M660" s="200"/>
      <c r="N660" s="200">
        <v>1.41E-2</v>
      </c>
      <c r="O660" s="226">
        <f t="shared" si="177"/>
        <v>1.3543321386131322E-2</v>
      </c>
      <c r="P660" s="226">
        <f t="shared" si="177"/>
        <v>1.3008620862981704E-2</v>
      </c>
      <c r="Q660" s="226">
        <f t="shared" si="177"/>
        <v>1.2495030718985403E-2</v>
      </c>
      <c r="R660" s="226">
        <f t="shared" si="177"/>
        <v>1.200171750048247E-2</v>
      </c>
      <c r="S660" s="226">
        <f t="shared" si="177"/>
        <v>1.1527880659190836E-2</v>
      </c>
      <c r="T660" s="226">
        <f t="shared" si="177"/>
        <v>1.1072751253077226E-2</v>
      </c>
      <c r="U660" s="226">
        <f t="shared" si="177"/>
        <v>1.0635590698518665E-2</v>
      </c>
      <c r="V660" s="226">
        <f t="shared" si="177"/>
        <v>1.0215689571729589E-2</v>
      </c>
      <c r="W660" s="226">
        <f t="shared" si="177"/>
        <v>9.8123664575095089E-3</v>
      </c>
      <c r="X660" s="226">
        <f t="shared" si="177"/>
        <v>9.4249668434429907E-3</v>
      </c>
      <c r="Y660" s="226">
        <f t="shared" si="177"/>
        <v>9.0528620577574517E-3</v>
      </c>
      <c r="Z660" s="226">
        <f t="shared" si="177"/>
        <v>8.6954482491151276E-3</v>
      </c>
      <c r="AA660" s="226">
        <f t="shared" si="177"/>
        <v>8.3521454066836209E-3</v>
      </c>
      <c r="AB660" s="226">
        <f t="shared" si="177"/>
        <v>8.0223964188948053E-3</v>
      </c>
      <c r="AC660" s="226">
        <f t="shared" si="177"/>
        <v>7.7056661693646342E-3</v>
      </c>
      <c r="AD660" s="226">
        <f t="shared" si="177"/>
        <v>7.401440668506714E-3</v>
      </c>
      <c r="AE660" s="226">
        <f t="shared" si="175"/>
        <v>7.1092262194304319E-3</v>
      </c>
      <c r="AF660" s="226">
        <f t="shared" si="175"/>
        <v>6.8285486167700494E-3</v>
      </c>
      <c r="AG660" s="226">
        <f t="shared" si="175"/>
        <v>6.5589523771446287E-3</v>
      </c>
      <c r="AH660" s="227">
        <v>6.3E-3</v>
      </c>
      <c r="AI660" s="226">
        <f t="shared" si="178"/>
        <v>6.0512712576331435E-3</v>
      </c>
      <c r="AJ660" s="226">
        <f t="shared" si="178"/>
        <v>5.8123625132471442E-3</v>
      </c>
      <c r="AK660" s="226">
        <f t="shared" si="178"/>
        <v>5.5828860659296485E-3</v>
      </c>
      <c r="AL660" s="226">
        <f t="shared" si="178"/>
        <v>5.3624695214921679E-3</v>
      </c>
      <c r="AM660" s="226">
        <f t="shared" si="178"/>
        <v>5.1507551881490969E-3</v>
      </c>
      <c r="AN660" s="226">
        <f t="shared" si="178"/>
        <v>4.9473994960557814E-3</v>
      </c>
      <c r="AO660" s="226">
        <f t="shared" si="178"/>
        <v>4.7520724397636591E-3</v>
      </c>
      <c r="AP660" s="226">
        <f t="shared" si="178"/>
        <v>4.5644570426876885E-3</v>
      </c>
      <c r="AQ660" s="226">
        <f t="shared" si="178"/>
        <v>4.3842488427170137E-3</v>
      </c>
      <c r="AR660" s="226">
        <f t="shared" si="178"/>
        <v>4.2111553981341015E-3</v>
      </c>
      <c r="AS660" s="226">
        <f t="shared" si="178"/>
        <v>4.0448958130405626E-3</v>
      </c>
      <c r="AT660" s="226">
        <f t="shared" si="178"/>
        <v>3.885200281519524E-3</v>
      </c>
      <c r="AU660" s="226">
        <f t="shared" si="178"/>
        <v>3.7318096497948087E-3</v>
      </c>
      <c r="AV660" s="226">
        <f t="shared" si="178"/>
        <v>3.5844749956764023E-3</v>
      </c>
      <c r="AW660" s="226">
        <f t="shared" si="178"/>
        <v>3.4429572246097301E-3</v>
      </c>
      <c r="AX660" s="226">
        <f t="shared" si="178"/>
        <v>3.3070266816732125E-3</v>
      </c>
      <c r="AY660" s="226">
        <f t="shared" si="176"/>
        <v>3.1764627788944478E-3</v>
      </c>
      <c r="AZ660" s="226">
        <f t="shared" si="176"/>
        <v>3.051053637280234E-3</v>
      </c>
      <c r="BA660" s="226">
        <f t="shared" si="176"/>
        <v>2.9305957429795141E-3</v>
      </c>
      <c r="BB660" s="226">
        <f t="shared" si="179"/>
        <v>2.8148936170212667E-3</v>
      </c>
      <c r="BC660" s="226">
        <f t="shared" si="179"/>
        <v>2.703759498091395E-3</v>
      </c>
      <c r="BD660" s="226">
        <f t="shared" si="179"/>
        <v>2.5970130378338212E-3</v>
      </c>
      <c r="BE660" s="226">
        <f t="shared" si="179"/>
        <v>2.4944810081813235E-3</v>
      </c>
    </row>
    <row r="661" spans="5:57" s="10" customFormat="1" x14ac:dyDescent="0.35">
      <c r="E661" s="109" t="s">
        <v>623</v>
      </c>
      <c r="F661" s="10" t="s">
        <v>615</v>
      </c>
      <c r="G661" s="43" t="s">
        <v>616</v>
      </c>
      <c r="I661" s="20"/>
      <c r="J661" s="200"/>
      <c r="K661" s="200"/>
      <c r="L661" s="200"/>
      <c r="M661" s="200"/>
      <c r="N661" s="200">
        <v>1.3299999999999999E-2</v>
      </c>
      <c r="O661" s="226">
        <f t="shared" si="177"/>
        <v>1.2770316456875484E-2</v>
      </c>
      <c r="P661" s="226">
        <f t="shared" si="177"/>
        <v>1.2261728000657505E-2</v>
      </c>
      <c r="Q661" s="226">
        <f t="shared" si="177"/>
        <v>1.1773394501994546E-2</v>
      </c>
      <c r="R661" s="226">
        <f t="shared" si="177"/>
        <v>1.1304509290384082E-2</v>
      </c>
      <c r="S661" s="226">
        <f t="shared" si="177"/>
        <v>1.0854297821646139E-2</v>
      </c>
      <c r="T661" s="226">
        <f t="shared" si="177"/>
        <v>1.042201639846582E-2</v>
      </c>
      <c r="U661" s="226">
        <f t="shared" si="177"/>
        <v>1.0006950941891295E-2</v>
      </c>
      <c r="V661" s="226">
        <f t="shared" si="177"/>
        <v>9.6084158117578974E-3</v>
      </c>
      <c r="W661" s="226">
        <f t="shared" si="177"/>
        <v>9.2257526740898103E-3</v>
      </c>
      <c r="X661" s="226">
        <f t="shared" si="177"/>
        <v>8.8583294136084286E-3</v>
      </c>
      <c r="Y661" s="226">
        <f t="shared" si="177"/>
        <v>8.5055390895509685E-3</v>
      </c>
      <c r="Z661" s="226">
        <f t="shared" si="177"/>
        <v>8.1667989330744695E-3</v>
      </c>
      <c r="AA661" s="226">
        <f t="shared" si="177"/>
        <v>7.8415493845890253E-3</v>
      </c>
      <c r="AB661" s="226">
        <f t="shared" si="177"/>
        <v>7.5292531694300035E-3</v>
      </c>
      <c r="AC661" s="226">
        <f t="shared" si="177"/>
        <v>7.2293944103423964E-3</v>
      </c>
      <c r="AD661" s="226">
        <f t="shared" si="177"/>
        <v>6.9414777753112134E-3</v>
      </c>
      <c r="AE661" s="226">
        <f t="shared" si="175"/>
        <v>6.665027659330241E-3</v>
      </c>
      <c r="AF661" s="226">
        <f t="shared" si="175"/>
        <v>6.3995873987575383E-3</v>
      </c>
      <c r="AG661" s="226">
        <f t="shared" si="175"/>
        <v>6.1447185169598764E-3</v>
      </c>
      <c r="AH661" s="227">
        <v>5.8999999999999999E-3</v>
      </c>
      <c r="AI661" s="226">
        <f t="shared" si="178"/>
        <v>5.6650276011703275E-3</v>
      </c>
      <c r="AJ661" s="226">
        <f t="shared" si="178"/>
        <v>5.439413173224006E-3</v>
      </c>
      <c r="AK661" s="226">
        <f t="shared" si="178"/>
        <v>5.2227840272005884E-3</v>
      </c>
      <c r="AL661" s="226">
        <f t="shared" si="178"/>
        <v>5.0147823167869237E-3</v>
      </c>
      <c r="AM661" s="226">
        <f t="shared" si="178"/>
        <v>4.8150644471964075E-3</v>
      </c>
      <c r="AN661" s="226">
        <f t="shared" si="178"/>
        <v>4.6233005075901005E-3</v>
      </c>
      <c r="AO661" s="226">
        <f t="shared" si="178"/>
        <v>4.4391737261021535E-3</v>
      </c>
      <c r="AP661" s="226">
        <f t="shared" si="178"/>
        <v>4.2623799465692927E-3</v>
      </c>
      <c r="AQ661" s="226">
        <f t="shared" si="178"/>
        <v>4.0926271260999913E-3</v>
      </c>
      <c r="AR661" s="226">
        <f t="shared" si="178"/>
        <v>3.9296348526533633E-3</v>
      </c>
      <c r="AS661" s="226">
        <f t="shared" si="178"/>
        <v>3.7731338818308806E-3</v>
      </c>
      <c r="AT661" s="226">
        <f t="shared" si="178"/>
        <v>3.6228656921157422E-3</v>
      </c>
      <c r="AU661" s="226">
        <f t="shared" si="178"/>
        <v>3.4785820578252069E-3</v>
      </c>
      <c r="AV661" s="226">
        <f t="shared" si="178"/>
        <v>3.3400446390704532E-3</v>
      </c>
      <c r="AW661" s="226">
        <f t="shared" si="178"/>
        <v>3.2070245880466272E-3</v>
      </c>
      <c r="AX661" s="226">
        <f t="shared" si="178"/>
        <v>3.0793021710027188E-3</v>
      </c>
      <c r="AY661" s="226">
        <f t="shared" si="176"/>
        <v>2.956666405266799E-3</v>
      </c>
      <c r="AZ661" s="226">
        <f t="shared" si="176"/>
        <v>2.8389147107270286E-3</v>
      </c>
      <c r="BA661" s="226">
        <f t="shared" si="176"/>
        <v>2.7258525751927276E-3</v>
      </c>
      <c r="BB661" s="226">
        <f t="shared" si="179"/>
        <v>2.6172932330827147E-3</v>
      </c>
      <c r="BC661" s="226">
        <f t="shared" si="179"/>
        <v>2.5130573569101529E-3</v>
      </c>
      <c r="BD661" s="226">
        <f t="shared" si="179"/>
        <v>2.4129727610542654E-3</v>
      </c>
      <c r="BE661" s="226">
        <f t="shared" si="179"/>
        <v>2.3168741173295909E-3</v>
      </c>
    </row>
    <row r="662" spans="5:57" s="10" customFormat="1" x14ac:dyDescent="0.35">
      <c r="E662" s="109" t="s">
        <v>624</v>
      </c>
      <c r="F662" s="10" t="s">
        <v>615</v>
      </c>
      <c r="G662" s="43" t="s">
        <v>616</v>
      </c>
      <c r="I662" s="20"/>
      <c r="J662" s="200"/>
      <c r="K662" s="200"/>
      <c r="L662" s="200"/>
      <c r="M662" s="200"/>
      <c r="N662" s="200">
        <v>1.2699999999999999E-2</v>
      </c>
      <c r="O662" s="226">
        <f t="shared" si="177"/>
        <v>1.2179561967836445E-2</v>
      </c>
      <c r="P662" s="226">
        <f t="shared" si="177"/>
        <v>1.1680451159714014E-2</v>
      </c>
      <c r="Q662" s="226">
        <f t="shared" si="177"/>
        <v>1.1201793599371962E-2</v>
      </c>
      <c r="R662" s="226">
        <f t="shared" si="177"/>
        <v>1.0742751125548384E-2</v>
      </c>
      <c r="S662" s="226">
        <f t="shared" si="177"/>
        <v>1.0302519924304037E-2</v>
      </c>
      <c r="T662" s="226">
        <f t="shared" si="177"/>
        <v>9.8803291214906042E-3</v>
      </c>
      <c r="U662" s="226">
        <f t="shared" si="177"/>
        <v>9.4754394328987277E-3</v>
      </c>
      <c r="V662" s="226">
        <f t="shared" si="177"/>
        <v>9.0871418697221328E-3</v>
      </c>
      <c r="W662" s="226">
        <f t="shared" si="177"/>
        <v>8.7147564970710134E-3</v>
      </c>
      <c r="X662" s="226">
        <f t="shared" si="177"/>
        <v>8.3576312433607629E-3</v>
      </c>
      <c r="Y662" s="226">
        <f t="shared" si="177"/>
        <v>8.0151407584912113E-3</v>
      </c>
      <c r="Z662" s="226">
        <f t="shared" si="177"/>
        <v>7.6866853188169541E-3</v>
      </c>
      <c r="AA662" s="226">
        <f t="shared" si="177"/>
        <v>7.3716897769913184E-3</v>
      </c>
      <c r="AB662" s="226">
        <f t="shared" si="177"/>
        <v>7.0696025548450548E-3</v>
      </c>
      <c r="AC662" s="226">
        <f t="shared" si="177"/>
        <v>6.7798946775362362E-3</v>
      </c>
      <c r="AD662" s="226">
        <f t="shared" si="177"/>
        <v>6.5020588472800853E-3</v>
      </c>
      <c r="AE662" s="226">
        <f t="shared" si="175"/>
        <v>6.2356085550367727E-3</v>
      </c>
      <c r="AF662" s="226">
        <f t="shared" si="175"/>
        <v>5.9800772286016891E-3</v>
      </c>
      <c r="AG662" s="226">
        <f t="shared" si="175"/>
        <v>5.7350174156064497E-3</v>
      </c>
      <c r="AH662" s="227">
        <v>5.4999999999999997E-3</v>
      </c>
      <c r="AI662" s="226">
        <f t="shared" si="178"/>
        <v>5.2746134506378309E-3</v>
      </c>
      <c r="AJ662" s="226">
        <f t="shared" si="178"/>
        <v>5.0584631006635504E-3</v>
      </c>
      <c r="AK662" s="226">
        <f t="shared" si="178"/>
        <v>4.851170456420929E-3</v>
      </c>
      <c r="AL662" s="226">
        <f t="shared" si="178"/>
        <v>4.6523725346863084E-3</v>
      </c>
      <c r="AM662" s="226">
        <f t="shared" si="178"/>
        <v>4.4617212270608034E-3</v>
      </c>
      <c r="AN662" s="226">
        <f t="shared" si="178"/>
        <v>4.2788826904093169E-3</v>
      </c>
      <c r="AO662" s="226">
        <f t="shared" si="178"/>
        <v>4.1035367622789766E-3</v>
      </c>
      <c r="AP662" s="226">
        <f t="shared" si="178"/>
        <v>3.9353764002733648E-3</v>
      </c>
      <c r="AQ662" s="226">
        <f t="shared" si="178"/>
        <v>3.7741071444008325E-3</v>
      </c>
      <c r="AR662" s="226">
        <f t="shared" si="178"/>
        <v>3.6194466014554485E-3</v>
      </c>
      <c r="AS662" s="226">
        <f t="shared" si="178"/>
        <v>3.4711239505276895E-3</v>
      </c>
      <c r="AT662" s="226">
        <f t="shared" si="178"/>
        <v>3.3288794687789955E-3</v>
      </c>
      <c r="AU662" s="226">
        <f t="shared" si="178"/>
        <v>3.1924640766497832E-3</v>
      </c>
      <c r="AV662" s="226">
        <f t="shared" si="178"/>
        <v>3.0616389017045511E-3</v>
      </c>
      <c r="AW662" s="226">
        <f t="shared" si="178"/>
        <v>2.9361748603503384E-3</v>
      </c>
      <c r="AX662" s="226">
        <f t="shared" si="178"/>
        <v>2.8158522566960999E-3</v>
      </c>
      <c r="AY662" s="226">
        <f t="shared" si="176"/>
        <v>2.7004603978505706E-3</v>
      </c>
      <c r="AZ662" s="226">
        <f t="shared" si="176"/>
        <v>2.5897972249849834E-3</v>
      </c>
      <c r="BA662" s="226">
        <f t="shared" si="176"/>
        <v>2.4836689595146041E-3</v>
      </c>
      <c r="BB662" s="226">
        <f t="shared" si="179"/>
        <v>2.3818897637795269E-3</v>
      </c>
      <c r="BC662" s="226">
        <f t="shared" si="179"/>
        <v>2.284281415630556E-3</v>
      </c>
      <c r="BD662" s="226">
        <f t="shared" si="179"/>
        <v>2.1906729963503558E-3</v>
      </c>
      <c r="BE662" s="226">
        <f t="shared" si="179"/>
        <v>2.1009005913633937E-3</v>
      </c>
    </row>
    <row r="663" spans="5:57" s="10" customFormat="1" x14ac:dyDescent="0.35">
      <c r="E663" s="109" t="s">
        <v>625</v>
      </c>
      <c r="F663" s="10" t="s">
        <v>615</v>
      </c>
      <c r="G663" s="43" t="s">
        <v>616</v>
      </c>
      <c r="I663" s="20"/>
      <c r="J663" s="200"/>
      <c r="K663" s="200"/>
      <c r="L663" s="200"/>
      <c r="M663" s="200"/>
      <c r="N663" s="200">
        <v>1.2E-2</v>
      </c>
      <c r="O663" s="226">
        <f t="shared" si="177"/>
        <v>1.1508596163084143E-2</v>
      </c>
      <c r="P663" s="226">
        <f t="shared" si="177"/>
        <v>1.1037315470412921E-2</v>
      </c>
      <c r="Q663" s="226">
        <f t="shared" si="177"/>
        <v>1.0585333872795283E-2</v>
      </c>
      <c r="R663" s="226">
        <f t="shared" si="177"/>
        <v>1.0151861066118033E-2</v>
      </c>
      <c r="S663" s="226">
        <f t="shared" si="177"/>
        <v>9.7361391094741064E-3</v>
      </c>
      <c r="T663" s="226">
        <f t="shared" si="177"/>
        <v>9.3374410998789299E-3</v>
      </c>
      <c r="U663" s="226">
        <f t="shared" si="177"/>
        <v>8.9550699012575698E-3</v>
      </c>
      <c r="V663" s="226">
        <f t="shared" si="177"/>
        <v>8.5883569254802637E-3</v>
      </c>
      <c r="W663" s="226">
        <f t="shared" si="177"/>
        <v>8.2366609633149398E-3</v>
      </c>
      <c r="X663" s="226">
        <f t="shared" si="177"/>
        <v>7.8993670632526037E-3</v>
      </c>
      <c r="Y663" s="226">
        <f t="shared" si="177"/>
        <v>7.5758854562451806E-3</v>
      </c>
      <c r="Z663" s="226">
        <f t="shared" si="177"/>
        <v>7.2656505244756871E-3</v>
      </c>
      <c r="AA663" s="226">
        <f t="shared" si="177"/>
        <v>6.9681198123575979E-3</v>
      </c>
      <c r="AB663" s="226">
        <f t="shared" si="177"/>
        <v>6.6827730780341038E-3</v>
      </c>
      <c r="AC663" s="226">
        <f t="shared" si="177"/>
        <v>6.4091113837187741E-3</v>
      </c>
      <c r="AD663" s="226">
        <f t="shared" si="177"/>
        <v>6.1466562232870654E-3</v>
      </c>
      <c r="AE663" s="226">
        <f t="shared" si="175"/>
        <v>5.894948685593232E-3</v>
      </c>
      <c r="AF663" s="226">
        <f t="shared" si="175"/>
        <v>5.6535486520496812E-3</v>
      </c>
      <c r="AG663" s="226">
        <f t="shared" si="175"/>
        <v>5.4220340270657074E-3</v>
      </c>
      <c r="AH663" s="227">
        <v>5.1999999999999998E-3</v>
      </c>
      <c r="AI663" s="226">
        <f t="shared" si="178"/>
        <v>4.9870583373364617E-3</v>
      </c>
      <c r="AJ663" s="226">
        <f t="shared" si="178"/>
        <v>4.7828367038455985E-3</v>
      </c>
      <c r="AK663" s="226">
        <f t="shared" si="178"/>
        <v>4.5869780115446214E-3</v>
      </c>
      <c r="AL663" s="226">
        <f t="shared" si="178"/>
        <v>4.3991397953178132E-3</v>
      </c>
      <c r="AM663" s="226">
        <f t="shared" si="178"/>
        <v>4.2189936141054452E-3</v>
      </c>
      <c r="AN663" s="226">
        <f t="shared" si="178"/>
        <v>4.0462244766142023E-3</v>
      </c>
      <c r="AO663" s="226">
        <f t="shared" si="178"/>
        <v>3.8805302905449458E-3</v>
      </c>
      <c r="AP663" s="226">
        <f t="shared" si="178"/>
        <v>3.7216213343747796E-3</v>
      </c>
      <c r="AQ663" s="226">
        <f t="shared" si="178"/>
        <v>3.5692197507698063E-3</v>
      </c>
      <c r="AR663" s="226">
        <f t="shared" si="178"/>
        <v>3.4230590607427945E-3</v>
      </c>
      <c r="AS663" s="226">
        <f t="shared" si="178"/>
        <v>3.2828836977062442E-3</v>
      </c>
      <c r="AT663" s="226">
        <f t="shared" si="178"/>
        <v>3.1484485606061304E-3</v>
      </c>
      <c r="AU663" s="226">
        <f t="shared" si="178"/>
        <v>3.0195185853549586E-3</v>
      </c>
      <c r="AV663" s="226">
        <f t="shared" si="178"/>
        <v>2.8958683338147777E-3</v>
      </c>
      <c r="AW663" s="226">
        <f t="shared" si="178"/>
        <v>2.7772815996114685E-3</v>
      </c>
      <c r="AX663" s="226">
        <f t="shared" si="178"/>
        <v>2.6635510300910613E-3</v>
      </c>
      <c r="AY663" s="226">
        <f t="shared" si="176"/>
        <v>2.554477763757067E-3</v>
      </c>
      <c r="AZ663" s="226">
        <f t="shared" si="176"/>
        <v>2.449871082554862E-3</v>
      </c>
      <c r="BA663" s="226">
        <f t="shared" si="176"/>
        <v>2.3495480783951401E-3</v>
      </c>
      <c r="BB663" s="226">
        <f t="shared" si="179"/>
        <v>2.2533333333333359E-3</v>
      </c>
      <c r="BC663" s="226">
        <f t="shared" si="179"/>
        <v>2.1610586128458027E-3</v>
      </c>
      <c r="BD663" s="226">
        <f t="shared" si="179"/>
        <v>2.0725625716664286E-3</v>
      </c>
      <c r="BE663" s="226">
        <f t="shared" si="179"/>
        <v>1.9876904716693384E-3</v>
      </c>
    </row>
    <row r="664" spans="5:57" s="10" customFormat="1" x14ac:dyDescent="0.35">
      <c r="E664" s="10" t="s">
        <v>626</v>
      </c>
      <c r="F664" s="10" t="s">
        <v>615</v>
      </c>
      <c r="G664" s="43" t="s">
        <v>616</v>
      </c>
      <c r="I664" s="20"/>
      <c r="J664" s="200"/>
      <c r="K664" s="200"/>
      <c r="L664" s="200"/>
      <c r="M664" s="200"/>
      <c r="N664" s="200">
        <v>1.14E-2</v>
      </c>
      <c r="O664" s="226">
        <f t="shared" si="177"/>
        <v>1.0917461539336938E-2</v>
      </c>
      <c r="P664" s="226">
        <f t="shared" si="177"/>
        <v>1.0455347935342215E-2</v>
      </c>
      <c r="Q664" s="226">
        <f t="shared" si="177"/>
        <v>1.0012794646007411E-2</v>
      </c>
      <c r="R664" s="226">
        <f t="shared" si="177"/>
        <v>9.5889737236021667E-3</v>
      </c>
      <c r="S664" s="226">
        <f t="shared" si="177"/>
        <v>9.1830922657139599E-3</v>
      </c>
      <c r="T664" s="226">
        <f t="shared" si="177"/>
        <v>8.7943909318521623E-3</v>
      </c>
      <c r="U664" s="226">
        <f t="shared" si="177"/>
        <v>8.4221425228411841E-3</v>
      </c>
      <c r="V664" s="226">
        <f t="shared" si="177"/>
        <v>8.0656506203449808E-3</v>
      </c>
      <c r="W664" s="226">
        <f t="shared" si="177"/>
        <v>7.7242482839776699E-3</v>
      </c>
      <c r="X664" s="226">
        <f t="shared" si="177"/>
        <v>7.3972968035627669E-3</v>
      </c>
      <c r="Y664" s="226">
        <f t="shared" si="177"/>
        <v>7.0841845042067166E-3</v>
      </c>
      <c r="Z664" s="226">
        <f t="shared" si="177"/>
        <v>6.7843256019511876E-3</v>
      </c>
      <c r="AA664" s="226">
        <f t="shared" si="177"/>
        <v>6.4971591078632459E-3</v>
      </c>
      <c r="AB664" s="226">
        <f t="shared" si="177"/>
        <v>6.2221477785131289E-3</v>
      </c>
      <c r="AC664" s="226">
        <f t="shared" si="177"/>
        <v>5.958777110876127E-3</v>
      </c>
      <c r="AD664" s="226">
        <f t="shared" si="177"/>
        <v>5.7065543797781915E-3</v>
      </c>
      <c r="AE664" s="226">
        <f t="shared" si="175"/>
        <v>5.4650077160844869E-3</v>
      </c>
      <c r="AF664" s="226">
        <f t="shared" si="175"/>
        <v>5.2336852239063137E-3</v>
      </c>
      <c r="AG664" s="226">
        <f t="shared" si="175"/>
        <v>5.0121541351748422E-3</v>
      </c>
      <c r="AH664" s="227">
        <v>4.7999999999999996E-3</v>
      </c>
      <c r="AI664" s="226">
        <f t="shared" si="178"/>
        <v>4.5968259112997628E-3</v>
      </c>
      <c r="AJ664" s="226">
        <f t="shared" si="178"/>
        <v>4.4022517622493533E-3</v>
      </c>
      <c r="AK664" s="226">
        <f t="shared" si="178"/>
        <v>4.2159135351610144E-3</v>
      </c>
      <c r="AL664" s="226">
        <f t="shared" si="178"/>
        <v>4.0374626204640702E-3</v>
      </c>
      <c r="AM664" s="226">
        <f t="shared" si="178"/>
        <v>3.8665651645111414E-3</v>
      </c>
      <c r="AN664" s="226">
        <f t="shared" si="178"/>
        <v>3.7029014449903846E-3</v>
      </c>
      <c r="AO664" s="226">
        <f t="shared" si="178"/>
        <v>3.546165272775236E-3</v>
      </c>
      <c r="AP664" s="226">
        <f t="shared" si="178"/>
        <v>3.3960634190926243E-3</v>
      </c>
      <c r="AQ664" s="226">
        <f t="shared" si="178"/>
        <v>3.2523150669379669E-3</v>
      </c>
      <c r="AR664" s="226">
        <f t="shared" si="178"/>
        <v>3.1146512857106391E-3</v>
      </c>
      <c r="AS664" s="226">
        <f t="shared" si="178"/>
        <v>2.9828145280870388E-3</v>
      </c>
      <c r="AT664" s="226">
        <f t="shared" si="178"/>
        <v>2.8565581481899737E-3</v>
      </c>
      <c r="AU664" s="226">
        <f t="shared" si="178"/>
        <v>2.7356459401529456E-3</v>
      </c>
      <c r="AV664" s="226">
        <f t="shared" si="178"/>
        <v>2.6198516962160543E-3</v>
      </c>
      <c r="AW664" s="226">
        <f t="shared" si="178"/>
        <v>2.5089587835267903E-3</v>
      </c>
      <c r="AX664" s="226">
        <f t="shared" si="178"/>
        <v>2.4027597388539754E-3</v>
      </c>
      <c r="AY664" s="226">
        <f t="shared" si="176"/>
        <v>2.3010558804566262E-3</v>
      </c>
      <c r="AZ664" s="226">
        <f t="shared" si="176"/>
        <v>2.203656936381606E-3</v>
      </c>
      <c r="BA664" s="226">
        <f t="shared" si="176"/>
        <v>2.1103806884946708E-3</v>
      </c>
      <c r="BB664" s="226">
        <f t="shared" si="179"/>
        <v>2.0210526315789451E-3</v>
      </c>
      <c r="BC664" s="226">
        <f t="shared" si="179"/>
        <v>1.9355056468630559E-3</v>
      </c>
      <c r="BD664" s="226">
        <f t="shared" si="179"/>
        <v>1.8535796893681467E-3</v>
      </c>
      <c r="BE664" s="226">
        <f t="shared" si="179"/>
        <v>1.7751214884888463E-3</v>
      </c>
    </row>
    <row r="665" spans="5:57" s="10" customFormat="1" x14ac:dyDescent="0.35">
      <c r="E665" s="10" t="s">
        <v>627</v>
      </c>
      <c r="F665" s="10" t="s">
        <v>615</v>
      </c>
      <c r="G665" s="43" t="s">
        <v>616</v>
      </c>
      <c r="I665" s="20"/>
      <c r="J665" s="200"/>
      <c r="K665" s="200"/>
      <c r="L665" s="200"/>
      <c r="M665" s="200"/>
      <c r="N665" s="200">
        <v>1.0800000000000001E-2</v>
      </c>
      <c r="O665" s="226">
        <f t="shared" si="177"/>
        <v>1.0337444559233386E-2</v>
      </c>
      <c r="P665" s="226">
        <f t="shared" si="177"/>
        <v>9.8947000014096235E-3</v>
      </c>
      <c r="Q665" s="226">
        <f t="shared" si="177"/>
        <v>9.4709178421128228E-3</v>
      </c>
      <c r="R665" s="226">
        <f t="shared" si="177"/>
        <v>9.0652859368421847E-3</v>
      </c>
      <c r="S665" s="226">
        <f t="shared" si="177"/>
        <v>8.6770269246022377E-3</v>
      </c>
      <c r="T665" s="226">
        <f t="shared" si="177"/>
        <v>8.30539673815287E-3</v>
      </c>
      <c r="U665" s="226">
        <f t="shared" si="177"/>
        <v>7.9496831780641753E-3</v>
      </c>
      <c r="V665" s="226">
        <f t="shared" si="177"/>
        <v>7.6092045478433961E-3</v>
      </c>
      <c r="W665" s="226">
        <f t="shared" si="177"/>
        <v>7.2833083475183002E-3</v>
      </c>
      <c r="X665" s="226">
        <f t="shared" si="177"/>
        <v>6.9713700231733471E-3</v>
      </c>
      <c r="Y665" s="226">
        <f t="shared" si="177"/>
        <v>6.6727917700422253E-3</v>
      </c>
      <c r="Z665" s="226">
        <f t="shared" si="177"/>
        <v>6.387001386862992E-3</v>
      </c>
      <c r="AA665" s="226">
        <f t="shared" si="177"/>
        <v>6.1134511793002706E-3</v>
      </c>
      <c r="AB665" s="226">
        <f t="shared" si="177"/>
        <v>5.85161691033301E-3</v>
      </c>
      <c r="AC665" s="226">
        <f t="shared" si="177"/>
        <v>5.6009967955963002E-3</v>
      </c>
      <c r="AD665" s="226">
        <f t="shared" si="177"/>
        <v>5.3611105417519078E-3</v>
      </c>
      <c r="AE665" s="226">
        <f t="shared" si="175"/>
        <v>5.1314984260446301E-3</v>
      </c>
      <c r="AF665" s="226">
        <f t="shared" si="175"/>
        <v>4.9117204152805318E-3</v>
      </c>
      <c r="AG665" s="226">
        <f t="shared" si="175"/>
        <v>4.7013553225386364E-3</v>
      </c>
      <c r="AH665" s="227">
        <v>4.4999999999999997E-3</v>
      </c>
      <c r="AI665" s="226">
        <f t="shared" si="178"/>
        <v>4.3072685663472438E-3</v>
      </c>
      <c r="AJ665" s="226">
        <f t="shared" si="178"/>
        <v>4.1227916672540088E-3</v>
      </c>
      <c r="AK665" s="226">
        <f t="shared" si="178"/>
        <v>3.946215767547008E-3</v>
      </c>
      <c r="AL665" s="226">
        <f t="shared" si="178"/>
        <v>3.7772024736842423E-3</v>
      </c>
      <c r="AM665" s="226">
        <f t="shared" si="178"/>
        <v>3.6154278852509312E-3</v>
      </c>
      <c r="AN665" s="226">
        <f t="shared" si="178"/>
        <v>3.4605819742303612E-3</v>
      </c>
      <c r="AO665" s="226">
        <f t="shared" si="178"/>
        <v>3.3123679908600716E-3</v>
      </c>
      <c r="AP665" s="226">
        <f t="shared" si="178"/>
        <v>3.170501894934747E-3</v>
      </c>
      <c r="AQ665" s="226">
        <f t="shared" si="178"/>
        <v>3.0347118114659572E-3</v>
      </c>
      <c r="AR665" s="226">
        <f t="shared" si="178"/>
        <v>2.9047375096555601E-3</v>
      </c>
      <c r="AS665" s="226">
        <f t="shared" si="178"/>
        <v>2.7803299041842594E-3</v>
      </c>
      <c r="AT665" s="226">
        <f t="shared" si="178"/>
        <v>2.6612505778595788E-3</v>
      </c>
      <c r="AU665" s="226">
        <f t="shared" si="178"/>
        <v>2.5472713247084449E-3</v>
      </c>
      <c r="AV665" s="226">
        <f t="shared" si="178"/>
        <v>2.4381737126387528E-3</v>
      </c>
      <c r="AW665" s="226">
        <f t="shared" si="178"/>
        <v>2.3337486648317904E-3</v>
      </c>
      <c r="AX665" s="226">
        <f t="shared" si="178"/>
        <v>2.2337960590632935E-3</v>
      </c>
      <c r="AY665" s="226">
        <f t="shared" si="176"/>
        <v>2.1381243441852614E-3</v>
      </c>
      <c r="AZ665" s="226">
        <f t="shared" si="176"/>
        <v>2.0465501730335539E-3</v>
      </c>
      <c r="BA665" s="226">
        <f t="shared" si="176"/>
        <v>1.9588980510577645E-3</v>
      </c>
      <c r="BB665" s="226">
        <f t="shared" si="179"/>
        <v>1.8749999999999971E-3</v>
      </c>
      <c r="BC665" s="226">
        <f t="shared" si="179"/>
        <v>1.7946952359780156E-3</v>
      </c>
      <c r="BD665" s="226">
        <f t="shared" si="179"/>
        <v>1.7178298613558347E-3</v>
      </c>
      <c r="BE665" s="226">
        <f t="shared" si="179"/>
        <v>1.6442565698112513E-3</v>
      </c>
    </row>
    <row r="666" spans="5:57" s="10" customFormat="1" x14ac:dyDescent="0.35">
      <c r="E666" s="10" t="s">
        <v>628</v>
      </c>
      <c r="F666" s="10" t="s">
        <v>615</v>
      </c>
      <c r="G666" s="43" t="s">
        <v>616</v>
      </c>
      <c r="I666" s="20"/>
      <c r="J666" s="200"/>
      <c r="K666" s="200"/>
      <c r="L666" s="200"/>
      <c r="M666" s="200"/>
      <c r="N666" s="200">
        <v>9.1999999999999998E-3</v>
      </c>
      <c r="O666" s="226">
        <f t="shared" si="177"/>
        <v>8.7660075061571641E-3</v>
      </c>
      <c r="P666" s="226">
        <f t="shared" si="177"/>
        <v>8.3524877823917109E-3</v>
      </c>
      <c r="Q666" s="226">
        <f t="shared" si="177"/>
        <v>7.9584750647317109E-3</v>
      </c>
      <c r="R666" s="226">
        <f t="shared" si="177"/>
        <v>7.583049147282913E-3</v>
      </c>
      <c r="S666" s="226">
        <f t="shared" si="177"/>
        <v>7.2253332331131187E-3</v>
      </c>
      <c r="T666" s="226">
        <f t="shared" si="177"/>
        <v>6.8844918865170008E-3</v>
      </c>
      <c r="U666" s="226">
        <f t="shared" si="177"/>
        <v>6.5597290818789258E-3</v>
      </c>
      <c r="V666" s="226">
        <f t="shared" si="177"/>
        <v>6.2502863445769675E-3</v>
      </c>
      <c r="W666" s="226">
        <f t="shared" si="177"/>
        <v>5.9554409795862301E-3</v>
      </c>
      <c r="X666" s="226">
        <f t="shared" si="177"/>
        <v>5.6745043836444421E-3</v>
      </c>
      <c r="Y666" s="226">
        <f t="shared" si="177"/>
        <v>5.4068204370379246E-3</v>
      </c>
      <c r="Z666" s="226">
        <f t="shared" si="177"/>
        <v>5.151763971252E-3</v>
      </c>
      <c r="AA666" s="226">
        <f t="shared" si="177"/>
        <v>4.9087393089070732E-3</v>
      </c>
      <c r="AB666" s="226">
        <f t="shared" si="177"/>
        <v>4.6771788725704488E-3</v>
      </c>
      <c r="AC666" s="226">
        <f t="shared" si="177"/>
        <v>4.4565418591948104E-3</v>
      </c>
      <c r="AD666" s="226">
        <f t="shared" si="177"/>
        <v>4.2463129770875336E-3</v>
      </c>
      <c r="AE666" s="226">
        <f t="shared" si="175"/>
        <v>4.0460012424610751E-3</v>
      </c>
      <c r="AF666" s="226">
        <f t="shared" si="175"/>
        <v>3.8551388327538036E-3</v>
      </c>
      <c r="AG666" s="226">
        <f t="shared" si="175"/>
        <v>3.6732799940432399E-3</v>
      </c>
      <c r="AH666" s="227">
        <v>3.5000000000000001E-3</v>
      </c>
      <c r="AI666" s="226">
        <f t="shared" si="178"/>
        <v>3.334894159951095E-3</v>
      </c>
      <c r="AJ666" s="226">
        <f t="shared" si="178"/>
        <v>3.1775768737359769E-3</v>
      </c>
      <c r="AK666" s="226">
        <f t="shared" si="178"/>
        <v>3.0276807311479335E-3</v>
      </c>
      <c r="AL666" s="226">
        <f t="shared" si="178"/>
        <v>2.8848556538576299E-3</v>
      </c>
      <c r="AM666" s="226">
        <f t="shared" si="178"/>
        <v>2.7487680778147732E-3</v>
      </c>
      <c r="AN666" s="226">
        <f t="shared" si="178"/>
        <v>2.619100174218424E-3</v>
      </c>
      <c r="AO666" s="226">
        <f t="shared" si="178"/>
        <v>2.4955491072365479E-3</v>
      </c>
      <c r="AP666" s="226">
        <f t="shared" si="178"/>
        <v>2.3778263267412378E-3</v>
      </c>
      <c r="AQ666" s="226">
        <f t="shared" si="178"/>
        <v>2.2656568944078052E-3</v>
      </c>
      <c r="AR666" s="226">
        <f t="shared" si="178"/>
        <v>2.1587788416038639E-3</v>
      </c>
      <c r="AS666" s="226">
        <f t="shared" si="178"/>
        <v>2.0569425575687758E-3</v>
      </c>
      <c r="AT666" s="226">
        <f t="shared" si="178"/>
        <v>1.9599102064545653E-3</v>
      </c>
      <c r="AU666" s="226">
        <f t="shared" si="178"/>
        <v>1.8674551718668212E-3</v>
      </c>
      <c r="AV666" s="226">
        <f t="shared" si="178"/>
        <v>1.7793615276083228E-3</v>
      </c>
      <c r="AW666" s="226">
        <f t="shared" si="178"/>
        <v>1.6954235333893298E-3</v>
      </c>
      <c r="AX666" s="226">
        <f t="shared" si="178"/>
        <v>1.6154451543267789E-3</v>
      </c>
      <c r="AY666" s="226">
        <f t="shared" si="176"/>
        <v>1.5392396031101913E-3</v>
      </c>
      <c r="AZ666" s="226">
        <f t="shared" si="176"/>
        <v>1.4666289037650337E-3</v>
      </c>
      <c r="BA666" s="226">
        <f t="shared" si="176"/>
        <v>1.3974434759947106E-3</v>
      </c>
      <c r="BB666" s="226">
        <f t="shared" si="179"/>
        <v>1.3315217391304337E-3</v>
      </c>
      <c r="BC666" s="226">
        <f t="shared" si="179"/>
        <v>1.2687097347640025E-3</v>
      </c>
      <c r="BD666" s="226">
        <f t="shared" si="179"/>
        <v>1.2088607671821641E-3</v>
      </c>
      <c r="BE666" s="226">
        <f t="shared" si="179"/>
        <v>1.1518350607627999E-3</v>
      </c>
    </row>
    <row r="667" spans="5:57" s="10" customFormat="1" x14ac:dyDescent="0.35">
      <c r="E667" s="10" t="s">
        <v>629</v>
      </c>
      <c r="F667" s="10" t="s">
        <v>615</v>
      </c>
      <c r="G667" s="43" t="s">
        <v>616</v>
      </c>
      <c r="I667" s="20"/>
      <c r="J667" s="200"/>
      <c r="K667" s="200"/>
      <c r="L667" s="200"/>
      <c r="M667" s="200"/>
      <c r="N667" s="200">
        <v>7.7999999999999996E-3</v>
      </c>
      <c r="O667" s="226">
        <f t="shared" si="177"/>
        <v>7.3970415938588623E-3</v>
      </c>
      <c r="P667" s="226">
        <f t="shared" si="177"/>
        <v>7.0149005565741098E-3</v>
      </c>
      <c r="Q667" s="226">
        <f t="shared" si="177"/>
        <v>6.6525014350977407E-3</v>
      </c>
      <c r="R667" s="226">
        <f t="shared" si="177"/>
        <v>6.3088243357209955E-3</v>
      </c>
      <c r="S667" s="226">
        <f t="shared" si="177"/>
        <v>5.9829020538047705E-3</v>
      </c>
      <c r="T667" s="226">
        <f t="shared" si="177"/>
        <v>5.6738173517919873E-3</v>
      </c>
      <c r="U667" s="226">
        <f t="shared" si="177"/>
        <v>5.3807003778414712E-3</v>
      </c>
      <c r="V667" s="226">
        <f t="shared" si="177"/>
        <v>5.1027262178186487E-3</v>
      </c>
      <c r="W667" s="226">
        <f t="shared" si="177"/>
        <v>4.8391125737536744E-3</v>
      </c>
      <c r="X667" s="226">
        <f t="shared" si="177"/>
        <v>4.5891175622335056E-3</v>
      </c>
      <c r="Y667" s="226">
        <f t="shared" si="177"/>
        <v>4.3520376265319778E-3</v>
      </c>
      <c r="Z667" s="226">
        <f t="shared" si="177"/>
        <v>4.1272055566020311E-3</v>
      </c>
      <c r="AA667" s="226">
        <f t="shared" si="177"/>
        <v>3.9139886113577745E-3</v>
      </c>
      <c r="AB667" s="226">
        <f t="shared" si="177"/>
        <v>3.7117867379619679E-3</v>
      </c>
      <c r="AC667" s="226">
        <f t="shared" si="177"/>
        <v>3.5200308831074851E-3</v>
      </c>
      <c r="AD667" s="226">
        <f t="shared" si="177"/>
        <v>3.3381813915402321E-3</v>
      </c>
      <c r="AE667" s="226">
        <f t="shared" si="175"/>
        <v>3.1657264873165068E-3</v>
      </c>
      <c r="AF667" s="226">
        <f t="shared" si="175"/>
        <v>3.0021808335206298E-3</v>
      </c>
      <c r="AG667" s="226">
        <f t="shared" si="175"/>
        <v>2.8470841663894831E-3</v>
      </c>
      <c r="AH667" s="227">
        <v>2.7000000000000001E-3</v>
      </c>
      <c r="AI667" s="226">
        <f t="shared" si="178"/>
        <v>2.5605143978742217E-3</v>
      </c>
      <c r="AJ667" s="226">
        <f t="shared" si="178"/>
        <v>2.4282348080448845E-3</v>
      </c>
      <c r="AK667" s="226">
        <f t="shared" si="178"/>
        <v>2.3027889583030641E-3</v>
      </c>
      <c r="AL667" s="226">
        <f t="shared" si="178"/>
        <v>2.1838238085188063E-3</v>
      </c>
      <c r="AM667" s="226">
        <f t="shared" si="178"/>
        <v>2.0710045570862669E-3</v>
      </c>
      <c r="AN667" s="226">
        <f t="shared" si="178"/>
        <v>1.9640136986972265E-3</v>
      </c>
      <c r="AO667" s="226">
        <f t="shared" si="178"/>
        <v>1.8625501307912786E-3</v>
      </c>
      <c r="AP667" s="226">
        <f t="shared" si="178"/>
        <v>1.7663283061679939E-3</v>
      </c>
      <c r="AQ667" s="226">
        <f t="shared" si="178"/>
        <v>1.675077429376272E-3</v>
      </c>
      <c r="AR667" s="226">
        <f t="shared" si="178"/>
        <v>1.5885406946192905E-3</v>
      </c>
      <c r="AS667" s="226">
        <f t="shared" si="178"/>
        <v>1.5064745630303002E-3</v>
      </c>
      <c r="AT667" s="226">
        <f t="shared" si="178"/>
        <v>1.4286480772853186E-3</v>
      </c>
      <c r="AU667" s="226">
        <f t="shared" si="178"/>
        <v>1.3548422116238452E-3</v>
      </c>
      <c r="AV667" s="226">
        <f t="shared" si="178"/>
        <v>1.2848492554483736E-3</v>
      </c>
      <c r="AW667" s="226">
        <f t="shared" si="178"/>
        <v>1.2184722287679757E-3</v>
      </c>
      <c r="AX667" s="226">
        <f t="shared" si="178"/>
        <v>1.1555243278408497E-3</v>
      </c>
      <c r="AY667" s="226">
        <f t="shared" si="176"/>
        <v>1.095828399455714E-3</v>
      </c>
      <c r="AZ667" s="226">
        <f t="shared" si="176"/>
        <v>1.0392164423725257E-3</v>
      </c>
      <c r="BA667" s="226">
        <f t="shared" si="176"/>
        <v>9.8552913451943635E-4</v>
      </c>
      <c r="BB667" s="226">
        <f t="shared" si="179"/>
        <v>9.3461538461538421E-4</v>
      </c>
      <c r="BC667" s="226">
        <f t="shared" si="179"/>
        <v>8.8633190695646096E-4</v>
      </c>
      <c r="BD667" s="226">
        <f t="shared" si="179"/>
        <v>8.4054281816938272E-4</v>
      </c>
      <c r="BE667" s="226">
        <f t="shared" si="179"/>
        <v>7.9711925479721425E-4</v>
      </c>
    </row>
    <row r="668" spans="5:57" s="10" customFormat="1" x14ac:dyDescent="0.35">
      <c r="E668" s="10" t="s">
        <v>630</v>
      </c>
      <c r="F668" s="10" t="s">
        <v>615</v>
      </c>
      <c r="G668" s="43" t="s">
        <v>616</v>
      </c>
      <c r="I668" s="20"/>
      <c r="J668" s="200"/>
      <c r="K668" s="200"/>
      <c r="L668" s="200"/>
      <c r="M668" s="200"/>
      <c r="N668" s="200">
        <v>6.6E-3</v>
      </c>
      <c r="O668" s="226">
        <f t="shared" si="177"/>
        <v>6.232721241482532E-3</v>
      </c>
      <c r="P668" s="226">
        <f t="shared" si="177"/>
        <v>5.8858809203072059E-3</v>
      </c>
      <c r="Q668" s="226">
        <f t="shared" si="177"/>
        <v>5.5583416722477996E-3</v>
      </c>
      <c r="R668" s="226">
        <f t="shared" si="177"/>
        <v>5.249029425460061E-3</v>
      </c>
      <c r="S668" s="226">
        <f t="shared" si="177"/>
        <v>4.9569298783684506E-3</v>
      </c>
      <c r="T668" s="226">
        <f t="shared" si="177"/>
        <v>4.6810851735524951E-3</v>
      </c>
      <c r="U668" s="226">
        <f t="shared" si="177"/>
        <v>4.4205907567256945E-3</v>
      </c>
      <c r="V668" s="226">
        <f t="shared" si="177"/>
        <v>4.1745924105069058E-3</v>
      </c>
      <c r="W668" s="226">
        <f t="shared" si="177"/>
        <v>3.9422834532572967E-3</v>
      </c>
      <c r="X668" s="226">
        <f t="shared" si="177"/>
        <v>3.7229020937972518E-3</v>
      </c>
      <c r="Y668" s="226">
        <f t="shared" si="177"/>
        <v>3.5157289333287768E-3</v>
      </c>
      <c r="Z668" s="226">
        <f t="shared" si="177"/>
        <v>3.3200846063716656E-3</v>
      </c>
      <c r="AA668" s="226">
        <f t="shared" si="177"/>
        <v>3.1353275529775533E-3</v>
      </c>
      <c r="AB668" s="226">
        <f t="shared" si="177"/>
        <v>2.9608519149164616E-3</v>
      </c>
      <c r="AC668" s="226">
        <f t="shared" si="177"/>
        <v>2.796085548936979E-3</v>
      </c>
      <c r="AD668" s="226">
        <f t="shared" si="177"/>
        <v>2.6404881505851297E-3</v>
      </c>
      <c r="AE668" s="226">
        <f t="shared" si="175"/>
        <v>2.493549482429525E-3</v>
      </c>
      <c r="AF668" s="226">
        <f t="shared" si="175"/>
        <v>2.354787700882769E-3</v>
      </c>
      <c r="AG668" s="226">
        <f t="shared" si="175"/>
        <v>2.2237477761324017E-3</v>
      </c>
      <c r="AH668" s="227">
        <v>2.0999999999999999E-3</v>
      </c>
      <c r="AI668" s="226">
        <f t="shared" si="178"/>
        <v>1.9831385768353509E-3</v>
      </c>
      <c r="AJ668" s="226">
        <f t="shared" si="178"/>
        <v>1.8727802928250198E-3</v>
      </c>
      <c r="AK668" s="226">
        <f t="shared" si="178"/>
        <v>1.7685632593515722E-3</v>
      </c>
      <c r="AL668" s="226">
        <f t="shared" si="178"/>
        <v>1.6701457262827462E-3</v>
      </c>
      <c r="AM668" s="226">
        <f t="shared" si="178"/>
        <v>1.5772049612990521E-3</v>
      </c>
      <c r="AN668" s="226">
        <f t="shared" si="178"/>
        <v>1.4894361915848845E-3</v>
      </c>
      <c r="AO668" s="226">
        <f t="shared" si="178"/>
        <v>1.4065516044127206E-3</v>
      </c>
      <c r="AP668" s="226">
        <f t="shared" si="178"/>
        <v>1.328279403343106E-3</v>
      </c>
      <c r="AQ668" s="226">
        <f t="shared" si="178"/>
        <v>1.2543629169455032E-3</v>
      </c>
      <c r="AR668" s="226">
        <f t="shared" si="178"/>
        <v>1.1845597571173072E-3</v>
      </c>
      <c r="AS668" s="226">
        <f t="shared" si="178"/>
        <v>1.1186410242409741E-3</v>
      </c>
      <c r="AT668" s="226">
        <f t="shared" si="178"/>
        <v>1.0563905565728023E-3</v>
      </c>
      <c r="AU668" s="226">
        <f t="shared" si="178"/>
        <v>9.9760422140194845E-4</v>
      </c>
      <c r="AV668" s="226">
        <f t="shared" si="178"/>
        <v>9.4208924565523748E-4</v>
      </c>
      <c r="AW668" s="226">
        <f t="shared" si="178"/>
        <v>8.8966358375267484E-4</v>
      </c>
      <c r="AX668" s="226">
        <f t="shared" si="178"/>
        <v>8.4015532064072272E-4</v>
      </c>
      <c r="AY668" s="226">
        <f t="shared" si="176"/>
        <v>7.9340210804575758E-4</v>
      </c>
      <c r="AZ668" s="226">
        <f t="shared" si="176"/>
        <v>7.4925063209906246E-4</v>
      </c>
      <c r="BA668" s="226">
        <f t="shared" si="176"/>
        <v>7.0755611058758187E-4</v>
      </c>
      <c r="BB668" s="226">
        <f t="shared" si="179"/>
        <v>6.6818181818181592E-4</v>
      </c>
      <c r="BC668" s="226">
        <f t="shared" si="179"/>
        <v>6.3099863808397326E-4</v>
      </c>
      <c r="BD668" s="226">
        <f t="shared" si="179"/>
        <v>5.9588463862614077E-4</v>
      </c>
      <c r="BE668" s="226">
        <f t="shared" si="179"/>
        <v>5.6272467343004395E-4</v>
      </c>
    </row>
    <row r="669" spans="5:57" s="10" customFormat="1" x14ac:dyDescent="0.35">
      <c r="E669" s="10" t="s">
        <v>631</v>
      </c>
      <c r="F669" s="10" t="s">
        <v>615</v>
      </c>
      <c r="G669" s="43" t="s">
        <v>616</v>
      </c>
      <c r="I669" s="20"/>
      <c r="J669" s="200"/>
      <c r="K669" s="200"/>
      <c r="L669" s="200"/>
      <c r="M669" s="200"/>
      <c r="N669" s="200">
        <v>5.5999999999999999E-3</v>
      </c>
      <c r="O669" s="226">
        <f t="shared" si="177"/>
        <v>5.2759548669258647E-3</v>
      </c>
      <c r="P669" s="226">
        <f t="shared" si="177"/>
        <v>4.9706606710426277E-3</v>
      </c>
      <c r="Q669" s="226">
        <f t="shared" si="177"/>
        <v>4.6830323855757737E-3</v>
      </c>
      <c r="R669" s="226">
        <f t="shared" si="177"/>
        <v>4.4120477690446332E-3</v>
      </c>
      <c r="S669" s="226">
        <f t="shared" si="177"/>
        <v>4.1567437321786494E-3</v>
      </c>
      <c r="T669" s="226">
        <f t="shared" si="177"/>
        <v>3.9162129150627726E-3</v>
      </c>
      <c r="U669" s="226">
        <f t="shared" si="177"/>
        <v>3.6896004623470291E-3</v>
      </c>
      <c r="V669" s="226">
        <f t="shared" si="177"/>
        <v>3.4761009850592371E-3</v>
      </c>
      <c r="W669" s="226">
        <f t="shared" si="177"/>
        <v>3.2749556982230488E-3</v>
      </c>
      <c r="X669" s="226">
        <f t="shared" si="177"/>
        <v>3.0854497241083012E-3</v>
      </c>
      <c r="Y669" s="226">
        <f t="shared" si="177"/>
        <v>2.9069095515293318E-3</v>
      </c>
      <c r="Z669" s="226">
        <f t="shared" si="177"/>
        <v>2.7387006421615108E-3</v>
      </c>
      <c r="AA669" s="226">
        <f t="shared" si="177"/>
        <v>2.5802251753687523E-3</v>
      </c>
      <c r="AB669" s="226">
        <f t="shared" si="177"/>
        <v>2.4309199235270375E-3</v>
      </c>
      <c r="AC669" s="226">
        <f t="shared" si="177"/>
        <v>2.290254250292772E-3</v>
      </c>
      <c r="AD669" s="226">
        <f t="shared" si="177"/>
        <v>2.1577282247017496E-3</v>
      </c>
      <c r="AE669" s="226">
        <f t="shared" si="175"/>
        <v>2.0328708443961611E-3</v>
      </c>
      <c r="AF669" s="226">
        <f t="shared" si="175"/>
        <v>1.9152383616649316E-3</v>
      </c>
      <c r="AG669" s="226">
        <f t="shared" si="175"/>
        <v>1.804412706348074E-3</v>
      </c>
      <c r="AH669" s="227">
        <v>1.6999999999999999E-3</v>
      </c>
      <c r="AI669" s="226">
        <f t="shared" si="178"/>
        <v>1.6016291560310659E-3</v>
      </c>
      <c r="AJ669" s="226">
        <f t="shared" si="178"/>
        <v>1.5089505608522262E-3</v>
      </c>
      <c r="AK669" s="226">
        <f t="shared" si="178"/>
        <v>1.4216348313355028E-3</v>
      </c>
      <c r="AL669" s="226">
        <f t="shared" si="178"/>
        <v>1.3393716441742636E-3</v>
      </c>
      <c r="AM669" s="226">
        <f t="shared" si="178"/>
        <v>1.2618686329828042E-3</v>
      </c>
      <c r="AN669" s="226">
        <f t="shared" si="178"/>
        <v>1.1888503492154844E-3</v>
      </c>
      <c r="AO669" s="226">
        <f t="shared" si="178"/>
        <v>1.1200572832124908E-3</v>
      </c>
      <c r="AP669" s="226">
        <f t="shared" si="178"/>
        <v>1.0552449418929825E-3</v>
      </c>
      <c r="AQ669" s="226">
        <f t="shared" si="178"/>
        <v>9.9418297981771105E-4</v>
      </c>
      <c r="AR669" s="226">
        <f t="shared" si="178"/>
        <v>9.36654380532877E-4</v>
      </c>
      <c r="AS669" s="226">
        <f t="shared" si="178"/>
        <v>8.8245468528568981E-4</v>
      </c>
      <c r="AT669" s="226">
        <f t="shared" si="178"/>
        <v>8.3139126637045836E-4</v>
      </c>
      <c r="AU669" s="226">
        <f t="shared" si="178"/>
        <v>7.8328264252265666E-4</v>
      </c>
      <c r="AV669" s="226">
        <f t="shared" si="178"/>
        <v>7.3795783392785041E-4</v>
      </c>
      <c r="AW669" s="226">
        <f t="shared" si="178"/>
        <v>6.9525575455316267E-4</v>
      </c>
      <c r="AX669" s="226">
        <f t="shared" si="178"/>
        <v>6.5502463964160231E-4</v>
      </c>
      <c r="AY669" s="226">
        <f t="shared" si="176"/>
        <v>6.1712150633454861E-4</v>
      </c>
      <c r="AZ669" s="226">
        <f t="shared" si="176"/>
        <v>5.8141164550542547E-4</v>
      </c>
      <c r="BA669" s="226">
        <f t="shared" si="176"/>
        <v>5.4776814299852233E-4</v>
      </c>
      <c r="BB669" s="226">
        <f t="shared" si="179"/>
        <v>5.1607142857142802E-4</v>
      </c>
      <c r="BC669" s="226">
        <f t="shared" si="179"/>
        <v>4.8620885093800167E-4</v>
      </c>
      <c r="BD669" s="226">
        <f t="shared" si="179"/>
        <v>4.5807427740156823E-4</v>
      </c>
      <c r="BE669" s="226">
        <f t="shared" si="179"/>
        <v>4.3156771665542006E-4</v>
      </c>
    </row>
    <row r="670" spans="5:57" s="10" customFormat="1" x14ac:dyDescent="0.35">
      <c r="E670" s="10" t="s">
        <v>632</v>
      </c>
      <c r="F670" s="10" t="s">
        <v>615</v>
      </c>
      <c r="G670" s="43" t="s">
        <v>616</v>
      </c>
      <c r="I670" s="20"/>
      <c r="J670" s="200"/>
      <c r="K670" s="200"/>
      <c r="L670" s="200"/>
      <c r="M670" s="200"/>
      <c r="N670" s="200">
        <v>4.7000000000000002E-3</v>
      </c>
      <c r="O670" s="226">
        <f t="shared" si="177"/>
        <v>4.4074777916053281E-3</v>
      </c>
      <c r="P670" s="226">
        <f t="shared" si="177"/>
        <v>4.1331618049987619E-3</v>
      </c>
      <c r="Q670" s="226">
        <f t="shared" si="177"/>
        <v>3.8759189073709435E-3</v>
      </c>
      <c r="R670" s="226">
        <f t="shared" si="177"/>
        <v>3.6346864907022599E-3</v>
      </c>
      <c r="S670" s="226">
        <f t="shared" si="177"/>
        <v>3.4084680823868335E-3</v>
      </c>
      <c r="T670" s="226">
        <f t="shared" si="177"/>
        <v>3.1963292290458655E-3</v>
      </c>
      <c r="U670" s="226">
        <f t="shared" si="177"/>
        <v>2.9973936365273687E-3</v>
      </c>
      <c r="V670" s="226">
        <f t="shared" si="177"/>
        <v>2.8108395501475554E-3</v>
      </c>
      <c r="W670" s="226">
        <f t="shared" si="177"/>
        <v>2.6358963602215449E-3</v>
      </c>
      <c r="X670" s="226">
        <f t="shared" si="177"/>
        <v>2.4718414188616548E-3</v>
      </c>
      <c r="Y670" s="226">
        <f t="shared" si="177"/>
        <v>2.3179970548942441E-3</v>
      </c>
      <c r="Z670" s="226">
        <f t="shared" si="177"/>
        <v>2.173727774564455E-3</v>
      </c>
      <c r="AA670" s="226">
        <f t="shared" si="177"/>
        <v>2.0384376364656403E-3</v>
      </c>
      <c r="AB670" s="226">
        <f t="shared" si="177"/>
        <v>1.9115677898499501E-3</v>
      </c>
      <c r="AC670" s="226">
        <f t="shared" si="177"/>
        <v>1.7925941661514331E-3</v>
      </c>
      <c r="AD670" s="226">
        <f t="shared" ref="AD670:AG685" si="180">AC670*(1+($AH670/$N670)^(1/($AH$6-$N$6))-1)</f>
        <v>1.6810253141858963E-3</v>
      </c>
      <c r="AE670" s="226">
        <f t="shared" si="180"/>
        <v>1.5764003700852569E-3</v>
      </c>
      <c r="AF670" s="226">
        <f t="shared" si="180"/>
        <v>1.4782871535806788E-3</v>
      </c>
      <c r="AG670" s="226">
        <f t="shared" si="180"/>
        <v>1.3862803827707014E-3</v>
      </c>
      <c r="AH670" s="227">
        <v>1.2999999999999999E-3</v>
      </c>
      <c r="AI670" s="226">
        <f t="shared" si="178"/>
        <v>1.2190896019333886E-3</v>
      </c>
      <c r="AJ670" s="226">
        <f t="shared" si="178"/>
        <v>1.1432149673400831E-3</v>
      </c>
      <c r="AK670" s="226">
        <f t="shared" si="178"/>
        <v>1.0720626765068568E-3</v>
      </c>
      <c r="AL670" s="226">
        <f t="shared" si="178"/>
        <v>1.0053388165772209E-3</v>
      </c>
      <c r="AM670" s="226">
        <f t="shared" si="178"/>
        <v>9.4276776746869868E-4</v>
      </c>
      <c r="AN670" s="226">
        <f t="shared" si="178"/>
        <v>8.8409106335311186E-4</v>
      </c>
      <c r="AO670" s="226">
        <f t="shared" si="178"/>
        <v>8.2906632499693187E-4</v>
      </c>
      <c r="AP670" s="226">
        <f t="shared" si="178"/>
        <v>7.7746625855145161E-4</v>
      </c>
      <c r="AQ670" s="226">
        <f t="shared" si="178"/>
        <v>7.2907771665702318E-4</v>
      </c>
      <c r="AR670" s="226">
        <f t="shared" si="178"/>
        <v>6.8370081798301105E-4</v>
      </c>
      <c r="AS670" s="226">
        <f t="shared" si="178"/>
        <v>6.4114812156649322E-4</v>
      </c>
      <c r="AT670" s="226">
        <f t="shared" si="178"/>
        <v>6.0124385253910464E-4</v>
      </c>
      <c r="AU670" s="226">
        <f t="shared" si="178"/>
        <v>5.6382317604368774E-4</v>
      </c>
      <c r="AV670" s="226">
        <f t="shared" si="178"/>
        <v>5.2873151634147549E-4</v>
      </c>
      <c r="AW670" s="226">
        <f t="shared" si="178"/>
        <v>4.9582391829720482E-4</v>
      </c>
      <c r="AX670" s="226">
        <f t="shared" ref="AX670:BE685" si="181">AW670*(1+($AH670/$N670)^(1/($AH$6-$N$6))-1)</f>
        <v>4.6496444860460957E-4</v>
      </c>
      <c r="AY670" s="226">
        <f t="shared" si="181"/>
        <v>4.3602563427890076E-4</v>
      </c>
      <c r="AZ670" s="226">
        <f t="shared" si="181"/>
        <v>4.088879360967834E-4</v>
      </c>
      <c r="BA670" s="226">
        <f t="shared" si="181"/>
        <v>3.8343925480891731E-4</v>
      </c>
      <c r="BB670" s="226">
        <f t="shared" si="179"/>
        <v>3.595744680851063E-4</v>
      </c>
      <c r="BC670" s="226">
        <f t="shared" si="179"/>
        <v>3.3719499627944785E-4</v>
      </c>
      <c r="BD670" s="226">
        <f t="shared" si="179"/>
        <v>3.1620839522172504E-4</v>
      </c>
      <c r="BE670" s="226">
        <f t="shared" si="179"/>
        <v>2.9652797435296034E-4</v>
      </c>
    </row>
    <row r="671" spans="5:57" s="10" customFormat="1" x14ac:dyDescent="0.35">
      <c r="E671" s="109" t="s">
        <v>633</v>
      </c>
      <c r="F671" s="10" t="s">
        <v>615</v>
      </c>
      <c r="G671" s="43" t="s">
        <v>616</v>
      </c>
      <c r="I671" s="20"/>
      <c r="J671" s="200"/>
      <c r="K671" s="200"/>
      <c r="L671" s="200"/>
      <c r="M671" s="200"/>
      <c r="N671" s="200">
        <v>5.4999999999999997E-3</v>
      </c>
      <c r="O671" s="226">
        <f t="shared" ref="O671:AD686" si="182">N671*(1+($AH671/$N671)^(1/($AH$6-$N$6))-1)</f>
        <v>5.1707144428988277E-3</v>
      </c>
      <c r="P671" s="226">
        <f t="shared" si="182"/>
        <v>4.8611432454550062E-3</v>
      </c>
      <c r="Q671" s="226">
        <f t="shared" si="182"/>
        <v>4.5701061069589599E-3</v>
      </c>
      <c r="R671" s="226">
        <f t="shared" si="182"/>
        <v>4.2964933914241502E-3</v>
      </c>
      <c r="S671" s="226">
        <f t="shared" si="182"/>
        <v>4.0392618968829487E-3</v>
      </c>
      <c r="T671" s="226">
        <f t="shared" si="182"/>
        <v>3.7974308779751961E-3</v>
      </c>
      <c r="U671" s="226">
        <f t="shared" si="182"/>
        <v>3.570078306664786E-3</v>
      </c>
      <c r="V671" s="226">
        <f t="shared" si="182"/>
        <v>3.3563373568275272E-3</v>
      </c>
      <c r="W671" s="226">
        <f t="shared" si="182"/>
        <v>3.1553930993070858E-3</v>
      </c>
      <c r="X671" s="226">
        <f t="shared" si="182"/>
        <v>2.9664793948382625E-3</v>
      </c>
      <c r="Y671" s="226">
        <f t="shared" si="182"/>
        <v>2.7888759729912688E-3</v>
      </c>
      <c r="Z671" s="226">
        <f t="shared" si="182"/>
        <v>2.6219056859999043E-3</v>
      </c>
      <c r="AA671" s="226">
        <f t="shared" si="182"/>
        <v>2.4649319270033205E-3</v>
      </c>
      <c r="AB671" s="226">
        <f t="shared" si="182"/>
        <v>2.3173562028579106E-3</v>
      </c>
      <c r="AC671" s="226">
        <f t="shared" si="182"/>
        <v>2.1786158522651973E-3</v>
      </c>
      <c r="AD671" s="226">
        <f t="shared" si="182"/>
        <v>2.0481819005156352E-3</v>
      </c>
      <c r="AE671" s="226">
        <f t="shared" si="180"/>
        <v>1.9255570426691209E-3</v>
      </c>
      <c r="AF671" s="226">
        <f t="shared" si="180"/>
        <v>1.8102737474826869E-3</v>
      </c>
      <c r="AG671" s="226">
        <f t="shared" si="180"/>
        <v>1.701892474856239E-3</v>
      </c>
      <c r="AH671" s="227">
        <v>1.6000000000000001E-3</v>
      </c>
      <c r="AI671" s="226">
        <f t="shared" ref="AI671:AX686" si="183">AH671*(1+($AH671/$N671)^(1/($AH$6-$N$6))-1)</f>
        <v>1.5042078379342045E-3</v>
      </c>
      <c r="AJ671" s="226">
        <f t="shared" si="183"/>
        <v>1.4141507623141837E-3</v>
      </c>
      <c r="AK671" s="226">
        <f t="shared" si="183"/>
        <v>1.3294854129335158E-3</v>
      </c>
      <c r="AL671" s="226">
        <f t="shared" si="183"/>
        <v>1.2498889865961166E-3</v>
      </c>
      <c r="AM671" s="226">
        <f t="shared" si="183"/>
        <v>1.1750580063659491E-3</v>
      </c>
      <c r="AN671" s="226">
        <f t="shared" si="183"/>
        <v>1.1047071645018756E-3</v>
      </c>
      <c r="AO671" s="226">
        <f t="shared" si="183"/>
        <v>1.0385682346661198E-3</v>
      </c>
      <c r="AP671" s="226">
        <f t="shared" si="183"/>
        <v>9.7638904925891718E-4</v>
      </c>
      <c r="AQ671" s="226">
        <f t="shared" si="183"/>
        <v>9.1793253798024325E-4</v>
      </c>
      <c r="AR671" s="226">
        <f t="shared" si="183"/>
        <v>8.6297582395294915E-4</v>
      </c>
      <c r="AS671" s="226">
        <f t="shared" si="183"/>
        <v>8.1130937396109643E-4</v>
      </c>
      <c r="AT671" s="226">
        <f t="shared" si="183"/>
        <v>7.6273619956360866E-4</v>
      </c>
      <c r="AU671" s="226">
        <f t="shared" si="183"/>
        <v>7.1707110603732975E-4</v>
      </c>
      <c r="AV671" s="226">
        <f t="shared" si="183"/>
        <v>6.7413998628593772E-4</v>
      </c>
      <c r="AW671" s="226">
        <f t="shared" si="183"/>
        <v>6.3377915702260282E-4</v>
      </c>
      <c r="AX671" s="226">
        <f t="shared" si="183"/>
        <v>5.9583473469545752E-4</v>
      </c>
      <c r="AY671" s="226">
        <f t="shared" si="181"/>
        <v>5.6016204877647148E-4</v>
      </c>
      <c r="AZ671" s="226">
        <f t="shared" si="181"/>
        <v>5.2662509017678159E-4</v>
      </c>
      <c r="BA671" s="226">
        <f t="shared" si="181"/>
        <v>4.9509599268545128E-4</v>
      </c>
      <c r="BB671" s="226">
        <f t="shared" si="181"/>
        <v>4.6545454545454462E-4</v>
      </c>
      <c r="BC671" s="226">
        <f t="shared" si="181"/>
        <v>4.3758773467176778E-4</v>
      </c>
      <c r="BD671" s="226">
        <f t="shared" si="181"/>
        <v>4.1138931267321633E-4</v>
      </c>
      <c r="BE671" s="226">
        <f t="shared" si="181"/>
        <v>3.867593928533857E-4</v>
      </c>
    </row>
    <row r="672" spans="5:57" s="10" customFormat="1" x14ac:dyDescent="0.35">
      <c r="E672" s="109" t="s">
        <v>634</v>
      </c>
      <c r="F672" s="10" t="s">
        <v>615</v>
      </c>
      <c r="G672" s="43" t="s">
        <v>616</v>
      </c>
      <c r="I672" s="20"/>
      <c r="J672" s="200"/>
      <c r="K672" s="200"/>
      <c r="L672" s="200"/>
      <c r="M672" s="200"/>
      <c r="N672" s="200">
        <v>6.4000000000000003E-3</v>
      </c>
      <c r="O672" s="226">
        <f t="shared" si="182"/>
        <v>6.0531570239645022E-3</v>
      </c>
      <c r="P672" s="226">
        <f t="shared" si="182"/>
        <v>5.7251109307454359E-3</v>
      </c>
      <c r="Q672" s="226">
        <f t="shared" si="182"/>
        <v>5.4148430380340134E-3</v>
      </c>
      <c r="R672" s="226">
        <f t="shared" si="182"/>
        <v>5.1213898702095109E-3</v>
      </c>
      <c r="S672" s="226">
        <f t="shared" si="182"/>
        <v>4.8438401664561486E-3</v>
      </c>
      <c r="T672" s="226">
        <f t="shared" si="182"/>
        <v>4.5813320510227221E-3</v>
      </c>
      <c r="U672" s="226">
        <f t="shared" si="182"/>
        <v>4.3330503568377952E-3</v>
      </c>
      <c r="V672" s="226">
        <f t="shared" si="182"/>
        <v>4.0982240941694675E-3</v>
      </c>
      <c r="W672" s="226">
        <f t="shared" si="182"/>
        <v>3.8761240564691361E-3</v>
      </c>
      <c r="X672" s="226">
        <f t="shared" si="182"/>
        <v>3.6660605559646763E-3</v>
      </c>
      <c r="Y672" s="226">
        <f t="shared" si="182"/>
        <v>3.4673812819713732E-3</v>
      </c>
      <c r="Z672" s="226">
        <f t="shared" si="182"/>
        <v>3.2794692752700087E-3</v>
      </c>
      <c r="AA672" s="226">
        <f t="shared" si="182"/>
        <v>3.1017410122619418E-3</v>
      </c>
      <c r="AB672" s="226">
        <f t="shared" si="182"/>
        <v>2.9336445929518964E-3</v>
      </c>
      <c r="AC672" s="226">
        <f t="shared" si="182"/>
        <v>2.7746580271316022E-3</v>
      </c>
      <c r="AD672" s="226">
        <f t="shared" si="182"/>
        <v>2.6242876134423667E-3</v>
      </c>
      <c r="AE672" s="226">
        <f t="shared" si="180"/>
        <v>2.4820664062830786E-3</v>
      </c>
      <c r="AF672" s="226">
        <f t="shared" si="180"/>
        <v>2.347552765802929E-3</v>
      </c>
      <c r="AG672" s="226">
        <f t="shared" si="180"/>
        <v>2.2203289864761396E-3</v>
      </c>
      <c r="AH672" s="227">
        <v>2.0999999999999999E-3</v>
      </c>
      <c r="AI672" s="226">
        <f t="shared" si="183"/>
        <v>1.9861921484883522E-3</v>
      </c>
      <c r="AJ672" s="226">
        <f t="shared" si="183"/>
        <v>1.8785520241508459E-3</v>
      </c>
      <c r="AK672" s="226">
        <f t="shared" si="183"/>
        <v>1.7767453718549103E-3</v>
      </c>
      <c r="AL672" s="226">
        <f t="shared" si="183"/>
        <v>1.6804560511624956E-3</v>
      </c>
      <c r="AM672" s="226">
        <f t="shared" si="183"/>
        <v>1.5893850546184235E-3</v>
      </c>
      <c r="AN672" s="226">
        <f t="shared" si="183"/>
        <v>1.5032495792418304E-3</v>
      </c>
      <c r="AO672" s="226">
        <f t="shared" si="183"/>
        <v>1.4217821483374013E-3</v>
      </c>
      <c r="AP672" s="226">
        <f t="shared" si="183"/>
        <v>1.3447297808993563E-3</v>
      </c>
      <c r="AQ672" s="226">
        <f t="shared" si="183"/>
        <v>1.2718532060289351E-3</v>
      </c>
      <c r="AR672" s="226">
        <f t="shared" si="183"/>
        <v>1.2029261199259093E-3</v>
      </c>
      <c r="AS672" s="226">
        <f t="shared" si="183"/>
        <v>1.1377344831468566E-3</v>
      </c>
      <c r="AT672" s="226">
        <f t="shared" si="183"/>
        <v>1.0760758559479715E-3</v>
      </c>
      <c r="AU672" s="226">
        <f t="shared" si="183"/>
        <v>1.0177587696484495E-3</v>
      </c>
      <c r="AV672" s="226">
        <f t="shared" si="183"/>
        <v>9.6260213206234089E-4</v>
      </c>
      <c r="AW672" s="226">
        <f t="shared" si="183"/>
        <v>9.1043466515255684E-4</v>
      </c>
      <c r="AX672" s="226">
        <f t="shared" si="183"/>
        <v>8.6109437316077644E-4</v>
      </c>
      <c r="AY672" s="226">
        <f t="shared" si="181"/>
        <v>8.1442803956163496E-4</v>
      </c>
      <c r="AZ672" s="226">
        <f t="shared" si="181"/>
        <v>7.702907512790859E-4</v>
      </c>
      <c r="BA672" s="226">
        <f t="shared" si="181"/>
        <v>7.2854544868748315E-4</v>
      </c>
      <c r="BB672" s="226">
        <f t="shared" si="181"/>
        <v>6.8906250000000131E-4</v>
      </c>
      <c r="BC672" s="226">
        <f t="shared" si="181"/>
        <v>6.5171929872274179E-4</v>
      </c>
      <c r="BD672" s="226">
        <f t="shared" si="181"/>
        <v>6.1639988292449752E-4</v>
      </c>
      <c r="BE672" s="226">
        <f t="shared" si="181"/>
        <v>5.8299457513989359E-4</v>
      </c>
    </row>
    <row r="673" spans="5:57" s="10" customFormat="1" x14ac:dyDescent="0.35">
      <c r="E673" s="109" t="s">
        <v>635</v>
      </c>
      <c r="F673" s="10" t="s">
        <v>615</v>
      </c>
      <c r="G673" s="43" t="s">
        <v>616</v>
      </c>
      <c r="I673" s="20"/>
      <c r="J673" s="200"/>
      <c r="K673" s="200"/>
      <c r="L673" s="200"/>
      <c r="M673" s="200"/>
      <c r="N673" s="200">
        <v>7.4999999999999997E-3</v>
      </c>
      <c r="O673" s="226">
        <f t="shared" si="182"/>
        <v>7.1265016237925726E-3</v>
      </c>
      <c r="P673" s="226">
        <f t="shared" si="182"/>
        <v>6.7716033858557572E-3</v>
      </c>
      <c r="Q673" s="226">
        <f t="shared" si="182"/>
        <v>6.4343790033307121E-3</v>
      </c>
      <c r="R673" s="226">
        <f t="shared" si="182"/>
        <v>6.1139483220444208E-3</v>
      </c>
      <c r="S673" s="226">
        <f t="shared" si="182"/>
        <v>5.8094750193111253E-3</v>
      </c>
      <c r="T673" s="226">
        <f t="shared" si="182"/>
        <v>5.5201644211337504E-3</v>
      </c>
      <c r="U673" s="226">
        <f t="shared" si="182"/>
        <v>5.2452614281082218E-3</v>
      </c>
      <c r="V673" s="226">
        <f t="shared" si="182"/>
        <v>4.9840485446173057E-3</v>
      </c>
      <c r="W673" s="226">
        <f t="shared" si="182"/>
        <v>4.7358440061701654E-3</v>
      </c>
      <c r="X673" s="226">
        <f t="shared" si="182"/>
        <v>4.5000000000000014E-3</v>
      </c>
      <c r="Y673" s="226">
        <f t="shared" si="182"/>
        <v>4.2759009742755457E-3</v>
      </c>
      <c r="Z673" s="226">
        <f t="shared" si="182"/>
        <v>4.0629620315134566E-3</v>
      </c>
      <c r="AA673" s="226">
        <f t="shared" si="182"/>
        <v>3.8606274019984295E-3</v>
      </c>
      <c r="AB673" s="226">
        <f t="shared" si="182"/>
        <v>3.668368993226655E-3</v>
      </c>
      <c r="AC673" s="226">
        <f t="shared" si="182"/>
        <v>3.4856850115866779E-3</v>
      </c>
      <c r="AD673" s="226">
        <f t="shared" si="182"/>
        <v>3.3120986526802526E-3</v>
      </c>
      <c r="AE673" s="226">
        <f t="shared" si="180"/>
        <v>3.1471568568649353E-3</v>
      </c>
      <c r="AF673" s="226">
        <f t="shared" si="180"/>
        <v>2.9904291267703856E-3</v>
      </c>
      <c r="AG673" s="226">
        <f t="shared" si="180"/>
        <v>2.8415064037021014E-3</v>
      </c>
      <c r="AH673" s="227">
        <v>2.7000000000000001E-3</v>
      </c>
      <c r="AI673" s="226">
        <f t="shared" si="183"/>
        <v>2.5655405845653265E-3</v>
      </c>
      <c r="AJ673" s="226">
        <f t="shared" si="183"/>
        <v>2.437777218908073E-3</v>
      </c>
      <c r="AK673" s="226">
        <f t="shared" si="183"/>
        <v>2.3163764411990567E-3</v>
      </c>
      <c r="AL673" s="226">
        <f t="shared" si="183"/>
        <v>2.2010213959359919E-3</v>
      </c>
      <c r="AM673" s="226">
        <f t="shared" si="183"/>
        <v>2.0914110069520059E-3</v>
      </c>
      <c r="AN673" s="226">
        <f t="shared" si="183"/>
        <v>1.9872591916081507E-3</v>
      </c>
      <c r="AO673" s="226">
        <f t="shared" si="183"/>
        <v>1.8882941141189604E-3</v>
      </c>
      <c r="AP673" s="226">
        <f t="shared" si="183"/>
        <v>1.7942574760622307E-3</v>
      </c>
      <c r="AQ673" s="226">
        <f t="shared" si="183"/>
        <v>1.7049038422212602E-3</v>
      </c>
      <c r="AR673" s="226">
        <f t="shared" si="183"/>
        <v>1.620000000000001E-3</v>
      </c>
      <c r="AS673" s="226">
        <f t="shared" si="183"/>
        <v>1.5393243507391967E-3</v>
      </c>
      <c r="AT673" s="226">
        <f t="shared" si="183"/>
        <v>1.4626663313448444E-3</v>
      </c>
      <c r="AU673" s="226">
        <f t="shared" si="183"/>
        <v>1.3898258647194346E-3</v>
      </c>
      <c r="AV673" s="226">
        <f t="shared" si="183"/>
        <v>1.3206128375615957E-3</v>
      </c>
      <c r="AW673" s="226">
        <f t="shared" si="183"/>
        <v>1.254846604171204E-3</v>
      </c>
      <c r="AX673" s="226">
        <f t="shared" si="183"/>
        <v>1.1923555149648908E-3</v>
      </c>
      <c r="AY673" s="226">
        <f t="shared" si="181"/>
        <v>1.1329764684713767E-3</v>
      </c>
      <c r="AZ673" s="226">
        <f t="shared" si="181"/>
        <v>1.0765544856373387E-3</v>
      </c>
      <c r="BA673" s="226">
        <f t="shared" si="181"/>
        <v>1.0229423053327562E-3</v>
      </c>
      <c r="BB673" s="226">
        <f t="shared" si="181"/>
        <v>9.7200000000000075E-4</v>
      </c>
      <c r="BC673" s="226">
        <f t="shared" si="181"/>
        <v>9.2359461044351824E-4</v>
      </c>
      <c r="BD673" s="226">
        <f t="shared" si="181"/>
        <v>8.7759979880690686E-4</v>
      </c>
      <c r="BE673" s="226">
        <f t="shared" si="181"/>
        <v>8.3389551883166098E-4</v>
      </c>
    </row>
    <row r="674" spans="5:57" s="10" customFormat="1" x14ac:dyDescent="0.35">
      <c r="E674" s="10" t="s">
        <v>636</v>
      </c>
      <c r="F674" s="10" t="s">
        <v>615</v>
      </c>
      <c r="G674" s="43" t="s">
        <v>616</v>
      </c>
      <c r="I674" s="20"/>
      <c r="J674" s="200"/>
      <c r="K674" s="200"/>
      <c r="L674" s="200"/>
      <c r="M674" s="200"/>
      <c r="N674" s="200">
        <v>8.6999999999999994E-3</v>
      </c>
      <c r="O674" s="226">
        <f t="shared" si="182"/>
        <v>8.3007481223093937E-3</v>
      </c>
      <c r="P674" s="226">
        <f t="shared" si="182"/>
        <v>7.9198183206922908E-3</v>
      </c>
      <c r="Q674" s="226">
        <f t="shared" si="182"/>
        <v>7.5563697763813874E-3</v>
      </c>
      <c r="R674" s="226">
        <f t="shared" si="182"/>
        <v>7.2096002566406046E-3</v>
      </c>
      <c r="S674" s="226">
        <f t="shared" si="182"/>
        <v>6.8787443440127384E-3</v>
      </c>
      <c r="T674" s="226">
        <f t="shared" si="182"/>
        <v>6.5630717468287475E-3</v>
      </c>
      <c r="U674" s="226">
        <f t="shared" si="182"/>
        <v>6.26188568724949E-3</v>
      </c>
      <c r="V674" s="226">
        <f t="shared" si="182"/>
        <v>5.9745213632818707E-3</v>
      </c>
      <c r="W674" s="226">
        <f t="shared" si="182"/>
        <v>5.7003444813746376E-3</v>
      </c>
      <c r="X674" s="226">
        <f t="shared" si="182"/>
        <v>5.4387498563548556E-3</v>
      </c>
      <c r="Y674" s="226">
        <f t="shared" si="182"/>
        <v>5.1891600756147193E-3</v>
      </c>
      <c r="Z674" s="226">
        <f t="shared" si="182"/>
        <v>4.9510242246002013E-3</v>
      </c>
      <c r="AA674" s="226">
        <f t="shared" si="182"/>
        <v>4.7238166707883273E-3</v>
      </c>
      <c r="AB674" s="226">
        <f t="shared" si="182"/>
        <v>4.5070359034689676E-3</v>
      </c>
      <c r="AC674" s="226">
        <f t="shared" si="182"/>
        <v>4.3002034267702362E-3</v>
      </c>
      <c r="AD674" s="226">
        <f t="shared" si="182"/>
        <v>4.1028627034840762E-3</v>
      </c>
      <c r="AE674" s="226">
        <f t="shared" si="180"/>
        <v>3.9145781473607687E-3</v>
      </c>
      <c r="AF674" s="226">
        <f t="shared" si="180"/>
        <v>3.7349341616480791E-3</v>
      </c>
      <c r="AG674" s="226">
        <f t="shared" si="180"/>
        <v>3.5635342217528168E-3</v>
      </c>
      <c r="AH674" s="227">
        <v>3.3999999999999998E-3</v>
      </c>
      <c r="AI674" s="226">
        <f t="shared" si="183"/>
        <v>3.2439705305576942E-3</v>
      </c>
      <c r="AJ674" s="226">
        <f t="shared" si="183"/>
        <v>3.0951014126843436E-3</v>
      </c>
      <c r="AK674" s="226">
        <f t="shared" si="183"/>
        <v>2.9530640505398527E-3</v>
      </c>
      <c r="AL674" s="226">
        <f t="shared" si="183"/>
        <v>2.8175449278825351E-3</v>
      </c>
      <c r="AM674" s="226">
        <f t="shared" si="183"/>
        <v>2.6882449160509554E-3</v>
      </c>
      <c r="AN674" s="226">
        <f t="shared" si="183"/>
        <v>2.564878613703189E-3</v>
      </c>
      <c r="AO674" s="226">
        <f t="shared" si="183"/>
        <v>2.4471737168561226E-3</v>
      </c>
      <c r="AP674" s="226">
        <f t="shared" si="183"/>
        <v>2.3348704178342942E-3</v>
      </c>
      <c r="AQ674" s="226">
        <f t="shared" si="183"/>
        <v>2.2277208318015828E-3</v>
      </c>
      <c r="AR674" s="226">
        <f t="shared" si="183"/>
        <v>2.1254884496099435E-3</v>
      </c>
      <c r="AS674" s="226">
        <f t="shared" si="183"/>
        <v>2.0279476157574763E-3</v>
      </c>
      <c r="AT674" s="226">
        <f t="shared" si="183"/>
        <v>1.9348830303035269E-3</v>
      </c>
      <c r="AU674" s="226">
        <f t="shared" si="183"/>
        <v>1.8460892736414151E-3</v>
      </c>
      <c r="AV674" s="226">
        <f t="shared" si="183"/>
        <v>1.7613703530798264E-3</v>
      </c>
      <c r="AW674" s="226">
        <f t="shared" si="183"/>
        <v>1.6805392702320464E-3</v>
      </c>
      <c r="AX674" s="226">
        <f t="shared" si="183"/>
        <v>1.6034176082581446E-3</v>
      </c>
      <c r="AY674" s="226">
        <f t="shared" si="181"/>
        <v>1.529835138049036E-3</v>
      </c>
      <c r="AZ674" s="226">
        <f t="shared" si="181"/>
        <v>1.4596294424831574E-3</v>
      </c>
      <c r="BA674" s="226">
        <f t="shared" si="181"/>
        <v>1.3926455579263881E-3</v>
      </c>
      <c r="BB674" s="226">
        <f t="shared" si="181"/>
        <v>1.3287356321839063E-3</v>
      </c>
      <c r="BC674" s="226">
        <f t="shared" si="181"/>
        <v>1.2677585981489823E-3</v>
      </c>
      <c r="BD674" s="226">
        <f t="shared" si="181"/>
        <v>1.2095798624283626E-3</v>
      </c>
      <c r="BE674" s="226">
        <f t="shared" si="181"/>
        <v>1.1540710082569524E-3</v>
      </c>
    </row>
    <row r="675" spans="5:57" s="10" customFormat="1" x14ac:dyDescent="0.35">
      <c r="E675" s="10" t="s">
        <v>637</v>
      </c>
      <c r="F675" s="10" t="s">
        <v>615</v>
      </c>
      <c r="G675" s="43" t="s">
        <v>616</v>
      </c>
      <c r="I675" s="20"/>
      <c r="J675" s="200"/>
      <c r="K675" s="200"/>
      <c r="L675" s="200"/>
      <c r="M675" s="200"/>
      <c r="N675" s="200">
        <v>1.01E-2</v>
      </c>
      <c r="O675" s="226">
        <f t="shared" si="182"/>
        <v>9.6889773112777931E-3</v>
      </c>
      <c r="P675" s="226">
        <f t="shared" si="182"/>
        <v>9.2946813206391931E-3</v>
      </c>
      <c r="Q675" s="226">
        <f t="shared" si="182"/>
        <v>8.9164313298248175E-3</v>
      </c>
      <c r="R675" s="226">
        <f t="shared" si="182"/>
        <v>8.5535743418058557E-3</v>
      </c>
      <c r="S675" s="226">
        <f t="shared" si="182"/>
        <v>8.205483933473744E-3</v>
      </c>
      <c r="T675" s="226">
        <f t="shared" si="182"/>
        <v>7.8715591742060959E-3</v>
      </c>
      <c r="U675" s="226">
        <f t="shared" si="182"/>
        <v>7.5512235884419229E-3</v>
      </c>
      <c r="V675" s="226">
        <f t="shared" si="182"/>
        <v>7.2439241604751953E-3</v>
      </c>
      <c r="W675" s="226">
        <f t="shared" si="182"/>
        <v>6.949130379748634E-3</v>
      </c>
      <c r="X675" s="226">
        <f t="shared" si="182"/>
        <v>6.6663333249995793E-3</v>
      </c>
      <c r="Y675" s="226">
        <f t="shared" si="182"/>
        <v>6.3950447856768291E-3</v>
      </c>
      <c r="Z675" s="226">
        <f t="shared" si="182"/>
        <v>6.1347964191116981E-3</v>
      </c>
      <c r="AA675" s="226">
        <f t="shared" si="182"/>
        <v>5.8851389419882667E-3</v>
      </c>
      <c r="AB675" s="226">
        <f t="shared" si="182"/>
        <v>5.6456413547170013E-3</v>
      </c>
      <c r="AC675" s="226">
        <f t="shared" si="182"/>
        <v>5.4158901973727375E-3</v>
      </c>
      <c r="AD675" s="226">
        <f t="shared" si="182"/>
        <v>5.1954888359125014E-3</v>
      </c>
      <c r="AE675" s="226">
        <f t="shared" si="180"/>
        <v>4.9840567774409204E-3</v>
      </c>
      <c r="AF675" s="226">
        <f t="shared" si="180"/>
        <v>4.7812290133411274E-3</v>
      </c>
      <c r="AG675" s="226">
        <f t="shared" si="180"/>
        <v>4.5866553891371576E-3</v>
      </c>
      <c r="AH675" s="227">
        <v>4.4000000000000003E-3</v>
      </c>
      <c r="AI675" s="226">
        <f t="shared" si="183"/>
        <v>4.2209406108536926E-3</v>
      </c>
      <c r="AJ675" s="226">
        <f t="shared" si="183"/>
        <v>4.049168100080441E-3</v>
      </c>
      <c r="AK675" s="226">
        <f t="shared" si="183"/>
        <v>3.8843859258642774E-3</v>
      </c>
      <c r="AL675" s="226">
        <f t="shared" si="183"/>
        <v>3.726309614252056E-3</v>
      </c>
      <c r="AM675" s="226">
        <f t="shared" si="183"/>
        <v>3.5746662680479677E-3</v>
      </c>
      <c r="AN675" s="226">
        <f t="shared" si="183"/>
        <v>3.4291940956937446E-3</v>
      </c>
      <c r="AO675" s="226">
        <f t="shared" si="183"/>
        <v>3.2896419593212338E-3</v>
      </c>
      <c r="AP675" s="226">
        <f t="shared" si="183"/>
        <v>3.1557689411971148E-3</v>
      </c>
      <c r="AQ675" s="226">
        <f t="shared" si="183"/>
        <v>3.0273439278112862E-3</v>
      </c>
      <c r="AR675" s="226">
        <f t="shared" si="183"/>
        <v>2.9041452108909058E-3</v>
      </c>
      <c r="AS675" s="226">
        <f t="shared" si="183"/>
        <v>2.7859601046512916E-3</v>
      </c>
      <c r="AT675" s="226">
        <f t="shared" si="183"/>
        <v>2.6725845786229178E-3</v>
      </c>
      <c r="AU675" s="226">
        <f t="shared" si="183"/>
        <v>2.5638229054206307E-3</v>
      </c>
      <c r="AV675" s="226">
        <f t="shared" si="183"/>
        <v>2.4594873228470102E-3</v>
      </c>
      <c r="AW675" s="226">
        <f t="shared" si="183"/>
        <v>2.3593977097465389E-3</v>
      </c>
      <c r="AX675" s="226">
        <f t="shared" si="183"/>
        <v>2.2633812750509903E-3</v>
      </c>
      <c r="AY675" s="226">
        <f t="shared" si="181"/>
        <v>2.1712722594792126E-3</v>
      </c>
      <c r="AZ675" s="226">
        <f t="shared" si="181"/>
        <v>2.0829116493763324E-3</v>
      </c>
      <c r="BA675" s="226">
        <f t="shared" si="181"/>
        <v>1.9981469021983652E-3</v>
      </c>
      <c r="BB675" s="226">
        <f t="shared" si="181"/>
        <v>1.9168316831683135E-3</v>
      </c>
      <c r="BC675" s="226">
        <f t="shared" si="181"/>
        <v>1.8388256126491299E-3</v>
      </c>
      <c r="BD675" s="226">
        <f t="shared" si="181"/>
        <v>1.7639940237974166E-3</v>
      </c>
      <c r="BE675" s="226">
        <f t="shared" si="181"/>
        <v>1.6922077300794839E-3</v>
      </c>
    </row>
    <row r="676" spans="5:57" s="10" customFormat="1" x14ac:dyDescent="0.35">
      <c r="E676" s="10" t="s">
        <v>638</v>
      </c>
      <c r="F676" s="10" t="s">
        <v>615</v>
      </c>
      <c r="G676" s="43" t="s">
        <v>616</v>
      </c>
      <c r="I676" s="20"/>
      <c r="J676" s="200"/>
      <c r="K676" s="200"/>
      <c r="L676" s="200"/>
      <c r="M676" s="200"/>
      <c r="N676" s="200">
        <v>9.9000000000000008E-3</v>
      </c>
      <c r="O676" s="226">
        <f t="shared" si="182"/>
        <v>9.4956972069308431E-3</v>
      </c>
      <c r="P676" s="226">
        <f t="shared" si="182"/>
        <v>9.1079056005771934E-3</v>
      </c>
      <c r="Q676" s="226">
        <f t="shared" si="182"/>
        <v>8.7359508861000641E-3</v>
      </c>
      <c r="R676" s="226">
        <f t="shared" si="182"/>
        <v>8.3791863059621604E-3</v>
      </c>
      <c r="S676" s="226">
        <f t="shared" si="182"/>
        <v>8.0369915153412162E-3</v>
      </c>
      <c r="T676" s="226">
        <f t="shared" si="182"/>
        <v>7.708771503469946E-3</v>
      </c>
      <c r="U676" s="226">
        <f t="shared" si="182"/>
        <v>7.3939555590270337E-3</v>
      </c>
      <c r="V676" s="226">
        <f t="shared" si="182"/>
        <v>7.0919962777801797E-3</v>
      </c>
      <c r="W676" s="226">
        <f t="shared" si="182"/>
        <v>6.8023686107556748E-3</v>
      </c>
      <c r="X676" s="226">
        <f t="shared" si="182"/>
        <v>6.5245689512794637E-3</v>
      </c>
      <c r="Y676" s="226">
        <f t="shared" si="182"/>
        <v>6.258114259302232E-3</v>
      </c>
      <c r="Z676" s="226">
        <f t="shared" si="182"/>
        <v>6.002541221485887E-3</v>
      </c>
      <c r="AA676" s="226">
        <f t="shared" si="182"/>
        <v>5.7574054455909879E-3</v>
      </c>
      <c r="AB676" s="226">
        <f t="shared" si="182"/>
        <v>5.5222806877643195E-3</v>
      </c>
      <c r="AC676" s="226">
        <f t="shared" si="182"/>
        <v>5.2967581113830082E-3</v>
      </c>
      <c r="AD676" s="226">
        <f t="shared" si="182"/>
        <v>5.080445576166456E-3</v>
      </c>
      <c r="AE676" s="226">
        <f t="shared" si="180"/>
        <v>4.8729669563199966E-3</v>
      </c>
      <c r="AF676" s="226">
        <f t="shared" si="180"/>
        <v>4.6739614865246547E-3</v>
      </c>
      <c r="AG676" s="226">
        <f t="shared" si="180"/>
        <v>4.4830831346358074E-3</v>
      </c>
      <c r="AH676" s="227">
        <v>4.3E-3</v>
      </c>
      <c r="AI676" s="226">
        <f t="shared" si="183"/>
        <v>4.1243937363436992E-3</v>
      </c>
      <c r="AJ676" s="226">
        <f t="shared" si="183"/>
        <v>3.9559589982304973E-3</v>
      </c>
      <c r="AK676" s="226">
        <f t="shared" si="183"/>
        <v>3.7944029101242695E-3</v>
      </c>
      <c r="AL676" s="226">
        <f t="shared" si="183"/>
        <v>3.6394445571350793E-3</v>
      </c>
      <c r="AM676" s="226">
        <f t="shared" si="183"/>
        <v>3.4908144965623464E-3</v>
      </c>
      <c r="AN676" s="226">
        <f t="shared" si="183"/>
        <v>3.3482542893859359E-3</v>
      </c>
      <c r="AO676" s="226">
        <f t="shared" si="183"/>
        <v>3.2115160508905298E-3</v>
      </c>
      <c r="AP676" s="226">
        <f t="shared" si="183"/>
        <v>3.0803620196418963E-3</v>
      </c>
      <c r="AQ676" s="226">
        <f t="shared" si="183"/>
        <v>2.9545641440655961E-3</v>
      </c>
      <c r="AR676" s="226">
        <f t="shared" si="183"/>
        <v>2.8339036859092621E-3</v>
      </c>
      <c r="AS676" s="226">
        <f t="shared" si="183"/>
        <v>2.7181708398989497E-3</v>
      </c>
      <c r="AT676" s="226">
        <f t="shared" si="183"/>
        <v>2.6071643689282139E-3</v>
      </c>
      <c r="AU676" s="226">
        <f t="shared" si="183"/>
        <v>2.5006912541455811E-3</v>
      </c>
      <c r="AV676" s="226">
        <f t="shared" si="183"/>
        <v>2.3985663593319778E-3</v>
      </c>
      <c r="AW676" s="226">
        <f t="shared" si="183"/>
        <v>2.3006121089845393E-3</v>
      </c>
      <c r="AX676" s="226">
        <f t="shared" si="183"/>
        <v>2.2066581795470467E-3</v>
      </c>
      <c r="AY676" s="226">
        <f t="shared" si="181"/>
        <v>2.1165412032500999E-3</v>
      </c>
      <c r="AZ676" s="226">
        <f t="shared" si="181"/>
        <v>2.0301044840460624E-3</v>
      </c>
      <c r="BA676" s="226">
        <f t="shared" si="181"/>
        <v>1.9471977251448458E-3</v>
      </c>
      <c r="BB676" s="226">
        <f t="shared" si="181"/>
        <v>1.8676767676767678E-3</v>
      </c>
      <c r="BC676" s="226">
        <f t="shared" si="181"/>
        <v>1.7914033400280715E-3</v>
      </c>
      <c r="BD676" s="226">
        <f t="shared" si="181"/>
        <v>1.7182448174132465E-3</v>
      </c>
      <c r="BE676" s="226">
        <f t="shared" si="181"/>
        <v>1.6480739912660969E-3</v>
      </c>
    </row>
    <row r="677" spans="5:57" s="10" customFormat="1" x14ac:dyDescent="0.35">
      <c r="E677" s="10" t="s">
        <v>639</v>
      </c>
      <c r="F677" s="10" t="s">
        <v>615</v>
      </c>
      <c r="G677" s="43" t="s">
        <v>616</v>
      </c>
      <c r="I677" s="20"/>
      <c r="J677" s="200"/>
      <c r="K677" s="200"/>
      <c r="L677" s="200"/>
      <c r="M677" s="200"/>
      <c r="N677" s="200">
        <v>9.7000000000000003E-3</v>
      </c>
      <c r="O677" s="226">
        <f t="shared" si="182"/>
        <v>9.3024128942136401E-3</v>
      </c>
      <c r="P677" s="226">
        <f t="shared" si="182"/>
        <v>8.9211222324156892E-3</v>
      </c>
      <c r="Q677" s="226">
        <f t="shared" si="182"/>
        <v>8.5554600500700705E-3</v>
      </c>
      <c r="R677" s="226">
        <f t="shared" si="182"/>
        <v>8.2047857614125259E-3</v>
      </c>
      <c r="S677" s="226">
        <f t="shared" si="182"/>
        <v>7.8684850372396243E-3</v>
      </c>
      <c r="T677" s="226">
        <f t="shared" si="182"/>
        <v>7.5459687286953576E-3</v>
      </c>
      <c r="U677" s="226">
        <f t="shared" si="182"/>
        <v>7.2366718351699584E-3</v>
      </c>
      <c r="V677" s="226">
        <f t="shared" si="182"/>
        <v>6.9400525145028565E-3</v>
      </c>
      <c r="W677" s="226">
        <f t="shared" si="182"/>
        <v>6.6555911337557901E-3</v>
      </c>
      <c r="X677" s="226">
        <f t="shared" si="182"/>
        <v>6.3827893588931789E-3</v>
      </c>
      <c r="Y677" s="226">
        <f t="shared" si="182"/>
        <v>6.1211692817750019E-3</v>
      </c>
      <c r="Z677" s="226">
        <f t="shared" si="182"/>
        <v>5.8702725829328064E-3</v>
      </c>
      <c r="AA677" s="226">
        <f t="shared" si="182"/>
        <v>5.6296597286621597E-3</v>
      </c>
      <c r="AB677" s="226">
        <f t="shared" si="182"/>
        <v>5.3989092010249626E-3</v>
      </c>
      <c r="AC677" s="226">
        <f t="shared" si="182"/>
        <v>5.1776167594127084E-3</v>
      </c>
      <c r="AD677" s="226">
        <f t="shared" si="182"/>
        <v>4.9653947323770537E-3</v>
      </c>
      <c r="AE677" s="226">
        <f t="shared" si="180"/>
        <v>4.7618713384870916E-3</v>
      </c>
      <c r="AF677" s="226">
        <f t="shared" si="180"/>
        <v>4.566690035023576E-3</v>
      </c>
      <c r="AG677" s="226">
        <f t="shared" si="180"/>
        <v>4.3795088933690982E-3</v>
      </c>
      <c r="AH677" s="227">
        <v>4.1999999999999997E-3</v>
      </c>
      <c r="AI677" s="226">
        <f t="shared" si="183"/>
        <v>4.0278488820306478E-3</v>
      </c>
      <c r="AJ677" s="226">
        <f t="shared" si="183"/>
        <v>3.8627539563037003E-3</v>
      </c>
      <c r="AK677" s="226">
        <f t="shared" si="183"/>
        <v>3.7044260010612672E-3</v>
      </c>
      <c r="AL677" s="226">
        <f t="shared" si="183"/>
        <v>3.5525876492714021E-3</v>
      </c>
      <c r="AM677" s="226">
        <f t="shared" si="183"/>
        <v>3.4069729027223108E-3</v>
      </c>
      <c r="AN677" s="226">
        <f t="shared" si="183"/>
        <v>3.2673266660330409E-3</v>
      </c>
      <c r="AO677" s="226">
        <f t="shared" si="183"/>
        <v>3.1334042997643117E-3</v>
      </c>
      <c r="AP677" s="226">
        <f t="shared" si="183"/>
        <v>3.0049711918465971E-3</v>
      </c>
      <c r="AQ677" s="226">
        <f t="shared" si="183"/>
        <v>2.8818023465746715E-3</v>
      </c>
      <c r="AR677" s="226">
        <f t="shared" si="183"/>
        <v>2.7636819904485925E-3</v>
      </c>
      <c r="AS677" s="226">
        <f t="shared" si="183"/>
        <v>2.6504031941706188E-3</v>
      </c>
      <c r="AT677" s="226">
        <f t="shared" si="183"/>
        <v>2.5417675101358536E-3</v>
      </c>
      <c r="AU677" s="226">
        <f t="shared" si="183"/>
        <v>2.4375846247815529E-3</v>
      </c>
      <c r="AV677" s="226">
        <f t="shared" si="183"/>
        <v>2.3376720251860653E-3</v>
      </c>
      <c r="AW677" s="226">
        <f t="shared" si="183"/>
        <v>2.2418546793333367E-3</v>
      </c>
      <c r="AX677" s="226">
        <f t="shared" si="183"/>
        <v>2.1499647294828468E-3</v>
      </c>
      <c r="AY677" s="226">
        <f t="shared" si="181"/>
        <v>2.0618411981078119E-3</v>
      </c>
      <c r="AZ677" s="226">
        <f t="shared" si="181"/>
        <v>1.9773297058864958E-3</v>
      </c>
      <c r="BA677" s="226">
        <f t="shared" si="181"/>
        <v>1.8962822012525981E-3</v>
      </c>
      <c r="BB677" s="226">
        <f t="shared" si="181"/>
        <v>1.8185567010309271E-3</v>
      </c>
      <c r="BC677" s="226">
        <f t="shared" si="181"/>
        <v>1.7440170417039912E-3</v>
      </c>
      <c r="BD677" s="226">
        <f t="shared" si="181"/>
        <v>1.6725326408737664E-3</v>
      </c>
      <c r="BE677" s="226">
        <f t="shared" si="181"/>
        <v>1.6039782685007542E-3</v>
      </c>
    </row>
    <row r="678" spans="5:57" s="10" customFormat="1" x14ac:dyDescent="0.35">
      <c r="E678" s="10" t="s">
        <v>640</v>
      </c>
      <c r="F678" s="10" t="s">
        <v>615</v>
      </c>
      <c r="G678" s="43" t="s">
        <v>616</v>
      </c>
      <c r="I678" s="20"/>
      <c r="J678" s="200"/>
      <c r="K678" s="200"/>
      <c r="L678" s="200"/>
      <c r="M678" s="200"/>
      <c r="N678" s="200">
        <v>9.4999999999999998E-3</v>
      </c>
      <c r="O678" s="226">
        <f t="shared" si="182"/>
        <v>9.0978846161141134E-3</v>
      </c>
      <c r="P678" s="226">
        <f t="shared" si="182"/>
        <v>8.7127899461185102E-3</v>
      </c>
      <c r="Q678" s="226">
        <f t="shared" si="182"/>
        <v>8.3439955383395065E-3</v>
      </c>
      <c r="R678" s="226">
        <f t="shared" si="182"/>
        <v>7.9908114363351369E-3</v>
      </c>
      <c r="S678" s="226">
        <f t="shared" si="182"/>
        <v>7.6525768880949651E-3</v>
      </c>
      <c r="T678" s="226">
        <f t="shared" si="182"/>
        <v>7.3286591098767999E-3</v>
      </c>
      <c r="U678" s="226">
        <f t="shared" si="182"/>
        <v>7.0184521023676522E-3</v>
      </c>
      <c r="V678" s="226">
        <f t="shared" si="182"/>
        <v>6.7213755169541495E-3</v>
      </c>
      <c r="W678" s="226">
        <f t="shared" si="182"/>
        <v>6.4368735699813903E-3</v>
      </c>
      <c r="X678" s="226">
        <f t="shared" si="182"/>
        <v>6.1644140029689714E-3</v>
      </c>
      <c r="Y678" s="226">
        <f t="shared" si="182"/>
        <v>5.9034870868389291E-3</v>
      </c>
      <c r="Z678" s="226">
        <f t="shared" si="182"/>
        <v>5.6536046682926543E-3</v>
      </c>
      <c r="AA678" s="226">
        <f t="shared" si="182"/>
        <v>5.4142992565527027E-3</v>
      </c>
      <c r="AB678" s="226">
        <f t="shared" si="182"/>
        <v>5.1851231487609391E-3</v>
      </c>
      <c r="AC678" s="226">
        <f t="shared" si="182"/>
        <v>4.9656475923967706E-3</v>
      </c>
      <c r="AD678" s="226">
        <f t="shared" si="182"/>
        <v>4.7554619831484913E-3</v>
      </c>
      <c r="AE678" s="226">
        <f t="shared" si="180"/>
        <v>4.5541730967370714E-3</v>
      </c>
      <c r="AF678" s="226">
        <f t="shared" si="180"/>
        <v>4.3614043532552603E-3</v>
      </c>
      <c r="AG678" s="226">
        <f t="shared" si="180"/>
        <v>4.1767951126457006E-3</v>
      </c>
      <c r="AH678" s="227">
        <v>4.0000000000000001E-3</v>
      </c>
      <c r="AI678" s="226">
        <f t="shared" si="183"/>
        <v>3.8306882594164693E-3</v>
      </c>
      <c r="AJ678" s="226">
        <f t="shared" si="183"/>
        <v>3.6685431352077944E-3</v>
      </c>
      <c r="AK678" s="226">
        <f t="shared" si="183"/>
        <v>3.5132612793008456E-3</v>
      </c>
      <c r="AL678" s="226">
        <f t="shared" si="183"/>
        <v>3.3645521837200585E-3</v>
      </c>
      <c r="AM678" s="226">
        <f t="shared" si="183"/>
        <v>3.2221376370926177E-3</v>
      </c>
      <c r="AN678" s="226">
        <f t="shared" si="183"/>
        <v>3.0857512041586534E-3</v>
      </c>
      <c r="AO678" s="226">
        <f t="shared" si="183"/>
        <v>2.9551377273126962E-3</v>
      </c>
      <c r="AP678" s="226">
        <f t="shared" si="183"/>
        <v>2.8300528492438532E-3</v>
      </c>
      <c r="AQ678" s="226">
        <f t="shared" si="183"/>
        <v>2.7102625557816388E-3</v>
      </c>
      <c r="AR678" s="226">
        <f t="shared" si="183"/>
        <v>2.5955427380921991E-3</v>
      </c>
      <c r="AS678" s="226">
        <f t="shared" si="183"/>
        <v>2.4856787734058657E-3</v>
      </c>
      <c r="AT678" s="226">
        <f t="shared" si="183"/>
        <v>2.3804651234916449E-3</v>
      </c>
      <c r="AU678" s="226">
        <f t="shared" si="183"/>
        <v>2.2797049501274546E-3</v>
      </c>
      <c r="AV678" s="226">
        <f t="shared" si="183"/>
        <v>2.1832097468467118E-3</v>
      </c>
      <c r="AW678" s="226">
        <f t="shared" si="183"/>
        <v>2.0907989862723251E-3</v>
      </c>
      <c r="AX678" s="226">
        <f t="shared" si="183"/>
        <v>2.0022997823783127E-3</v>
      </c>
      <c r="AY678" s="226">
        <f t="shared" si="181"/>
        <v>1.9175465670471883E-3</v>
      </c>
      <c r="AZ678" s="226">
        <f t="shared" si="181"/>
        <v>1.8363807803180047E-3</v>
      </c>
      <c r="BA678" s="226">
        <f t="shared" si="181"/>
        <v>1.7586505737455587E-3</v>
      </c>
      <c r="BB678" s="226">
        <f t="shared" si="181"/>
        <v>1.6842105263157872E-3</v>
      </c>
      <c r="BC678" s="226">
        <f t="shared" si="181"/>
        <v>1.6129213723858795E-3</v>
      </c>
      <c r="BD678" s="226">
        <f t="shared" si="181"/>
        <v>1.5446497411401219E-3</v>
      </c>
      <c r="BE678" s="226">
        <f t="shared" si="181"/>
        <v>1.4792679070740383E-3</v>
      </c>
    </row>
    <row r="679" spans="5:57" s="10" customFormat="1" x14ac:dyDescent="0.35">
      <c r="E679" s="10" t="s">
        <v>641</v>
      </c>
      <c r="F679" s="10" t="s">
        <v>615</v>
      </c>
      <c r="G679" s="43" t="s">
        <v>616</v>
      </c>
      <c r="I679" s="20"/>
      <c r="J679" s="200"/>
      <c r="K679" s="200"/>
      <c r="L679" s="200"/>
      <c r="M679" s="200"/>
      <c r="N679" s="200">
        <v>9.4000000000000004E-3</v>
      </c>
      <c r="O679" s="226">
        <f t="shared" si="182"/>
        <v>8.9954872279679101E-3</v>
      </c>
      <c r="P679" s="226">
        <f t="shared" si="182"/>
        <v>8.6083819647376388E-3</v>
      </c>
      <c r="Q679" s="226">
        <f t="shared" si="182"/>
        <v>8.2379351082198654E-3</v>
      </c>
      <c r="R679" s="226">
        <f t="shared" si="182"/>
        <v>7.8834297926404524E-3</v>
      </c>
      <c r="S679" s="226">
        <f t="shared" si="182"/>
        <v>7.544180001306266E-3</v>
      </c>
      <c r="T679" s="226">
        <f t="shared" si="182"/>
        <v>7.2195292390682389E-3</v>
      </c>
      <c r="U679" s="226">
        <f t="shared" si="182"/>
        <v>6.9088492619126841E-3</v>
      </c>
      <c r="V679" s="226">
        <f t="shared" si="182"/>
        <v>6.6115388612224546E-3</v>
      </c>
      <c r="W679" s="226">
        <f t="shared" si="182"/>
        <v>6.3270227003553291E-3</v>
      </c>
      <c r="X679" s="226">
        <f t="shared" si="182"/>
        <v>6.0547502012882346E-3</v>
      </c>
      <c r="Y679" s="226">
        <f t="shared" si="182"/>
        <v>5.7941944791728133E-3</v>
      </c>
      <c r="Z679" s="226">
        <f t="shared" si="182"/>
        <v>5.5448513227405556E-3</v>
      </c>
      <c r="AA679" s="226">
        <f t="shared" si="182"/>
        <v>5.3062382185844297E-3</v>
      </c>
      <c r="AB679" s="226">
        <f t="shared" si="182"/>
        <v>5.0778934174288762E-3</v>
      </c>
      <c r="AC679" s="226">
        <f t="shared" si="182"/>
        <v>4.8593750405812536E-3</v>
      </c>
      <c r="AD679" s="226">
        <f t="shared" si="182"/>
        <v>4.6502602248356074E-3</v>
      </c>
      <c r="AE679" s="226">
        <f t="shared" si="180"/>
        <v>4.4501443041740311E-3</v>
      </c>
      <c r="AF679" s="226">
        <f t="shared" si="180"/>
        <v>4.258640026682089E-3</v>
      </c>
      <c r="AG679" s="226">
        <f t="shared" si="180"/>
        <v>4.0753768051629419E-3</v>
      </c>
      <c r="AH679" s="227">
        <v>3.8999999999999998E-3</v>
      </c>
      <c r="AI679" s="226">
        <f t="shared" si="183"/>
        <v>3.7321702328803031E-3</v>
      </c>
      <c r="AJ679" s="226">
        <f t="shared" si="183"/>
        <v>3.571562730050722E-3</v>
      </c>
      <c r="AK679" s="226">
        <f t="shared" si="183"/>
        <v>3.4178666938359014E-3</v>
      </c>
      <c r="AL679" s="226">
        <f t="shared" si="183"/>
        <v>3.2707847012018892E-3</v>
      </c>
      <c r="AM679" s="226">
        <f t="shared" si="183"/>
        <v>3.1300321282015354E-3</v>
      </c>
      <c r="AN679" s="226">
        <f t="shared" si="183"/>
        <v>2.9953365991878859E-3</v>
      </c>
      <c r="AO679" s="226">
        <f t="shared" si="183"/>
        <v>2.8664374597297303E-3</v>
      </c>
      <c r="AP679" s="226">
        <f t="shared" si="183"/>
        <v>2.743085272209316E-3</v>
      </c>
      <c r="AQ679" s="226">
        <f t="shared" si="183"/>
        <v>2.6250413331261467E-3</v>
      </c>
      <c r="AR679" s="226">
        <f t="shared" si="183"/>
        <v>2.5120772111727778E-3</v>
      </c>
      <c r="AS679" s="226">
        <f t="shared" si="183"/>
        <v>2.4039743051887203E-3</v>
      </c>
      <c r="AT679" s="226">
        <f t="shared" si="183"/>
        <v>2.3005234211370389E-3</v>
      </c>
      <c r="AU679" s="226">
        <f t="shared" si="183"/>
        <v>2.2015243672850295E-3</v>
      </c>
      <c r="AV679" s="226">
        <f t="shared" si="183"/>
        <v>2.1067855668055976E-3</v>
      </c>
      <c r="AW679" s="226">
        <f t="shared" si="183"/>
        <v>2.0161236870496688E-3</v>
      </c>
      <c r="AX679" s="226">
        <f t="shared" si="183"/>
        <v>1.92936328477222E-3</v>
      </c>
      <c r="AY679" s="226">
        <f t="shared" si="181"/>
        <v>1.8463364666253957E-3</v>
      </c>
      <c r="AZ679" s="226">
        <f t="shared" si="181"/>
        <v>1.7668825642617179E-3</v>
      </c>
      <c r="BA679" s="226">
        <f t="shared" si="181"/>
        <v>1.6908478234186673E-3</v>
      </c>
      <c r="BB679" s="226">
        <f t="shared" si="181"/>
        <v>1.6180851063829747E-3</v>
      </c>
      <c r="BC679" s="226">
        <f t="shared" si="181"/>
        <v>1.5484536072588454E-3</v>
      </c>
      <c r="BD679" s="226">
        <f t="shared" si="181"/>
        <v>1.4818185794891257E-3</v>
      </c>
      <c r="BE679" s="226">
        <f t="shared" si="181"/>
        <v>1.4180510751021257E-3</v>
      </c>
    </row>
    <row r="680" spans="5:57" s="10" customFormat="1" x14ac:dyDescent="0.35">
      <c r="E680" s="10" t="s">
        <v>642</v>
      </c>
      <c r="F680" s="10" t="s">
        <v>615</v>
      </c>
      <c r="G680" s="43" t="s">
        <v>616</v>
      </c>
      <c r="I680" s="20"/>
      <c r="J680" s="200"/>
      <c r="K680" s="200"/>
      <c r="L680" s="200"/>
      <c r="M680" s="200"/>
      <c r="N680" s="200">
        <v>9.1999999999999998E-3</v>
      </c>
      <c r="O680" s="226">
        <f t="shared" si="182"/>
        <v>8.8021267039412026E-3</v>
      </c>
      <c r="P680" s="226">
        <f t="shared" si="182"/>
        <v>8.4214602730690036E-3</v>
      </c>
      <c r="Q680" s="226">
        <f t="shared" si="182"/>
        <v>8.0572565604087668E-3</v>
      </c>
      <c r="R680" s="226">
        <f t="shared" si="182"/>
        <v>7.7088036011825492E-3</v>
      </c>
      <c r="S680" s="226">
        <f t="shared" si="182"/>
        <v>7.3754202210225038E-3</v>
      </c>
      <c r="T680" s="226">
        <f t="shared" si="182"/>
        <v>7.0564547043750125E-3</v>
      </c>
      <c r="U680" s="226">
        <f t="shared" si="182"/>
        <v>6.751283520492481E-3</v>
      </c>
      <c r="V680" s="226">
        <f t="shared" si="182"/>
        <v>6.4593101045222878E-3</v>
      </c>
      <c r="W680" s="226">
        <f t="shared" si="182"/>
        <v>6.1799636913100952E-3</v>
      </c>
      <c r="X680" s="226">
        <f t="shared" si="182"/>
        <v>5.9126981996377873E-3</v>
      </c>
      <c r="Y680" s="226">
        <f t="shared" si="182"/>
        <v>5.6569911647148747E-3</v>
      </c>
      <c r="Z680" s="226">
        <f t="shared" si="182"/>
        <v>5.412342716836549E-3</v>
      </c>
      <c r="AA680" s="226">
        <f t="shared" si="182"/>
        <v>5.1782746042118117E-3</v>
      </c>
      <c r="AB680" s="226">
        <f t="shared" si="182"/>
        <v>4.9543292580514512E-3</v>
      </c>
      <c r="AC680" s="226">
        <f t="shared" si="182"/>
        <v>4.7400688980882488E-3</v>
      </c>
      <c r="AD680" s="226">
        <f t="shared" si="182"/>
        <v>4.5350746767808398E-3</v>
      </c>
      <c r="AE680" s="226">
        <f t="shared" si="180"/>
        <v>4.3389458605282774E-3</v>
      </c>
      <c r="AF680" s="226">
        <f t="shared" si="180"/>
        <v>4.151299046294684E-3</v>
      </c>
      <c r="AG680" s="226">
        <f t="shared" si="180"/>
        <v>3.9717674121126185E-3</v>
      </c>
      <c r="AH680" s="227">
        <v>3.8E-3</v>
      </c>
      <c r="AI680" s="226">
        <f t="shared" si="183"/>
        <v>3.6356610298887578E-3</v>
      </c>
      <c r="AJ680" s="226">
        <f t="shared" si="183"/>
        <v>3.4784292432241534E-3</v>
      </c>
      <c r="AK680" s="226">
        <f t="shared" si="183"/>
        <v>3.3279972749514471E-3</v>
      </c>
      <c r="AL680" s="226">
        <f t="shared" si="183"/>
        <v>3.1840710526623572E-3</v>
      </c>
      <c r="AM680" s="226">
        <f t="shared" si="183"/>
        <v>3.0463692217266862E-3</v>
      </c>
      <c r="AN680" s="226">
        <f t="shared" si="183"/>
        <v>2.914622595285331E-3</v>
      </c>
      <c r="AO680" s="226">
        <f t="shared" si="183"/>
        <v>2.7885736280295029E-3</v>
      </c>
      <c r="AP680" s="226">
        <f t="shared" si="183"/>
        <v>2.6679759127374663E-3</v>
      </c>
      <c r="AQ680" s="226">
        <f t="shared" si="183"/>
        <v>2.5525936985846039E-3</v>
      </c>
      <c r="AR680" s="226">
        <f t="shared" si="183"/>
        <v>2.4422014302851723E-3</v>
      </c>
      <c r="AS680" s="226">
        <f t="shared" si="183"/>
        <v>2.3365833071648389E-3</v>
      </c>
      <c r="AT680" s="226">
        <f t="shared" si="183"/>
        <v>2.235532861302052E-3</v>
      </c>
      <c r="AU680" s="226">
        <f t="shared" si="183"/>
        <v>2.1388525539135735E-3</v>
      </c>
      <c r="AV680" s="226">
        <f t="shared" si="183"/>
        <v>2.0463533891951638E-3</v>
      </c>
      <c r="AW680" s="226">
        <f t="shared" si="183"/>
        <v>1.9578545448625368E-3</v>
      </c>
      <c r="AX680" s="226">
        <f t="shared" si="183"/>
        <v>1.8731830186703464E-3</v>
      </c>
      <c r="AY680" s="226">
        <f t="shared" si="181"/>
        <v>1.792173290218201E-3</v>
      </c>
      <c r="AZ680" s="226">
        <f t="shared" si="181"/>
        <v>1.7146669973825866E-3</v>
      </c>
      <c r="BA680" s="226">
        <f t="shared" si="181"/>
        <v>1.6405126267421681E-3</v>
      </c>
      <c r="BB680" s="226">
        <f t="shared" si="181"/>
        <v>1.5695652173913007E-3</v>
      </c>
      <c r="BC680" s="226">
        <f t="shared" si="181"/>
        <v>1.5016860775627443E-3</v>
      </c>
      <c r="BD680" s="226">
        <f t="shared" si="181"/>
        <v>1.4367425135056254E-3</v>
      </c>
      <c r="BE680" s="226">
        <f t="shared" si="181"/>
        <v>1.3746075700886381E-3</v>
      </c>
    </row>
    <row r="681" spans="5:57" s="10" customFormat="1" x14ac:dyDescent="0.35">
      <c r="E681" s="109" t="s">
        <v>643</v>
      </c>
      <c r="F681" s="10" t="s">
        <v>615</v>
      </c>
      <c r="G681" s="43" t="s">
        <v>616</v>
      </c>
      <c r="I681" s="20"/>
      <c r="J681" s="200"/>
      <c r="K681" s="200"/>
      <c r="L681" s="200"/>
      <c r="M681" s="200"/>
      <c r="N681" s="200">
        <v>9.1000000000000004E-3</v>
      </c>
      <c r="O681" s="226">
        <f t="shared" si="182"/>
        <v>8.7112103849201188E-3</v>
      </c>
      <c r="P681" s="226">
        <f t="shared" si="182"/>
        <v>8.3390314692681454E-3</v>
      </c>
      <c r="Q681" s="226">
        <f t="shared" si="182"/>
        <v>7.9827535753037738E-3</v>
      </c>
      <c r="R681" s="226">
        <f t="shared" si="182"/>
        <v>7.6416973456532346E-3</v>
      </c>
      <c r="S681" s="226">
        <f t="shared" si="182"/>
        <v>7.3152124478979078E-3</v>
      </c>
      <c r="T681" s="226">
        <f t="shared" si="182"/>
        <v>7.0026763345082607E-3</v>
      </c>
      <c r="U681" s="226">
        <f t="shared" si="182"/>
        <v>6.7034930557585398E-3</v>
      </c>
      <c r="V681" s="226">
        <f t="shared" si="182"/>
        <v>6.4170921233586472E-3</v>
      </c>
      <c r="W681" s="226">
        <f t="shared" si="182"/>
        <v>6.1429274226363672E-3</v>
      </c>
      <c r="X681" s="226">
        <f t="shared" si="182"/>
        <v>5.8804761711956591E-3</v>
      </c>
      <c r="Y681" s="226">
        <f t="shared" si="182"/>
        <v>5.6292379220653759E-3</v>
      </c>
      <c r="Z681" s="226">
        <f t="shared" si="182"/>
        <v>5.3887336094375878E-3</v>
      </c>
      <c r="AA681" s="226">
        <f t="shared" si="182"/>
        <v>5.1585046351759105E-3</v>
      </c>
      <c r="AB681" s="226">
        <f t="shared" si="182"/>
        <v>4.9381119943519734E-3</v>
      </c>
      <c r="AC681" s="226">
        <f t="shared" si="182"/>
        <v>4.7271354381425833E-3</v>
      </c>
      <c r="AD681" s="226">
        <f t="shared" si="182"/>
        <v>4.5251726724913829E-3</v>
      </c>
      <c r="AE681" s="226">
        <f t="shared" si="180"/>
        <v>4.3318385910069953E-3</v>
      </c>
      <c r="AF681" s="226">
        <f t="shared" si="180"/>
        <v>4.1467645406349308E-3</v>
      </c>
      <c r="AG681" s="226">
        <f t="shared" si="180"/>
        <v>3.9695976187030238E-3</v>
      </c>
      <c r="AH681" s="227">
        <v>3.8E-3</v>
      </c>
      <c r="AI681" s="226">
        <f t="shared" si="183"/>
        <v>3.6376482926040055E-3</v>
      </c>
      <c r="AJ681" s="226">
        <f t="shared" si="183"/>
        <v>3.4822329212328518E-3</v>
      </c>
      <c r="AK681" s="226">
        <f t="shared" si="183"/>
        <v>3.3334575369400373E-3</v>
      </c>
      <c r="AL681" s="226">
        <f t="shared" si="183"/>
        <v>3.1910384520310209E-3</v>
      </c>
      <c r="AM681" s="226">
        <f t="shared" si="183"/>
        <v>3.0547040991222032E-3</v>
      </c>
      <c r="AN681" s="226">
        <f t="shared" si="183"/>
        <v>2.924194513311142E-3</v>
      </c>
      <c r="AO681" s="226">
        <f t="shared" si="183"/>
        <v>2.799260836470599E-3</v>
      </c>
      <c r="AP681" s="226">
        <f t="shared" si="183"/>
        <v>2.6796648427211932E-3</v>
      </c>
      <c r="AQ681" s="226">
        <f t="shared" si="183"/>
        <v>2.5651784841778233E-3</v>
      </c>
      <c r="AR681" s="226">
        <f t="shared" si="183"/>
        <v>2.4555834561036816E-3</v>
      </c>
      <c r="AS681" s="226">
        <f t="shared" si="183"/>
        <v>2.3506707806426842E-3</v>
      </c>
      <c r="AT681" s="226">
        <f t="shared" si="183"/>
        <v>2.2502404083365748E-3</v>
      </c>
      <c r="AU681" s="226">
        <f t="shared" si="183"/>
        <v>2.1541008366668633E-3</v>
      </c>
      <c r="AV681" s="226">
        <f t="shared" si="183"/>
        <v>2.0620687448942303E-3</v>
      </c>
      <c r="AW681" s="226">
        <f t="shared" si="183"/>
        <v>1.9739686444991003E-3</v>
      </c>
      <c r="AX681" s="226">
        <f t="shared" si="183"/>
        <v>1.8896325445568408E-3</v>
      </c>
      <c r="AY681" s="226">
        <f t="shared" si="181"/>
        <v>1.8088996314095144E-3</v>
      </c>
      <c r="AZ681" s="226">
        <f t="shared" si="181"/>
        <v>1.7316159620233776E-3</v>
      </c>
      <c r="BA681" s="226">
        <f t="shared" si="181"/>
        <v>1.6576341704474162E-3</v>
      </c>
      <c r="BB681" s="226">
        <f t="shared" si="181"/>
        <v>1.5868131868131843E-3</v>
      </c>
      <c r="BC681" s="226">
        <f t="shared" si="181"/>
        <v>1.5190179683401317E-3</v>
      </c>
      <c r="BD681" s="226">
        <f t="shared" si="181"/>
        <v>1.4541192418334962E-3</v>
      </c>
      <c r="BE681" s="226">
        <f t="shared" si="181"/>
        <v>1.3919932571837496E-3</v>
      </c>
    </row>
    <row r="682" spans="5:57" s="10" customFormat="1" x14ac:dyDescent="0.35">
      <c r="E682" s="109" t="s">
        <v>644</v>
      </c>
      <c r="F682" s="10" t="s">
        <v>615</v>
      </c>
      <c r="G682" s="43" t="s">
        <v>616</v>
      </c>
      <c r="I682" s="20"/>
      <c r="J682" s="200"/>
      <c r="K682" s="200"/>
      <c r="L682" s="200"/>
      <c r="M682" s="200"/>
      <c r="N682" s="200">
        <v>8.9999999999999993E-3</v>
      </c>
      <c r="O682" s="226">
        <f t="shared" si="182"/>
        <v>8.6202440971203005E-3</v>
      </c>
      <c r="P682" s="226">
        <f t="shared" si="182"/>
        <v>8.2565120326597106E-3</v>
      </c>
      <c r="Q682" s="226">
        <f t="shared" si="182"/>
        <v>7.9081276791486237E-3</v>
      </c>
      <c r="R682" s="226">
        <f t="shared" si="182"/>
        <v>7.5744434383838433E-3</v>
      </c>
      <c r="S682" s="226">
        <f t="shared" si="182"/>
        <v>7.2548390376333243E-3</v>
      </c>
      <c r="T682" s="226">
        <f t="shared" si="182"/>
        <v>6.9487203766351764E-3</v>
      </c>
      <c r="U682" s="226">
        <f t="shared" si="182"/>
        <v>6.6555184232476592E-3</v>
      </c>
      <c r="V682" s="226">
        <f t="shared" si="182"/>
        <v>6.3746881556973386E-3</v>
      </c>
      <c r="W682" s="226">
        <f t="shared" si="182"/>
        <v>6.1057075494591866E-3</v>
      </c>
      <c r="X682" s="226">
        <f t="shared" si="182"/>
        <v>5.8480766068853794E-3</v>
      </c>
      <c r="Y682" s="226">
        <f t="shared" si="182"/>
        <v>5.6013164277790017E-3</v>
      </c>
      <c r="Z682" s="226">
        <f t="shared" si="182"/>
        <v>5.3649683191849904E-3</v>
      </c>
      <c r="AA682" s="226">
        <f t="shared" si="182"/>
        <v>5.1385929427435377E-3</v>
      </c>
      <c r="AB682" s="226">
        <f t="shared" si="182"/>
        <v>4.9217694980210024E-3</v>
      </c>
      <c r="AC682" s="226">
        <f t="shared" si="182"/>
        <v>4.7140949403002546E-3</v>
      </c>
      <c r="AD682" s="226">
        <f t="shared" si="182"/>
        <v>4.5151832313764387E-3</v>
      </c>
      <c r="AE682" s="226">
        <f t="shared" si="180"/>
        <v>4.3246646219654789E-3</v>
      </c>
      <c r="AF682" s="226">
        <f t="shared" si="180"/>
        <v>4.1421849643914349E-3</v>
      </c>
      <c r="AG682" s="226">
        <f t="shared" si="180"/>
        <v>3.9674050542750812E-3</v>
      </c>
      <c r="AH682" s="227">
        <v>3.8E-3</v>
      </c>
      <c r="AI682" s="226">
        <f t="shared" si="183"/>
        <v>3.6396586187841273E-3</v>
      </c>
      <c r="AJ682" s="226">
        <f t="shared" si="183"/>
        <v>3.4860828582341003E-3</v>
      </c>
      <c r="AK682" s="226">
        <f t="shared" si="183"/>
        <v>3.3389872423071967E-3</v>
      </c>
      <c r="AL682" s="226">
        <f t="shared" si="183"/>
        <v>3.1980983406509561E-3</v>
      </c>
      <c r="AM682" s="226">
        <f t="shared" si="183"/>
        <v>3.0631542603340705E-3</v>
      </c>
      <c r="AN682" s="226">
        <f t="shared" si="183"/>
        <v>2.9339041590237414E-3</v>
      </c>
      <c r="AO682" s="226">
        <f t="shared" si="183"/>
        <v>2.8101077787045675E-3</v>
      </c>
      <c r="AP682" s="226">
        <f t="shared" si="183"/>
        <v>2.6915349990722097E-3</v>
      </c>
      <c r="AQ682" s="226">
        <f t="shared" si="183"/>
        <v>2.5779654097716569E-3</v>
      </c>
      <c r="AR682" s="226">
        <f t="shared" si="183"/>
        <v>2.4691879006849384E-3</v>
      </c>
      <c r="AS682" s="226">
        <f t="shared" si="183"/>
        <v>2.3650002695066899E-3</v>
      </c>
      <c r="AT682" s="226">
        <f t="shared" si="183"/>
        <v>2.265208845878107E-3</v>
      </c>
      <c r="AU682" s="226">
        <f t="shared" si="183"/>
        <v>2.1696281313806046E-3</v>
      </c>
      <c r="AV682" s="226">
        <f t="shared" si="183"/>
        <v>2.0780804547199786E-3</v>
      </c>
      <c r="AW682" s="226">
        <f t="shared" si="183"/>
        <v>1.9903956414601075E-3</v>
      </c>
      <c r="AX682" s="226">
        <f t="shared" si="183"/>
        <v>1.9064106976922741E-3</v>
      </c>
      <c r="AY682" s="226">
        <f t="shared" si="181"/>
        <v>1.8259695070520911E-3</v>
      </c>
      <c r="AZ682" s="226">
        <f t="shared" si="181"/>
        <v>1.7489225405208282E-3</v>
      </c>
      <c r="BA682" s="226">
        <f t="shared" si="181"/>
        <v>1.675126578471701E-3</v>
      </c>
      <c r="BB682" s="226">
        <f t="shared" si="181"/>
        <v>1.6044444444444452E-3</v>
      </c>
      <c r="BC682" s="226">
        <f t="shared" si="181"/>
        <v>1.5367447501532989E-3</v>
      </c>
      <c r="BD682" s="226">
        <f t="shared" si="181"/>
        <v>1.4719016512543986E-3</v>
      </c>
      <c r="BE682" s="226">
        <f t="shared" si="181"/>
        <v>1.4097946134185948E-3</v>
      </c>
    </row>
    <row r="683" spans="5:57" s="10" customFormat="1" x14ac:dyDescent="0.35">
      <c r="E683" s="109" t="s">
        <v>645</v>
      </c>
      <c r="F683" s="10" t="s">
        <v>615</v>
      </c>
      <c r="G683" s="43" t="s">
        <v>616</v>
      </c>
      <c r="I683" s="20"/>
      <c r="J683" s="200"/>
      <c r="K683" s="200"/>
      <c r="L683" s="200"/>
      <c r="M683" s="200"/>
      <c r="N683" s="200">
        <v>8.8999999999999999E-3</v>
      </c>
      <c r="O683" s="226">
        <f t="shared" si="182"/>
        <v>8.5292272573868257E-3</v>
      </c>
      <c r="P683" s="226">
        <f t="shared" si="182"/>
        <v>8.1739008548483583E-3</v>
      </c>
      <c r="Q683" s="226">
        <f t="shared" si="182"/>
        <v>7.8333773000393361E-3</v>
      </c>
      <c r="R683" s="226">
        <f t="shared" si="182"/>
        <v>7.5070399084146882E-3</v>
      </c>
      <c r="S683" s="226">
        <f t="shared" si="182"/>
        <v>7.1942976864203655E-3</v>
      </c>
      <c r="T683" s="226">
        <f t="shared" si="182"/>
        <v>6.8945842612102874E-3</v>
      </c>
      <c r="U683" s="226">
        <f t="shared" si="182"/>
        <v>6.6073568549511229E-3</v>
      </c>
      <c r="V683" s="226">
        <f t="shared" si="182"/>
        <v>6.3320953018573935E-3</v>
      </c>
      <c r="W683" s="226">
        <f t="shared" si="182"/>
        <v>6.0683011061767574E-3</v>
      </c>
      <c r="X683" s="226">
        <f t="shared" si="182"/>
        <v>5.8154965394194855E-3</v>
      </c>
      <c r="Y683" s="226">
        <f t="shared" si="182"/>
        <v>5.5732237751972393E-3</v>
      </c>
      <c r="Z683" s="226">
        <f t="shared" si="182"/>
        <v>5.341044060104337E-3</v>
      </c>
      <c r="AA683" s="226">
        <f t="shared" si="182"/>
        <v>5.1185369191399897E-3</v>
      </c>
      <c r="AB683" s="226">
        <f t="shared" si="182"/>
        <v>4.9052993942325374E-3</v>
      </c>
      <c r="AC683" s="226">
        <f t="shared" si="182"/>
        <v>4.7009453144866561E-3</v>
      </c>
      <c r="AD683" s="226">
        <f t="shared" si="182"/>
        <v>4.5051045968319626E-3</v>
      </c>
      <c r="AE683" s="226">
        <f t="shared" si="180"/>
        <v>4.317422575806501E-3</v>
      </c>
      <c r="AF683" s="226">
        <f t="shared" si="180"/>
        <v>4.1375593612613532E-3</v>
      </c>
      <c r="AG683" s="226">
        <f t="shared" si="180"/>
        <v>3.9651892228231862E-3</v>
      </c>
      <c r="AH683" s="227">
        <v>3.8E-3</v>
      </c>
      <c r="AI683" s="226">
        <f t="shared" si="183"/>
        <v>3.6416925368617905E-3</v>
      </c>
      <c r="AJ683" s="226">
        <f t="shared" si="183"/>
        <v>3.4899801402723325E-3</v>
      </c>
      <c r="AK683" s="226">
        <f t="shared" si="183"/>
        <v>3.3445880606909522E-3</v>
      </c>
      <c r="AL683" s="226">
        <f t="shared" si="183"/>
        <v>3.2052529946040237E-3</v>
      </c>
      <c r="AM683" s="226">
        <f t="shared" si="183"/>
        <v>3.0717226076850995E-3</v>
      </c>
      <c r="AN683" s="226">
        <f t="shared" si="183"/>
        <v>2.9437550778201225E-3</v>
      </c>
      <c r="AO683" s="226">
        <f t="shared" si="183"/>
        <v>2.8211186571701422E-3</v>
      </c>
      <c r="AP683" s="226">
        <f t="shared" si="183"/>
        <v>2.7035912524784374E-3</v>
      </c>
      <c r="AQ683" s="226">
        <f t="shared" si="183"/>
        <v>2.590960022861986E-3</v>
      </c>
      <c r="AR683" s="226">
        <f t="shared" si="183"/>
        <v>2.4830209943588811E-3</v>
      </c>
      <c r="AS683" s="226">
        <f t="shared" si="183"/>
        <v>2.3795786905336526E-3</v>
      </c>
      <c r="AT683" s="226">
        <f t="shared" si="183"/>
        <v>2.2804457784715145E-3</v>
      </c>
      <c r="AU683" s="226">
        <f t="shared" si="183"/>
        <v>2.185442729520445E-3</v>
      </c>
      <c r="AV683" s="226">
        <f t="shared" si="183"/>
        <v>2.0943974941667015E-3</v>
      </c>
      <c r="AW683" s="226">
        <f t="shared" si="183"/>
        <v>2.007145190454977E-3</v>
      </c>
      <c r="AX683" s="226">
        <f t="shared" si="183"/>
        <v>1.9235278053889283E-3</v>
      </c>
      <c r="AY683" s="226">
        <f t="shared" si="181"/>
        <v>1.8433939087713154E-3</v>
      </c>
      <c r="AZ683" s="226">
        <f t="shared" si="181"/>
        <v>1.766598378965522E-3</v>
      </c>
      <c r="BA683" s="226">
        <f t="shared" si="181"/>
        <v>1.6930021400818102E-3</v>
      </c>
      <c r="BB683" s="226">
        <f t="shared" si="181"/>
        <v>1.6224719101123599E-3</v>
      </c>
      <c r="BC683" s="226">
        <f t="shared" si="181"/>
        <v>1.5548799595589671E-3</v>
      </c>
      <c r="BD683" s="226">
        <f t="shared" si="181"/>
        <v>1.4901038801162772E-3</v>
      </c>
      <c r="BE683" s="226">
        <f t="shared" si="181"/>
        <v>1.4280263629916428E-3</v>
      </c>
    </row>
    <row r="684" spans="5:57" s="10" customFormat="1" x14ac:dyDescent="0.35">
      <c r="E684" s="10" t="s">
        <v>646</v>
      </c>
      <c r="F684" s="10" t="s">
        <v>615</v>
      </c>
      <c r="G684" s="43" t="s">
        <v>616</v>
      </c>
      <c r="I684" s="20"/>
      <c r="J684" s="200"/>
      <c r="K684" s="200"/>
      <c r="L684" s="200"/>
      <c r="M684" s="200"/>
      <c r="N684" s="200">
        <v>8.8000000000000005E-3</v>
      </c>
      <c r="O684" s="226">
        <f t="shared" si="182"/>
        <v>8.4381592691279411E-3</v>
      </c>
      <c r="P684" s="226">
        <f t="shared" si="182"/>
        <v>8.0911968012692941E-3</v>
      </c>
      <c r="Q684" s="226">
        <f t="shared" si="182"/>
        <v>7.7585008280646409E-3</v>
      </c>
      <c r="R684" s="226">
        <f t="shared" si="182"/>
        <v>7.439484736008006E-3</v>
      </c>
      <c r="S684" s="226">
        <f t="shared" si="182"/>
        <v>7.1335860321229301E-3</v>
      </c>
      <c r="T684" s="226">
        <f t="shared" si="182"/>
        <v>6.8402653521681487E-3</v>
      </c>
      <c r="U684" s="226">
        <f t="shared" si="182"/>
        <v>6.5590055096241325E-3</v>
      </c>
      <c r="V684" s="226">
        <f t="shared" si="182"/>
        <v>6.2893105837836484E-3</v>
      </c>
      <c r="W684" s="226">
        <f t="shared" si="182"/>
        <v>6.0307050453384603E-3</v>
      </c>
      <c r="X684" s="226">
        <f t="shared" si="182"/>
        <v>5.7827329179203826E-3</v>
      </c>
      <c r="Y684" s="226">
        <f t="shared" si="182"/>
        <v>5.5449569741183114E-3</v>
      </c>
      <c r="Z684" s="226">
        <f t="shared" si="182"/>
        <v>5.3169579645536416E-3</v>
      </c>
      <c r="AA684" s="226">
        <f t="shared" si="182"/>
        <v>5.0983338786547662E-3</v>
      </c>
      <c r="AB684" s="226">
        <f t="shared" si="182"/>
        <v>4.8886992358272412E-3</v>
      </c>
      <c r="AC684" s="226">
        <f t="shared" si="182"/>
        <v>4.6876844057698085E-3</v>
      </c>
      <c r="AD684" s="226">
        <f t="shared" si="182"/>
        <v>4.4949349567378425E-3</v>
      </c>
      <c r="AE684" s="226">
        <f t="shared" si="180"/>
        <v>4.3101110306050707E-3</v>
      </c>
      <c r="AF684" s="226">
        <f t="shared" si="180"/>
        <v>4.1328867436216769E-3</v>
      </c>
      <c r="AG684" s="226">
        <f t="shared" si="180"/>
        <v>3.9629496118121872E-3</v>
      </c>
      <c r="AH684" s="227">
        <v>3.8E-3</v>
      </c>
      <c r="AI684" s="226">
        <f t="shared" si="183"/>
        <v>3.6437505934870653E-3</v>
      </c>
      <c r="AJ684" s="226">
        <f t="shared" si="183"/>
        <v>3.4939258914571951E-3</v>
      </c>
      <c r="AK684" s="226">
        <f t="shared" si="183"/>
        <v>3.350261721209731E-3</v>
      </c>
      <c r="AL684" s="226">
        <f t="shared" si="183"/>
        <v>3.2125047723670932E-3</v>
      </c>
      <c r="AM684" s="226">
        <f t="shared" si="183"/>
        <v>3.0804121502349016E-3</v>
      </c>
      <c r="AN684" s="226">
        <f t="shared" si="183"/>
        <v>2.953750947527155E-3</v>
      </c>
      <c r="AO684" s="226">
        <f t="shared" si="183"/>
        <v>2.8322978337013299E-3</v>
      </c>
      <c r="AP684" s="226">
        <f t="shared" si="183"/>
        <v>2.7158386611793026E-3</v>
      </c>
      <c r="AQ684" s="226">
        <f t="shared" si="183"/>
        <v>2.6041680877597899E-3</v>
      </c>
      <c r="AR684" s="226">
        <f t="shared" si="183"/>
        <v>2.4970892145565293E-3</v>
      </c>
      <c r="AS684" s="226">
        <f t="shared" si="183"/>
        <v>2.3944132388238168E-3</v>
      </c>
      <c r="AT684" s="226">
        <f t="shared" si="183"/>
        <v>2.2959591210572551E-3</v>
      </c>
      <c r="AU684" s="226">
        <f t="shared" si="183"/>
        <v>2.2015532657827406E-3</v>
      </c>
      <c r="AV684" s="226">
        <f t="shared" si="183"/>
        <v>2.1110292154708546E-3</v>
      </c>
      <c r="AW684" s="226">
        <f t="shared" si="183"/>
        <v>2.0242273570369633E-3</v>
      </c>
      <c r="AX684" s="226">
        <f t="shared" si="183"/>
        <v>1.9409946404095233E-3</v>
      </c>
      <c r="AY684" s="226">
        <f t="shared" si="181"/>
        <v>1.8611843086703719E-3</v>
      </c>
      <c r="AZ684" s="226">
        <f t="shared" si="181"/>
        <v>1.7846556392911792E-3</v>
      </c>
      <c r="BA684" s="226">
        <f t="shared" si="181"/>
        <v>1.7112736960098085E-3</v>
      </c>
      <c r="BB684" s="226">
        <f t="shared" si="181"/>
        <v>1.6409090909090904E-3</v>
      </c>
      <c r="BC684" s="226">
        <f t="shared" si="181"/>
        <v>1.5734377562785051E-3</v>
      </c>
      <c r="BD684" s="226">
        <f t="shared" si="181"/>
        <v>1.5087407258565157E-3</v>
      </c>
      <c r="BE684" s="226">
        <f t="shared" si="181"/>
        <v>1.446703925067838E-3</v>
      </c>
    </row>
    <row r="685" spans="5:57" s="10" customFormat="1" x14ac:dyDescent="0.35">
      <c r="E685" s="10" t="s">
        <v>647</v>
      </c>
      <c r="F685" s="10" t="s">
        <v>615</v>
      </c>
      <c r="G685" s="43" t="s">
        <v>616</v>
      </c>
      <c r="I685" s="20"/>
      <c r="J685" s="200"/>
      <c r="K685" s="200"/>
      <c r="L685" s="200"/>
      <c r="M685" s="200"/>
      <c r="N685" s="200">
        <v>8.6999999999999994E-3</v>
      </c>
      <c r="O685" s="226">
        <f t="shared" si="182"/>
        <v>8.3359168934036103E-3</v>
      </c>
      <c r="P685" s="226">
        <f t="shared" si="182"/>
        <v>7.9870701670955984E-3</v>
      </c>
      <c r="Q685" s="226">
        <f t="shared" si="182"/>
        <v>7.6528221993899075E-3</v>
      </c>
      <c r="R685" s="226">
        <f t="shared" si="182"/>
        <v>7.33256205219638E-3</v>
      </c>
      <c r="S685" s="226">
        <f t="shared" si="182"/>
        <v>7.025704354348742E-3</v>
      </c>
      <c r="T685" s="226">
        <f t="shared" si="182"/>
        <v>6.7316882316637919E-3</v>
      </c>
      <c r="U685" s="226">
        <f t="shared" si="182"/>
        <v>6.4499762817761472E-3</v>
      </c>
      <c r="V685" s="226">
        <f t="shared" si="182"/>
        <v>6.180053591874758E-3</v>
      </c>
      <c r="W685" s="226">
        <f t="shared" si="182"/>
        <v>5.9214267975457998E-3</v>
      </c>
      <c r="X685" s="226">
        <f t="shared" si="182"/>
        <v>5.6736231810017093E-3</v>
      </c>
      <c r="Y685" s="226">
        <f t="shared" si="182"/>
        <v>5.4361898070481012E-3</v>
      </c>
      <c r="Z685" s="226">
        <f t="shared" si="182"/>
        <v>5.2086926952092851E-3</v>
      </c>
      <c r="AA685" s="226">
        <f t="shared" si="182"/>
        <v>4.9907160264992031E-3</v>
      </c>
      <c r="AB685" s="226">
        <f t="shared" si="182"/>
        <v>4.7818613833879135E-3</v>
      </c>
      <c r="AC685" s="226">
        <f t="shared" si="182"/>
        <v>4.5817470215744442E-3</v>
      </c>
      <c r="AD685" s="226">
        <f t="shared" si="182"/>
        <v>4.3900071722349525E-3</v>
      </c>
      <c r="AE685" s="226">
        <f t="shared" si="180"/>
        <v>4.2062913734708454E-3</v>
      </c>
      <c r="AF685" s="226">
        <f t="shared" si="180"/>
        <v>4.030263829734885E-3</v>
      </c>
      <c r="AG685" s="226">
        <f t="shared" si="180"/>
        <v>3.8616027980644323E-3</v>
      </c>
      <c r="AH685" s="227">
        <v>3.7000000000000002E-3</v>
      </c>
      <c r="AI685" s="226">
        <f t="shared" si="183"/>
        <v>3.5451600581141796E-3</v>
      </c>
      <c r="AJ685" s="226">
        <f t="shared" si="183"/>
        <v>3.3967999561211166E-3</v>
      </c>
      <c r="AK685" s="226">
        <f t="shared" si="183"/>
        <v>3.254648521579616E-3</v>
      </c>
      <c r="AL685" s="226">
        <f t="shared" si="183"/>
        <v>3.1184459302444375E-3</v>
      </c>
      <c r="AM685" s="226">
        <f t="shared" si="183"/>
        <v>2.9879432311598099E-3</v>
      </c>
      <c r="AN685" s="226">
        <f t="shared" si="183"/>
        <v>2.8629018916271299E-3</v>
      </c>
      <c r="AO685" s="226">
        <f t="shared" si="183"/>
        <v>2.7430933612151431E-3</v>
      </c>
      <c r="AP685" s="226">
        <f t="shared" si="183"/>
        <v>2.6282986540157017E-3</v>
      </c>
      <c r="AQ685" s="226">
        <f t="shared" si="183"/>
        <v>2.5183079483815469E-3</v>
      </c>
      <c r="AR685" s="226">
        <f t="shared" si="183"/>
        <v>2.4129202034145203E-3</v>
      </c>
      <c r="AS685" s="226">
        <f t="shared" si="183"/>
        <v>2.3119427915032158E-3</v>
      </c>
      <c r="AT685" s="226">
        <f t="shared" si="183"/>
        <v>2.215191146238432E-3</v>
      </c>
      <c r="AU685" s="226">
        <f t="shared" si="183"/>
        <v>2.1224884250628795E-3</v>
      </c>
      <c r="AV685" s="226">
        <f t="shared" si="183"/>
        <v>2.0336651860385379E-3</v>
      </c>
      <c r="AW685" s="226">
        <f t="shared" si="183"/>
        <v>1.9485590781408556E-3</v>
      </c>
      <c r="AX685" s="226">
        <f t="shared" si="183"/>
        <v>1.8670145445137155E-3</v>
      </c>
      <c r="AY685" s="226">
        <f t="shared" si="181"/>
        <v>1.7888825381427735E-3</v>
      </c>
      <c r="AZ685" s="226">
        <f t="shared" si="181"/>
        <v>1.7140202494274799E-3</v>
      </c>
      <c r="BA685" s="226">
        <f t="shared" si="181"/>
        <v>1.6422908451538391E-3</v>
      </c>
      <c r="BB685" s="226">
        <f t="shared" si="181"/>
        <v>1.5735632183908024E-3</v>
      </c>
      <c r="BC685" s="226">
        <f t="shared" si="181"/>
        <v>1.5077117488531547E-3</v>
      </c>
      <c r="BD685" s="226">
        <f t="shared" si="181"/>
        <v>1.4446160732928866E-3</v>
      </c>
      <c r="BE685" s="226">
        <f t="shared" si="181"/>
        <v>1.384160865499375E-3</v>
      </c>
    </row>
    <row r="686" spans="5:57" s="10" customFormat="1" x14ac:dyDescent="0.35">
      <c r="E686" s="10" t="s">
        <v>648</v>
      </c>
      <c r="F686" s="10" t="s">
        <v>615</v>
      </c>
      <c r="G686" s="43" t="s">
        <v>616</v>
      </c>
      <c r="I686" s="20"/>
      <c r="J686" s="200"/>
      <c r="K686" s="200"/>
      <c r="L686" s="200"/>
      <c r="M686" s="200"/>
      <c r="N686" s="200">
        <v>8.6999999999999994E-3</v>
      </c>
      <c r="O686" s="226">
        <f t="shared" si="182"/>
        <v>8.3470395218491894E-3</v>
      </c>
      <c r="P686" s="226">
        <f t="shared" si="182"/>
        <v>8.0083987102657871E-3</v>
      </c>
      <c r="Q686" s="226">
        <f t="shared" si="182"/>
        <v>7.6834966139442077E-3</v>
      </c>
      <c r="R686" s="226">
        <f t="shared" si="182"/>
        <v>7.3717758508720383E-3</v>
      </c>
      <c r="S686" s="226">
        <f t="shared" si="182"/>
        <v>7.0727016521198102E-3</v>
      </c>
      <c r="T686" s="226">
        <f t="shared" si="182"/>
        <v>6.7857609444243816E-3</v>
      </c>
      <c r="U686" s="226">
        <f t="shared" si="182"/>
        <v>6.5104614699920691E-3</v>
      </c>
      <c r="V686" s="226">
        <f t="shared" si="182"/>
        <v>6.2463309420115144E-3</v>
      </c>
      <c r="W686" s="226">
        <f t="shared" si="182"/>
        <v>5.9929162344275391E-3</v>
      </c>
      <c r="X686" s="226">
        <f t="shared" si="182"/>
        <v>5.7497826045860108E-3</v>
      </c>
      <c r="Y686" s="226">
        <f t="shared" si="182"/>
        <v>5.5165129474161389E-3</v>
      </c>
      <c r="Z686" s="226">
        <f t="shared" si="182"/>
        <v>5.2927070798707209E-3</v>
      </c>
      <c r="AA686" s="226">
        <f t="shared" si="182"/>
        <v>5.0779810543967732E-3</v>
      </c>
      <c r="AB686" s="226">
        <f t="shared" si="182"/>
        <v>4.8719665002587686E-3</v>
      </c>
      <c r="AC686" s="226">
        <f t="shared" si="182"/>
        <v>4.6743099915845087E-3</v>
      </c>
      <c r="AD686" s="226">
        <f t="shared" ref="AD686:AG701" si="184">AC686*(1+($AH686/$N686)^(1/($AH$6-$N$6))-1)</f>
        <v>4.4846724410494768E-3</v>
      </c>
      <c r="AE686" s="226">
        <f t="shared" si="184"/>
        <v>4.3027285181595244E-3</v>
      </c>
      <c r="AF686" s="226">
        <f t="shared" si="184"/>
        <v>4.1281660911339259E-3</v>
      </c>
      <c r="AG686" s="226">
        <f t="shared" si="184"/>
        <v>3.9606856914313291E-3</v>
      </c>
      <c r="AH686" s="227">
        <v>3.8E-3</v>
      </c>
      <c r="AI686" s="226">
        <f t="shared" si="183"/>
        <v>3.6458333543709105E-3</v>
      </c>
      <c r="AJ686" s="226">
        <f t="shared" si="183"/>
        <v>3.4979212757482751E-3</v>
      </c>
      <c r="AK686" s="226">
        <f t="shared" si="183"/>
        <v>3.356010015285976E-3</v>
      </c>
      <c r="AL686" s="226">
        <f t="shared" si="183"/>
        <v>3.2198561187716948E-3</v>
      </c>
      <c r="AM686" s="226">
        <f t="shared" si="183"/>
        <v>3.089226008971871E-3</v>
      </c>
      <c r="AN686" s="226">
        <f t="shared" si="183"/>
        <v>2.9638955849209943E-3</v>
      </c>
      <c r="AO686" s="226">
        <f t="shared" si="183"/>
        <v>2.8436498374678001E-3</v>
      </c>
      <c r="AP686" s="226">
        <f t="shared" si="183"/>
        <v>2.7282824804188222E-3</v>
      </c>
      <c r="AQ686" s="226">
        <f t="shared" si="183"/>
        <v>2.6175955966465112E-3</v>
      </c>
      <c r="AR686" s="226">
        <f t="shared" si="183"/>
        <v>2.5113992985548094E-3</v>
      </c>
      <c r="AS686" s="226">
        <f t="shared" si="183"/>
        <v>2.4095114023196928E-3</v>
      </c>
      <c r="AT686" s="226">
        <f t="shared" si="183"/>
        <v>2.3117571153458321E-3</v>
      </c>
      <c r="AU686" s="226">
        <f t="shared" si="183"/>
        <v>2.2179687364031883E-3</v>
      </c>
      <c r="AV686" s="226">
        <f t="shared" si="183"/>
        <v>2.1279853679291175E-3</v>
      </c>
      <c r="AW686" s="226">
        <f t="shared" si="183"/>
        <v>2.0416526400024292E-3</v>
      </c>
      <c r="AX686" s="226">
        <f t="shared" ref="AX686:BE701" si="185">AW686*(1+($AH686/$N686)^(1/($AH$6-$N$6))-1)</f>
        <v>1.9588224455158636E-3</v>
      </c>
      <c r="AY686" s="226">
        <f t="shared" si="185"/>
        <v>1.8793526860926661E-3</v>
      </c>
      <c r="AZ686" s="226">
        <f t="shared" si="185"/>
        <v>1.8031070283113699E-3</v>
      </c>
      <c r="BA686" s="226">
        <f t="shared" si="185"/>
        <v>1.7299546698205806E-3</v>
      </c>
      <c r="BB686" s="226">
        <f t="shared" si="185"/>
        <v>1.6597701149425232E-3</v>
      </c>
      <c r="BC686" s="226">
        <f t="shared" si="185"/>
        <v>1.5924329593803926E-3</v>
      </c>
      <c r="BD686" s="226">
        <f t="shared" si="185"/>
        <v>1.5278276836601613E-3</v>
      </c>
      <c r="BE686" s="226">
        <f t="shared" si="185"/>
        <v>1.4658434549524907E-3</v>
      </c>
    </row>
    <row r="687" spans="5:57" s="10" customFormat="1" x14ac:dyDescent="0.35">
      <c r="E687" s="10" t="s">
        <v>649</v>
      </c>
      <c r="F687" s="10" t="s">
        <v>615</v>
      </c>
      <c r="G687" s="43" t="s">
        <v>616</v>
      </c>
      <c r="I687" s="20"/>
      <c r="J687" s="200"/>
      <c r="K687" s="200"/>
      <c r="L687" s="200"/>
      <c r="M687" s="200"/>
      <c r="N687" s="200">
        <v>8.6999999999999994E-3</v>
      </c>
      <c r="O687" s="226">
        <f t="shared" ref="O687:AD702" si="186">N687*(1+($AH687/$N687)^(1/($AH$6-$N$6))-1)</f>
        <v>8.3578874854329435E-3</v>
      </c>
      <c r="P687" s="226">
        <f t="shared" si="186"/>
        <v>8.0292279562248995E-3</v>
      </c>
      <c r="Q687" s="226">
        <f t="shared" si="186"/>
        <v>7.7134923968988998E-3</v>
      </c>
      <c r="R687" s="226">
        <f t="shared" si="186"/>
        <v>7.4101725946003998E-3</v>
      </c>
      <c r="S687" s="226">
        <f t="shared" si="186"/>
        <v>7.118780321069983E-3</v>
      </c>
      <c r="T687" s="226">
        <f t="shared" si="186"/>
        <v>6.8388465467835785E-3</v>
      </c>
      <c r="U687" s="226">
        <f t="shared" si="186"/>
        <v>6.5699206859952623E-3</v>
      </c>
      <c r="V687" s="226">
        <f t="shared" si="186"/>
        <v>6.3115698714674515E-3</v>
      </c>
      <c r="W687" s="226">
        <f t="shared" si="186"/>
        <v>6.0633782577210844E-3</v>
      </c>
      <c r="X687" s="226">
        <f t="shared" si="186"/>
        <v>5.8249463516842834E-3</v>
      </c>
      <c r="Y687" s="226">
        <f t="shared" si="186"/>
        <v>5.59589036966211E-3</v>
      </c>
      <c r="Z687" s="226">
        <f t="shared" si="186"/>
        <v>5.3758416195923775E-3</v>
      </c>
      <c r="AA687" s="226">
        <f t="shared" si="186"/>
        <v>5.1644459075931848E-3</v>
      </c>
      <c r="AB687" s="226">
        <f t="shared" si="186"/>
        <v>4.9613629678469497E-3</v>
      </c>
      <c r="AC687" s="226">
        <f t="shared" si="186"/>
        <v>4.7662659149032725E-3</v>
      </c>
      <c r="AD687" s="226">
        <f t="shared" si="186"/>
        <v>4.5788407175190423E-3</v>
      </c>
      <c r="AE687" s="226">
        <f t="shared" si="184"/>
        <v>4.398785693188874E-3</v>
      </c>
      <c r="AF687" s="226">
        <f t="shared" si="184"/>
        <v>4.225811022552272E-3</v>
      </c>
      <c r="AG687" s="226">
        <f t="shared" si="184"/>
        <v>4.0596382828958881E-3</v>
      </c>
      <c r="AH687" s="227">
        <v>3.8999999999999998E-3</v>
      </c>
      <c r="AI687" s="226">
        <f t="shared" ref="AI687:AX702" si="187">AH687*(1+($AH687/$N687)^(1/($AH$6-$N$6))-1)</f>
        <v>3.7466392176078714E-3</v>
      </c>
      <c r="AJ687" s="226">
        <f t="shared" si="187"/>
        <v>3.599309083824955E-3</v>
      </c>
      <c r="AK687" s="226">
        <f t="shared" si="187"/>
        <v>3.4577724537822653E-3</v>
      </c>
      <c r="AL687" s="226">
        <f t="shared" si="187"/>
        <v>3.3218015079243173E-3</v>
      </c>
      <c r="AM687" s="226">
        <f t="shared" si="187"/>
        <v>3.1911773853072339E-3</v>
      </c>
      <c r="AN687" s="226">
        <f t="shared" si="187"/>
        <v>3.0656898313167766E-3</v>
      </c>
      <c r="AO687" s="226">
        <f t="shared" si="187"/>
        <v>2.9451368592392554E-3</v>
      </c>
      <c r="AP687" s="226">
        <f t="shared" si="187"/>
        <v>2.8293244251405814E-3</v>
      </c>
      <c r="AQ687" s="226">
        <f t="shared" si="187"/>
        <v>2.7180661155301409E-3</v>
      </c>
      <c r="AR687" s="226">
        <f t="shared" si="187"/>
        <v>2.611182847306747E-3</v>
      </c>
      <c r="AS687" s="226">
        <f t="shared" si="187"/>
        <v>2.5085025795037038E-3</v>
      </c>
      <c r="AT687" s="226">
        <f t="shared" si="187"/>
        <v>2.4098600363689961E-3</v>
      </c>
      <c r="AU687" s="226">
        <f t="shared" si="187"/>
        <v>2.3150964413348749E-3</v>
      </c>
      <c r="AV687" s="226">
        <f t="shared" si="187"/>
        <v>2.2240592614486319E-3</v>
      </c>
      <c r="AW687" s="226">
        <f t="shared" si="187"/>
        <v>2.1366019618531905E-3</v>
      </c>
      <c r="AX687" s="226">
        <f t="shared" si="187"/>
        <v>2.0525837699223288E-3</v>
      </c>
      <c r="AY687" s="226">
        <f t="shared" si="185"/>
        <v>1.9718694486708741E-3</v>
      </c>
      <c r="AZ687" s="226">
        <f t="shared" si="185"/>
        <v>1.8943290790751561E-3</v>
      </c>
      <c r="BA687" s="226">
        <f t="shared" si="185"/>
        <v>1.819837850953329E-3</v>
      </c>
      <c r="BB687" s="226">
        <f t="shared" si="185"/>
        <v>1.7482758620689669E-3</v>
      </c>
      <c r="BC687" s="226">
        <f t="shared" si="185"/>
        <v>1.6795279251345645E-3</v>
      </c>
      <c r="BD687" s="226">
        <f t="shared" si="185"/>
        <v>1.6134833824042916E-3</v>
      </c>
      <c r="BE687" s="226">
        <f t="shared" si="185"/>
        <v>1.5500359275575687E-3</v>
      </c>
    </row>
    <row r="688" spans="5:57" s="10" customFormat="1" x14ac:dyDescent="0.35">
      <c r="E688" s="10" t="s">
        <v>650</v>
      </c>
      <c r="F688" s="10" t="s">
        <v>615</v>
      </c>
      <c r="G688" s="43" t="s">
        <v>616</v>
      </c>
      <c r="I688" s="20"/>
      <c r="J688" s="200"/>
      <c r="K688" s="200"/>
      <c r="L688" s="200"/>
      <c r="M688" s="200"/>
      <c r="N688" s="200">
        <v>8.6999999999999994E-3</v>
      </c>
      <c r="O688" s="226">
        <f t="shared" si="186"/>
        <v>8.3578874854329435E-3</v>
      </c>
      <c r="P688" s="226">
        <f t="shared" si="186"/>
        <v>8.0292279562248995E-3</v>
      </c>
      <c r="Q688" s="226">
        <f t="shared" si="186"/>
        <v>7.7134923968988998E-3</v>
      </c>
      <c r="R688" s="226">
        <f t="shared" si="186"/>
        <v>7.4101725946003998E-3</v>
      </c>
      <c r="S688" s="226">
        <f t="shared" si="186"/>
        <v>7.118780321069983E-3</v>
      </c>
      <c r="T688" s="226">
        <f t="shared" si="186"/>
        <v>6.8388465467835785E-3</v>
      </c>
      <c r="U688" s="226">
        <f t="shared" si="186"/>
        <v>6.5699206859952623E-3</v>
      </c>
      <c r="V688" s="226">
        <f t="shared" si="186"/>
        <v>6.3115698714674515E-3</v>
      </c>
      <c r="W688" s="226">
        <f t="shared" si="186"/>
        <v>6.0633782577210844E-3</v>
      </c>
      <c r="X688" s="226">
        <f t="shared" si="186"/>
        <v>5.8249463516842834E-3</v>
      </c>
      <c r="Y688" s="226">
        <f t="shared" si="186"/>
        <v>5.59589036966211E-3</v>
      </c>
      <c r="Z688" s="226">
        <f t="shared" si="186"/>
        <v>5.3758416195923775E-3</v>
      </c>
      <c r="AA688" s="226">
        <f t="shared" si="186"/>
        <v>5.1644459075931848E-3</v>
      </c>
      <c r="AB688" s="226">
        <f t="shared" si="186"/>
        <v>4.9613629678469497E-3</v>
      </c>
      <c r="AC688" s="226">
        <f t="shared" si="186"/>
        <v>4.7662659149032725E-3</v>
      </c>
      <c r="AD688" s="226">
        <f t="shared" si="186"/>
        <v>4.5788407175190423E-3</v>
      </c>
      <c r="AE688" s="226">
        <f t="shared" si="184"/>
        <v>4.398785693188874E-3</v>
      </c>
      <c r="AF688" s="226">
        <f t="shared" si="184"/>
        <v>4.225811022552272E-3</v>
      </c>
      <c r="AG688" s="226">
        <f t="shared" si="184"/>
        <v>4.0596382828958881E-3</v>
      </c>
      <c r="AH688" s="227">
        <v>3.8999999999999998E-3</v>
      </c>
      <c r="AI688" s="226">
        <f t="shared" si="187"/>
        <v>3.7466392176078714E-3</v>
      </c>
      <c r="AJ688" s="226">
        <f t="shared" si="187"/>
        <v>3.599309083824955E-3</v>
      </c>
      <c r="AK688" s="226">
        <f t="shared" si="187"/>
        <v>3.4577724537822653E-3</v>
      </c>
      <c r="AL688" s="226">
        <f t="shared" si="187"/>
        <v>3.3218015079243173E-3</v>
      </c>
      <c r="AM688" s="226">
        <f t="shared" si="187"/>
        <v>3.1911773853072339E-3</v>
      </c>
      <c r="AN688" s="226">
        <f t="shared" si="187"/>
        <v>3.0656898313167766E-3</v>
      </c>
      <c r="AO688" s="226">
        <f t="shared" si="187"/>
        <v>2.9451368592392554E-3</v>
      </c>
      <c r="AP688" s="226">
        <f t="shared" si="187"/>
        <v>2.8293244251405814E-3</v>
      </c>
      <c r="AQ688" s="226">
        <f t="shared" si="187"/>
        <v>2.7180661155301409E-3</v>
      </c>
      <c r="AR688" s="226">
        <f t="shared" si="187"/>
        <v>2.611182847306747E-3</v>
      </c>
      <c r="AS688" s="226">
        <f t="shared" si="187"/>
        <v>2.5085025795037038E-3</v>
      </c>
      <c r="AT688" s="226">
        <f t="shared" si="187"/>
        <v>2.4098600363689961E-3</v>
      </c>
      <c r="AU688" s="226">
        <f t="shared" si="187"/>
        <v>2.3150964413348749E-3</v>
      </c>
      <c r="AV688" s="226">
        <f t="shared" si="187"/>
        <v>2.2240592614486319E-3</v>
      </c>
      <c r="AW688" s="226">
        <f t="shared" si="187"/>
        <v>2.1366019618531905E-3</v>
      </c>
      <c r="AX688" s="226">
        <f t="shared" si="187"/>
        <v>2.0525837699223288E-3</v>
      </c>
      <c r="AY688" s="226">
        <f t="shared" si="185"/>
        <v>1.9718694486708741E-3</v>
      </c>
      <c r="AZ688" s="226">
        <f t="shared" si="185"/>
        <v>1.8943290790751561E-3</v>
      </c>
      <c r="BA688" s="226">
        <f t="shared" si="185"/>
        <v>1.819837850953329E-3</v>
      </c>
      <c r="BB688" s="226">
        <f t="shared" si="185"/>
        <v>1.7482758620689669E-3</v>
      </c>
      <c r="BC688" s="226">
        <f t="shared" si="185"/>
        <v>1.6795279251345645E-3</v>
      </c>
      <c r="BD688" s="226">
        <f t="shared" si="185"/>
        <v>1.6134833824042916E-3</v>
      </c>
      <c r="BE688" s="226">
        <f t="shared" si="185"/>
        <v>1.5500359275575687E-3</v>
      </c>
    </row>
    <row r="689" spans="5:57" s="10" customFormat="1" x14ac:dyDescent="0.35">
      <c r="E689" s="10" t="s">
        <v>651</v>
      </c>
      <c r="F689" s="10" t="s">
        <v>615</v>
      </c>
      <c r="G689" s="43" t="s">
        <v>616</v>
      </c>
      <c r="I689" s="20"/>
      <c r="J689" s="200"/>
      <c r="K689" s="200"/>
      <c r="L689" s="200"/>
      <c r="M689" s="200"/>
      <c r="N689" s="200">
        <v>8.6999999999999994E-3</v>
      </c>
      <c r="O689" s="226">
        <f t="shared" si="186"/>
        <v>8.3684743544526225E-3</v>
      </c>
      <c r="P689" s="226">
        <f t="shared" si="186"/>
        <v>8.0495819564518675E-3</v>
      </c>
      <c r="Q689" s="226">
        <f t="shared" si="186"/>
        <v>7.7428413984634509E-3</v>
      </c>
      <c r="R689" s="226">
        <f t="shared" si="186"/>
        <v>7.4477896176592499E-3</v>
      </c>
      <c r="S689" s="226">
        <f t="shared" si="186"/>
        <v>7.1639811968666599E-3</v>
      </c>
      <c r="T689" s="226">
        <f t="shared" si="186"/>
        <v>6.8909876921562589E-3</v>
      </c>
      <c r="U689" s="226">
        <f t="shared" si="186"/>
        <v>6.6283969860526804E-3</v>
      </c>
      <c r="V689" s="226">
        <f t="shared" si="186"/>
        <v>6.3758126653922897E-3</v>
      </c>
      <c r="W689" s="226">
        <f t="shared" si="186"/>
        <v>6.1328534228884601E-3</v>
      </c>
      <c r="X689" s="226">
        <f t="shared" si="186"/>
        <v>5.8991524815010417E-3</v>
      </c>
      <c r="Y689" s="226">
        <f t="shared" si="186"/>
        <v>5.6743570407410369E-3</v>
      </c>
      <c r="Z689" s="226">
        <f t="shared" si="186"/>
        <v>5.4581277440746033E-3</v>
      </c>
      <c r="AA689" s="226">
        <f t="shared" si="186"/>
        <v>5.2501381666223753E-3</v>
      </c>
      <c r="AB689" s="226">
        <f t="shared" si="186"/>
        <v>5.0500743223807192E-3</v>
      </c>
      <c r="AC689" s="226">
        <f t="shared" si="186"/>
        <v>4.8576341902210069E-3</v>
      </c>
      <c r="AD689" s="226">
        <f t="shared" si="186"/>
        <v>4.6725272579513488E-3</v>
      </c>
      <c r="AE689" s="226">
        <f t="shared" si="184"/>
        <v>4.4944740837524937E-3</v>
      </c>
      <c r="AF689" s="226">
        <f t="shared" si="184"/>
        <v>4.3232058743258271E-3</v>
      </c>
      <c r="AG689" s="226">
        <f t="shared" si="184"/>
        <v>4.1584640791166227E-3</v>
      </c>
      <c r="AH689" s="227">
        <v>4.0000000000000001E-3</v>
      </c>
      <c r="AI689" s="226">
        <f t="shared" si="187"/>
        <v>3.8475744158402866E-3</v>
      </c>
      <c r="AJ689" s="226">
        <f t="shared" si="187"/>
        <v>3.7009572213571804E-3</v>
      </c>
      <c r="AK689" s="226">
        <f t="shared" si="187"/>
        <v>3.5599270797533108E-3</v>
      </c>
      <c r="AL689" s="226">
        <f t="shared" si="187"/>
        <v>3.4242710885789653E-3</v>
      </c>
      <c r="AM689" s="226">
        <f t="shared" si="187"/>
        <v>3.2937844583294986E-3</v>
      </c>
      <c r="AN689" s="226">
        <f t="shared" si="187"/>
        <v>3.1682702032902335E-3</v>
      </c>
      <c r="AO689" s="226">
        <f t="shared" si="187"/>
        <v>3.0475388441621514E-3</v>
      </c>
      <c r="AP689" s="226">
        <f t="shared" si="187"/>
        <v>2.9314081220194431E-3</v>
      </c>
      <c r="AQ689" s="226">
        <f t="shared" si="187"/>
        <v>2.8197027231671077E-3</v>
      </c>
      <c r="AR689" s="226">
        <f t="shared" si="187"/>
        <v>2.7122540144832374E-3</v>
      </c>
      <c r="AS689" s="226">
        <f t="shared" si="187"/>
        <v>2.6088997888464535E-3</v>
      </c>
      <c r="AT689" s="226">
        <f t="shared" si="187"/>
        <v>2.5094840202641851E-3</v>
      </c>
      <c r="AU689" s="226">
        <f t="shared" si="187"/>
        <v>2.4138566283321262E-3</v>
      </c>
      <c r="AV689" s="226">
        <f t="shared" si="187"/>
        <v>2.321873251669296E-3</v>
      </c>
      <c r="AW689" s="226">
        <f t="shared" si="187"/>
        <v>2.2333950299866694E-3</v>
      </c>
      <c r="AX689" s="226">
        <f t="shared" si="187"/>
        <v>2.1482883944603896E-3</v>
      </c>
      <c r="AY689" s="226">
        <f t="shared" si="185"/>
        <v>2.0664248660931003E-3</v>
      </c>
      <c r="AZ689" s="226">
        <f t="shared" si="185"/>
        <v>1.9876808617590004E-3</v>
      </c>
      <c r="BA689" s="226">
        <f t="shared" si="185"/>
        <v>1.9119375076398258E-3</v>
      </c>
      <c r="BB689" s="226">
        <f t="shared" si="185"/>
        <v>1.839080459770109E-3</v>
      </c>
      <c r="BC689" s="226">
        <f t="shared" si="185"/>
        <v>1.7689997314208157E-3</v>
      </c>
      <c r="BD689" s="226">
        <f t="shared" si="185"/>
        <v>1.7015895270607671E-3</v>
      </c>
      <c r="BE689" s="226">
        <f t="shared" si="185"/>
        <v>1.6367480826451951E-3</v>
      </c>
    </row>
    <row r="690" spans="5:57" s="10" customFormat="1" x14ac:dyDescent="0.35">
      <c r="E690" s="10" t="s">
        <v>652</v>
      </c>
      <c r="F690" s="10" t="s">
        <v>615</v>
      </c>
      <c r="G690" s="43" t="s">
        <v>616</v>
      </c>
      <c r="I690" s="20"/>
      <c r="J690" s="200"/>
      <c r="K690" s="200"/>
      <c r="L690" s="200"/>
      <c r="M690" s="200"/>
      <c r="N690" s="200">
        <v>8.6999999999999994E-3</v>
      </c>
      <c r="O690" s="226">
        <f t="shared" si="186"/>
        <v>8.3788127099248943E-3</v>
      </c>
      <c r="P690" s="226">
        <f t="shared" si="186"/>
        <v>8.0694830377010286E-3</v>
      </c>
      <c r="Q690" s="226">
        <f t="shared" si="186"/>
        <v>7.7715732228520375E-3</v>
      </c>
      <c r="R690" s="226">
        <f t="shared" si="186"/>
        <v>7.4846616661775438E-3</v>
      </c>
      <c r="S690" s="226">
        <f t="shared" si="186"/>
        <v>7.2083423331098899E-3</v>
      </c>
      <c r="T690" s="226">
        <f t="shared" si="186"/>
        <v>6.9422241790977951E-3</v>
      </c>
      <c r="U690" s="226">
        <f t="shared" si="186"/>
        <v>6.6859305962037388E-3</v>
      </c>
      <c r="V690" s="226">
        <f t="shared" si="186"/>
        <v>6.4390988801319099E-3</v>
      </c>
      <c r="W690" s="226">
        <f t="shared" si="186"/>
        <v>6.2013797169324604E-3</v>
      </c>
      <c r="X690" s="226">
        <f t="shared" si="186"/>
        <v>5.9724366886556492E-3</v>
      </c>
      <c r="Y690" s="226">
        <f t="shared" si="186"/>
        <v>5.7519457972562884E-3</v>
      </c>
      <c r="Z690" s="226">
        <f t="shared" si="186"/>
        <v>5.539595006074721E-3</v>
      </c>
      <c r="AA690" s="226">
        <f t="shared" si="186"/>
        <v>5.335083798245442E-3</v>
      </c>
      <c r="AB690" s="226">
        <f t="shared" si="186"/>
        <v>5.1381227514084244E-3</v>
      </c>
      <c r="AC690" s="226">
        <f t="shared" si="186"/>
        <v>4.9484331281212848E-3</v>
      </c>
      <c r="AD690" s="226">
        <f t="shared" si="186"/>
        <v>4.7657464813926466E-3</v>
      </c>
      <c r="AE690" s="226">
        <f t="shared" si="184"/>
        <v>4.5898042747784546E-3</v>
      </c>
      <c r="AF690" s="226">
        <f t="shared" si="184"/>
        <v>4.4203575165036009E-3</v>
      </c>
      <c r="AG690" s="226">
        <f t="shared" si="184"/>
        <v>4.2571664070910819E-3</v>
      </c>
      <c r="AH690" s="227">
        <v>4.1000000000000003E-3</v>
      </c>
      <c r="AI690" s="226">
        <f t="shared" si="187"/>
        <v>3.9486358747921925E-3</v>
      </c>
      <c r="AJ690" s="226">
        <f t="shared" si="187"/>
        <v>3.8028598223648537E-3</v>
      </c>
      <c r="AK690" s="226">
        <f t="shared" si="187"/>
        <v>3.662465541803835E-3</v>
      </c>
      <c r="AL690" s="226">
        <f t="shared" si="187"/>
        <v>3.5272543484284988E-3</v>
      </c>
      <c r="AM690" s="226">
        <f t="shared" si="187"/>
        <v>3.3970348926150068E-3</v>
      </c>
      <c r="AN690" s="226">
        <f t="shared" si="187"/>
        <v>3.2716228890001114E-3</v>
      </c>
      <c r="AO690" s="226">
        <f t="shared" si="187"/>
        <v>3.1508408556822228E-3</v>
      </c>
      <c r="AP690" s="226">
        <f t="shared" si="187"/>
        <v>3.0345178630506713E-3</v>
      </c>
      <c r="AQ690" s="226">
        <f t="shared" si="187"/>
        <v>2.9224892918877123E-3</v>
      </c>
      <c r="AR690" s="226">
        <f t="shared" si="187"/>
        <v>2.814596600400939E-3</v>
      </c>
      <c r="AS690" s="226">
        <f t="shared" si="187"/>
        <v>2.7106870998564125E-3</v>
      </c>
      <c r="AT690" s="226">
        <f t="shared" si="187"/>
        <v>2.6106137384949838E-3</v>
      </c>
      <c r="AU690" s="226">
        <f t="shared" si="187"/>
        <v>2.5142348934260135E-3</v>
      </c>
      <c r="AV690" s="226">
        <f t="shared" si="187"/>
        <v>2.4214141702039705E-3</v>
      </c>
      <c r="AW690" s="226">
        <f t="shared" si="187"/>
        <v>2.3320202098042839E-3</v>
      </c>
      <c r="AX690" s="226">
        <f t="shared" si="187"/>
        <v>2.2459265027252704E-3</v>
      </c>
      <c r="AY690" s="226">
        <f t="shared" si="185"/>
        <v>2.1630112099530648E-3</v>
      </c>
      <c r="AZ690" s="226">
        <f t="shared" si="185"/>
        <v>2.0831569905361796E-3</v>
      </c>
      <c r="BA690" s="226">
        <f t="shared" si="185"/>
        <v>2.0062508355256823E-3</v>
      </c>
      <c r="BB690" s="226">
        <f t="shared" si="185"/>
        <v>1.9321839080459801E-3</v>
      </c>
      <c r="BC690" s="226">
        <f t="shared" si="185"/>
        <v>1.8608513892698865E-3</v>
      </c>
      <c r="BD690" s="226">
        <f t="shared" si="185"/>
        <v>1.7921523300799911E-3</v>
      </c>
      <c r="BE690" s="226">
        <f t="shared" si="185"/>
        <v>1.7259895082064073E-3</v>
      </c>
    </row>
    <row r="691" spans="5:57" s="10" customFormat="1" x14ac:dyDescent="0.35">
      <c r="E691" s="10" t="s">
        <v>653</v>
      </c>
      <c r="F691" s="10" t="s">
        <v>615</v>
      </c>
      <c r="G691" s="43" t="s">
        <v>616</v>
      </c>
      <c r="I691" s="20"/>
      <c r="J691" s="200"/>
      <c r="K691" s="200"/>
      <c r="L691" s="200"/>
      <c r="M691" s="200"/>
      <c r="N691" s="200">
        <v>8.6999999999999994E-3</v>
      </c>
      <c r="O691" s="226">
        <f t="shared" si="186"/>
        <v>8.3788127099248943E-3</v>
      </c>
      <c r="P691" s="226">
        <f t="shared" si="186"/>
        <v>8.0694830377010286E-3</v>
      </c>
      <c r="Q691" s="226">
        <f t="shared" si="186"/>
        <v>7.7715732228520375E-3</v>
      </c>
      <c r="R691" s="226">
        <f t="shared" si="186"/>
        <v>7.4846616661775438E-3</v>
      </c>
      <c r="S691" s="226">
        <f t="shared" si="186"/>
        <v>7.2083423331098899E-3</v>
      </c>
      <c r="T691" s="226">
        <f t="shared" si="186"/>
        <v>6.9422241790977951E-3</v>
      </c>
      <c r="U691" s="226">
        <f t="shared" si="186"/>
        <v>6.6859305962037388E-3</v>
      </c>
      <c r="V691" s="226">
        <f t="shared" si="186"/>
        <v>6.4390988801319099E-3</v>
      </c>
      <c r="W691" s="226">
        <f t="shared" si="186"/>
        <v>6.2013797169324604E-3</v>
      </c>
      <c r="X691" s="226">
        <f t="shared" si="186"/>
        <v>5.9724366886556492E-3</v>
      </c>
      <c r="Y691" s="226">
        <f t="shared" si="186"/>
        <v>5.7519457972562884E-3</v>
      </c>
      <c r="Z691" s="226">
        <f t="shared" si="186"/>
        <v>5.539595006074721E-3</v>
      </c>
      <c r="AA691" s="226">
        <f t="shared" si="186"/>
        <v>5.335083798245442E-3</v>
      </c>
      <c r="AB691" s="226">
        <f t="shared" si="186"/>
        <v>5.1381227514084244E-3</v>
      </c>
      <c r="AC691" s="226">
        <f t="shared" si="186"/>
        <v>4.9484331281212848E-3</v>
      </c>
      <c r="AD691" s="226">
        <f t="shared" si="186"/>
        <v>4.7657464813926466E-3</v>
      </c>
      <c r="AE691" s="226">
        <f t="shared" si="184"/>
        <v>4.5898042747784546E-3</v>
      </c>
      <c r="AF691" s="226">
        <f t="shared" si="184"/>
        <v>4.4203575165036009E-3</v>
      </c>
      <c r="AG691" s="226">
        <f t="shared" si="184"/>
        <v>4.2571664070910819E-3</v>
      </c>
      <c r="AH691" s="227">
        <v>4.1000000000000003E-3</v>
      </c>
      <c r="AI691" s="226">
        <f t="shared" si="187"/>
        <v>3.9486358747921925E-3</v>
      </c>
      <c r="AJ691" s="226">
        <f t="shared" si="187"/>
        <v>3.8028598223648537E-3</v>
      </c>
      <c r="AK691" s="226">
        <f t="shared" si="187"/>
        <v>3.662465541803835E-3</v>
      </c>
      <c r="AL691" s="226">
        <f t="shared" si="187"/>
        <v>3.5272543484284988E-3</v>
      </c>
      <c r="AM691" s="226">
        <f t="shared" si="187"/>
        <v>3.3970348926150068E-3</v>
      </c>
      <c r="AN691" s="226">
        <f t="shared" si="187"/>
        <v>3.2716228890001114E-3</v>
      </c>
      <c r="AO691" s="226">
        <f t="shared" si="187"/>
        <v>3.1508408556822228E-3</v>
      </c>
      <c r="AP691" s="226">
        <f t="shared" si="187"/>
        <v>3.0345178630506713E-3</v>
      </c>
      <c r="AQ691" s="226">
        <f t="shared" si="187"/>
        <v>2.9224892918877123E-3</v>
      </c>
      <c r="AR691" s="226">
        <f t="shared" si="187"/>
        <v>2.814596600400939E-3</v>
      </c>
      <c r="AS691" s="226">
        <f t="shared" si="187"/>
        <v>2.7106870998564125E-3</v>
      </c>
      <c r="AT691" s="226">
        <f t="shared" si="187"/>
        <v>2.6106137384949838E-3</v>
      </c>
      <c r="AU691" s="226">
        <f t="shared" si="187"/>
        <v>2.5142348934260135E-3</v>
      </c>
      <c r="AV691" s="226">
        <f t="shared" si="187"/>
        <v>2.4214141702039705E-3</v>
      </c>
      <c r="AW691" s="226">
        <f t="shared" si="187"/>
        <v>2.3320202098042839E-3</v>
      </c>
      <c r="AX691" s="226">
        <f t="shared" si="187"/>
        <v>2.2459265027252704E-3</v>
      </c>
      <c r="AY691" s="226">
        <f t="shared" si="185"/>
        <v>2.1630112099530648E-3</v>
      </c>
      <c r="AZ691" s="226">
        <f t="shared" si="185"/>
        <v>2.0831569905361796E-3</v>
      </c>
      <c r="BA691" s="226">
        <f t="shared" si="185"/>
        <v>2.0062508355256823E-3</v>
      </c>
      <c r="BB691" s="226">
        <f t="shared" si="185"/>
        <v>1.9321839080459801E-3</v>
      </c>
      <c r="BC691" s="226">
        <f t="shared" si="185"/>
        <v>1.8608513892698865E-3</v>
      </c>
      <c r="BD691" s="226">
        <f t="shared" si="185"/>
        <v>1.7921523300799911E-3</v>
      </c>
      <c r="BE691" s="226">
        <f t="shared" si="185"/>
        <v>1.7259895082064073E-3</v>
      </c>
    </row>
    <row r="692" spans="5:57" s="10" customFormat="1" x14ac:dyDescent="0.35">
      <c r="E692" s="10" t="s">
        <v>654</v>
      </c>
      <c r="F692" s="10" t="s">
        <v>615</v>
      </c>
      <c r="G692" s="43" t="s">
        <v>616</v>
      </c>
      <c r="I692" s="20"/>
      <c r="J692" s="200"/>
      <c r="K692" s="200"/>
      <c r="L692" s="200"/>
      <c r="M692" s="200"/>
      <c r="N692" s="200">
        <v>8.6999999999999994E-3</v>
      </c>
      <c r="O692" s="226">
        <f t="shared" si="186"/>
        <v>8.3889142378275119E-3</v>
      </c>
      <c r="P692" s="226">
        <f t="shared" si="186"/>
        <v>8.0889519643247299E-3</v>
      </c>
      <c r="Q692" s="226">
        <f t="shared" si="186"/>
        <v>7.7997154370835113E-3</v>
      </c>
      <c r="R692" s="226">
        <f t="shared" si="186"/>
        <v>7.520821135764702E-3</v>
      </c>
      <c r="S692" s="226">
        <f t="shared" si="186"/>
        <v>7.2518992535598381E-3</v>
      </c>
      <c r="T692" s="226">
        <f t="shared" si="186"/>
        <v>6.9925932068366477E-3</v>
      </c>
      <c r="U692" s="226">
        <f t="shared" si="186"/>
        <v>6.7425591623181489E-3</v>
      </c>
      <c r="V692" s="226">
        <f t="shared" si="186"/>
        <v>6.5014655811683987E-3</v>
      </c>
      <c r="W692" s="226">
        <f t="shared" si="186"/>
        <v>6.2689927793803564E-3</v>
      </c>
      <c r="X692" s="226">
        <f t="shared" si="186"/>
        <v>6.0448325038829588E-3</v>
      </c>
      <c r="Y692" s="226">
        <f t="shared" si="186"/>
        <v>5.8286875238053202E-3</v>
      </c>
      <c r="Z692" s="226">
        <f t="shared" si="186"/>
        <v>5.6202712363560966E-3</v>
      </c>
      <c r="AA692" s="226">
        <f t="shared" si="186"/>
        <v>5.4193072867954129E-3</v>
      </c>
      <c r="AB692" s="226">
        <f t="shared" si="186"/>
        <v>5.2255292019954512E-3</v>
      </c>
      <c r="AC692" s="226">
        <f t="shared" si="186"/>
        <v>5.038680037103802E-3</v>
      </c>
      <c r="AD692" s="226">
        <f t="shared" si="186"/>
        <v>4.8585120348410742E-3</v>
      </c>
      <c r="AE692" s="226">
        <f t="shared" si="184"/>
        <v>4.6847862969809891E-3</v>
      </c>
      <c r="AF692" s="226">
        <f t="shared" si="184"/>
        <v>4.5172724675773615E-3</v>
      </c>
      <c r="AG692" s="226">
        <f t="shared" si="184"/>
        <v>4.3557484275179251E-3</v>
      </c>
      <c r="AH692" s="227">
        <v>4.1999999999999997E-3</v>
      </c>
      <c r="AI692" s="226">
        <f t="shared" si="187"/>
        <v>4.0498206665374199E-3</v>
      </c>
      <c r="AJ692" s="226">
        <f t="shared" si="187"/>
        <v>3.9050112931222837E-3</v>
      </c>
      <c r="AK692" s="226">
        <f t="shared" si="187"/>
        <v>3.7653798661782473E-3</v>
      </c>
      <c r="AL692" s="226">
        <f t="shared" si="187"/>
        <v>3.630741237955374E-3</v>
      </c>
      <c r="AM692" s="226">
        <f t="shared" si="187"/>
        <v>3.500916881028888E-3</v>
      </c>
      <c r="AN692" s="226">
        <f t="shared" si="187"/>
        <v>3.3757346515763133E-3</v>
      </c>
      <c r="AO692" s="226">
        <f t="shared" si="187"/>
        <v>3.255028561119107E-3</v>
      </c>
      <c r="AP692" s="226">
        <f t="shared" si="187"/>
        <v>3.1386385564261239E-3</v>
      </c>
      <c r="AQ692" s="226">
        <f t="shared" si="187"/>
        <v>3.0264103072870693E-3</v>
      </c>
      <c r="AR692" s="226">
        <f t="shared" si="187"/>
        <v>2.9181950018745324E-3</v>
      </c>
      <c r="AS692" s="226">
        <f t="shared" si="187"/>
        <v>2.8138491494232587E-3</v>
      </c>
      <c r="AT692" s="226">
        <f t="shared" si="187"/>
        <v>2.7132343899650127E-3</v>
      </c>
      <c r="AU692" s="226">
        <f t="shared" si="187"/>
        <v>2.6162173108667517E-3</v>
      </c>
      <c r="AV692" s="226">
        <f t="shared" si="187"/>
        <v>2.5226692699288392E-3</v>
      </c>
      <c r="AW692" s="226">
        <f t="shared" si="187"/>
        <v>2.4324662248087327E-3</v>
      </c>
      <c r="AX692" s="226">
        <f t="shared" si="187"/>
        <v>2.3454885685439673E-3</v>
      </c>
      <c r="AY692" s="226">
        <f t="shared" si="185"/>
        <v>2.2616209709563403E-3</v>
      </c>
      <c r="AZ692" s="226">
        <f t="shared" si="185"/>
        <v>2.1807522257270028E-3</v>
      </c>
      <c r="BA692" s="226">
        <f t="shared" si="185"/>
        <v>2.1027751029396888E-3</v>
      </c>
      <c r="BB692" s="226">
        <f t="shared" si="185"/>
        <v>2.0275862068965481E-3</v>
      </c>
      <c r="BC692" s="226">
        <f t="shared" si="185"/>
        <v>1.9550858390180613E-3</v>
      </c>
      <c r="BD692" s="226">
        <f t="shared" si="185"/>
        <v>1.8851778656452369E-3</v>
      </c>
      <c r="BE692" s="226">
        <f t="shared" si="185"/>
        <v>1.8177695905688058E-3</v>
      </c>
    </row>
    <row r="693" spans="5:57" s="10" customFormat="1" x14ac:dyDescent="0.35">
      <c r="E693" s="10" t="s">
        <v>655</v>
      </c>
      <c r="F693" s="10" t="s">
        <v>615</v>
      </c>
      <c r="G693" s="43" t="s">
        <v>616</v>
      </c>
      <c r="I693" s="20"/>
      <c r="J693" s="200"/>
      <c r="K693" s="200"/>
      <c r="L693" s="200"/>
      <c r="M693" s="200"/>
      <c r="N693" s="200">
        <v>8.6999999999999994E-3</v>
      </c>
      <c r="O693" s="226">
        <f t="shared" si="186"/>
        <v>8.3889142378275119E-3</v>
      </c>
      <c r="P693" s="226">
        <f t="shared" si="186"/>
        <v>8.0889519643247299E-3</v>
      </c>
      <c r="Q693" s="226">
        <f t="shared" si="186"/>
        <v>7.7997154370835113E-3</v>
      </c>
      <c r="R693" s="226">
        <f t="shared" si="186"/>
        <v>7.520821135764702E-3</v>
      </c>
      <c r="S693" s="226">
        <f t="shared" si="186"/>
        <v>7.2518992535598381E-3</v>
      </c>
      <c r="T693" s="226">
        <f t="shared" si="186"/>
        <v>6.9925932068366477E-3</v>
      </c>
      <c r="U693" s="226">
        <f t="shared" si="186"/>
        <v>6.7425591623181489E-3</v>
      </c>
      <c r="V693" s="226">
        <f t="shared" si="186"/>
        <v>6.5014655811683987E-3</v>
      </c>
      <c r="W693" s="226">
        <f t="shared" si="186"/>
        <v>6.2689927793803564E-3</v>
      </c>
      <c r="X693" s="226">
        <f t="shared" si="186"/>
        <v>6.0448325038829588E-3</v>
      </c>
      <c r="Y693" s="226">
        <f t="shared" si="186"/>
        <v>5.8286875238053202E-3</v>
      </c>
      <c r="Z693" s="226">
        <f t="shared" si="186"/>
        <v>5.6202712363560966E-3</v>
      </c>
      <c r="AA693" s="226">
        <f t="shared" si="186"/>
        <v>5.4193072867954129E-3</v>
      </c>
      <c r="AB693" s="226">
        <f t="shared" si="186"/>
        <v>5.2255292019954512E-3</v>
      </c>
      <c r="AC693" s="226">
        <f t="shared" si="186"/>
        <v>5.038680037103802E-3</v>
      </c>
      <c r="AD693" s="226">
        <f t="shared" si="186"/>
        <v>4.8585120348410742E-3</v>
      </c>
      <c r="AE693" s="226">
        <f t="shared" si="184"/>
        <v>4.6847862969809891E-3</v>
      </c>
      <c r="AF693" s="226">
        <f t="shared" si="184"/>
        <v>4.5172724675773615E-3</v>
      </c>
      <c r="AG693" s="226">
        <f t="shared" si="184"/>
        <v>4.3557484275179251E-3</v>
      </c>
      <c r="AH693" s="227">
        <v>4.1999999999999997E-3</v>
      </c>
      <c r="AI693" s="226">
        <f t="shared" si="187"/>
        <v>4.0498206665374199E-3</v>
      </c>
      <c r="AJ693" s="226">
        <f t="shared" si="187"/>
        <v>3.9050112931222837E-3</v>
      </c>
      <c r="AK693" s="226">
        <f t="shared" si="187"/>
        <v>3.7653798661782473E-3</v>
      </c>
      <c r="AL693" s="226">
        <f t="shared" si="187"/>
        <v>3.630741237955374E-3</v>
      </c>
      <c r="AM693" s="226">
        <f t="shared" si="187"/>
        <v>3.500916881028888E-3</v>
      </c>
      <c r="AN693" s="226">
        <f t="shared" si="187"/>
        <v>3.3757346515763133E-3</v>
      </c>
      <c r="AO693" s="226">
        <f t="shared" si="187"/>
        <v>3.255028561119107E-3</v>
      </c>
      <c r="AP693" s="226">
        <f t="shared" si="187"/>
        <v>3.1386385564261239E-3</v>
      </c>
      <c r="AQ693" s="226">
        <f t="shared" si="187"/>
        <v>3.0264103072870693E-3</v>
      </c>
      <c r="AR693" s="226">
        <f t="shared" si="187"/>
        <v>2.9181950018745324E-3</v>
      </c>
      <c r="AS693" s="226">
        <f t="shared" si="187"/>
        <v>2.8138491494232587E-3</v>
      </c>
      <c r="AT693" s="226">
        <f t="shared" si="187"/>
        <v>2.7132343899650127E-3</v>
      </c>
      <c r="AU693" s="226">
        <f t="shared" si="187"/>
        <v>2.6162173108667517E-3</v>
      </c>
      <c r="AV693" s="226">
        <f t="shared" si="187"/>
        <v>2.5226692699288392E-3</v>
      </c>
      <c r="AW693" s="226">
        <f t="shared" si="187"/>
        <v>2.4324662248087327E-3</v>
      </c>
      <c r="AX693" s="226">
        <f t="shared" si="187"/>
        <v>2.3454885685439673E-3</v>
      </c>
      <c r="AY693" s="226">
        <f t="shared" si="185"/>
        <v>2.2616209709563403E-3</v>
      </c>
      <c r="AZ693" s="226">
        <f t="shared" si="185"/>
        <v>2.1807522257270028E-3</v>
      </c>
      <c r="BA693" s="226">
        <f t="shared" si="185"/>
        <v>2.1027751029396888E-3</v>
      </c>
      <c r="BB693" s="226">
        <f t="shared" si="185"/>
        <v>2.0275862068965481E-3</v>
      </c>
      <c r="BC693" s="226">
        <f t="shared" si="185"/>
        <v>1.9550858390180613E-3</v>
      </c>
      <c r="BD693" s="226">
        <f t="shared" si="185"/>
        <v>1.8851778656452369E-3</v>
      </c>
      <c r="BE693" s="226">
        <f t="shared" si="185"/>
        <v>1.8177695905688058E-3</v>
      </c>
    </row>
    <row r="694" spans="5:57" s="10" customFormat="1" x14ac:dyDescent="0.35">
      <c r="E694" s="10" t="s">
        <v>656</v>
      </c>
      <c r="F694" s="10" t="s">
        <v>615</v>
      </c>
      <c r="G694" s="43" t="s">
        <v>616</v>
      </c>
      <c r="I694" s="20"/>
      <c r="J694" s="200"/>
      <c r="K694" s="200"/>
      <c r="L694" s="200"/>
      <c r="M694" s="200"/>
      <c r="N694" s="200">
        <v>8.6999999999999994E-3</v>
      </c>
      <c r="O694" s="226">
        <f t="shared" si="186"/>
        <v>8.3987898123552562E-3</v>
      </c>
      <c r="P694" s="226">
        <f t="shared" si="186"/>
        <v>8.1080080818531543E-3</v>
      </c>
      <c r="Q694" s="226">
        <f t="shared" si="186"/>
        <v>7.8272937559037189E-3</v>
      </c>
      <c r="R694" s="226">
        <f t="shared" si="186"/>
        <v>7.5562982822294329E-3</v>
      </c>
      <c r="S694" s="226">
        <f t="shared" si="186"/>
        <v>7.2946851760811587E-3</v>
      </c>
      <c r="T694" s="226">
        <f t="shared" si="186"/>
        <v>7.0421296024378559E-3</v>
      </c>
      <c r="U694" s="226">
        <f t="shared" si="186"/>
        <v>6.7983179726713141E-3</v>
      </c>
      <c r="V694" s="226">
        <f t="shared" si="186"/>
        <v>6.562947555175112E-3</v>
      </c>
      <c r="W694" s="226">
        <f t="shared" si="186"/>
        <v>6.3357260994743184E-3</v>
      </c>
      <c r="X694" s="226">
        <f t="shared" si="186"/>
        <v>6.1163714733492199E-3</v>
      </c>
      <c r="Y694" s="226">
        <f t="shared" si="186"/>
        <v>5.9046113125224989E-3</v>
      </c>
      <c r="Z694" s="226">
        <f t="shared" si="186"/>
        <v>5.7001826824748924E-3</v>
      </c>
      <c r="AA694" s="226">
        <f t="shared" si="186"/>
        <v>5.5028317519694231E-3</v>
      </c>
      <c r="AB694" s="226">
        <f t="shared" si="186"/>
        <v>5.3123134778788293E-3</v>
      </c>
      <c r="AC694" s="226">
        <f t="shared" si="186"/>
        <v>5.128391300924854E-3</v>
      </c>
      <c r="AD694" s="226">
        <f t="shared" si="186"/>
        <v>4.9508368519516075E-3</v>
      </c>
      <c r="AE694" s="226">
        <f t="shared" si="184"/>
        <v>4.7794296683682904E-3</v>
      </c>
      <c r="AF694" s="226">
        <f t="shared" si="184"/>
        <v>4.6139569204092018E-3</v>
      </c>
      <c r="AG694" s="226">
        <f t="shared" si="184"/>
        <v>4.454213146871131E-3</v>
      </c>
      <c r="AH694" s="227">
        <v>4.3E-3</v>
      </c>
      <c r="AI694" s="226">
        <f t="shared" si="187"/>
        <v>4.1511259992100692E-3</v>
      </c>
      <c r="AJ694" s="226">
        <f t="shared" si="187"/>
        <v>4.0074062933297197E-3</v>
      </c>
      <c r="AK694" s="226">
        <f t="shared" si="187"/>
        <v>3.8686624310788494E-3</v>
      </c>
      <c r="AL694" s="226">
        <f t="shared" si="187"/>
        <v>3.734722139492708E-3</v>
      </c>
      <c r="AM694" s="226">
        <f t="shared" si="187"/>
        <v>3.6054191100171242E-3</v>
      </c>
      <c r="AN694" s="226">
        <f t="shared" si="187"/>
        <v>3.4805927920095146E-3</v>
      </c>
      <c r="AO694" s="226">
        <f t="shared" si="187"/>
        <v>3.3600881933892701E-3</v>
      </c>
      <c r="AP694" s="226">
        <f t="shared" si="187"/>
        <v>3.2437556881899977E-3</v>
      </c>
      <c r="AQ694" s="226">
        <f t="shared" si="187"/>
        <v>3.1314508307746626E-3</v>
      </c>
      <c r="AR694" s="226">
        <f t="shared" si="187"/>
        <v>3.0230341764829471E-3</v>
      </c>
      <c r="AS694" s="226">
        <f t="shared" si="187"/>
        <v>2.9183711084881307E-3</v>
      </c>
      <c r="AT694" s="226">
        <f t="shared" si="187"/>
        <v>2.8173316706485091E-3</v>
      </c>
      <c r="AU694" s="226">
        <f t="shared" si="187"/>
        <v>2.7197904061458059E-3</v>
      </c>
      <c r="AV694" s="226">
        <f t="shared" si="187"/>
        <v>2.6256262017102252E-3</v>
      </c>
      <c r="AW694" s="226">
        <f t="shared" si="187"/>
        <v>2.5347221372387205E-3</v>
      </c>
      <c r="AX694" s="226">
        <f t="shared" si="187"/>
        <v>2.4469653406197596E-3</v>
      </c>
      <c r="AY694" s="226">
        <f t="shared" si="185"/>
        <v>2.3622468475843271E-3</v>
      </c>
      <c r="AZ694" s="226">
        <f t="shared" si="185"/>
        <v>2.2804614664091454E-3</v>
      </c>
      <c r="BA694" s="226">
        <f t="shared" si="185"/>
        <v>2.2015076473041219E-3</v>
      </c>
      <c r="BB694" s="226">
        <f t="shared" si="185"/>
        <v>2.1252873563218444E-3</v>
      </c>
      <c r="BC694" s="226">
        <f t="shared" si="185"/>
        <v>2.0517059536325679E-3</v>
      </c>
      <c r="BD694" s="226">
        <f t="shared" si="185"/>
        <v>1.9806720760135446E-3</v>
      </c>
      <c r="BE694" s="226">
        <f t="shared" si="185"/>
        <v>1.9120975234067925E-3</v>
      </c>
    </row>
    <row r="695" spans="5:57" s="10" customFormat="1" x14ac:dyDescent="0.35">
      <c r="E695" s="10" t="s">
        <v>657</v>
      </c>
      <c r="F695" s="10" t="s">
        <v>615</v>
      </c>
      <c r="G695" s="43" t="s">
        <v>616</v>
      </c>
      <c r="I695" s="20"/>
      <c r="J695" s="200"/>
      <c r="K695" s="200"/>
      <c r="L695" s="200"/>
      <c r="M695" s="200"/>
      <c r="N695" s="200">
        <v>8.8000000000000005E-3</v>
      </c>
      <c r="O695" s="226">
        <f t="shared" si="186"/>
        <v>8.5002396945386433E-3</v>
      </c>
      <c r="P695" s="226">
        <f t="shared" si="186"/>
        <v>8.2106903255239096E-3</v>
      </c>
      <c r="Q695" s="226">
        <f t="shared" si="186"/>
        <v>7.9310040709753109E-3</v>
      </c>
      <c r="R695" s="226">
        <f t="shared" si="186"/>
        <v>7.6608449570058981E-3</v>
      </c>
      <c r="S695" s="226">
        <f t="shared" si="186"/>
        <v>7.3998884542326943E-3</v>
      </c>
      <c r="T695" s="226">
        <f t="shared" si="186"/>
        <v>7.1478210879348802E-3</v>
      </c>
      <c r="U695" s="226">
        <f t="shared" si="186"/>
        <v>6.9043400614914154E-3</v>
      </c>
      <c r="V695" s="226">
        <f t="shared" si="186"/>
        <v>6.6691528926457614E-3</v>
      </c>
      <c r="W695" s="226">
        <f t="shared" si="186"/>
        <v>6.4419770621607624E-3</v>
      </c>
      <c r="X695" s="226">
        <f t="shared" si="186"/>
        <v>6.2225396744416293E-3</v>
      </c>
      <c r="Y695" s="226">
        <f t="shared" si="186"/>
        <v>6.010577129719352E-3</v>
      </c>
      <c r="Z695" s="226">
        <f t="shared" si="186"/>
        <v>5.8058348074007471E-3</v>
      </c>
      <c r="AA695" s="226">
        <f t="shared" si="186"/>
        <v>5.6080667602047664E-3</v>
      </c>
      <c r="AB695" s="226">
        <f t="shared" si="186"/>
        <v>5.4170354187176454E-3</v>
      </c>
      <c r="AC695" s="226">
        <f t="shared" si="186"/>
        <v>5.232511306011987E-3</v>
      </c>
      <c r="AD695" s="226">
        <f t="shared" si="186"/>
        <v>5.0542727619869686E-3</v>
      </c>
      <c r="AE695" s="226">
        <f t="shared" si="184"/>
        <v>4.8821056770985329E-3</v>
      </c>
      <c r="AF695" s="226">
        <f t="shared" si="184"/>
        <v>4.7158032351597053E-3</v>
      </c>
      <c r="AG695" s="226">
        <f t="shared" si="184"/>
        <v>4.5551656649020769E-3</v>
      </c>
      <c r="AH695" s="227">
        <v>4.4000000000000003E-3</v>
      </c>
      <c r="AI695" s="226">
        <f t="shared" si="187"/>
        <v>4.2501198472693217E-3</v>
      </c>
      <c r="AJ695" s="226">
        <f t="shared" si="187"/>
        <v>4.1053451627619548E-3</v>
      </c>
      <c r="AK695" s="226">
        <f t="shared" si="187"/>
        <v>3.9655020354876554E-3</v>
      </c>
      <c r="AL695" s="226">
        <f t="shared" si="187"/>
        <v>3.8304224785029491E-3</v>
      </c>
      <c r="AM695" s="226">
        <f t="shared" si="187"/>
        <v>3.6999442271163471E-3</v>
      </c>
      <c r="AN695" s="226">
        <f t="shared" si="187"/>
        <v>3.5739105439674401E-3</v>
      </c>
      <c r="AO695" s="226">
        <f t="shared" si="187"/>
        <v>3.4521700307457077E-3</v>
      </c>
      <c r="AP695" s="226">
        <f t="shared" si="187"/>
        <v>3.3345764463228807E-3</v>
      </c>
      <c r="AQ695" s="226">
        <f t="shared" si="187"/>
        <v>3.2209885310803812E-3</v>
      </c>
      <c r="AR695" s="226">
        <f t="shared" si="187"/>
        <v>3.1112698372208147E-3</v>
      </c>
      <c r="AS695" s="226">
        <f t="shared" si="187"/>
        <v>3.005288564859676E-3</v>
      </c>
      <c r="AT695" s="226">
        <f t="shared" si="187"/>
        <v>2.9029174037003736E-3</v>
      </c>
      <c r="AU695" s="226">
        <f t="shared" si="187"/>
        <v>2.8040333801023832E-3</v>
      </c>
      <c r="AV695" s="226">
        <f t="shared" si="187"/>
        <v>2.7085177093588227E-3</v>
      </c>
      <c r="AW695" s="226">
        <f t="shared" si="187"/>
        <v>2.6162556530059935E-3</v>
      </c>
      <c r="AX695" s="226">
        <f t="shared" si="187"/>
        <v>2.5271363809934843E-3</v>
      </c>
      <c r="AY695" s="226">
        <f t="shared" si="185"/>
        <v>2.4410528385492665E-3</v>
      </c>
      <c r="AZ695" s="226">
        <f t="shared" si="185"/>
        <v>2.3579016175798526E-3</v>
      </c>
      <c r="BA695" s="226">
        <f t="shared" si="185"/>
        <v>2.2775828324510384E-3</v>
      </c>
      <c r="BB695" s="226">
        <f t="shared" si="185"/>
        <v>2.2000000000000079E-3</v>
      </c>
      <c r="BC695" s="226">
        <f t="shared" si="185"/>
        <v>2.1250599236346682E-3</v>
      </c>
      <c r="BD695" s="226">
        <f t="shared" si="185"/>
        <v>2.0526725813809843E-3</v>
      </c>
      <c r="BE695" s="226">
        <f t="shared" si="185"/>
        <v>1.9827510177438347E-3</v>
      </c>
    </row>
    <row r="696" spans="5:57" s="10" customFormat="1" x14ac:dyDescent="0.35">
      <c r="E696" s="10" t="s">
        <v>658</v>
      </c>
      <c r="F696" s="10" t="s">
        <v>615</v>
      </c>
      <c r="G696" s="43" t="s">
        <v>616</v>
      </c>
      <c r="I696" s="20"/>
      <c r="J696" s="200"/>
      <c r="K696" s="200"/>
      <c r="L696" s="200"/>
      <c r="M696" s="200"/>
      <c r="N696" s="200">
        <v>8.8000000000000005E-3</v>
      </c>
      <c r="O696" s="226">
        <f t="shared" si="186"/>
        <v>8.5002396945386433E-3</v>
      </c>
      <c r="P696" s="226">
        <f t="shared" si="186"/>
        <v>8.2106903255239096E-3</v>
      </c>
      <c r="Q696" s="226">
        <f t="shared" si="186"/>
        <v>7.9310040709753109E-3</v>
      </c>
      <c r="R696" s="226">
        <f t="shared" si="186"/>
        <v>7.6608449570058981E-3</v>
      </c>
      <c r="S696" s="226">
        <f t="shared" si="186"/>
        <v>7.3998884542326943E-3</v>
      </c>
      <c r="T696" s="226">
        <f t="shared" si="186"/>
        <v>7.1478210879348802E-3</v>
      </c>
      <c r="U696" s="226">
        <f t="shared" si="186"/>
        <v>6.9043400614914154E-3</v>
      </c>
      <c r="V696" s="226">
        <f t="shared" si="186"/>
        <v>6.6691528926457614E-3</v>
      </c>
      <c r="W696" s="226">
        <f t="shared" si="186"/>
        <v>6.4419770621607624E-3</v>
      </c>
      <c r="X696" s="226">
        <f t="shared" si="186"/>
        <v>6.2225396744416293E-3</v>
      </c>
      <c r="Y696" s="226">
        <f t="shared" si="186"/>
        <v>6.010577129719352E-3</v>
      </c>
      <c r="Z696" s="226">
        <f t="shared" si="186"/>
        <v>5.8058348074007471E-3</v>
      </c>
      <c r="AA696" s="226">
        <f t="shared" si="186"/>
        <v>5.6080667602047664E-3</v>
      </c>
      <c r="AB696" s="226">
        <f t="shared" si="186"/>
        <v>5.4170354187176454E-3</v>
      </c>
      <c r="AC696" s="226">
        <f t="shared" si="186"/>
        <v>5.232511306011987E-3</v>
      </c>
      <c r="AD696" s="226">
        <f t="shared" si="186"/>
        <v>5.0542727619869686E-3</v>
      </c>
      <c r="AE696" s="226">
        <f t="shared" si="184"/>
        <v>4.8821056770985329E-3</v>
      </c>
      <c r="AF696" s="226">
        <f t="shared" si="184"/>
        <v>4.7158032351597053E-3</v>
      </c>
      <c r="AG696" s="226">
        <f t="shared" si="184"/>
        <v>4.5551656649020769E-3</v>
      </c>
      <c r="AH696" s="227">
        <v>4.4000000000000003E-3</v>
      </c>
      <c r="AI696" s="226">
        <f t="shared" si="187"/>
        <v>4.2501198472693217E-3</v>
      </c>
      <c r="AJ696" s="226">
        <f t="shared" si="187"/>
        <v>4.1053451627619548E-3</v>
      </c>
      <c r="AK696" s="226">
        <f t="shared" si="187"/>
        <v>3.9655020354876554E-3</v>
      </c>
      <c r="AL696" s="226">
        <f t="shared" si="187"/>
        <v>3.8304224785029491E-3</v>
      </c>
      <c r="AM696" s="226">
        <f t="shared" si="187"/>
        <v>3.6999442271163471E-3</v>
      </c>
      <c r="AN696" s="226">
        <f t="shared" si="187"/>
        <v>3.5739105439674401E-3</v>
      </c>
      <c r="AO696" s="226">
        <f t="shared" si="187"/>
        <v>3.4521700307457077E-3</v>
      </c>
      <c r="AP696" s="226">
        <f t="shared" si="187"/>
        <v>3.3345764463228807E-3</v>
      </c>
      <c r="AQ696" s="226">
        <f t="shared" si="187"/>
        <v>3.2209885310803812E-3</v>
      </c>
      <c r="AR696" s="226">
        <f t="shared" si="187"/>
        <v>3.1112698372208147E-3</v>
      </c>
      <c r="AS696" s="226">
        <f t="shared" si="187"/>
        <v>3.005288564859676E-3</v>
      </c>
      <c r="AT696" s="226">
        <f t="shared" si="187"/>
        <v>2.9029174037003736E-3</v>
      </c>
      <c r="AU696" s="226">
        <f t="shared" si="187"/>
        <v>2.8040333801023832E-3</v>
      </c>
      <c r="AV696" s="226">
        <f t="shared" si="187"/>
        <v>2.7085177093588227E-3</v>
      </c>
      <c r="AW696" s="226">
        <f t="shared" si="187"/>
        <v>2.6162556530059935E-3</v>
      </c>
      <c r="AX696" s="226">
        <f t="shared" si="187"/>
        <v>2.5271363809934843E-3</v>
      </c>
      <c r="AY696" s="226">
        <f t="shared" si="185"/>
        <v>2.4410528385492665E-3</v>
      </c>
      <c r="AZ696" s="226">
        <f t="shared" si="185"/>
        <v>2.3579016175798526E-3</v>
      </c>
      <c r="BA696" s="226">
        <f t="shared" si="185"/>
        <v>2.2775828324510384E-3</v>
      </c>
      <c r="BB696" s="226">
        <f t="shared" si="185"/>
        <v>2.2000000000000079E-3</v>
      </c>
      <c r="BC696" s="226">
        <f t="shared" si="185"/>
        <v>2.1250599236346682E-3</v>
      </c>
      <c r="BD696" s="226">
        <f t="shared" si="185"/>
        <v>2.0526725813809843E-3</v>
      </c>
      <c r="BE696" s="226">
        <f t="shared" si="185"/>
        <v>1.9827510177438347E-3</v>
      </c>
    </row>
    <row r="697" spans="5:57" s="10" customFormat="1" x14ac:dyDescent="0.35">
      <c r="E697" s="10" t="s">
        <v>659</v>
      </c>
      <c r="F697" s="10" t="s">
        <v>615</v>
      </c>
      <c r="G697" s="43" t="s">
        <v>616</v>
      </c>
      <c r="I697" s="20"/>
      <c r="J697" s="200"/>
      <c r="K697" s="200"/>
      <c r="L697" s="200"/>
      <c r="M697" s="200"/>
      <c r="N697" s="200">
        <v>8.8999999999999999E-3</v>
      </c>
      <c r="O697" s="226">
        <f t="shared" si="186"/>
        <v>8.5919776795672087E-3</v>
      </c>
      <c r="P697" s="226">
        <f t="shared" si="186"/>
        <v>8.2946157804697895E-3</v>
      </c>
      <c r="Q697" s="226">
        <f t="shared" si="186"/>
        <v>8.0075453535261108E-3</v>
      </c>
      <c r="R697" s="226">
        <f t="shared" si="186"/>
        <v>7.730410218608816E-3</v>
      </c>
      <c r="S697" s="226">
        <f t="shared" si="186"/>
        <v>7.4628665227174399E-3</v>
      </c>
      <c r="T697" s="226">
        <f t="shared" si="186"/>
        <v>7.2045823133457974E-3</v>
      </c>
      <c r="U697" s="226">
        <f t="shared" si="186"/>
        <v>6.9552371266148067E-3</v>
      </c>
      <c r="V697" s="226">
        <f t="shared" si="186"/>
        <v>6.7145215896597292E-3</v>
      </c>
      <c r="W697" s="226">
        <f t="shared" si="186"/>
        <v>6.4821370367784863E-3</v>
      </c>
      <c r="X697" s="226">
        <f t="shared" si="186"/>
        <v>6.2577951388647964E-3</v>
      </c>
      <c r="Y697" s="226">
        <f t="shared" si="186"/>
        <v>6.0412175456663504E-3</v>
      </c>
      <c r="Z697" s="226">
        <f t="shared" si="186"/>
        <v>5.8321355404241659E-3</v>
      </c>
      <c r="AA697" s="226">
        <f t="shared" si="186"/>
        <v>5.6302897064646152E-3</v>
      </c>
      <c r="AB697" s="226">
        <f t="shared" si="186"/>
        <v>5.4354296053304484E-3</v>
      </c>
      <c r="AC697" s="226">
        <f t="shared" si="186"/>
        <v>5.247313466051463E-3</v>
      </c>
      <c r="AD697" s="226">
        <f t="shared" si="186"/>
        <v>5.0657078851692834E-3</v>
      </c>
      <c r="AE697" s="226">
        <f t="shared" si="184"/>
        <v>4.8903875371440553E-3</v>
      </c>
      <c r="AF697" s="226">
        <f t="shared" si="184"/>
        <v>4.7211348947837507E-3</v>
      </c>
      <c r="AG697" s="226">
        <f t="shared" si="184"/>
        <v>4.5577399593491989E-3</v>
      </c>
      <c r="AH697" s="227">
        <v>4.4000000000000003E-3</v>
      </c>
      <c r="AI697" s="226">
        <f t="shared" si="187"/>
        <v>4.2477193022579466E-3</v>
      </c>
      <c r="AJ697" s="226">
        <f t="shared" si="187"/>
        <v>4.1007089251760762E-3</v>
      </c>
      <c r="AK697" s="226">
        <f t="shared" si="187"/>
        <v>3.958786466911785E-3</v>
      </c>
      <c r="AL697" s="226">
        <f t="shared" si="187"/>
        <v>3.8217758384133469E-3</v>
      </c>
      <c r="AM697" s="226">
        <f t="shared" si="187"/>
        <v>3.6895070449389591E-3</v>
      </c>
      <c r="AN697" s="226">
        <f t="shared" si="187"/>
        <v>3.5618159751372482E-3</v>
      </c>
      <c r="AO697" s="226">
        <f t="shared" si="187"/>
        <v>3.4385441974275448E-3</v>
      </c>
      <c r="AP697" s="226">
        <f t="shared" si="187"/>
        <v>3.3195387634272818E-3</v>
      </c>
      <c r="AQ697" s="226">
        <f t="shared" si="187"/>
        <v>3.2046520181826226E-3</v>
      </c>
      <c r="AR697" s="226">
        <f t="shared" si="187"/>
        <v>3.0937414169668657E-3</v>
      </c>
      <c r="AS697" s="226">
        <f t="shared" si="187"/>
        <v>2.986669348419319E-3</v>
      </c>
      <c r="AT697" s="226">
        <f t="shared" si="187"/>
        <v>2.8833029638052057E-3</v>
      </c>
      <c r="AU697" s="226">
        <f t="shared" si="187"/>
        <v>2.7835140121847536E-3</v>
      </c>
      <c r="AV697" s="226">
        <f t="shared" si="187"/>
        <v>2.6871786812869632E-3</v>
      </c>
      <c r="AW697" s="226">
        <f t="shared" si="187"/>
        <v>2.5941774438906105E-3</v>
      </c>
      <c r="AX697" s="226">
        <f t="shared" si="187"/>
        <v>2.5043949095218923E-3</v>
      </c>
      <c r="AY697" s="226">
        <f t="shared" si="185"/>
        <v>2.417719681284701E-3</v>
      </c>
      <c r="AZ697" s="226">
        <f t="shared" si="185"/>
        <v>2.3340442176458987E-3</v>
      </c>
      <c r="BA697" s="226">
        <f t="shared" si="185"/>
        <v>2.2532646990040977E-3</v>
      </c>
      <c r="BB697" s="226">
        <f t="shared" si="185"/>
        <v>2.1752808988763968E-3</v>
      </c>
      <c r="BC697" s="226">
        <f t="shared" si="185"/>
        <v>2.0999960595432469E-3</v>
      </c>
      <c r="BD697" s="226">
        <f t="shared" si="185"/>
        <v>2.0273167719971541E-3</v>
      </c>
      <c r="BE697" s="226">
        <f t="shared" si="185"/>
        <v>1.9571528600462688E-3</v>
      </c>
    </row>
    <row r="698" spans="5:57" s="10" customFormat="1" x14ac:dyDescent="0.35">
      <c r="E698" s="10" t="s">
        <v>660</v>
      </c>
      <c r="F698" s="10" t="s">
        <v>615</v>
      </c>
      <c r="G698" s="43" t="s">
        <v>616</v>
      </c>
      <c r="I698" s="20"/>
      <c r="J698" s="200"/>
      <c r="K698" s="200"/>
      <c r="L698" s="200"/>
      <c r="M698" s="200"/>
      <c r="N698" s="200">
        <v>8.8999999999999999E-3</v>
      </c>
      <c r="O698" s="226">
        <f t="shared" si="186"/>
        <v>8.6016374193932342E-3</v>
      </c>
      <c r="P698" s="226">
        <f t="shared" si="186"/>
        <v>8.3132771117647077E-3</v>
      </c>
      <c r="Q698" s="226">
        <f t="shared" si="186"/>
        <v>8.034583762060744E-3</v>
      </c>
      <c r="R698" s="226">
        <f t="shared" si="186"/>
        <v>7.7652332962911191E-3</v>
      </c>
      <c r="S698" s="226">
        <f t="shared" si="186"/>
        <v>7.5049125046849395E-3</v>
      </c>
      <c r="T698" s="226">
        <f t="shared" si="186"/>
        <v>7.2533186774797953E-3</v>
      </c>
      <c r="U698" s="226">
        <f t="shared" si="186"/>
        <v>7.0101592529206802E-3</v>
      </c>
      <c r="V698" s="226">
        <f t="shared" si="186"/>
        <v>6.775151477059353E-3</v>
      </c>
      <c r="W698" s="226">
        <f t="shared" si="186"/>
        <v>6.5480220749585477E-3</v>
      </c>
      <c r="X698" s="226">
        <f t="shared" si="186"/>
        <v>6.3285069329186939E-3</v>
      </c>
      <c r="Y698" s="226">
        <f t="shared" si="186"/>
        <v>6.1163507913576344E-3</v>
      </c>
      <c r="Z698" s="226">
        <f t="shared" si="186"/>
        <v>5.9113069479862076E-3</v>
      </c>
      <c r="AA698" s="226">
        <f t="shared" si="186"/>
        <v>5.7131369709345365E-3</v>
      </c>
      <c r="AB698" s="226">
        <f t="shared" si="186"/>
        <v>5.5216104214954407E-3</v>
      </c>
      <c r="AC698" s="226">
        <f t="shared" si="186"/>
        <v>5.3365045861625653E-3</v>
      </c>
      <c r="AD698" s="226">
        <f t="shared" si="186"/>
        <v>5.1576042176516325E-3</v>
      </c>
      <c r="AE698" s="226">
        <f t="shared" si="184"/>
        <v>4.9847012846036681E-3</v>
      </c>
      <c r="AF698" s="226">
        <f t="shared" si="184"/>
        <v>4.8175947296791501E-3</v>
      </c>
      <c r="AG698" s="226">
        <f t="shared" si="184"/>
        <v>4.6560902357617763E-3</v>
      </c>
      <c r="AH698" s="227">
        <v>4.4999999999999997E-3</v>
      </c>
      <c r="AI698" s="226">
        <f t="shared" si="187"/>
        <v>4.3491425154235453E-3</v>
      </c>
      <c r="AJ698" s="226">
        <f t="shared" si="187"/>
        <v>4.2033423598810318E-3</v>
      </c>
      <c r="AK698" s="226">
        <f t="shared" si="187"/>
        <v>4.0624299920531846E-3</v>
      </c>
      <c r="AL698" s="226">
        <f t="shared" si="187"/>
        <v>3.9262415543044977E-3</v>
      </c>
      <c r="AM698" s="226">
        <f t="shared" si="187"/>
        <v>3.7946186821440696E-3</v>
      </c>
      <c r="AN698" s="226">
        <f t="shared" si="187"/>
        <v>3.6674083200740528E-3</v>
      </c>
      <c r="AO698" s="226">
        <f t="shared" si="187"/>
        <v>3.5444625436115789E-3</v>
      </c>
      <c r="AP698" s="226">
        <f t="shared" si="187"/>
        <v>3.4256383872771998E-3</v>
      </c>
      <c r="AQ698" s="226">
        <f t="shared" si="187"/>
        <v>3.3107976783498263E-3</v>
      </c>
      <c r="AR698" s="226">
        <f t="shared" si="187"/>
        <v>3.199806876194844E-3</v>
      </c>
      <c r="AS698" s="226">
        <f t="shared" si="187"/>
        <v>3.092536916978578E-3</v>
      </c>
      <c r="AT698" s="226">
        <f t="shared" si="187"/>
        <v>2.9888630635885307E-3</v>
      </c>
      <c r="AU698" s="226">
        <f t="shared" si="187"/>
        <v>2.8886647605848772E-3</v>
      </c>
      <c r="AV698" s="226">
        <f t="shared" si="187"/>
        <v>2.791825494014548E-3</v>
      </c>
      <c r="AW698" s="226">
        <f t="shared" si="187"/>
        <v>2.6982326559248917E-3</v>
      </c>
      <c r="AX698" s="226">
        <f t="shared" si="187"/>
        <v>2.6077774134193638E-3</v>
      </c>
      <c r="AY698" s="226">
        <f t="shared" si="185"/>
        <v>2.5203545821029776E-3</v>
      </c>
      <c r="AZ698" s="226">
        <f t="shared" si="185"/>
        <v>2.4358625037703562E-3</v>
      </c>
      <c r="BA698" s="226">
        <f t="shared" si="185"/>
        <v>2.3542029281941562E-3</v>
      </c>
      <c r="BB698" s="226">
        <f t="shared" si="185"/>
        <v>2.2752808988764019E-3</v>
      </c>
      <c r="BC698" s="226">
        <f t="shared" si="185"/>
        <v>2.1990046426298799E-3</v>
      </c>
      <c r="BD698" s="226">
        <f t="shared" si="185"/>
        <v>2.1252854628611936E-3</v>
      </c>
      <c r="BE698" s="226">
        <f t="shared" si="185"/>
        <v>2.0540376364313836E-3</v>
      </c>
    </row>
    <row r="699" spans="5:57" s="10" customFormat="1" x14ac:dyDescent="0.35">
      <c r="E699" s="10" t="s">
        <v>661</v>
      </c>
      <c r="F699" s="10" t="s">
        <v>615</v>
      </c>
      <c r="G699" s="43" t="s">
        <v>616</v>
      </c>
      <c r="I699" s="20"/>
      <c r="J699" s="200"/>
      <c r="K699" s="200"/>
      <c r="L699" s="200"/>
      <c r="M699" s="200"/>
      <c r="N699" s="200">
        <v>8.9999999999999993E-3</v>
      </c>
      <c r="O699" s="226">
        <f t="shared" si="186"/>
        <v>8.6934269603236112E-3</v>
      </c>
      <c r="P699" s="226">
        <f t="shared" si="186"/>
        <v>8.3972969238312687E-3</v>
      </c>
      <c r="Q699" s="226">
        <f t="shared" si="186"/>
        <v>8.111254163497476E-3</v>
      </c>
      <c r="R699" s="226">
        <f t="shared" si="186"/>
        <v>7.834955069665122E-3</v>
      </c>
      <c r="S699" s="226">
        <f t="shared" si="186"/>
        <v>7.5680677372834369E-3</v>
      </c>
      <c r="T699" s="226">
        <f t="shared" si="186"/>
        <v>7.3102715672061268E-3</v>
      </c>
      <c r="U699" s="226">
        <f t="shared" si="186"/>
        <v>7.0612568810707651E-3</v>
      </c>
      <c r="V699" s="226">
        <f t="shared" si="186"/>
        <v>6.820724549296801E-3</v>
      </c>
      <c r="W699" s="226">
        <f t="shared" si="186"/>
        <v>6.5883856317553247E-3</v>
      </c>
      <c r="X699" s="226">
        <f t="shared" si="186"/>
        <v>6.363961030678939E-3</v>
      </c>
      <c r="Y699" s="226">
        <f t="shared" si="186"/>
        <v>6.1471811553947915E-3</v>
      </c>
      <c r="Z699" s="226">
        <f t="shared" si="186"/>
        <v>5.9377855984780363E-3</v>
      </c>
      <c r="AA699" s="226">
        <f t="shared" si="186"/>
        <v>5.7355228229366926E-3</v>
      </c>
      <c r="AB699" s="226">
        <f t="shared" si="186"/>
        <v>5.5401498600521366E-3</v>
      </c>
      <c r="AC699" s="226">
        <f t="shared" si="186"/>
        <v>5.3514320175122587E-3</v>
      </c>
      <c r="AD699" s="226">
        <f t="shared" si="186"/>
        <v>5.169142597486672E-3</v>
      </c>
      <c r="AE699" s="226">
        <f t="shared" si="184"/>
        <v>4.993062624305317E-3</v>
      </c>
      <c r="AF699" s="226">
        <f t="shared" si="184"/>
        <v>4.8229805814133343E-3</v>
      </c>
      <c r="AG699" s="226">
        <f t="shared" si="184"/>
        <v>4.6586921572862143E-3</v>
      </c>
      <c r="AH699" s="227">
        <v>4.4999999999999997E-3</v>
      </c>
      <c r="AI699" s="226">
        <f t="shared" si="187"/>
        <v>4.3467134801618056E-3</v>
      </c>
      <c r="AJ699" s="226">
        <f t="shared" si="187"/>
        <v>4.1986484619156344E-3</v>
      </c>
      <c r="AK699" s="226">
        <f t="shared" si="187"/>
        <v>4.055627081748738E-3</v>
      </c>
      <c r="AL699" s="226">
        <f t="shared" si="187"/>
        <v>3.917477534832561E-3</v>
      </c>
      <c r="AM699" s="226">
        <f t="shared" si="187"/>
        <v>3.7840338686417185E-3</v>
      </c>
      <c r="AN699" s="226">
        <f t="shared" si="187"/>
        <v>3.6551357836030634E-3</v>
      </c>
      <c r="AO699" s="226">
        <f t="shared" si="187"/>
        <v>3.5306284405353825E-3</v>
      </c>
      <c r="AP699" s="226">
        <f t="shared" si="187"/>
        <v>3.4103622746484005E-3</v>
      </c>
      <c r="AQ699" s="226">
        <f t="shared" si="187"/>
        <v>3.2941928158776623E-3</v>
      </c>
      <c r="AR699" s="226">
        <f t="shared" si="187"/>
        <v>3.1819805153394695E-3</v>
      </c>
      <c r="AS699" s="226">
        <f t="shared" si="187"/>
        <v>3.0735905776973957E-3</v>
      </c>
      <c r="AT699" s="226">
        <f t="shared" si="187"/>
        <v>2.9688927992390182E-3</v>
      </c>
      <c r="AU699" s="226">
        <f t="shared" si="187"/>
        <v>2.8677614114683463E-3</v>
      </c>
      <c r="AV699" s="226">
        <f t="shared" si="187"/>
        <v>2.7700749300260683E-3</v>
      </c>
      <c r="AW699" s="226">
        <f t="shared" si="187"/>
        <v>2.6757160087561294E-3</v>
      </c>
      <c r="AX699" s="226">
        <f t="shared" si="187"/>
        <v>2.584571298743336E-3</v>
      </c>
      <c r="AY699" s="226">
        <f t="shared" si="185"/>
        <v>2.4965313121526585E-3</v>
      </c>
      <c r="AZ699" s="226">
        <f t="shared" si="185"/>
        <v>2.4114902907066671E-3</v>
      </c>
      <c r="BA699" s="226">
        <f t="shared" si="185"/>
        <v>2.3293460786431072E-3</v>
      </c>
      <c r="BB699" s="226">
        <f t="shared" si="185"/>
        <v>2.2500000000000081E-3</v>
      </c>
      <c r="BC699" s="226">
        <f t="shared" si="185"/>
        <v>2.1733567400809106E-3</v>
      </c>
      <c r="BD699" s="226">
        <f t="shared" si="185"/>
        <v>2.099324230957825E-3</v>
      </c>
      <c r="BE699" s="226">
        <f t="shared" si="185"/>
        <v>2.0278135408743764E-3</v>
      </c>
    </row>
    <row r="700" spans="5:57" s="10" customFormat="1" x14ac:dyDescent="0.35">
      <c r="E700" s="10" t="s">
        <v>662</v>
      </c>
      <c r="F700" s="10" t="s">
        <v>615</v>
      </c>
      <c r="G700" s="43" t="s">
        <v>616</v>
      </c>
      <c r="I700" s="20"/>
      <c r="J700" s="200"/>
      <c r="K700" s="200"/>
      <c r="L700" s="200"/>
      <c r="M700" s="200"/>
      <c r="N700" s="200">
        <v>8.9999999999999993E-3</v>
      </c>
      <c r="O700" s="226">
        <f t="shared" si="186"/>
        <v>8.6934269603236112E-3</v>
      </c>
      <c r="P700" s="226">
        <f t="shared" si="186"/>
        <v>8.3972969238312687E-3</v>
      </c>
      <c r="Q700" s="226">
        <f t="shared" si="186"/>
        <v>8.111254163497476E-3</v>
      </c>
      <c r="R700" s="226">
        <f t="shared" si="186"/>
        <v>7.834955069665122E-3</v>
      </c>
      <c r="S700" s="226">
        <f t="shared" si="186"/>
        <v>7.5680677372834369E-3</v>
      </c>
      <c r="T700" s="226">
        <f t="shared" si="186"/>
        <v>7.3102715672061268E-3</v>
      </c>
      <c r="U700" s="226">
        <f t="shared" si="186"/>
        <v>7.0612568810707651E-3</v>
      </c>
      <c r="V700" s="226">
        <f t="shared" si="186"/>
        <v>6.820724549296801E-3</v>
      </c>
      <c r="W700" s="226">
        <f t="shared" si="186"/>
        <v>6.5883856317553247E-3</v>
      </c>
      <c r="X700" s="226">
        <f t="shared" si="186"/>
        <v>6.363961030678939E-3</v>
      </c>
      <c r="Y700" s="226">
        <f t="shared" si="186"/>
        <v>6.1471811553947915E-3</v>
      </c>
      <c r="Z700" s="226">
        <f t="shared" si="186"/>
        <v>5.9377855984780363E-3</v>
      </c>
      <c r="AA700" s="226">
        <f t="shared" si="186"/>
        <v>5.7355228229366926E-3</v>
      </c>
      <c r="AB700" s="226">
        <f t="shared" si="186"/>
        <v>5.5401498600521366E-3</v>
      </c>
      <c r="AC700" s="226">
        <f t="shared" si="186"/>
        <v>5.3514320175122587E-3</v>
      </c>
      <c r="AD700" s="226">
        <f t="shared" si="186"/>
        <v>5.169142597486672E-3</v>
      </c>
      <c r="AE700" s="226">
        <f t="shared" si="184"/>
        <v>4.993062624305317E-3</v>
      </c>
      <c r="AF700" s="226">
        <f t="shared" si="184"/>
        <v>4.8229805814133343E-3</v>
      </c>
      <c r="AG700" s="226">
        <f t="shared" si="184"/>
        <v>4.6586921572862143E-3</v>
      </c>
      <c r="AH700" s="227">
        <v>4.4999999999999997E-3</v>
      </c>
      <c r="AI700" s="226">
        <f t="shared" si="187"/>
        <v>4.3467134801618056E-3</v>
      </c>
      <c r="AJ700" s="226">
        <f t="shared" si="187"/>
        <v>4.1986484619156344E-3</v>
      </c>
      <c r="AK700" s="226">
        <f t="shared" si="187"/>
        <v>4.055627081748738E-3</v>
      </c>
      <c r="AL700" s="226">
        <f t="shared" si="187"/>
        <v>3.917477534832561E-3</v>
      </c>
      <c r="AM700" s="226">
        <f t="shared" si="187"/>
        <v>3.7840338686417185E-3</v>
      </c>
      <c r="AN700" s="226">
        <f t="shared" si="187"/>
        <v>3.6551357836030634E-3</v>
      </c>
      <c r="AO700" s="226">
        <f t="shared" si="187"/>
        <v>3.5306284405353825E-3</v>
      </c>
      <c r="AP700" s="226">
        <f t="shared" si="187"/>
        <v>3.4103622746484005E-3</v>
      </c>
      <c r="AQ700" s="226">
        <f t="shared" si="187"/>
        <v>3.2941928158776623E-3</v>
      </c>
      <c r="AR700" s="226">
        <f t="shared" si="187"/>
        <v>3.1819805153394695E-3</v>
      </c>
      <c r="AS700" s="226">
        <f t="shared" si="187"/>
        <v>3.0735905776973957E-3</v>
      </c>
      <c r="AT700" s="226">
        <f t="shared" si="187"/>
        <v>2.9688927992390182E-3</v>
      </c>
      <c r="AU700" s="226">
        <f t="shared" si="187"/>
        <v>2.8677614114683463E-3</v>
      </c>
      <c r="AV700" s="226">
        <f t="shared" si="187"/>
        <v>2.7700749300260683E-3</v>
      </c>
      <c r="AW700" s="226">
        <f t="shared" si="187"/>
        <v>2.6757160087561294E-3</v>
      </c>
      <c r="AX700" s="226">
        <f t="shared" si="187"/>
        <v>2.584571298743336E-3</v>
      </c>
      <c r="AY700" s="226">
        <f t="shared" si="185"/>
        <v>2.4965313121526585E-3</v>
      </c>
      <c r="AZ700" s="226">
        <f t="shared" si="185"/>
        <v>2.4114902907066671E-3</v>
      </c>
      <c r="BA700" s="226">
        <f t="shared" si="185"/>
        <v>2.3293460786431072E-3</v>
      </c>
      <c r="BB700" s="226">
        <f t="shared" si="185"/>
        <v>2.2500000000000081E-3</v>
      </c>
      <c r="BC700" s="226">
        <f t="shared" si="185"/>
        <v>2.1733567400809106E-3</v>
      </c>
      <c r="BD700" s="226">
        <f t="shared" si="185"/>
        <v>2.099324230957825E-3</v>
      </c>
      <c r="BE700" s="226">
        <f t="shared" si="185"/>
        <v>2.0278135408743764E-3</v>
      </c>
    </row>
    <row r="701" spans="5:57" s="10" customFormat="1" x14ac:dyDescent="0.35">
      <c r="E701" s="10" t="s">
        <v>663</v>
      </c>
      <c r="F701" s="10" t="s">
        <v>615</v>
      </c>
      <c r="G701" s="43" t="s">
        <v>616</v>
      </c>
      <c r="I701" s="20"/>
      <c r="J701" s="200"/>
      <c r="K701" s="200"/>
      <c r="L701" s="200"/>
      <c r="M701" s="200"/>
      <c r="N701" s="200">
        <v>9.1999999999999998E-3</v>
      </c>
      <c r="O701" s="226">
        <f t="shared" si="186"/>
        <v>8.8961752331751173E-3</v>
      </c>
      <c r="P701" s="226">
        <f t="shared" si="186"/>
        <v>8.6023841064519942E-3</v>
      </c>
      <c r="Q701" s="226">
        <f t="shared" si="186"/>
        <v>8.3182952645736406E-3</v>
      </c>
      <c r="R701" s="226">
        <f t="shared" si="186"/>
        <v>8.0435882951019437E-3</v>
      </c>
      <c r="S701" s="226">
        <f t="shared" si="186"/>
        <v>7.7779533670373022E-3</v>
      </c>
      <c r="T701" s="226">
        <f t="shared" si="186"/>
        <v>7.5210908813726374E-3</v>
      </c>
      <c r="U701" s="226">
        <f t="shared" si="186"/>
        <v>7.27271113318766E-3</v>
      </c>
      <c r="V701" s="226">
        <f t="shared" si="186"/>
        <v>7.0325339849022827E-3</v>
      </c>
      <c r="W701" s="226">
        <f t="shared" si="186"/>
        <v>6.8002885503206526E-3</v>
      </c>
      <c r="X701" s="226">
        <f t="shared" si="186"/>
        <v>6.5757128891094467E-3</v>
      </c>
      <c r="Y701" s="226">
        <f t="shared" si="186"/>
        <v>6.3585537113658537E-3</v>
      </c>
      <c r="Z701" s="226">
        <f t="shared" si="186"/>
        <v>6.1485660919420254E-3</v>
      </c>
      <c r="AA701" s="226">
        <f t="shared" si="186"/>
        <v>5.945513194203801E-3</v>
      </c>
      <c r="AB701" s="226">
        <f t="shared" si="186"/>
        <v>5.7491660029121453E-3</v>
      </c>
      <c r="AC701" s="226">
        <f t="shared" si="186"/>
        <v>5.5593030659260231E-3</v>
      </c>
      <c r="AD701" s="226">
        <f t="shared" si="186"/>
        <v>5.3757102444353892E-3</v>
      </c>
      <c r="AE701" s="226">
        <f t="shared" si="184"/>
        <v>5.1981804714425943E-3</v>
      </c>
      <c r="AF701" s="226">
        <f t="shared" si="184"/>
        <v>5.0265135182198002E-3</v>
      </c>
      <c r="AG701" s="226">
        <f t="shared" si="184"/>
        <v>4.8605157684790123E-3</v>
      </c>
      <c r="AH701" s="227">
        <v>4.7000000000000002E-3</v>
      </c>
      <c r="AI701" s="226">
        <f t="shared" si="187"/>
        <v>4.5447851734698973E-3</v>
      </c>
      <c r="AJ701" s="226">
        <f t="shared" si="187"/>
        <v>4.3946962282961285E-3</v>
      </c>
      <c r="AK701" s="226">
        <f t="shared" si="187"/>
        <v>4.2495638851626216E-3</v>
      </c>
      <c r="AL701" s="226">
        <f t="shared" si="187"/>
        <v>4.109224455106429E-3</v>
      </c>
      <c r="AM701" s="226">
        <f t="shared" si="187"/>
        <v>3.9735196548994923E-3</v>
      </c>
      <c r="AN701" s="226">
        <f t="shared" si="187"/>
        <v>3.8422964285273263E-3</v>
      </c>
      <c r="AO701" s="226">
        <f t="shared" si="187"/>
        <v>3.7154067745632617E-3</v>
      </c>
      <c r="AP701" s="226">
        <f t="shared" si="187"/>
        <v>3.5927075792435582E-3</v>
      </c>
      <c r="AQ701" s="226">
        <f t="shared" si="187"/>
        <v>3.4740604550551166E-3</v>
      </c>
      <c r="AR701" s="226">
        <f t="shared" si="187"/>
        <v>3.3593315846537396E-3</v>
      </c>
      <c r="AS701" s="226">
        <f t="shared" si="187"/>
        <v>3.2483915699369043E-3</v>
      </c>
      <c r="AT701" s="226">
        <f t="shared" si="187"/>
        <v>3.1411152861008178E-3</v>
      </c>
      <c r="AU701" s="226">
        <f t="shared" si="187"/>
        <v>3.0373817405171598E-3</v>
      </c>
      <c r="AV701" s="226">
        <f t="shared" si="187"/>
        <v>2.9370739362703357E-3</v>
      </c>
      <c r="AW701" s="226">
        <f t="shared" si="187"/>
        <v>2.8400787402013384E-3</v>
      </c>
      <c r="AX701" s="226">
        <f t="shared" si="187"/>
        <v>2.7462867553093842E-3</v>
      </c>
      <c r="AY701" s="226">
        <f t="shared" si="185"/>
        <v>2.6555921973674128E-3</v>
      </c>
      <c r="AZ701" s="226">
        <f t="shared" si="185"/>
        <v>2.5678927756122897E-3</v>
      </c>
      <c r="BA701" s="226">
        <f t="shared" si="185"/>
        <v>2.4830895773751476E-3</v>
      </c>
      <c r="BB701" s="226">
        <f t="shared" si="185"/>
        <v>2.4010869565217452E-3</v>
      </c>
      <c r="BC701" s="226">
        <f t="shared" si="185"/>
        <v>2.3217924255770185E-3</v>
      </c>
      <c r="BD701" s="226">
        <f t="shared" si="185"/>
        <v>2.2451165514121582E-3</v>
      </c>
      <c r="BE701" s="226">
        <f t="shared" si="185"/>
        <v>2.1709728543765623E-3</v>
      </c>
    </row>
    <row r="702" spans="5:57" s="10" customFormat="1" x14ac:dyDescent="0.35">
      <c r="E702" s="10" t="s">
        <v>664</v>
      </c>
      <c r="F702" s="10" t="s">
        <v>615</v>
      </c>
      <c r="G702" s="43" t="s">
        <v>616</v>
      </c>
      <c r="I702" s="20"/>
      <c r="J702" s="200"/>
      <c r="K702" s="200"/>
      <c r="L702" s="200"/>
      <c r="M702" s="200"/>
      <c r="N702" s="200">
        <v>9.4000000000000004E-3</v>
      </c>
      <c r="O702" s="226">
        <f t="shared" si="186"/>
        <v>9.0893645632040016E-3</v>
      </c>
      <c r="P702" s="226">
        <f t="shared" si="186"/>
        <v>8.7889944854073043E-3</v>
      </c>
      <c r="Q702" s="226">
        <f t="shared" si="186"/>
        <v>8.4985505342400573E-3</v>
      </c>
      <c r="R702" s="226">
        <f t="shared" si="186"/>
        <v>8.2177046877148947E-3</v>
      </c>
      <c r="S702" s="226">
        <f t="shared" si="186"/>
        <v>7.9461397637650179E-3</v>
      </c>
      <c r="T702" s="226">
        <f t="shared" si="186"/>
        <v>7.6835490620246775E-3</v>
      </c>
      <c r="U702" s="226">
        <f t="shared" si="186"/>
        <v>7.4296360174474938E-3</v>
      </c>
      <c r="V702" s="226">
        <f t="shared" si="186"/>
        <v>7.1841138653714201E-3</v>
      </c>
      <c r="W702" s="226">
        <f t="shared" si="186"/>
        <v>6.9467053176520749E-3</v>
      </c>
      <c r="X702" s="226">
        <f t="shared" si="186"/>
        <v>6.7171422494986767E-3</v>
      </c>
      <c r="Y702" s="226">
        <f t="shared" si="186"/>
        <v>6.4951653966589017E-3</v>
      </c>
      <c r="Z702" s="226">
        <f t="shared" si="186"/>
        <v>6.2805240626106684E-3</v>
      </c>
      <c r="AA702" s="226">
        <f t="shared" si="186"/>
        <v>6.0729758354301526E-3</v>
      </c>
      <c r="AB702" s="226">
        <f t="shared" si="186"/>
        <v>5.8722863140162809E-3</v>
      </c>
      <c r="AC702" s="226">
        <f t="shared" si="186"/>
        <v>5.6782288433624923E-3</v>
      </c>
      <c r="AD702" s="226">
        <f t="shared" ref="AD702:AG717" si="188">AC702*(1+($AH702/$N702)^(1/($AH$6-$N$6))-1)</f>
        <v>5.490584258576796E-3</v>
      </c>
      <c r="AE702" s="226">
        <f t="shared" si="188"/>
        <v>5.3091406373610255E-3</v>
      </c>
      <c r="AF702" s="226">
        <f t="shared" si="188"/>
        <v>5.1336930606697452E-3</v>
      </c>
      <c r="AG702" s="226">
        <f t="shared" si="188"/>
        <v>4.9640433812784971E-3</v>
      </c>
      <c r="AH702" s="227">
        <v>4.7999999999999996E-3</v>
      </c>
      <c r="AI702" s="226">
        <f t="shared" si="187"/>
        <v>4.6413776492956593E-3</v>
      </c>
      <c r="AJ702" s="226">
        <f t="shared" si="187"/>
        <v>4.4879971840377716E-3</v>
      </c>
      <c r="AK702" s="226">
        <f t="shared" si="187"/>
        <v>4.3396853791864117E-3</v>
      </c>
      <c r="AL702" s="226">
        <f t="shared" si="187"/>
        <v>4.1962747341522857E-3</v>
      </c>
      <c r="AM702" s="226">
        <f t="shared" si="187"/>
        <v>4.0576032836246887E-3</v>
      </c>
      <c r="AN702" s="226">
        <f t="shared" si="187"/>
        <v>3.9235144146508982E-3</v>
      </c>
      <c r="AO702" s="226">
        <f t="shared" si="187"/>
        <v>3.7938566897604215E-3</v>
      </c>
      <c r="AP702" s="226">
        <f t="shared" si="187"/>
        <v>3.6684836759343416E-3</v>
      </c>
      <c r="AQ702" s="226">
        <f t="shared" si="187"/>
        <v>3.547253779226591E-3</v>
      </c>
      <c r="AR702" s="226">
        <f t="shared" si="187"/>
        <v>3.4300300848503877E-3</v>
      </c>
      <c r="AS702" s="226">
        <f t="shared" si="187"/>
        <v>3.3166802025492263E-3</v>
      </c>
      <c r="AT702" s="226">
        <f t="shared" si="187"/>
        <v>3.2070761170777877E-3</v>
      </c>
      <c r="AU702" s="226">
        <f t="shared" si="187"/>
        <v>3.1010940436239074E-3</v>
      </c>
      <c r="AV702" s="226">
        <f t="shared" si="187"/>
        <v>2.9986142880083135E-3</v>
      </c>
      <c r="AW702" s="226">
        <f t="shared" si="187"/>
        <v>2.8995211115042511E-3</v>
      </c>
      <c r="AX702" s="226">
        <f t="shared" ref="AX702:BE717" si="189">AW702*(1+($AH702/$N702)^(1/($AH$6-$N$6))-1)</f>
        <v>2.8037026001243208E-3</v>
      </c>
      <c r="AY702" s="226">
        <f t="shared" si="189"/>
        <v>2.7110505382269062E-3</v>
      </c>
      <c r="AZ702" s="226">
        <f t="shared" si="189"/>
        <v>2.6214602862994442E-3</v>
      </c>
      <c r="BA702" s="226">
        <f t="shared" si="189"/>
        <v>2.5348306627805089E-3</v>
      </c>
      <c r="BB702" s="226">
        <f t="shared" si="189"/>
        <v>2.4510638297872414E-3</v>
      </c>
      <c r="BC702" s="226">
        <f t="shared" si="189"/>
        <v>2.3700651826190676E-3</v>
      </c>
      <c r="BD702" s="226">
        <f t="shared" si="189"/>
        <v>2.2917432429129117E-3</v>
      </c>
      <c r="BE702" s="226">
        <f t="shared" si="189"/>
        <v>2.216009555329238E-3</v>
      </c>
    </row>
    <row r="703" spans="5:57" s="10" customFormat="1" x14ac:dyDescent="0.35">
      <c r="E703" s="10" t="s">
        <v>665</v>
      </c>
      <c r="F703" s="10" t="s">
        <v>615</v>
      </c>
      <c r="G703" s="43" t="s">
        <v>616</v>
      </c>
      <c r="I703" s="20"/>
      <c r="J703" s="200"/>
      <c r="K703" s="200"/>
      <c r="L703" s="200"/>
      <c r="M703" s="200"/>
      <c r="N703" s="200">
        <v>9.5999999999999992E-3</v>
      </c>
      <c r="O703" s="226">
        <f t="shared" ref="O703:AD718" si="190">N703*(1+($AH703/$N703)^(1/($AH$6-$N$6))-1)</f>
        <v>9.2825538083655991E-3</v>
      </c>
      <c r="P703" s="226">
        <f t="shared" si="190"/>
        <v>8.9756047088752813E-3</v>
      </c>
      <c r="Q703" s="226">
        <f t="shared" si="190"/>
        <v>8.6788055909119231E-3</v>
      </c>
      <c r="R703" s="226">
        <f t="shared" si="190"/>
        <v>8.3918208218733466E-3</v>
      </c>
      <c r="S703" s="226">
        <f t="shared" si="190"/>
        <v>8.1143258676252255E-3</v>
      </c>
      <c r="T703" s="226">
        <f t="shared" si="190"/>
        <v>7.846006925504587E-3</v>
      </c>
      <c r="U703" s="226">
        <f t="shared" si="190"/>
        <v>7.5865605694589036E-3</v>
      </c>
      <c r="V703" s="226">
        <f t="shared" si="190"/>
        <v>7.3356934069194833E-3</v>
      </c>
      <c r="W703" s="226">
        <f t="shared" si="190"/>
        <v>7.0931217470211324E-3</v>
      </c>
      <c r="X703" s="226">
        <f t="shared" si="190"/>
        <v>6.8585712797929032E-3</v>
      </c>
      <c r="Y703" s="226">
        <f t="shared" si="190"/>
        <v>6.6317767659571395E-3</v>
      </c>
      <c r="Z703" s="226">
        <f t="shared" si="190"/>
        <v>6.4124817369860358E-3</v>
      </c>
      <c r="AA703" s="226">
        <f t="shared" si="190"/>
        <v>6.2004382050765191E-3</v>
      </c>
      <c r="AB703" s="226">
        <f t="shared" si="190"/>
        <v>5.99540638271548E-3</v>
      </c>
      <c r="AC703" s="226">
        <f t="shared" si="190"/>
        <v>5.7971544115182298E-3</v>
      </c>
      <c r="AD703" s="226">
        <f t="shared" si="190"/>
        <v>5.6054581000335394E-3</v>
      </c>
      <c r="AE703" s="226">
        <f t="shared" si="188"/>
        <v>5.4201006702187639E-3</v>
      </c>
      <c r="AF703" s="226">
        <f t="shared" si="188"/>
        <v>5.2408725122983467E-3</v>
      </c>
      <c r="AG703" s="226">
        <f t="shared" si="188"/>
        <v>5.0675709477285011E-3</v>
      </c>
      <c r="AH703" s="227">
        <v>4.8999999999999998E-3</v>
      </c>
      <c r="AI703" s="226">
        <f t="shared" ref="AI703:AX718" si="191">AH703*(1+($AH703/$N703)^(1/($AH$6-$N$6))-1)</f>
        <v>4.7379701730199415E-3</v>
      </c>
      <c r="AJ703" s="226">
        <f t="shared" si="191"/>
        <v>4.5812982368217585E-3</v>
      </c>
      <c r="AK703" s="226">
        <f t="shared" si="191"/>
        <v>4.4298070203612943E-3</v>
      </c>
      <c r="AL703" s="226">
        <f t="shared" si="191"/>
        <v>4.2833252111645209E-3</v>
      </c>
      <c r="AM703" s="226">
        <f t="shared" si="191"/>
        <v>4.1416871616003761E-3</v>
      </c>
      <c r="AN703" s="226">
        <f t="shared" si="191"/>
        <v>4.0047327015596337E-3</v>
      </c>
      <c r="AO703" s="226">
        <f t="shared" si="191"/>
        <v>3.8723069573279828E-3</v>
      </c>
      <c r="AP703" s="226">
        <f t="shared" si="191"/>
        <v>3.744260176448487E-3</v>
      </c>
      <c r="AQ703" s="226">
        <f t="shared" si="191"/>
        <v>3.6204475583753704E-3</v>
      </c>
      <c r="AR703" s="226">
        <f t="shared" si="191"/>
        <v>3.5007290907276283E-3</v>
      </c>
      <c r="AS703" s="226">
        <f t="shared" si="191"/>
        <v>3.3849693909572907E-3</v>
      </c>
      <c r="AT703" s="226">
        <f t="shared" si="191"/>
        <v>3.2730375532532899E-3</v>
      </c>
      <c r="AU703" s="226">
        <f t="shared" si="191"/>
        <v>3.1648070005078073E-3</v>
      </c>
      <c r="AV703" s="226">
        <f t="shared" si="191"/>
        <v>3.0601553411776935E-3</v>
      </c>
      <c r="AW703" s="226">
        <f t="shared" si="191"/>
        <v>2.9589642308790968E-3</v>
      </c>
      <c r="AX703" s="226">
        <f t="shared" si="191"/>
        <v>2.8611192385587861E-3</v>
      </c>
      <c r="AY703" s="226">
        <f t="shared" si="189"/>
        <v>2.7665097170908276E-3</v>
      </c>
      <c r="AZ703" s="226">
        <f t="shared" si="189"/>
        <v>2.6750286781522812E-3</v>
      </c>
      <c r="BA703" s="226">
        <f t="shared" si="189"/>
        <v>2.5865726712364224E-3</v>
      </c>
      <c r="BB703" s="226">
        <f t="shared" si="189"/>
        <v>2.5010416666666705E-3</v>
      </c>
      <c r="BC703" s="226">
        <f t="shared" si="189"/>
        <v>2.418338942478932E-3</v>
      </c>
      <c r="BD703" s="226">
        <f t="shared" si="189"/>
        <v>2.3383709750444425E-3</v>
      </c>
      <c r="BE703" s="226">
        <f t="shared" si="189"/>
        <v>2.2610473333094135E-3</v>
      </c>
    </row>
    <row r="704" spans="5:57" s="10" customFormat="1" x14ac:dyDescent="0.35">
      <c r="E704" s="10" t="s">
        <v>666</v>
      </c>
      <c r="F704" s="10" t="s">
        <v>615</v>
      </c>
      <c r="G704" s="43" t="s">
        <v>616</v>
      </c>
      <c r="I704" s="20"/>
      <c r="J704" s="200"/>
      <c r="K704" s="200"/>
      <c r="L704" s="200"/>
      <c r="M704" s="200"/>
      <c r="N704" s="200">
        <v>9.7999999999999997E-3</v>
      </c>
      <c r="O704" s="226">
        <f t="shared" si="190"/>
        <v>9.4757429737883404E-3</v>
      </c>
      <c r="P704" s="226">
        <f t="shared" si="190"/>
        <v>9.1622147862550109E-3</v>
      </c>
      <c r="Q704" s="226">
        <f t="shared" si="190"/>
        <v>8.8590604474689354E-3</v>
      </c>
      <c r="R704" s="226">
        <f t="shared" si="190"/>
        <v>8.5659367132112207E-3</v>
      </c>
      <c r="S704" s="226">
        <f t="shared" si="190"/>
        <v>8.2825116963394715E-3</v>
      </c>
      <c r="T704" s="226">
        <f t="shared" si="190"/>
        <v>8.0084644910110702E-3</v>
      </c>
      <c r="U704" s="226">
        <f t="shared" si="190"/>
        <v>7.7434848093399554E-3</v>
      </c>
      <c r="V704" s="226">
        <f t="shared" si="190"/>
        <v>7.4872726300754932E-3</v>
      </c>
      <c r="W704" s="226">
        <f t="shared" si="190"/>
        <v>7.2395378589056739E-3</v>
      </c>
      <c r="X704" s="226">
        <f t="shared" si="190"/>
        <v>7.0000000000000132E-3</v>
      </c>
      <c r="Y704" s="226">
        <f t="shared" si="190"/>
        <v>6.7683878384202558E-3</v>
      </c>
      <c r="Z704" s="226">
        <f t="shared" si="190"/>
        <v>6.5444391330393053E-3</v>
      </c>
      <c r="AA704" s="226">
        <f t="shared" si="190"/>
        <v>6.3279003196206789E-3</v>
      </c>
      <c r="AB704" s="226">
        <f t="shared" si="190"/>
        <v>6.1185262237223106E-3</v>
      </c>
      <c r="AC704" s="226">
        <f t="shared" si="190"/>
        <v>5.9160797830996323E-3</v>
      </c>
      <c r="AD704" s="226">
        <f t="shared" si="190"/>
        <v>5.7203317792936317E-3</v>
      </c>
      <c r="AE704" s="226">
        <f t="shared" si="188"/>
        <v>5.5310605780999784E-3</v>
      </c>
      <c r="AF704" s="226">
        <f t="shared" si="188"/>
        <v>5.3480518786253621E-3</v>
      </c>
      <c r="AG704" s="226">
        <f t="shared" si="188"/>
        <v>5.1710984706469197E-3</v>
      </c>
      <c r="AH704" s="227">
        <v>5.0000000000000001E-3</v>
      </c>
      <c r="AI704" s="226">
        <f t="shared" si="191"/>
        <v>4.834562741728745E-3</v>
      </c>
      <c r="AJ704" s="226">
        <f t="shared" si="191"/>
        <v>4.6745993807423523E-3</v>
      </c>
      <c r="AK704" s="226">
        <f t="shared" si="191"/>
        <v>4.5199287997290481E-3</v>
      </c>
      <c r="AL704" s="226">
        <f t="shared" si="191"/>
        <v>4.3703758740873564E-3</v>
      </c>
      <c r="AM704" s="226">
        <f t="shared" si="191"/>
        <v>4.2257712736425866E-3</v>
      </c>
      <c r="AN704" s="226">
        <f t="shared" si="191"/>
        <v>4.085951270924015E-3</v>
      </c>
      <c r="AO704" s="226">
        <f t="shared" si="191"/>
        <v>3.950757555785691E-3</v>
      </c>
      <c r="AP704" s="226">
        <f t="shared" si="191"/>
        <v>3.8200370561609653E-3</v>
      </c>
      <c r="AQ704" s="226">
        <f t="shared" si="191"/>
        <v>3.6936417647477921E-3</v>
      </c>
      <c r="AR704" s="226">
        <f t="shared" si="191"/>
        <v>3.5714285714285774E-3</v>
      </c>
      <c r="AS704" s="226">
        <f t="shared" si="191"/>
        <v>3.4532591012348237E-3</v>
      </c>
      <c r="AT704" s="226">
        <f t="shared" si="191"/>
        <v>3.3389995576731143E-3</v>
      </c>
      <c r="AU704" s="226">
        <f t="shared" si="191"/>
        <v>3.2285205712350397E-3</v>
      </c>
      <c r="AV704" s="226">
        <f t="shared" si="191"/>
        <v>3.1216970529195456E-3</v>
      </c>
      <c r="AW704" s="226">
        <f t="shared" si="191"/>
        <v>3.0184080526018523E-3</v>
      </c>
      <c r="AX704" s="226">
        <f t="shared" si="191"/>
        <v>2.9185366220885866E-3</v>
      </c>
      <c r="AY704" s="226">
        <f t="shared" si="189"/>
        <v>2.8219696827040696E-3</v>
      </c>
      <c r="AZ704" s="226">
        <f t="shared" si="189"/>
        <v>2.7285978972578367E-3</v>
      </c>
      <c r="BA704" s="226">
        <f t="shared" si="189"/>
        <v>2.6383155462484272E-3</v>
      </c>
      <c r="BB704" s="226">
        <f t="shared" si="189"/>
        <v>2.5510204081632738E-3</v>
      </c>
      <c r="BC704" s="226">
        <f t="shared" si="189"/>
        <v>2.4666136437391638E-3</v>
      </c>
      <c r="BD704" s="226">
        <f t="shared" si="189"/>
        <v>2.3849996840522285E-3</v>
      </c>
      <c r="BE704" s="226">
        <f t="shared" si="189"/>
        <v>2.3060861223107468E-3</v>
      </c>
    </row>
    <row r="705" spans="2:57" s="10" customFormat="1" x14ac:dyDescent="0.35">
      <c r="E705" s="10" t="s">
        <v>667</v>
      </c>
      <c r="F705" s="10" t="s">
        <v>615</v>
      </c>
      <c r="G705" s="43" t="s">
        <v>616</v>
      </c>
      <c r="I705" s="20"/>
      <c r="J705" s="200"/>
      <c r="K705" s="200"/>
      <c r="L705" s="200"/>
      <c r="M705" s="200"/>
      <c r="N705" s="200">
        <v>1.01E-2</v>
      </c>
      <c r="O705" s="226">
        <f t="shared" si="190"/>
        <v>9.7702454047650256E-3</v>
      </c>
      <c r="P705" s="226">
        <f t="shared" si="190"/>
        <v>9.4512569573596134E-3</v>
      </c>
      <c r="Q705" s="226">
        <f t="shared" si="190"/>
        <v>9.1426831541481426E-3</v>
      </c>
      <c r="R705" s="226">
        <f t="shared" si="190"/>
        <v>8.8441839677265831E-3</v>
      </c>
      <c r="S705" s="226">
        <f t="shared" si="190"/>
        <v>8.5554304722353629E-3</v>
      </c>
      <c r="T705" s="226">
        <f t="shared" si="190"/>
        <v>8.2761044809053688E-3</v>
      </c>
      <c r="U705" s="226">
        <f t="shared" si="190"/>
        <v>8.0058981954377138E-3</v>
      </c>
      <c r="V705" s="226">
        <f t="shared" si="190"/>
        <v>7.7445138668308846E-3</v>
      </c>
      <c r="W705" s="226">
        <f t="shared" si="190"/>
        <v>7.4916634672815311E-3</v>
      </c>
      <c r="X705" s="226">
        <f t="shared" si="190"/>
        <v>7.2470683727973656E-3</v>
      </c>
      <c r="Y705" s="226">
        <f t="shared" si="190"/>
        <v>7.0104590561724167E-3</v>
      </c>
      <c r="Z705" s="226">
        <f t="shared" si="190"/>
        <v>6.7815747899863275E-3</v>
      </c>
      <c r="AA705" s="226">
        <f t="shared" si="190"/>
        <v>6.5601633593004218E-3</v>
      </c>
      <c r="AB705" s="226">
        <f t="shared" si="190"/>
        <v>6.3459807837339443E-3</v>
      </c>
      <c r="AC705" s="226">
        <f t="shared" si="190"/>
        <v>6.13879104861423E-3</v>
      </c>
      <c r="AD705" s="226">
        <f t="shared" si="190"/>
        <v>5.9383658449045397E-3</v>
      </c>
      <c r="AE705" s="226">
        <f t="shared" si="188"/>
        <v>5.7444843176229854E-3</v>
      </c>
      <c r="AF705" s="226">
        <f t="shared" si="188"/>
        <v>5.5569328224753193E-3</v>
      </c>
      <c r="AG705" s="226">
        <f t="shared" si="188"/>
        <v>5.3755046904334089E-3</v>
      </c>
      <c r="AH705" s="227">
        <v>5.1999999999999998E-3</v>
      </c>
      <c r="AI705" s="226">
        <f t="shared" si="191"/>
        <v>5.0302253569087258E-3</v>
      </c>
      <c r="AJ705" s="226">
        <f t="shared" si="191"/>
        <v>4.8659936810168305E-3</v>
      </c>
      <c r="AK705" s="226">
        <f t="shared" si="191"/>
        <v>4.707124000155479E-3</v>
      </c>
      <c r="AL705" s="226">
        <f t="shared" si="191"/>
        <v>4.5534412507107162E-3</v>
      </c>
      <c r="AM705" s="226">
        <f t="shared" si="191"/>
        <v>4.4047760847152357E-3</v>
      </c>
      <c r="AN705" s="226">
        <f t="shared" si="191"/>
        <v>4.2609646832384067E-3</v>
      </c>
      <c r="AO705" s="226">
        <f t="shared" si="191"/>
        <v>4.1218485758689211E-3</v>
      </c>
      <c r="AP705" s="226">
        <f t="shared" si="191"/>
        <v>3.9872744660911473E-3</v>
      </c>
      <c r="AQ705" s="226">
        <f t="shared" si="191"/>
        <v>3.8570940623627674E-3</v>
      </c>
      <c r="AR705" s="226">
        <f t="shared" si="191"/>
        <v>3.7311639147075536E-3</v>
      </c>
      <c r="AS705" s="226">
        <f t="shared" si="191"/>
        <v>3.6093452566432235E-3</v>
      </c>
      <c r="AT705" s="226">
        <f t="shared" si="191"/>
        <v>3.4915038522701876E-3</v>
      </c>
      <c r="AU705" s="226">
        <f t="shared" si="191"/>
        <v>3.3775098483526914E-3</v>
      </c>
      <c r="AV705" s="226">
        <f t="shared" si="191"/>
        <v>3.2672376312293566E-3</v>
      </c>
      <c r="AW705" s="226">
        <f t="shared" si="191"/>
        <v>3.1605656883954445E-3</v>
      </c>
      <c r="AX705" s="226">
        <f t="shared" si="191"/>
        <v>3.0573764746043169E-3</v>
      </c>
      <c r="AY705" s="226">
        <f t="shared" si="189"/>
        <v>2.9575562823405464E-3</v>
      </c>
      <c r="AZ705" s="226">
        <f t="shared" si="189"/>
        <v>2.860995116521946E-3</v>
      </c>
      <c r="BA705" s="226">
        <f t="shared" si="189"/>
        <v>2.7675865732924476E-3</v>
      </c>
      <c r="BB705" s="226">
        <f t="shared" si="189"/>
        <v>2.6772277227722695E-3</v>
      </c>
      <c r="BC705" s="226">
        <f t="shared" si="189"/>
        <v>2.5898189956361684E-3</v>
      </c>
      <c r="BD705" s="226">
        <f t="shared" si="189"/>
        <v>2.5052640733947969E-3</v>
      </c>
      <c r="BE705" s="226">
        <f t="shared" si="189"/>
        <v>2.4234697822582596E-3</v>
      </c>
    </row>
    <row r="706" spans="2:57" s="10" customFormat="1" x14ac:dyDescent="0.35">
      <c r="E706" s="10" t="s">
        <v>668</v>
      </c>
      <c r="F706" s="10" t="s">
        <v>615</v>
      </c>
      <c r="G706" s="43" t="s">
        <v>616</v>
      </c>
      <c r="I706" s="20"/>
      <c r="J706" s="200"/>
      <c r="K706" s="200"/>
      <c r="L706" s="200"/>
      <c r="M706" s="200"/>
      <c r="N706" s="200">
        <v>1.03E-2</v>
      </c>
      <c r="O706" s="226">
        <f t="shared" si="190"/>
        <v>9.9727527398093384E-3</v>
      </c>
      <c r="P706" s="226">
        <f t="shared" si="190"/>
        <v>9.6559026416868608E-3</v>
      </c>
      <c r="Q706" s="226">
        <f t="shared" si="190"/>
        <v>9.3491193713800842E-3</v>
      </c>
      <c r="R706" s="226">
        <f t="shared" si="190"/>
        <v>9.0520830898772123E-3</v>
      </c>
      <c r="S706" s="226">
        <f t="shared" si="190"/>
        <v>8.7644841199567714E-3</v>
      </c>
      <c r="T706" s="226">
        <f t="shared" si="190"/>
        <v>8.4860226233314882E-3</v>
      </c>
      <c r="U706" s="226">
        <f t="shared" si="190"/>
        <v>8.2164082880498181E-3</v>
      </c>
      <c r="V706" s="226">
        <f t="shared" si="190"/>
        <v>7.9553600258292206E-3</v>
      </c>
      <c r="W706" s="226">
        <f t="shared" si="190"/>
        <v>7.7026056790056351E-3</v>
      </c>
      <c r="X706" s="226">
        <f t="shared" si="190"/>
        <v>7.4578817367936326E-3</v>
      </c>
      <c r="Y706" s="226">
        <f t="shared" si="190"/>
        <v>7.2209330605614297E-3</v>
      </c>
      <c r="Z706" s="226">
        <f t="shared" si="190"/>
        <v>6.9915126178343523E-3</v>
      </c>
      <c r="AA706" s="226">
        <f t="shared" si="190"/>
        <v>6.7693812247494262E-3</v>
      </c>
      <c r="AB706" s="226">
        <f t="shared" si="190"/>
        <v>6.5543072966925955E-3</v>
      </c>
      <c r="AC706" s="226">
        <f t="shared" si="190"/>
        <v>6.3460666068585843E-3</v>
      </c>
      <c r="AD706" s="226">
        <f t="shared" si="190"/>
        <v>6.1444420524816986E-3</v>
      </c>
      <c r="AE706" s="226">
        <f t="shared" si="188"/>
        <v>5.949223428493842E-3</v>
      </c>
      <c r="AF706" s="226">
        <f t="shared" si="188"/>
        <v>5.7602072083737729E-3</v>
      </c>
      <c r="AG706" s="226">
        <f t="shared" si="188"/>
        <v>5.5771963319591299E-3</v>
      </c>
      <c r="AH706" s="227">
        <v>5.4000000000000003E-3</v>
      </c>
      <c r="AI706" s="226">
        <f t="shared" si="191"/>
        <v>5.2284334752398477E-3</v>
      </c>
      <c r="AJ706" s="226">
        <f t="shared" si="191"/>
        <v>5.0623178898164126E-3</v>
      </c>
      <c r="AK706" s="226">
        <f t="shared" si="191"/>
        <v>4.9014800587817917E-3</v>
      </c>
      <c r="AL706" s="226">
        <f t="shared" si="191"/>
        <v>4.7457522995472765E-3</v>
      </c>
      <c r="AM706" s="226">
        <f t="shared" si="191"/>
        <v>4.5949722570647151E-3</v>
      </c>
      <c r="AN706" s="226">
        <f t="shared" si="191"/>
        <v>4.4489827345621392E-3</v>
      </c>
      <c r="AO706" s="226">
        <f t="shared" si="191"/>
        <v>4.3076315296571854E-3</v>
      </c>
      <c r="AP706" s="226">
        <f t="shared" si="191"/>
        <v>4.170771275677455E-3</v>
      </c>
      <c r="AQ706" s="226">
        <f t="shared" si="191"/>
        <v>4.0382592880223714E-3</v>
      </c>
      <c r="AR706" s="226">
        <f t="shared" si="191"/>
        <v>3.9099574154063703E-3</v>
      </c>
      <c r="AS706" s="226">
        <f t="shared" si="191"/>
        <v>3.7857318958283218E-3</v>
      </c>
      <c r="AT706" s="226">
        <f t="shared" si="191"/>
        <v>3.6654532171170383E-3</v>
      </c>
      <c r="AU706" s="226">
        <f t="shared" si="191"/>
        <v>3.5489959819074656E-3</v>
      </c>
      <c r="AV706" s="226">
        <f t="shared" si="191"/>
        <v>3.436238776906797E-3</v>
      </c>
      <c r="AW706" s="226">
        <f t="shared" si="191"/>
        <v>3.3270640463142083E-3</v>
      </c>
      <c r="AX706" s="226">
        <f t="shared" si="191"/>
        <v>3.2213579692622488E-3</v>
      </c>
      <c r="AY706" s="226">
        <f t="shared" si="189"/>
        <v>3.1190103411521102E-3</v>
      </c>
      <c r="AZ706" s="226">
        <f t="shared" si="189"/>
        <v>3.0199144587590644E-3</v>
      </c>
      <c r="BA706" s="226">
        <f t="shared" si="189"/>
        <v>2.923967008988281E-3</v>
      </c>
      <c r="BB706" s="226">
        <f t="shared" si="189"/>
        <v>2.8310679611650478E-3</v>
      </c>
      <c r="BC706" s="226">
        <f t="shared" si="189"/>
        <v>2.7411204627471033E-3</v>
      </c>
      <c r="BD706" s="226">
        <f t="shared" si="189"/>
        <v>2.6540307383503508E-3</v>
      </c>
      <c r="BE706" s="226">
        <f t="shared" si="189"/>
        <v>2.5697079919826857E-3</v>
      </c>
    </row>
    <row r="707" spans="2:57" s="10" customFormat="1" x14ac:dyDescent="0.35">
      <c r="E707" s="10" t="s">
        <v>669</v>
      </c>
      <c r="F707" s="10" t="s">
        <v>615</v>
      </c>
      <c r="G707" s="43" t="s">
        <v>616</v>
      </c>
      <c r="I707" s="20"/>
      <c r="J707" s="200"/>
      <c r="K707" s="200"/>
      <c r="L707" s="200"/>
      <c r="M707" s="200"/>
      <c r="N707" s="200">
        <v>1.06E-2</v>
      </c>
      <c r="O707" s="226">
        <f t="shared" si="190"/>
        <v>1.0276241802843547E-2</v>
      </c>
      <c r="P707" s="226">
        <f t="shared" si="190"/>
        <v>9.9623722255197354E-3</v>
      </c>
      <c r="Q707" s="226">
        <f t="shared" si="190"/>
        <v>9.6580892376767358E-3</v>
      </c>
      <c r="R707" s="226">
        <f t="shared" si="190"/>
        <v>9.3631000339440603E-3</v>
      </c>
      <c r="S707" s="226">
        <f t="shared" si="190"/>
        <v>9.0771207521718657E-3</v>
      </c>
      <c r="T707" s="226">
        <f t="shared" si="190"/>
        <v>8.7998762002761497E-3</v>
      </c>
      <c r="U707" s="226">
        <f t="shared" si="190"/>
        <v>8.5310995914269615E-3</v>
      </c>
      <c r="V707" s="226">
        <f t="shared" si="190"/>
        <v>8.2705322873248346E-3</v>
      </c>
      <c r="W707" s="226">
        <f t="shared" si="190"/>
        <v>8.01792354931837E-3</v>
      </c>
      <c r="X707" s="226">
        <f t="shared" si="190"/>
        <v>7.7730302971235031E-3</v>
      </c>
      <c r="Y707" s="226">
        <f t="shared" si="190"/>
        <v>7.5356168749122583E-3</v>
      </c>
      <c r="Z707" s="226">
        <f t="shared" si="190"/>
        <v>7.3054548245459049E-3</v>
      </c>
      <c r="AA707" s="226">
        <f t="shared" si="190"/>
        <v>7.0823226657343108E-3</v>
      </c>
      <c r="AB707" s="226">
        <f t="shared" si="190"/>
        <v>6.8660056829099305E-3</v>
      </c>
      <c r="AC707" s="226">
        <f t="shared" si="190"/>
        <v>6.6562957186113566E-3</v>
      </c>
      <c r="AD707" s="226">
        <f t="shared" si="190"/>
        <v>6.4529909731775989E-3</v>
      </c>
      <c r="AE707" s="226">
        <f t="shared" si="188"/>
        <v>6.2558958105603489E-3</v>
      </c>
      <c r="AF707" s="226">
        <f t="shared" si="188"/>
        <v>6.0648205700673651E-3</v>
      </c>
      <c r="AG707" s="226">
        <f t="shared" si="188"/>
        <v>5.8795813838558196E-3</v>
      </c>
      <c r="AH707" s="227">
        <v>5.7000000000000002E-3</v>
      </c>
      <c r="AI707" s="226">
        <f t="shared" si="191"/>
        <v>5.5259036109630393E-3</v>
      </c>
      <c r="AJ707" s="226">
        <f t="shared" si="191"/>
        <v>5.3571246873077814E-3</v>
      </c>
      <c r="AK707" s="226">
        <f t="shared" si="191"/>
        <v>5.1935008164865461E-3</v>
      </c>
      <c r="AL707" s="226">
        <f t="shared" si="191"/>
        <v>5.0348745465548239E-3</v>
      </c>
      <c r="AM707" s="226">
        <f t="shared" si="191"/>
        <v>4.8810932346584554E-3</v>
      </c>
      <c r="AN707" s="226">
        <f t="shared" si="191"/>
        <v>4.732008900148495E-3</v>
      </c>
      <c r="AO707" s="226">
        <f t="shared" si="191"/>
        <v>4.5874780821824222E-3</v>
      </c>
      <c r="AP707" s="226">
        <f t="shared" si="191"/>
        <v>4.4473617016746745E-3</v>
      </c>
      <c r="AQ707" s="226">
        <f t="shared" si="191"/>
        <v>4.3115249274636508E-3</v>
      </c>
      <c r="AR707" s="226">
        <f t="shared" si="191"/>
        <v>4.1798370465664109E-3</v>
      </c>
      <c r="AS707" s="226">
        <f t="shared" si="191"/>
        <v>4.0521713383962132E-3</v>
      </c>
      <c r="AT707" s="226">
        <f t="shared" si="191"/>
        <v>3.9284049528218535E-3</v>
      </c>
      <c r="AU707" s="226">
        <f t="shared" si="191"/>
        <v>3.808418791951468E-3</v>
      </c>
      <c r="AV707" s="226">
        <f t="shared" si="191"/>
        <v>3.6920973955270374E-3</v>
      </c>
      <c r="AW707" s="226">
        <f t="shared" si="191"/>
        <v>3.5793288298193136E-3</v>
      </c>
      <c r="AX707" s="226">
        <f t="shared" si="191"/>
        <v>3.4700045799162553E-3</v>
      </c>
      <c r="AY707" s="226">
        <f t="shared" si="189"/>
        <v>3.364019445301319E-3</v>
      </c>
      <c r="AZ707" s="226">
        <f t="shared" si="189"/>
        <v>3.2612714386211295E-3</v>
      </c>
      <c r="BA707" s="226">
        <f t="shared" si="189"/>
        <v>3.1616616875451095E-3</v>
      </c>
      <c r="BB707" s="226">
        <f t="shared" si="189"/>
        <v>3.0650943396226342E-3</v>
      </c>
      <c r="BC707" s="226">
        <f t="shared" si="189"/>
        <v>2.9714764700461554E-3</v>
      </c>
      <c r="BD707" s="226">
        <f t="shared" si="189"/>
        <v>2.8807179922315362E-3</v>
      </c>
      <c r="BE707" s="226">
        <f t="shared" si="189"/>
        <v>2.7927315711295513E-3</v>
      </c>
    </row>
    <row r="708" spans="2:57" s="10" customFormat="1" x14ac:dyDescent="0.35">
      <c r="E708" s="10" t="s">
        <v>670</v>
      </c>
      <c r="F708" s="10" t="s">
        <v>615</v>
      </c>
      <c r="G708" s="43" t="s">
        <v>616</v>
      </c>
      <c r="I708" s="20"/>
      <c r="J708" s="200"/>
      <c r="K708" s="200"/>
      <c r="L708" s="200"/>
      <c r="M708" s="200"/>
      <c r="N708" s="200">
        <v>1.09E-2</v>
      </c>
      <c r="O708" s="226">
        <f t="shared" si="190"/>
        <v>1.057055459535574E-2</v>
      </c>
      <c r="P708" s="226">
        <f t="shared" si="190"/>
        <v>1.0251066463614344E-2</v>
      </c>
      <c r="Q708" s="226">
        <f t="shared" si="190"/>
        <v>9.9412346526840112E-3</v>
      </c>
      <c r="R708" s="226">
        <f t="shared" si="190"/>
        <v>9.6407673065540093E-3</v>
      </c>
      <c r="S708" s="226">
        <f t="shared" si="190"/>
        <v>9.3493813903715479E-3</v>
      </c>
      <c r="T708" s="226">
        <f t="shared" si="190"/>
        <v>9.0668024238280184E-3</v>
      </c>
      <c r="U708" s="226">
        <f t="shared" si="190"/>
        <v>8.7927642226034702E-3</v>
      </c>
      <c r="V708" s="226">
        <f t="shared" si="190"/>
        <v>8.5270086476257473E-3</v>
      </c>
      <c r="W708" s="226">
        <f t="shared" si="190"/>
        <v>8.2692853619081175E-3</v>
      </c>
      <c r="X708" s="226">
        <f t="shared" si="190"/>
        <v>8.0193515947363132E-3</v>
      </c>
      <c r="Y708" s="226">
        <f t="shared" si="190"/>
        <v>7.776971912982873E-3</v>
      </c>
      <c r="Z708" s="226">
        <f t="shared" si="190"/>
        <v>7.5419179993333604E-3</v>
      </c>
      <c r="AA708" s="226">
        <f t="shared" si="190"/>
        <v>7.313968437215543E-3</v>
      </c>
      <c r="AB708" s="226">
        <f t="shared" si="190"/>
        <v>7.0929085022289539E-3</v>
      </c>
      <c r="AC708" s="226">
        <f t="shared" si="190"/>
        <v>6.8785299598783552E-3</v>
      </c>
      <c r="AD708" s="226">
        <f t="shared" si="190"/>
        <v>6.6706308694205766E-3</v>
      </c>
      <c r="AE708" s="226">
        <f t="shared" si="188"/>
        <v>6.4690153936399573E-3</v>
      </c>
      <c r="AF708" s="226">
        <f t="shared" si="188"/>
        <v>6.2734936143731997E-3</v>
      </c>
      <c r="AG708" s="226">
        <f t="shared" si="188"/>
        <v>6.0838813536098638E-3</v>
      </c>
      <c r="AH708" s="227">
        <v>5.8999999999999999E-3</v>
      </c>
      <c r="AI708" s="226">
        <f t="shared" si="191"/>
        <v>5.7216763406054008E-3</v>
      </c>
      <c r="AJ708" s="226">
        <f t="shared" si="191"/>
        <v>5.5487423977362048E-3</v>
      </c>
      <c r="AK708" s="226">
        <f t="shared" si="191"/>
        <v>5.3810352707188685E-3</v>
      </c>
      <c r="AL708" s="226">
        <f t="shared" si="191"/>
        <v>5.2183969824466658E-3</v>
      </c>
      <c r="AM708" s="226">
        <f t="shared" si="191"/>
        <v>5.0606743305680853E-3</v>
      </c>
      <c r="AN708" s="226">
        <f t="shared" si="191"/>
        <v>4.9077187431729643E-3</v>
      </c>
      <c r="AO708" s="226">
        <f t="shared" si="191"/>
        <v>4.7593861388404105E-3</v>
      </c>
      <c r="AP708" s="226">
        <f t="shared" si="191"/>
        <v>4.6155367909166897E-3</v>
      </c>
      <c r="AQ708" s="226">
        <f t="shared" si="191"/>
        <v>4.4760351958952199E-3</v>
      </c>
      <c r="AR708" s="226">
        <f t="shared" si="191"/>
        <v>4.3407499457747013E-3</v>
      </c>
      <c r="AS708" s="226">
        <f t="shared" si="191"/>
        <v>4.209553604275133E-3</v>
      </c>
      <c r="AT708" s="226">
        <f t="shared" si="191"/>
        <v>4.0823225867951214E-3</v>
      </c>
      <c r="AU708" s="226">
        <f t="shared" si="191"/>
        <v>3.9589370439974039E-3</v>
      </c>
      <c r="AV708" s="226">
        <f t="shared" si="191"/>
        <v>3.83928074891292E-3</v>
      </c>
      <c r="AW708" s="226">
        <f t="shared" si="191"/>
        <v>3.723240987457091E-3</v>
      </c>
      <c r="AX708" s="226">
        <f t="shared" si="191"/>
        <v>3.6107084522551741E-3</v>
      </c>
      <c r="AY708" s="226">
        <f t="shared" si="189"/>
        <v>3.5015771396766735E-3</v>
      </c>
      <c r="AZ708" s="226">
        <f t="shared" si="189"/>
        <v>3.395744249981823E-3</v>
      </c>
      <c r="BA708" s="226">
        <f t="shared" si="189"/>
        <v>3.2931100904860723E-3</v>
      </c>
      <c r="BB708" s="226">
        <f t="shared" si="189"/>
        <v>3.1935779816513678E-3</v>
      </c>
      <c r="BC708" s="226">
        <f t="shared" si="189"/>
        <v>3.097054166015759E-3</v>
      </c>
      <c r="BD708" s="226">
        <f t="shared" si="189"/>
        <v>3.0034477198755522E-3</v>
      </c>
      <c r="BE708" s="226">
        <f t="shared" si="189"/>
        <v>2.9126704676368108E-3</v>
      </c>
    </row>
    <row r="709" spans="2:57" s="10" customFormat="1" x14ac:dyDescent="0.35">
      <c r="E709" s="10" t="s">
        <v>671</v>
      </c>
      <c r="F709" s="10" t="s">
        <v>615</v>
      </c>
      <c r="G709" s="43" t="s">
        <v>616</v>
      </c>
      <c r="I709" s="20"/>
      <c r="J709" s="200"/>
      <c r="K709" s="200"/>
      <c r="L709" s="200"/>
      <c r="M709" s="200"/>
      <c r="N709" s="200">
        <v>1.1299999999999999E-2</v>
      </c>
      <c r="O709" s="226">
        <f t="shared" si="190"/>
        <v>1.096589557186126E-2</v>
      </c>
      <c r="P709" s="226">
        <f t="shared" si="190"/>
        <v>1.0641669530351007E-2</v>
      </c>
      <c r="Q709" s="226">
        <f t="shared" si="190"/>
        <v>1.0327029803547523E-2</v>
      </c>
      <c r="R709" s="226">
        <f t="shared" si="190"/>
        <v>1.0021692955150536E-2</v>
      </c>
      <c r="S709" s="226">
        <f t="shared" si="190"/>
        <v>9.7253839291538448E-3</v>
      </c>
      <c r="T709" s="226">
        <f t="shared" si="190"/>
        <v>9.4378358020671509E-3</v>
      </c>
      <c r="U709" s="226">
        <f t="shared" si="190"/>
        <v>9.1587895424638799E-3</v>
      </c>
      <c r="V709" s="226">
        <f t="shared" si="190"/>
        <v>8.8879937776383967E-3</v>
      </c>
      <c r="W709" s="226">
        <f t="shared" si="190"/>
        <v>8.6252045671624186E-3</v>
      </c>
      <c r="X709" s="226">
        <f t="shared" si="190"/>
        <v>8.3701851831366261E-3</v>
      </c>
      <c r="Y709" s="226">
        <f t="shared" si="190"/>
        <v>8.122705896939527E-3</v>
      </c>
      <c r="Z709" s="226">
        <f t="shared" si="190"/>
        <v>7.8825437722814615E-3</v>
      </c>
      <c r="AA709" s="226">
        <f t="shared" si="190"/>
        <v>7.64948246437733E-3</v>
      </c>
      <c r="AB709" s="226">
        <f t="shared" si="190"/>
        <v>7.4233120250571435E-3</v>
      </c>
      <c r="AC709" s="226">
        <f t="shared" si="190"/>
        <v>7.2038287136388119E-3</v>
      </c>
      <c r="AD709" s="226">
        <f t="shared" si="190"/>
        <v>6.990834813392818E-3</v>
      </c>
      <c r="AE709" s="226">
        <f t="shared" si="188"/>
        <v>6.784138453433437E-3</v>
      </c>
      <c r="AF709" s="226">
        <f t="shared" si="188"/>
        <v>6.5835534358760555E-3</v>
      </c>
      <c r="AG709" s="226">
        <f t="shared" si="188"/>
        <v>6.3888990681048871E-3</v>
      </c>
      <c r="AH709" s="227">
        <v>6.1999999999999998E-3</v>
      </c>
      <c r="AI709" s="226">
        <f t="shared" si="191"/>
        <v>6.0166860659769741E-3</v>
      </c>
      <c r="AJ709" s="226">
        <f t="shared" si="191"/>
        <v>5.8387921316970133E-3</v>
      </c>
      <c r="AK709" s="226">
        <f t="shared" si="191"/>
        <v>5.6661579453092603E-3</v>
      </c>
      <c r="AL709" s="226">
        <f t="shared" si="191"/>
        <v>5.498627993091444E-3</v>
      </c>
      <c r="AM709" s="226">
        <f t="shared" si="191"/>
        <v>5.3360513593587464E-3</v>
      </c>
      <c r="AN709" s="226">
        <f t="shared" si="191"/>
        <v>5.1782815905147203E-3</v>
      </c>
      <c r="AO709" s="226">
        <f t="shared" si="191"/>
        <v>5.025176563121775E-3</v>
      </c>
      <c r="AP709" s="226">
        <f t="shared" si="191"/>
        <v>4.8765983558723943E-3</v>
      </c>
      <c r="AQ709" s="226">
        <f t="shared" si="191"/>
        <v>4.7324131253457516E-3</v>
      </c>
      <c r="AR709" s="226">
        <f t="shared" si="191"/>
        <v>4.592490985437795E-3</v>
      </c>
      <c r="AS709" s="226">
        <f t="shared" si="191"/>
        <v>4.4567058903562011E-3</v>
      </c>
      <c r="AT709" s="226">
        <f t="shared" si="191"/>
        <v>4.3249355210747843E-3</v>
      </c>
      <c r="AU709" s="226">
        <f t="shared" si="191"/>
        <v>4.1970611751450844E-3</v>
      </c>
      <c r="AV709" s="226">
        <f t="shared" si="191"/>
        <v>4.0729676597658672E-3</v>
      </c>
      <c r="AW709" s="226">
        <f t="shared" si="191"/>
        <v>3.9525431880142164E-3</v>
      </c>
      <c r="AX709" s="226">
        <f t="shared" si="191"/>
        <v>3.8356792781447332E-3</v>
      </c>
      <c r="AY709" s="226">
        <f t="shared" si="189"/>
        <v>3.722270655866135E-3</v>
      </c>
      <c r="AZ709" s="226">
        <f t="shared" si="189"/>
        <v>3.6122151595072175E-3</v>
      </c>
      <c r="BA709" s="226">
        <f t="shared" si="189"/>
        <v>3.5054136479867534E-3</v>
      </c>
      <c r="BB709" s="226">
        <f t="shared" si="189"/>
        <v>3.4017699115044217E-3</v>
      </c>
      <c r="BC709" s="226">
        <f t="shared" si="189"/>
        <v>3.3011905848723193E-3</v>
      </c>
      <c r="BD709" s="226">
        <f t="shared" si="189"/>
        <v>3.2035850634089778E-3</v>
      </c>
      <c r="BE709" s="226">
        <f t="shared" si="189"/>
        <v>3.1088654213201226E-3</v>
      </c>
    </row>
    <row r="710" spans="2:57" s="10" customFormat="1" x14ac:dyDescent="0.35">
      <c r="E710" s="10" t="s">
        <v>672</v>
      </c>
      <c r="F710" s="10" t="s">
        <v>615</v>
      </c>
      <c r="G710" s="43" t="s">
        <v>616</v>
      </c>
      <c r="I710" s="20"/>
      <c r="J710" s="200"/>
      <c r="K710" s="200"/>
      <c r="L710" s="200"/>
      <c r="M710" s="200"/>
      <c r="N710" s="200">
        <v>1.1599999999999999E-2</v>
      </c>
      <c r="O710" s="226">
        <f t="shared" si="190"/>
        <v>1.1268880088128203E-2</v>
      </c>
      <c r="P710" s="226">
        <f t="shared" si="190"/>
        <v>1.0947211934535543E-2</v>
      </c>
      <c r="Q710" s="226">
        <f t="shared" si="190"/>
        <v>1.0634725740483363E-2</v>
      </c>
      <c r="R710" s="226">
        <f t="shared" si="190"/>
        <v>1.0331159408589434E-2</v>
      </c>
      <c r="S710" s="226">
        <f t="shared" si="190"/>
        <v>1.0036258322994122E-2</v>
      </c>
      <c r="T710" s="226">
        <f t="shared" si="190"/>
        <v>9.7497751358016742E-3</v>
      </c>
      <c r="U710" s="226">
        <f t="shared" si="190"/>
        <v>9.4714695596174944E-3</v>
      </c>
      <c r="V710" s="226">
        <f t="shared" si="190"/>
        <v>9.2011081660074122E-3</v>
      </c>
      <c r="W710" s="226">
        <f t="shared" si="190"/>
        <v>8.938464189709892E-3</v>
      </c>
      <c r="X710" s="226">
        <f t="shared" si="190"/>
        <v>8.6833173384369654E-3</v>
      </c>
      <c r="Y710" s="226">
        <f t="shared" si="190"/>
        <v>8.4354536081043714E-3</v>
      </c>
      <c r="Z710" s="226">
        <f t="shared" si="190"/>
        <v>8.1946651033359096E-3</v>
      </c>
      <c r="AA710" s="226">
        <f t="shared" si="190"/>
        <v>7.9607498630914729E-3</v>
      </c>
      <c r="AB710" s="226">
        <f t="shared" si="190"/>
        <v>7.7335116912724848E-3</v>
      </c>
      <c r="AC710" s="226">
        <f t="shared" si="190"/>
        <v>7.512759992162687E-3</v>
      </c>
      <c r="AD710" s="226">
        <f t="shared" si="190"/>
        <v>7.2983096105662332E-3</v>
      </c>
      <c r="AE710" s="226">
        <f t="shared" si="188"/>
        <v>7.0899806765090112E-3</v>
      </c>
      <c r="AF710" s="226">
        <f t="shared" si="188"/>
        <v>6.887598454372942E-3</v>
      </c>
      <c r="AG710" s="226">
        <f t="shared" si="188"/>
        <v>6.69099319633671E-3</v>
      </c>
      <c r="AH710" s="227">
        <v>6.4999999999999997E-3</v>
      </c>
      <c r="AI710" s="226">
        <f t="shared" si="191"/>
        <v>6.3144586700718376E-3</v>
      </c>
      <c r="AJ710" s="226">
        <f t="shared" si="191"/>
        <v>6.1342135840069855E-3</v>
      </c>
      <c r="AK710" s="226">
        <f t="shared" si="191"/>
        <v>5.9591135614777465E-3</v>
      </c>
      <c r="AL710" s="226">
        <f t="shared" si="191"/>
        <v>5.7890117375716654E-3</v>
      </c>
      <c r="AM710" s="226">
        <f t="shared" si="191"/>
        <v>5.6237654396087749E-3</v>
      </c>
      <c r="AN710" s="226">
        <f t="shared" si="191"/>
        <v>5.4632360674750757E-3</v>
      </c>
      <c r="AO710" s="226">
        <f t="shared" si="191"/>
        <v>5.3072889773718712E-3</v>
      </c>
      <c r="AP710" s="226">
        <f t="shared" si="191"/>
        <v>5.1557933688834634E-3</v>
      </c>
      <c r="AQ710" s="226">
        <f t="shared" si="191"/>
        <v>5.0086221752684732E-3</v>
      </c>
      <c r="AR710" s="226">
        <f t="shared" si="191"/>
        <v>4.8656519568827817E-3</v>
      </c>
      <c r="AS710" s="226">
        <f t="shared" si="191"/>
        <v>4.7267627976446906E-3</v>
      </c>
      <c r="AT710" s="226">
        <f t="shared" si="191"/>
        <v>4.5918382044554664E-3</v>
      </c>
      <c r="AU710" s="226">
        <f t="shared" si="191"/>
        <v>4.4607650094909109E-3</v>
      </c>
      <c r="AV710" s="226">
        <f t="shared" si="191"/>
        <v>4.3334332752819954E-3</v>
      </c>
      <c r="AW710" s="226">
        <f t="shared" si="191"/>
        <v>4.2097362025049533E-3</v>
      </c>
      <c r="AX710" s="226">
        <f t="shared" si="191"/>
        <v>4.089570040403492E-3</v>
      </c>
      <c r="AY710" s="226">
        <f t="shared" si="189"/>
        <v>3.9728339997679796E-3</v>
      </c>
      <c r="AZ710" s="226">
        <f t="shared" si="189"/>
        <v>3.8594301683986306E-3</v>
      </c>
      <c r="BA710" s="226">
        <f t="shared" si="189"/>
        <v>3.7492634289817764E-3</v>
      </c>
      <c r="BB710" s="226">
        <f t="shared" si="189"/>
        <v>3.6422413793103458E-3</v>
      </c>
      <c r="BC710" s="226">
        <f t="shared" si="189"/>
        <v>3.5382742547816343E-3</v>
      </c>
      <c r="BD710" s="226">
        <f t="shared" si="189"/>
        <v>3.4372748531073635E-3</v>
      </c>
      <c r="BE710" s="226">
        <f t="shared" si="189"/>
        <v>3.3391584611728764E-3</v>
      </c>
    </row>
    <row r="711" spans="2:57" s="10" customFormat="1" x14ac:dyDescent="0.35">
      <c r="E711" s="10" t="s">
        <v>673</v>
      </c>
      <c r="F711" s="10" t="s">
        <v>615</v>
      </c>
      <c r="G711" s="43" t="s">
        <v>616</v>
      </c>
      <c r="I711" s="20"/>
      <c r="J711" s="200"/>
      <c r="K711" s="200"/>
      <c r="L711" s="200"/>
      <c r="M711" s="200"/>
      <c r="N711" s="200">
        <v>1.1900000000000001E-2</v>
      </c>
      <c r="O711" s="226">
        <f t="shared" si="190"/>
        <v>1.1571643861058531E-2</v>
      </c>
      <c r="P711" s="226">
        <f t="shared" si="190"/>
        <v>1.1252348037577612E-2</v>
      </c>
      <c r="Q711" s="226">
        <f t="shared" si="190"/>
        <v>1.0941862528699914E-2</v>
      </c>
      <c r="R711" s="226">
        <f t="shared" si="190"/>
        <v>1.0639944231829977E-2</v>
      </c>
      <c r="S711" s="226">
        <f t="shared" si="190"/>
        <v>1.0346356752290797E-2</v>
      </c>
      <c r="T711" s="226">
        <f t="shared" si="190"/>
        <v>1.0060870218232544E-2</v>
      </c>
      <c r="U711" s="226">
        <f t="shared" si="190"/>
        <v>9.7832611006485066E-3</v>
      </c>
      <c r="V711" s="226">
        <f t="shared" si="190"/>
        <v>9.5133120383573116E-3</v>
      </c>
      <c r="W711" s="226">
        <f t="shared" si="190"/>
        <v>9.2508116678144212E-3</v>
      </c>
      <c r="X711" s="226">
        <f t="shared" si="190"/>
        <v>8.9955544576196117E-3</v>
      </c>
      <c r="Y711" s="226">
        <f t="shared" si="190"/>
        <v>8.7473405475908973E-3</v>
      </c>
      <c r="Z711" s="226">
        <f t="shared" si="190"/>
        <v>8.5059755922788725E-3</v>
      </c>
      <c r="AA711" s="226">
        <f t="shared" si="190"/>
        <v>8.2712706087989512E-3</v>
      </c>
      <c r="AB711" s="226">
        <f t="shared" si="190"/>
        <v>8.0430418288623736E-3</v>
      </c>
      <c r="AC711" s="226">
        <f t="shared" si="190"/>
        <v>7.821110554890107E-3</v>
      </c>
      <c r="AD711" s="226">
        <f t="shared" si="190"/>
        <v>7.6053030200969908E-3</v>
      </c>
      <c r="AE711" s="226">
        <f t="shared" si="188"/>
        <v>7.3954502524365756E-3</v>
      </c>
      <c r="AF711" s="226">
        <f t="shared" si="188"/>
        <v>7.191387942300123E-3</v>
      </c>
      <c r="AG711" s="226">
        <f t="shared" si="188"/>
        <v>6.9929563138661811E-3</v>
      </c>
      <c r="AH711" s="227">
        <v>6.7999999999999996E-3</v>
      </c>
      <c r="AI711" s="226">
        <f t="shared" si="191"/>
        <v>6.6123679206048745E-3</v>
      </c>
      <c r="AJ711" s="226">
        <f t="shared" si="191"/>
        <v>6.4299131643300641E-3</v>
      </c>
      <c r="AK711" s="226">
        <f t="shared" si="191"/>
        <v>6.2524928735428085E-3</v>
      </c>
      <c r="AL711" s="226">
        <f t="shared" si="191"/>
        <v>6.0799681324742736E-3</v>
      </c>
      <c r="AM711" s="226">
        <f t="shared" si="191"/>
        <v>5.9122038584518847E-3</v>
      </c>
      <c r="AN711" s="226">
        <f t="shared" si="191"/>
        <v>5.7490686961328835E-3</v>
      </c>
      <c r="AO711" s="226">
        <f t="shared" si="191"/>
        <v>5.59043491465629E-3</v>
      </c>
      <c r="AP711" s="226">
        <f t="shared" si="191"/>
        <v>5.4361783076327507E-3</v>
      </c>
      <c r="AQ711" s="226">
        <f t="shared" si="191"/>
        <v>5.2861780958939559E-3</v>
      </c>
      <c r="AR711" s="226">
        <f t="shared" si="191"/>
        <v>5.1403168329254931E-3</v>
      </c>
      <c r="AS711" s="226">
        <f t="shared" si="191"/>
        <v>4.9984803129090854E-3</v>
      </c>
      <c r="AT711" s="226">
        <f t="shared" si="191"/>
        <v>4.860557481302214E-3</v>
      </c>
      <c r="AU711" s="226">
        <f t="shared" si="191"/>
        <v>4.7264403478851158E-3</v>
      </c>
      <c r="AV711" s="226">
        <f t="shared" si="191"/>
        <v>4.5960239022070715E-3</v>
      </c>
      <c r="AW711" s="226">
        <f t="shared" si="191"/>
        <v>4.4692060313657762E-3</v>
      </c>
      <c r="AX711" s="226">
        <f t="shared" si="191"/>
        <v>4.3458874400554241E-3</v>
      </c>
      <c r="AY711" s="226">
        <f t="shared" si="189"/>
        <v>4.2259715728209012E-3</v>
      </c>
      <c r="AZ711" s="226">
        <f t="shared" si="189"/>
        <v>4.1093645384572136E-3</v>
      </c>
      <c r="BA711" s="226">
        <f t="shared" si="189"/>
        <v>3.9959750364949613E-3</v>
      </c>
      <c r="BB711" s="226">
        <f t="shared" si="189"/>
        <v>3.8857142857142905E-3</v>
      </c>
      <c r="BC711" s="226">
        <f t="shared" si="189"/>
        <v>3.7784959546313616E-3</v>
      </c>
      <c r="BD711" s="226">
        <f t="shared" si="189"/>
        <v>3.674236093902898E-3</v>
      </c>
      <c r="BE711" s="226">
        <f t="shared" si="189"/>
        <v>3.5728530705958945E-3</v>
      </c>
    </row>
    <row r="712" spans="2:57" s="10" customFormat="1" x14ac:dyDescent="0.35">
      <c r="E712" s="10" t="s">
        <v>674</v>
      </c>
      <c r="F712" s="10" t="s">
        <v>615</v>
      </c>
      <c r="G712" s="43" t="s">
        <v>616</v>
      </c>
      <c r="I712" s="20"/>
      <c r="J712" s="200"/>
      <c r="K712" s="200"/>
      <c r="L712" s="200"/>
      <c r="M712" s="200"/>
      <c r="N712" s="200">
        <v>1.2200000000000001E-2</v>
      </c>
      <c r="O712" s="226">
        <f t="shared" si="190"/>
        <v>1.1865792272876052E-2</v>
      </c>
      <c r="P712" s="226">
        <f t="shared" si="190"/>
        <v>1.1540739857626639E-2</v>
      </c>
      <c r="Q712" s="226">
        <f t="shared" si="190"/>
        <v>1.1224591952942528E-2</v>
      </c>
      <c r="R712" s="226">
        <f t="shared" si="190"/>
        <v>1.0917104627984602E-2</v>
      </c>
      <c r="S712" s="226">
        <f t="shared" si="190"/>
        <v>1.0618040634173695E-2</v>
      </c>
      <c r="T712" s="226">
        <f t="shared" si="190"/>
        <v>1.0327169222136242E-2</v>
      </c>
      <c r="U712" s="226">
        <f t="shared" si="190"/>
        <v>1.0044265963664558E-2</v>
      </c>
      <c r="V712" s="226">
        <f t="shared" si="190"/>
        <v>9.7691125785543311E-3</v>
      </c>
      <c r="W712" s="226">
        <f t="shared" si="190"/>
        <v>9.5014967661857554E-3</v>
      </c>
      <c r="X712" s="226">
        <f t="shared" si="190"/>
        <v>9.2412120417183375E-3</v>
      </c>
      <c r="Y712" s="226">
        <f t="shared" si="190"/>
        <v>8.9880575767729964E-3</v>
      </c>
      <c r="Z712" s="226">
        <f t="shared" si="190"/>
        <v>8.7418380444785303E-3</v>
      </c>
      <c r="AA712" s="226">
        <f t="shared" si="190"/>
        <v>8.5023634687628885E-3</v>
      </c>
      <c r="AB712" s="226">
        <f t="shared" si="190"/>
        <v>8.2694490777729755E-3</v>
      </c>
      <c r="AC712" s="226">
        <f t="shared" si="190"/>
        <v>8.0429151613098816E-3</v>
      </c>
      <c r="AD712" s="226">
        <f t="shared" si="190"/>
        <v>7.8225869321695441E-3</v>
      </c>
      <c r="AE712" s="226">
        <f t="shared" si="188"/>
        <v>7.6082943912818488E-3</v>
      </c>
      <c r="AF712" s="226">
        <f t="shared" si="188"/>
        <v>7.3998721965441282E-3</v>
      </c>
      <c r="AG712" s="226">
        <f t="shared" si="188"/>
        <v>7.1971595352478398E-3</v>
      </c>
      <c r="AH712" s="227">
        <v>7.0000000000000001E-3</v>
      </c>
      <c r="AI712" s="226">
        <f t="shared" si="191"/>
        <v>6.8082414680436356E-3</v>
      </c>
      <c r="AJ712" s="226">
        <f t="shared" si="191"/>
        <v>6.6217359838841375E-3</v>
      </c>
      <c r="AK712" s="226">
        <f t="shared" si="191"/>
        <v>6.4403396451309589E-3</v>
      </c>
      <c r="AL712" s="226">
        <f t="shared" si="191"/>
        <v>6.2639124914665757E-3</v>
      </c>
      <c r="AM712" s="226">
        <f t="shared" si="191"/>
        <v>6.0923183966570382E-3</v>
      </c>
      <c r="AN712" s="226">
        <f t="shared" si="191"/>
        <v>5.9254249635207947E-3</v>
      </c>
      <c r="AO712" s="226">
        <f t="shared" si="191"/>
        <v>5.7631034217747465E-3</v>
      </c>
      <c r="AP712" s="226">
        <f t="shared" si="191"/>
        <v>5.6052285286787148E-3</v>
      </c>
      <c r="AQ712" s="226">
        <f t="shared" si="191"/>
        <v>5.4516784724016635E-3</v>
      </c>
      <c r="AR712" s="226">
        <f t="shared" si="191"/>
        <v>5.3023347780351126E-3</v>
      </c>
      <c r="AS712" s="226">
        <f t="shared" si="191"/>
        <v>5.1570822161812286E-3</v>
      </c>
      <c r="AT712" s="226">
        <f t="shared" si="191"/>
        <v>5.0158087140450593E-3</v>
      </c>
      <c r="AU712" s="226">
        <f t="shared" si="191"/>
        <v>4.8784052689623139E-3</v>
      </c>
      <c r="AV712" s="226">
        <f t="shared" si="191"/>
        <v>4.7447658642959705E-3</v>
      </c>
      <c r="AW712" s="226">
        <f t="shared" si="191"/>
        <v>4.614787387636818E-3</v>
      </c>
      <c r="AX712" s="226">
        <f t="shared" si="191"/>
        <v>4.4883695512448205E-3</v>
      </c>
      <c r="AY712" s="226">
        <f t="shared" si="189"/>
        <v>4.3654148146699129E-3</v>
      </c>
      <c r="AZ712" s="226">
        <f t="shared" si="189"/>
        <v>4.2458283094925324E-3</v>
      </c>
      <c r="BA712" s="226">
        <f t="shared" si="189"/>
        <v>4.1295177661258096E-3</v>
      </c>
      <c r="BB712" s="226">
        <f t="shared" si="189"/>
        <v>4.0163934426229514E-3</v>
      </c>
      <c r="BC712" s="226">
        <f t="shared" si="189"/>
        <v>3.9063680554348732E-3</v>
      </c>
      <c r="BD712" s="226">
        <f t="shared" si="189"/>
        <v>3.7993567120646692E-3</v>
      </c>
      <c r="BE712" s="226">
        <f t="shared" si="189"/>
        <v>3.6952768455669437E-3</v>
      </c>
    </row>
    <row r="713" spans="2:57" s="10" customFormat="1" x14ac:dyDescent="0.35">
      <c r="E713" s="10" t="s">
        <v>675</v>
      </c>
      <c r="F713" s="10" t="s">
        <v>615</v>
      </c>
      <c r="G713" s="43" t="s">
        <v>616</v>
      </c>
      <c r="I713" s="20"/>
      <c r="J713" s="200"/>
      <c r="K713" s="200"/>
      <c r="L713" s="200"/>
      <c r="M713" s="200"/>
      <c r="N713" s="200">
        <v>1.2500000000000001E-2</v>
      </c>
      <c r="O713" s="226">
        <f t="shared" si="190"/>
        <v>1.215993174435958E-2</v>
      </c>
      <c r="P713" s="226">
        <f t="shared" si="190"/>
        <v>1.1829115202198703E-2</v>
      </c>
      <c r="Q713" s="226">
        <f t="shared" si="190"/>
        <v>1.1507298676392198E-2</v>
      </c>
      <c r="R713" s="226">
        <f t="shared" si="190"/>
        <v>1.1194237317351077E-2</v>
      </c>
      <c r="S713" s="226">
        <f t="shared" si="190"/>
        <v>1.0889692936732158E-2</v>
      </c>
      <c r="T713" s="226">
        <f t="shared" si="190"/>
        <v>1.0593433826215812E-2</v>
      </c>
      <c r="U713" s="226">
        <f t="shared" si="190"/>
        <v>1.0305234581213936E-2</v>
      </c>
      <c r="V713" s="226">
        <f t="shared" si="190"/>
        <v>1.0024875929374035E-2</v>
      </c>
      <c r="W713" s="226">
        <f t="shared" si="190"/>
        <v>9.7521445637489251E-3</v>
      </c>
      <c r="X713" s="226">
        <f t="shared" si="190"/>
        <v>9.4868329805051395E-3</v>
      </c>
      <c r="Y713" s="226">
        <f t="shared" si="190"/>
        <v>9.2287393210465467E-3</v>
      </c>
      <c r="Z713" s="226">
        <f t="shared" si="190"/>
        <v>8.9776672184330684E-3</v>
      </c>
      <c r="AA713" s="226">
        <f t="shared" si="190"/>
        <v>8.7334256479776502E-3</v>
      </c>
      <c r="AB713" s="226">
        <f t="shared" si="190"/>
        <v>8.4958287819078045E-3</v>
      </c>
      <c r="AC713" s="226">
        <f t="shared" si="190"/>
        <v>8.2646958479811582E-3</v>
      </c>
      <c r="AD713" s="226">
        <f t="shared" si="190"/>
        <v>8.0398509919474316E-3</v>
      </c>
      <c r="AE713" s="226">
        <f t="shared" si="188"/>
        <v>7.8211231437521934E-3</v>
      </c>
      <c r="AF713" s="226">
        <f t="shared" si="188"/>
        <v>7.6083458873806142E-3</v>
      </c>
      <c r="AG713" s="226">
        <f t="shared" si="188"/>
        <v>7.4013573342421738E-3</v>
      </c>
      <c r="AH713" s="227">
        <v>7.1999999999999998E-3</v>
      </c>
      <c r="AI713" s="226">
        <f t="shared" si="191"/>
        <v>7.0041206847511169E-3</v>
      </c>
      <c r="AJ713" s="226">
        <f t="shared" si="191"/>
        <v>6.8135703564664524E-3</v>
      </c>
      <c r="AK713" s="226">
        <f t="shared" si="191"/>
        <v>6.6282040376019055E-3</v>
      </c>
      <c r="AL713" s="226">
        <f t="shared" si="191"/>
        <v>6.4478806947942191E-3</v>
      </c>
      <c r="AM713" s="226">
        <f t="shared" si="191"/>
        <v>6.2724631315577211E-3</v>
      </c>
      <c r="AN713" s="226">
        <f t="shared" si="191"/>
        <v>6.1018178839003061E-3</v>
      </c>
      <c r="AO713" s="226">
        <f t="shared" si="191"/>
        <v>5.9358151187792257E-3</v>
      </c>
      <c r="AP713" s="226">
        <f t="shared" si="191"/>
        <v>5.774328535319442E-3</v>
      </c>
      <c r="AQ713" s="226">
        <f t="shared" si="191"/>
        <v>5.6172352687193783E-3</v>
      </c>
      <c r="AR713" s="226">
        <f t="shared" si="191"/>
        <v>5.4644157967709576E-3</v>
      </c>
      <c r="AS713" s="226">
        <f t="shared" si="191"/>
        <v>5.3157538489228082E-3</v>
      </c>
      <c r="AT713" s="226">
        <f t="shared" si="191"/>
        <v>5.1711363178174449E-3</v>
      </c>
      <c r="AU713" s="226">
        <f t="shared" si="191"/>
        <v>5.030453173235124E-3</v>
      </c>
      <c r="AV713" s="226">
        <f t="shared" si="191"/>
        <v>4.8935973783788929E-3</v>
      </c>
      <c r="AW713" s="226">
        <f t="shared" si="191"/>
        <v>4.7604648084371452E-3</v>
      </c>
      <c r="AX713" s="226">
        <f t="shared" si="191"/>
        <v>4.6309541713617187E-3</v>
      </c>
      <c r="AY713" s="226">
        <f t="shared" si="189"/>
        <v>4.5049669308012616E-3</v>
      </c>
      <c r="AZ713" s="226">
        <f t="shared" si="189"/>
        <v>4.3824072311312318E-3</v>
      </c>
      <c r="BA713" s="226">
        <f t="shared" si="189"/>
        <v>4.2631818245234907E-3</v>
      </c>
      <c r="BB713" s="226">
        <f t="shared" si="189"/>
        <v>4.1471999999999985E-3</v>
      </c>
      <c r="BC713" s="226">
        <f t="shared" si="189"/>
        <v>4.034373514416642E-3</v>
      </c>
      <c r="BD713" s="226">
        <f t="shared" si="189"/>
        <v>3.9246165253246749E-3</v>
      </c>
      <c r="BE713" s="226">
        <f t="shared" si="189"/>
        <v>3.8178455256586961E-3</v>
      </c>
    </row>
    <row r="714" spans="2:57" s="10" customFormat="1" x14ac:dyDescent="0.35">
      <c r="E714" s="10" t="s">
        <v>676</v>
      </c>
      <c r="F714" s="10" t="s">
        <v>615</v>
      </c>
      <c r="G714" s="43" t="s">
        <v>616</v>
      </c>
      <c r="I714" s="20"/>
      <c r="J714" s="200"/>
      <c r="K714" s="200"/>
      <c r="L714" s="200"/>
      <c r="M714" s="200"/>
      <c r="N714" s="200">
        <v>1.2800000000000001E-2</v>
      </c>
      <c r="O714" s="226">
        <f t="shared" si="190"/>
        <v>1.2462424329405907E-2</v>
      </c>
      <c r="P714" s="226">
        <f t="shared" si="190"/>
        <v>1.2133751575481895E-2</v>
      </c>
      <c r="Q714" s="226">
        <f t="shared" si="190"/>
        <v>1.1813746940722875E-2</v>
      </c>
      <c r="R714" s="226">
        <f t="shared" si="190"/>
        <v>1.1502181819961666E-2</v>
      </c>
      <c r="S714" s="226">
        <f t="shared" si="190"/>
        <v>1.1198833637057858E-2</v>
      </c>
      <c r="T714" s="226">
        <f t="shared" si="190"/>
        <v>1.0903485685893678E-2</v>
      </c>
      <c r="U714" s="226">
        <f t="shared" si="190"/>
        <v>1.0615926975563314E-2</v>
      </c>
      <c r="V714" s="226">
        <f t="shared" si="190"/>
        <v>1.0335952079645053E-2</v>
      </c>
      <c r="W714" s="226">
        <f t="shared" si="190"/>
        <v>1.00633609894486E-2</v>
      </c>
      <c r="X714" s="226">
        <f t="shared" si="190"/>
        <v>9.7979589711326958E-3</v>
      </c>
      <c r="Y714" s="226">
        <f t="shared" si="190"/>
        <v>9.5395564265910119E-3</v>
      </c>
      <c r="Z714" s="226">
        <f t="shared" si="190"/>
        <v>9.2879687580068974E-3</v>
      </c>
      <c r="AA714" s="226">
        <f t="shared" si="190"/>
        <v>9.0430162359802432E-3</v>
      </c>
      <c r="AB714" s="226">
        <f t="shared" si="190"/>
        <v>8.8045238711322495E-3</v>
      </c>
      <c r="AC714" s="226">
        <f t="shared" si="190"/>
        <v>8.5723212890963761E-3</v>
      </c>
      <c r="AD714" s="226">
        <f t="shared" si="190"/>
        <v>8.346242608806162E-3</v>
      </c>
      <c r="AE714" s="226">
        <f t="shared" si="188"/>
        <v>8.1261263239929792E-3</v>
      </c>
      <c r="AF714" s="226">
        <f t="shared" si="188"/>
        <v>7.9118151878090539E-3</v>
      </c>
      <c r="AG714" s="226">
        <f t="shared" si="188"/>
        <v>7.7031561004933368E-3</v>
      </c>
      <c r="AH714" s="227">
        <v>7.4999999999999997E-3</v>
      </c>
      <c r="AI714" s="226">
        <f t="shared" si="191"/>
        <v>7.3022017555112728E-3</v>
      </c>
      <c r="AJ714" s="226">
        <f t="shared" si="191"/>
        <v>7.1096200637589223E-3</v>
      </c>
      <c r="AK714" s="226">
        <f t="shared" si="191"/>
        <v>6.9221173480798091E-3</v>
      </c>
      <c r="AL714" s="226">
        <f t="shared" si="191"/>
        <v>6.7395596601337888E-3</v>
      </c>
      <c r="AM714" s="226">
        <f t="shared" si="191"/>
        <v>6.5618165842135879E-3</v>
      </c>
      <c r="AN714" s="226">
        <f t="shared" si="191"/>
        <v>6.3887611440783263E-3</v>
      </c>
      <c r="AO714" s="226">
        <f t="shared" si="191"/>
        <v>6.2202697122441279E-3</v>
      </c>
      <c r="AP714" s="226">
        <f t="shared" si="191"/>
        <v>6.0562219216670227E-3</v>
      </c>
      <c r="AQ714" s="226">
        <f t="shared" si="191"/>
        <v>5.8965005797550381E-3</v>
      </c>
      <c r="AR714" s="226">
        <f t="shared" si="191"/>
        <v>5.7409915846480634E-3</v>
      </c>
      <c r="AS714" s="226">
        <f t="shared" si="191"/>
        <v>5.5895838437056708E-3</v>
      </c>
      <c r="AT714" s="226">
        <f t="shared" si="191"/>
        <v>5.4421691941446667E-3</v>
      </c>
      <c r="AU714" s="226">
        <f t="shared" si="191"/>
        <v>5.2986423257696735E-3</v>
      </c>
      <c r="AV714" s="226">
        <f t="shared" si="191"/>
        <v>5.1589007057415521E-3</v>
      </c>
      <c r="AW714" s="226">
        <f t="shared" si="191"/>
        <v>5.0228445053299075E-3</v>
      </c>
      <c r="AX714" s="226">
        <f t="shared" si="191"/>
        <v>4.8903765285973604E-3</v>
      </c>
      <c r="AY714" s="226">
        <f t="shared" si="189"/>
        <v>4.7614021429646363E-3</v>
      </c>
      <c r="AZ714" s="226">
        <f t="shared" si="189"/>
        <v>4.6358292116068667E-3</v>
      </c>
      <c r="BA714" s="226">
        <f t="shared" si="189"/>
        <v>4.5135680276328135E-3</v>
      </c>
      <c r="BB714" s="226">
        <f t="shared" si="189"/>
        <v>4.3945312499999844E-3</v>
      </c>
      <c r="BC714" s="226">
        <f t="shared" si="189"/>
        <v>4.2786338411198712E-3</v>
      </c>
      <c r="BD714" s="226">
        <f t="shared" si="189"/>
        <v>4.1657930061087282E-3</v>
      </c>
      <c r="BE714" s="226">
        <f t="shared" si="189"/>
        <v>4.0559281336404983E-3</v>
      </c>
    </row>
    <row r="715" spans="2:57" s="10" customFormat="1" x14ac:dyDescent="0.35">
      <c r="E715" s="10" t="s">
        <v>677</v>
      </c>
      <c r="F715" s="10" t="s">
        <v>615</v>
      </c>
      <c r="G715" s="43" t="s">
        <v>616</v>
      </c>
      <c r="I715" s="20"/>
      <c r="J715" s="200"/>
      <c r="K715" s="200"/>
      <c r="L715" s="200"/>
      <c r="M715" s="200"/>
      <c r="N715" s="200">
        <v>1.3100000000000001E-2</v>
      </c>
      <c r="O715" s="226">
        <f t="shared" si="190"/>
        <v>1.27647543359573E-2</v>
      </c>
      <c r="P715" s="226">
        <f t="shared" si="190"/>
        <v>1.2438088034911502E-2</v>
      </c>
      <c r="Q715" s="226">
        <f t="shared" si="190"/>
        <v>1.2119781540050015E-2</v>
      </c>
      <c r="R715" s="226">
        <f t="shared" si="190"/>
        <v>1.1809620913298371E-2</v>
      </c>
      <c r="S715" s="226">
        <f t="shared" si="190"/>
        <v>1.1507397691529571E-2</v>
      </c>
      <c r="T715" s="226">
        <f t="shared" si="190"/>
        <v>1.1212908746453214E-2</v>
      </c>
      <c r="U715" s="226">
        <f t="shared" si="190"/>
        <v>1.0925956148090244E-2</v>
      </c>
      <c r="V715" s="226">
        <f t="shared" si="190"/>
        <v>1.0646347031741546E-2</v>
      </c>
      <c r="W715" s="226">
        <f t="shared" si="190"/>
        <v>1.0373893468360993E-2</v>
      </c>
      <c r="X715" s="226">
        <f t="shared" si="190"/>
        <v>1.0108412338245809E-2</v>
      </c>
      <c r="Y715" s="226">
        <f t="shared" si="190"/>
        <v>9.8497252079593478E-3</v>
      </c>
      <c r="Z715" s="226">
        <f t="shared" si="190"/>
        <v>9.5976582104035871E-3</v>
      </c>
      <c r="AA715" s="226">
        <f t="shared" si="190"/>
        <v>9.3520419279607137E-3</v>
      </c>
      <c r="AB715" s="226">
        <f t="shared" si="190"/>
        <v>9.112711278625266E-3</v>
      </c>
      <c r="AC715" s="226">
        <f t="shared" si="190"/>
        <v>8.879505405050293E-3</v>
      </c>
      <c r="AD715" s="226">
        <f t="shared" si="190"/>
        <v>8.6522675664329769E-3</v>
      </c>
      <c r="AE715" s="226">
        <f t="shared" si="188"/>
        <v>8.4308450331670275E-3</v>
      </c>
      <c r="AF715" s="226">
        <f t="shared" si="188"/>
        <v>8.2150889841910591E-3</v>
      </c>
      <c r="AG715" s="226">
        <f t="shared" si="188"/>
        <v>8.0048544069639595E-3</v>
      </c>
      <c r="AH715" s="227">
        <v>7.7999999999999996E-3</v>
      </c>
      <c r="AI715" s="226">
        <f t="shared" si="191"/>
        <v>7.6003880778982387E-3</v>
      </c>
      <c r="AJ715" s="226">
        <f t="shared" si="191"/>
        <v>7.4058844788022675E-3</v>
      </c>
      <c r="AK715" s="226">
        <f t="shared" si="191"/>
        <v>7.2163584742282521E-3</v>
      </c>
      <c r="AL715" s="226">
        <f t="shared" si="191"/>
        <v>7.0316826812005561E-3</v>
      </c>
      <c r="AM715" s="226">
        <f t="shared" si="191"/>
        <v>6.8517329766359268E-3</v>
      </c>
      <c r="AN715" s="226">
        <f t="shared" si="191"/>
        <v>6.6763884139187067E-3</v>
      </c>
      <c r="AO715" s="226">
        <f t="shared" si="191"/>
        <v>6.5055311416109835E-3</v>
      </c>
      <c r="AP715" s="226">
        <f t="shared" si="191"/>
        <v>6.3390463242430561E-3</v>
      </c>
      <c r="AQ715" s="226">
        <f t="shared" si="191"/>
        <v>6.176822065130972E-3</v>
      </c>
      <c r="AR715" s="226">
        <f t="shared" si="191"/>
        <v>6.018749331169259E-3</v>
      </c>
      <c r="AS715" s="226">
        <f t="shared" si="191"/>
        <v>5.8647218795483125E-3</v>
      </c>
      <c r="AT715" s="226">
        <f t="shared" si="191"/>
        <v>5.7146361863471724E-3</v>
      </c>
      <c r="AU715" s="226">
        <f t="shared" si="191"/>
        <v>5.5683913769537059E-3</v>
      </c>
      <c r="AV715" s="226">
        <f t="shared" si="191"/>
        <v>5.4258891582654239E-3</v>
      </c>
      <c r="AW715" s="226">
        <f t="shared" si="191"/>
        <v>5.287033752625364E-3</v>
      </c>
      <c r="AX715" s="226">
        <f t="shared" si="191"/>
        <v>5.1517318334486414E-3</v>
      </c>
      <c r="AY715" s="226">
        <f t="shared" si="189"/>
        <v>5.019892462496396E-3</v>
      </c>
      <c r="AZ715" s="226">
        <f t="shared" si="189"/>
        <v>4.8914270287549796E-3</v>
      </c>
      <c r="BA715" s="226">
        <f t="shared" si="189"/>
        <v>4.7662491888793021E-3</v>
      </c>
      <c r="BB715" s="226">
        <f t="shared" si="189"/>
        <v>4.6442748091603077E-3</v>
      </c>
      <c r="BC715" s="226">
        <f t="shared" si="189"/>
        <v>4.5254219089775798E-3</v>
      </c>
      <c r="BD715" s="226">
        <f t="shared" si="189"/>
        <v>4.4096106056990625E-3</v>
      </c>
      <c r="BE715" s="226">
        <f t="shared" si="189"/>
        <v>4.2967630609908707E-3</v>
      </c>
    </row>
    <row r="716" spans="2:57" s="10" customFormat="1" x14ac:dyDescent="0.35">
      <c r="E716" s="10" t="s">
        <v>678</v>
      </c>
      <c r="F716" s="10" t="s">
        <v>615</v>
      </c>
      <c r="G716" s="43" t="s">
        <v>616</v>
      </c>
      <c r="I716" s="20"/>
      <c r="J716" s="200"/>
      <c r="K716" s="200"/>
      <c r="L716" s="200"/>
      <c r="M716" s="200"/>
      <c r="N716" s="200">
        <v>1.2999999999999999E-2</v>
      </c>
      <c r="O716" s="226">
        <f t="shared" si="190"/>
        <v>1.2688219526883223E-2</v>
      </c>
      <c r="P716" s="226">
        <f t="shared" si="190"/>
        <v>1.2383916520183134E-2</v>
      </c>
      <c r="Q716" s="226">
        <f t="shared" si="190"/>
        <v>1.2086911646975338E-2</v>
      </c>
      <c r="R716" s="226">
        <f t="shared" si="190"/>
        <v>1.179702987529729E-2</v>
      </c>
      <c r="S716" s="226">
        <f t="shared" si="190"/>
        <v>1.1514100370997834E-2</v>
      </c>
      <c r="T716" s="226">
        <f t="shared" si="190"/>
        <v>1.1237956397060623E-2</v>
      </c>
      <c r="U716" s="226">
        <f t="shared" si="190"/>
        <v>1.0968435215342064E-2</v>
      </c>
      <c r="V716" s="226">
        <f t="shared" si="190"/>
        <v>1.0705377990665907E-2</v>
      </c>
      <c r="W716" s="226">
        <f t="shared" si="190"/>
        <v>1.0448629697217928E-2</v>
      </c>
      <c r="X716" s="226">
        <f t="shared" si="190"/>
        <v>1.0198039027185576E-2</v>
      </c>
      <c r="Y716" s="226">
        <f t="shared" si="190"/>
        <v>9.953458301588709E-3</v>
      </c>
      <c r="Z716" s="226">
        <f t="shared" si="190"/>
        <v>9.7147433832489079E-3</v>
      </c>
      <c r="AA716" s="226">
        <f t="shared" si="190"/>
        <v>9.4817535918460313E-3</v>
      </c>
      <c r="AB716" s="226">
        <f t="shared" si="190"/>
        <v>9.254351621011998E-3</v>
      </c>
      <c r="AC716" s="226">
        <f t="shared" si="190"/>
        <v>9.0324034574129127E-3</v>
      </c>
      <c r="AD716" s="226">
        <f t="shared" si="190"/>
        <v>8.8157783017718521E-3</v>
      </c>
      <c r="AE716" s="226">
        <f t="shared" si="188"/>
        <v>8.6043484917857731E-3</v>
      </c>
      <c r="AF716" s="226">
        <f t="shared" si="188"/>
        <v>8.3979894268911125E-3</v>
      </c>
      <c r="AG716" s="226">
        <f t="shared" si="188"/>
        <v>8.1965794948337441E-3</v>
      </c>
      <c r="AH716" s="227">
        <v>8.0000000000000002E-3</v>
      </c>
      <c r="AI716" s="226">
        <f t="shared" si="191"/>
        <v>7.8081350934665998E-3</v>
      </c>
      <c r="AJ716" s="226">
        <f t="shared" si="191"/>
        <v>7.6208717047280836E-3</v>
      </c>
      <c r="AK716" s="226">
        <f t="shared" si="191"/>
        <v>7.4380994750617479E-3</v>
      </c>
      <c r="AL716" s="226">
        <f t="shared" si="191"/>
        <v>7.2597106924906412E-3</v>
      </c>
      <c r="AM716" s="226">
        <f t="shared" si="191"/>
        <v>7.0856002283063609E-3</v>
      </c>
      <c r="AN716" s="226">
        <f t="shared" si="191"/>
        <v>6.9156654751142306E-3</v>
      </c>
      <c r="AO716" s="226">
        <f t="shared" si="191"/>
        <v>6.7498062863643486E-3</v>
      </c>
      <c r="AP716" s="226">
        <f t="shared" si="191"/>
        <v>6.587924917332867E-3</v>
      </c>
      <c r="AQ716" s="226">
        <f t="shared" si="191"/>
        <v>6.4299259675187261E-3</v>
      </c>
      <c r="AR716" s="226">
        <f t="shared" si="191"/>
        <v>6.2757163244218936E-3</v>
      </c>
      <c r="AS716" s="226">
        <f t="shared" si="191"/>
        <v>6.1252051086699757E-3</v>
      </c>
      <c r="AT716" s="226">
        <f t="shared" si="191"/>
        <v>5.9783036204608666E-3</v>
      </c>
      <c r="AU716" s="226">
        <f t="shared" si="191"/>
        <v>5.834925287289865E-3</v>
      </c>
      <c r="AV716" s="226">
        <f t="shared" si="191"/>
        <v>5.6949856129304595E-3</v>
      </c>
      <c r="AW716" s="226">
        <f t="shared" si="191"/>
        <v>5.5584021276387143E-3</v>
      </c>
      <c r="AX716" s="226">
        <f t="shared" si="191"/>
        <v>5.4250943395519075E-3</v>
      </c>
      <c r="AY716" s="226">
        <f t="shared" si="189"/>
        <v>5.2949836872527821E-3</v>
      </c>
      <c r="AZ716" s="226">
        <f t="shared" si="189"/>
        <v>5.167993493471453E-3</v>
      </c>
      <c r="BA716" s="226">
        <f t="shared" si="189"/>
        <v>5.0440489198976882E-3</v>
      </c>
      <c r="BB716" s="226">
        <f t="shared" si="189"/>
        <v>4.9230769230769293E-3</v>
      </c>
      <c r="BC716" s="226">
        <f t="shared" si="189"/>
        <v>4.8050062113640674E-3</v>
      </c>
      <c r="BD716" s="226">
        <f t="shared" si="189"/>
        <v>4.6897672029095954E-3</v>
      </c>
      <c r="BE716" s="226">
        <f t="shared" si="189"/>
        <v>4.5772919846533882E-3</v>
      </c>
    </row>
    <row r="717" spans="2:57" s="10" customFormat="1" x14ac:dyDescent="0.35">
      <c r="E717" s="10" t="s">
        <v>679</v>
      </c>
      <c r="F717" s="10" t="s">
        <v>615</v>
      </c>
      <c r="G717" s="43" t="s">
        <v>616</v>
      </c>
      <c r="I717" s="20"/>
      <c r="J717" s="200"/>
      <c r="K717" s="200"/>
      <c r="L717" s="200"/>
      <c r="M717" s="200"/>
      <c r="N717" s="200">
        <v>1.29E-2</v>
      </c>
      <c r="O717" s="226">
        <f t="shared" si="190"/>
        <v>1.2618685877484615E-2</v>
      </c>
      <c r="P717" s="226">
        <f t="shared" si="190"/>
        <v>1.2343506455397649E-2</v>
      </c>
      <c r="Q717" s="226">
        <f t="shared" si="190"/>
        <v>1.2074327952509029E-2</v>
      </c>
      <c r="R717" s="226">
        <f t="shared" si="190"/>
        <v>1.1811019504995614E-2</v>
      </c>
      <c r="S717" s="226">
        <f t="shared" si="190"/>
        <v>1.1553453102820424E-2</v>
      </c>
      <c r="T717" s="226">
        <f t="shared" si="190"/>
        <v>1.1301503527499293E-2</v>
      </c>
      <c r="U717" s="226">
        <f t="shared" si="190"/>
        <v>1.1055048291224643E-2</v>
      </c>
      <c r="V717" s="226">
        <f t="shared" si="190"/>
        <v>1.0813967577316808E-2</v>
      </c>
      <c r="W717" s="226">
        <f t="shared" si="190"/>
        <v>1.0578144181973963E-2</v>
      </c>
      <c r="X717" s="226">
        <f t="shared" si="190"/>
        <v>1.0347463457292316E-2</v>
      </c>
      <c r="Y717" s="226">
        <f t="shared" si="190"/>
        <v>1.012181325552889E-2</v>
      </c>
      <c r="Z717" s="226">
        <f t="shared" si="190"/>
        <v>9.901083874579766E-3</v>
      </c>
      <c r="AA717" s="226">
        <f t="shared" si="190"/>
        <v>9.685168004647313E-3</v>
      </c>
      <c r="AB717" s="226">
        <f t="shared" si="190"/>
        <v>9.4739606760704566E-3</v>
      </c>
      <c r="AC717" s="226">
        <f t="shared" si="190"/>
        <v>9.2673592082926255E-3</v>
      </c>
      <c r="AD717" s="226">
        <f t="shared" si="190"/>
        <v>9.0652631599425701E-3</v>
      </c>
      <c r="AE717" s="226">
        <f t="shared" si="188"/>
        <v>8.8675742800037871E-3</v>
      </c>
      <c r="AF717" s="226">
        <f t="shared" si="188"/>
        <v>8.6741964600488049E-3</v>
      </c>
      <c r="AG717" s="226">
        <f t="shared" si="188"/>
        <v>8.4850356875151075E-3</v>
      </c>
      <c r="AH717" s="227">
        <v>8.3000000000000001E-3</v>
      </c>
      <c r="AI717" s="226">
        <f t="shared" si="191"/>
        <v>8.1189994405521174E-3</v>
      </c>
      <c r="AJ717" s="226">
        <f t="shared" si="191"/>
        <v>7.9419460139380227E-3</v>
      </c>
      <c r="AK717" s="226">
        <f t="shared" si="191"/>
        <v>7.7687536438623998E-3</v>
      </c>
      <c r="AL717" s="226">
        <f t="shared" si="191"/>
        <v>7.59933813112121E-3</v>
      </c>
      <c r="AM717" s="226">
        <f t="shared" si="191"/>
        <v>7.4336171126674058E-3</v>
      </c>
      <c r="AN717" s="226">
        <f t="shared" si="191"/>
        <v>7.2715100215693142E-3</v>
      </c>
      <c r="AO717" s="226">
        <f t="shared" si="191"/>
        <v>7.1129380478422129E-3</v>
      </c>
      <c r="AP717" s="226">
        <f t="shared" si="191"/>
        <v>6.9578241001340708E-3</v>
      </c>
      <c r="AQ717" s="226">
        <f t="shared" si="191"/>
        <v>6.806092768246814E-3</v>
      </c>
      <c r="AR717" s="226">
        <f t="shared" si="191"/>
        <v>6.657670286474902E-3</v>
      </c>
      <c r="AS717" s="226">
        <f t="shared" si="191"/>
        <v>6.5124844977433949E-3</v>
      </c>
      <c r="AT717" s="226">
        <f t="shared" si="191"/>
        <v>6.3704648185280667E-3</v>
      </c>
      <c r="AU717" s="226">
        <f t="shared" si="191"/>
        <v>6.2315422045405196E-3</v>
      </c>
      <c r="AV717" s="226">
        <f t="shared" si="191"/>
        <v>6.0956491171616119E-3</v>
      </c>
      <c r="AW717" s="226">
        <f t="shared" si="191"/>
        <v>5.9627194906068832E-3</v>
      </c>
      <c r="AX717" s="226">
        <f t="shared" si="191"/>
        <v>5.8326886998080101E-3</v>
      </c>
      <c r="AY717" s="226">
        <f t="shared" si="189"/>
        <v>5.7054935289946847E-3</v>
      </c>
      <c r="AZ717" s="226">
        <f t="shared" si="189"/>
        <v>5.5810721409616341E-3</v>
      </c>
      <c r="BA717" s="226">
        <f t="shared" si="189"/>
        <v>5.4593640470058449E-3</v>
      </c>
      <c r="BB717" s="226">
        <f t="shared" si="189"/>
        <v>5.3403100775193729E-3</v>
      </c>
      <c r="BC717" s="226">
        <f t="shared" si="189"/>
        <v>5.2238523532234481E-3</v>
      </c>
      <c r="BD717" s="226">
        <f t="shared" si="189"/>
        <v>5.1099342570298835E-3</v>
      </c>
      <c r="BE717" s="226">
        <f t="shared" si="189"/>
        <v>4.998500406516111E-3</v>
      </c>
    </row>
    <row r="718" spans="2:57" s="10" customFormat="1" x14ac:dyDescent="0.35">
      <c r="E718" s="10" t="s">
        <v>680</v>
      </c>
      <c r="F718" s="10" t="s">
        <v>615</v>
      </c>
      <c r="G718" s="43" t="s">
        <v>616</v>
      </c>
      <c r="I718" s="20"/>
      <c r="J718" s="200"/>
      <c r="K718" s="200"/>
      <c r="L718" s="200"/>
      <c r="M718" s="200"/>
      <c r="N718" s="200">
        <v>1.2800000000000001E-2</v>
      </c>
      <c r="O718" s="226">
        <f t="shared" si="190"/>
        <v>1.2540660691684856E-2</v>
      </c>
      <c r="P718" s="226">
        <f t="shared" si="190"/>
        <v>1.228657582687263E-2</v>
      </c>
      <c r="Q718" s="226">
        <f t="shared" si="190"/>
        <v>1.2037638945895855E-2</v>
      </c>
      <c r="R718" s="226">
        <f t="shared" si="190"/>
        <v>1.1793745746053973E-2</v>
      </c>
      <c r="S718" s="226">
        <f t="shared" si="190"/>
        <v>1.1554794037911292E-2</v>
      </c>
      <c r="T718" s="226">
        <f t="shared" si="190"/>
        <v>1.1320683702480364E-2</v>
      </c>
      <c r="U718" s="226">
        <f t="shared" si="190"/>
        <v>1.1091316649272879E-2</v>
      </c>
      <c r="V718" s="226">
        <f t="shared" si="190"/>
        <v>1.0866596775200481E-2</v>
      </c>
      <c r="W718" s="226">
        <f t="shared" si="190"/>
        <v>1.0646429924308287E-2</v>
      </c>
      <c r="X718" s="226">
        <f t="shared" si="190"/>
        <v>1.0430723848324242E-2</v>
      </c>
      <c r="Y718" s="226">
        <f t="shared" si="190"/>
        <v>1.0219388168007781E-2</v>
      </c>
      <c r="Z718" s="226">
        <f t="shared" si="190"/>
        <v>1.0012334335281599E-2</v>
      </c>
      <c r="AA718" s="226">
        <f t="shared" si="190"/>
        <v>9.8094755961306689E-3</v>
      </c>
      <c r="AB718" s="226">
        <f t="shared" si="190"/>
        <v>9.6107269542529475E-3</v>
      </c>
      <c r="AC718" s="226">
        <f t="shared" si="190"/>
        <v>9.4160051354465653E-3</v>
      </c>
      <c r="AD718" s="226">
        <f t="shared" ref="AD718:AG720" si="192">AC718*(1+($AH718/$N718)^(1/($AH$6-$N$6))-1)</f>
        <v>9.2252285527185517E-3</v>
      </c>
      <c r="AE718" s="226">
        <f t="shared" si="192"/>
        <v>9.038317272100492E-3</v>
      </c>
      <c r="AF718" s="226">
        <f t="shared" si="192"/>
        <v>8.8551929791567917E-3</v>
      </c>
      <c r="AG718" s="226">
        <f t="shared" si="192"/>
        <v>8.675778946171506E-3</v>
      </c>
      <c r="AH718" s="227">
        <v>8.5000000000000006E-3</v>
      </c>
      <c r="AI718" s="226">
        <f t="shared" si="191"/>
        <v>8.3277824905719743E-3</v>
      </c>
      <c r="AJ718" s="226">
        <f t="shared" si="191"/>
        <v>8.1590542600326055E-3</v>
      </c>
      <c r="AK718" s="226">
        <f t="shared" si="191"/>
        <v>7.993744612508966E-3</v>
      </c>
      <c r="AL718" s="226">
        <f t="shared" si="191"/>
        <v>7.8317842844889667E-3</v>
      </c>
      <c r="AM718" s="226">
        <f t="shared" si="191"/>
        <v>7.6731054158004674E-3</v>
      </c>
      <c r="AN718" s="226">
        <f t="shared" si="191"/>
        <v>7.5176415211783663E-3</v>
      </c>
      <c r="AO718" s="226">
        <f t="shared" si="191"/>
        <v>7.3653274624077714E-3</v>
      </c>
      <c r="AP718" s="226">
        <f t="shared" si="191"/>
        <v>7.21609942103157E-3</v>
      </c>
      <c r="AQ718" s="226">
        <f t="shared" si="191"/>
        <v>7.0698948716109728E-3</v>
      </c>
      <c r="AR718" s="226">
        <f t="shared" si="191"/>
        <v>6.9266525555278175E-3</v>
      </c>
      <c r="AS718" s="226">
        <f t="shared" si="191"/>
        <v>6.7863124553176673E-3</v>
      </c>
      <c r="AT718" s="226">
        <f t="shared" si="191"/>
        <v>6.6488157695229373E-3</v>
      </c>
      <c r="AU718" s="226">
        <f t="shared" si="191"/>
        <v>6.5141048880555221E-3</v>
      </c>
      <c r="AV718" s="226">
        <f t="shared" si="191"/>
        <v>6.3821233680585983E-3</v>
      </c>
      <c r="AW718" s="226">
        <f t="shared" si="191"/>
        <v>6.2528159102574858E-3</v>
      </c>
      <c r="AX718" s="226">
        <f t="shared" ref="AX718:BE720" si="193">AW718*(1+($AH718/$N718)^(1/($AH$6-$N$6))-1)</f>
        <v>6.1261283357896641E-3</v>
      </c>
      <c r="AY718" s="226">
        <f t="shared" si="193"/>
        <v>6.0020075635042339E-3</v>
      </c>
      <c r="AZ718" s="226">
        <f t="shared" si="193"/>
        <v>5.8804015877213078E-3</v>
      </c>
      <c r="BA718" s="226">
        <f t="shared" si="193"/>
        <v>5.7612594564420165E-3</v>
      </c>
      <c r="BB718" s="226">
        <f t="shared" si="193"/>
        <v>5.6445312500000037E-3</v>
      </c>
      <c r="BC718" s="226">
        <f t="shared" si="193"/>
        <v>5.5301680601454548E-3</v>
      </c>
      <c r="BD718" s="226">
        <f t="shared" si="193"/>
        <v>5.4181219695529055E-3</v>
      </c>
      <c r="BE718" s="226">
        <f t="shared" si="193"/>
        <v>5.3083460317442377E-3</v>
      </c>
    </row>
    <row r="719" spans="2:57" s="10" customFormat="1" x14ac:dyDescent="0.35">
      <c r="E719" s="10" t="s">
        <v>681</v>
      </c>
      <c r="F719" s="10" t="s">
        <v>615</v>
      </c>
      <c r="G719" s="43" t="s">
        <v>616</v>
      </c>
      <c r="I719" s="20"/>
      <c r="J719" s="200"/>
      <c r="K719" s="200"/>
      <c r="L719" s="200"/>
      <c r="M719" s="200"/>
      <c r="N719" s="200">
        <v>1.2699999999999999E-2</v>
      </c>
      <c r="O719" s="226">
        <f t="shared" ref="O719:AD720" si="194">N719*(1+($AH719/$N719)^(1/($AH$6-$N$6))-1)</f>
        <v>1.2469173517954405E-2</v>
      </c>
      <c r="P719" s="226">
        <f t="shared" si="194"/>
        <v>1.2242542379594917E-2</v>
      </c>
      <c r="Q719" s="226">
        <f t="shared" si="194"/>
        <v>1.2020030333234602E-2</v>
      </c>
      <c r="R719" s="226">
        <f t="shared" si="194"/>
        <v>1.1801562513084849E-2</v>
      </c>
      <c r="S719" s="226">
        <f t="shared" si="194"/>
        <v>1.1587065414066225E-2</v>
      </c>
      <c r="T719" s="226">
        <f t="shared" si="194"/>
        <v>1.1376466867077164E-2</v>
      </c>
      <c r="U719" s="226">
        <f t="shared" si="194"/>
        <v>1.116969601471215E-2</v>
      </c>
      <c r="V719" s="226">
        <f t="shared" si="194"/>
        <v>1.0966683287421229E-2</v>
      </c>
      <c r="W719" s="226">
        <f t="shared" si="194"/>
        <v>1.0767360380102831E-2</v>
      </c>
      <c r="X719" s="226">
        <f t="shared" si="194"/>
        <v>1.0571660229122025E-2</v>
      </c>
      <c r="Y719" s="226">
        <f t="shared" si="194"/>
        <v>1.0379516989746469E-2</v>
      </c>
      <c r="Z719" s="226">
        <f t="shared" si="194"/>
        <v>1.0190866013992481E-2</v>
      </c>
      <c r="AA719" s="226">
        <f t="shared" si="194"/>
        <v>1.0005643828873749E-2</v>
      </c>
      <c r="AB719" s="226">
        <f t="shared" si="194"/>
        <v>9.8237881150453916E-3</v>
      </c>
      <c r="AC719" s="226">
        <f t="shared" si="194"/>
        <v>9.6452376858361596E-3</v>
      </c>
      <c r="AD719" s="226">
        <f t="shared" si="194"/>
        <v>9.4699324666617391E-3</v>
      </c>
      <c r="AE719" s="226">
        <f t="shared" si="192"/>
        <v>9.297813474812221E-3</v>
      </c>
      <c r="AF719" s="226">
        <f t="shared" si="192"/>
        <v>9.1288227996069431E-3</v>
      </c>
      <c r="AG719" s="226">
        <f t="shared" si="192"/>
        <v>8.9629035829100236E-3</v>
      </c>
      <c r="AH719" s="227">
        <v>8.8000000000000005E-3</v>
      </c>
      <c r="AI719" s="226">
        <f t="shared" ref="AI719:AX720" si="195">AH719*(1+($AH719/$N719)^(1/($AH$6-$N$6))-1)</f>
        <v>8.6400572407873046E-3</v>
      </c>
      <c r="AJ719" s="226">
        <f t="shared" si="195"/>
        <v>8.4830214913728559E-3</v>
      </c>
      <c r="AK719" s="226">
        <f t="shared" si="195"/>
        <v>8.3288399159420871E-3</v>
      </c>
      <c r="AL719" s="226">
        <f t="shared" si="195"/>
        <v>8.1774606389879278E-3</v>
      </c>
      <c r="AM719" s="226">
        <f t="shared" si="195"/>
        <v>8.0288327278569115E-3</v>
      </c>
      <c r="AN719" s="226">
        <f t="shared" si="195"/>
        <v>7.8829061756125231E-3</v>
      </c>
      <c r="AO719" s="226">
        <f t="shared" si="195"/>
        <v>7.7396318842099937E-3</v>
      </c>
      <c r="AP719" s="226">
        <f t="shared" si="195"/>
        <v>7.5989616479769147E-3</v>
      </c>
      <c r="AQ719" s="226">
        <f t="shared" si="195"/>
        <v>7.4608481373940883E-3</v>
      </c>
      <c r="AR719" s="226">
        <f t="shared" si="195"/>
        <v>7.3252448831711671E-3</v>
      </c>
      <c r="AS719" s="226">
        <f t="shared" si="195"/>
        <v>7.1921062606117268E-3</v>
      </c>
      <c r="AT719" s="226">
        <f t="shared" si="195"/>
        <v>7.0613874742625066E-3</v>
      </c>
      <c r="AU719" s="226">
        <f t="shared" si="195"/>
        <v>6.9330445428416529E-3</v>
      </c>
      <c r="AV719" s="226">
        <f t="shared" si="195"/>
        <v>6.8070342844409014E-3</v>
      </c>
      <c r="AW719" s="226">
        <f t="shared" si="195"/>
        <v>6.683314301996709E-3</v>
      </c>
      <c r="AX719" s="226">
        <f t="shared" si="195"/>
        <v>6.5618429690254563E-3</v>
      </c>
      <c r="AY719" s="226">
        <f t="shared" si="193"/>
        <v>6.4425794156179163E-3</v>
      </c>
      <c r="AZ719" s="226">
        <f t="shared" si="193"/>
        <v>6.3254835146882753E-3</v>
      </c>
      <c r="BA719" s="226">
        <f t="shared" si="193"/>
        <v>6.2105158684730866E-3</v>
      </c>
      <c r="BB719" s="226">
        <f t="shared" si="193"/>
        <v>6.0976377952756079E-3</v>
      </c>
      <c r="BC719" s="226">
        <f t="shared" si="193"/>
        <v>5.9868113164510631E-3</v>
      </c>
      <c r="BD719" s="226">
        <f t="shared" si="193"/>
        <v>5.877999143628453E-3</v>
      </c>
      <c r="BE719" s="226">
        <f t="shared" si="193"/>
        <v>5.7711646661646127E-3</v>
      </c>
    </row>
    <row r="720" spans="2:57" s="10" customFormat="1" x14ac:dyDescent="0.35">
      <c r="B720" s="13"/>
      <c r="E720" s="10" t="s">
        <v>682</v>
      </c>
      <c r="F720" s="10" t="s">
        <v>615</v>
      </c>
      <c r="G720" s="43" t="s">
        <v>616</v>
      </c>
      <c r="I720" s="20"/>
      <c r="J720" s="200"/>
      <c r="K720" s="200"/>
      <c r="L720" s="200"/>
      <c r="M720" s="200"/>
      <c r="N720" s="200">
        <v>1.26E-2</v>
      </c>
      <c r="O720" s="226">
        <f t="shared" si="194"/>
        <v>1.2396642798976135E-2</v>
      </c>
      <c r="P720" s="226">
        <f t="shared" si="194"/>
        <v>1.2196567673444987E-2</v>
      </c>
      <c r="Q720" s="226">
        <f t="shared" si="194"/>
        <v>1.1999721652479119E-2</v>
      </c>
      <c r="R720" s="226">
        <f t="shared" si="194"/>
        <v>1.1806052620073275E-2</v>
      </c>
      <c r="S720" s="226">
        <f t="shared" si="194"/>
        <v>1.1615509301346404E-2</v>
      </c>
      <c r="T720" s="226">
        <f t="shared" si="194"/>
        <v>1.1428041248966367E-2</v>
      </c>
      <c r="U720" s="226">
        <f t="shared" si="194"/>
        <v>1.1243598829793741E-2</v>
      </c>
      <c r="V720" s="226">
        <f t="shared" si="194"/>
        <v>1.1062133211741196E-2</v>
      </c>
      <c r="W720" s="226">
        <f t="shared" si="194"/>
        <v>1.0883596350844939E-2</v>
      </c>
      <c r="X720" s="226">
        <f t="shared" si="194"/>
        <v>1.0707940978544829E-2</v>
      </c>
      <c r="Y720" s="226">
        <f t="shared" si="194"/>
        <v>1.0535120589169779E-2</v>
      </c>
      <c r="Z720" s="226">
        <f t="shared" si="194"/>
        <v>1.0365089427625139E-2</v>
      </c>
      <c r="AA720" s="226">
        <f t="shared" si="194"/>
        <v>1.0197802477278797E-2</v>
      </c>
      <c r="AB720" s="226">
        <f t="shared" si="194"/>
        <v>1.0033215448042792E-2</v>
      </c>
      <c r="AC720" s="226">
        <f t="shared" si="194"/>
        <v>9.871284764647284E-3</v>
      </c>
      <c r="AD720" s="226">
        <f t="shared" si="194"/>
        <v>9.7119675551037756E-3</v>
      </c>
      <c r="AE720" s="226">
        <f t="shared" si="192"/>
        <v>9.5552216393545303E-3</v>
      </c>
      <c r="AF720" s="226">
        <f t="shared" si="192"/>
        <v>9.4010055181051808E-3</v>
      </c>
      <c r="AG720" s="226">
        <f t="shared" si="192"/>
        <v>9.2492783618375787E-3</v>
      </c>
      <c r="AH720" s="227">
        <v>9.1000000000000004E-3</v>
      </c>
      <c r="AI720" s="226">
        <f t="shared" si="195"/>
        <v>8.9531309103716532E-3</v>
      </c>
      <c r="AJ720" s="226">
        <f t="shared" si="195"/>
        <v>8.808632208599159E-3</v>
      </c>
      <c r="AK720" s="226">
        <f t="shared" si="195"/>
        <v>8.6664656379015874E-3</v>
      </c>
      <c r="AL720" s="226">
        <f t="shared" si="195"/>
        <v>8.526593558941812E-3</v>
      </c>
      <c r="AM720" s="226">
        <f t="shared" si="195"/>
        <v>8.388978939861293E-3</v>
      </c>
      <c r="AN720" s="226">
        <f t="shared" si="195"/>
        <v>8.25358534647571E-3</v>
      </c>
      <c r="AO720" s="226">
        <f t="shared" si="195"/>
        <v>8.120376932628813E-3</v>
      </c>
      <c r="AP720" s="226">
        <f t="shared" si="195"/>
        <v>7.9893184307019745E-3</v>
      </c>
      <c r="AQ720" s="226">
        <f t="shared" si="195"/>
        <v>7.8603751422768996E-3</v>
      </c>
      <c r="AR720" s="226">
        <f t="shared" si="195"/>
        <v>7.7335129289490424E-3</v>
      </c>
      <c r="AS720" s="226">
        <f t="shared" si="195"/>
        <v>7.6086982032892844E-3</v>
      </c>
      <c r="AT720" s="226">
        <f t="shared" si="195"/>
        <v>7.4858979199514892E-3</v>
      </c>
      <c r="AU720" s="226">
        <f t="shared" si="195"/>
        <v>7.3650795669235759E-3</v>
      </c>
      <c r="AV720" s="226">
        <f t="shared" si="195"/>
        <v>7.2462111569197947E-3</v>
      </c>
      <c r="AW720" s="226">
        <f t="shared" si="195"/>
        <v>7.1292612189119281E-3</v>
      </c>
      <c r="AX720" s="226">
        <f t="shared" si="195"/>
        <v>7.0141987897971722E-3</v>
      </c>
      <c r="AY720" s="226">
        <f t="shared" si="193"/>
        <v>6.9009934062004945E-3</v>
      </c>
      <c r="AZ720" s="226">
        <f t="shared" si="193"/>
        <v>6.7896150964092969E-3</v>
      </c>
      <c r="BA720" s="226">
        <f t="shared" si="193"/>
        <v>6.6800343724382509E-3</v>
      </c>
      <c r="BB720" s="226">
        <f t="shared" si="193"/>
        <v>6.5722222222221989E-3</v>
      </c>
      <c r="BC720" s="226">
        <f t="shared" si="193"/>
        <v>6.4661501019350597E-3</v>
      </c>
      <c r="BD720" s="226">
        <f t="shared" si="193"/>
        <v>6.3617899284327028E-3</v>
      </c>
      <c r="BE720" s="226">
        <f t="shared" si="193"/>
        <v>6.2591140718177909E-3</v>
      </c>
    </row>
    <row r="721" spans="2:57" s="4" customFormat="1" ht="5.25" customHeight="1" x14ac:dyDescent="0.35">
      <c r="B721" s="2"/>
      <c r="E721" s="26"/>
      <c r="G721" s="43"/>
      <c r="I721" s="150"/>
      <c r="J721" s="150"/>
      <c r="K721" s="150"/>
      <c r="L721" s="150"/>
      <c r="M721" s="150"/>
      <c r="N721" s="150"/>
      <c r="O721" s="150"/>
      <c r="P721" s="150"/>
      <c r="Q721" s="150"/>
      <c r="R721" s="150"/>
      <c r="S721" s="150"/>
      <c r="T721" s="150"/>
      <c r="U721" s="150"/>
      <c r="V721" s="150"/>
      <c r="W721" s="150"/>
      <c r="X721" s="150"/>
      <c r="Y721" s="150"/>
      <c r="Z721" s="150"/>
      <c r="AA721" s="150"/>
      <c r="AB721" s="150"/>
      <c r="AC721" s="150"/>
      <c r="AD721" s="150"/>
      <c r="AE721" s="150"/>
      <c r="AF721" s="150"/>
      <c r="AG721" s="150"/>
      <c r="AH721" s="150"/>
      <c r="AI721" s="150"/>
      <c r="AJ721" s="150"/>
      <c r="AK721" s="150"/>
      <c r="AL721" s="150"/>
      <c r="AM721" s="150"/>
      <c r="AN721" s="150"/>
      <c r="AO721" s="150"/>
      <c r="AP721" s="150"/>
      <c r="AQ721" s="150"/>
      <c r="AR721" s="150"/>
      <c r="AS721" s="150"/>
      <c r="AT721" s="150"/>
      <c r="AU721" s="150"/>
      <c r="AV721" s="150"/>
      <c r="AW721" s="150"/>
      <c r="AX721" s="150"/>
      <c r="AY721" s="150"/>
      <c r="AZ721" s="150"/>
      <c r="BA721" s="150"/>
      <c r="BB721" s="150"/>
      <c r="BC721" s="150"/>
      <c r="BD721" s="150"/>
      <c r="BE721" s="150"/>
    </row>
    <row r="722" spans="2:57" s="4" customFormat="1" ht="15" customHeight="1" x14ac:dyDescent="0.35">
      <c r="B722" s="2" t="s">
        <v>689</v>
      </c>
      <c r="E722" s="26"/>
      <c r="G722" s="43"/>
      <c r="I722" s="150"/>
      <c r="J722" s="150"/>
      <c r="K722" s="150"/>
      <c r="L722" s="150"/>
      <c r="M722" s="150"/>
      <c r="N722" s="150"/>
      <c r="O722" s="150"/>
      <c r="P722" s="150"/>
      <c r="Q722" s="150"/>
      <c r="R722" s="150"/>
      <c r="S722" s="150"/>
      <c r="T722" s="150"/>
      <c r="U722" s="150"/>
      <c r="V722" s="150"/>
      <c r="W722" s="150"/>
      <c r="X722" s="150"/>
      <c r="Y722" s="150"/>
      <c r="Z722" s="150"/>
      <c r="AA722" s="150"/>
      <c r="AB722" s="150"/>
      <c r="AC722" s="150"/>
      <c r="AD722" s="150"/>
      <c r="AE722" s="150"/>
      <c r="AF722" s="150"/>
      <c r="AG722" s="150"/>
      <c r="AH722" s="150"/>
      <c r="AI722" s="150"/>
      <c r="AJ722" s="150"/>
      <c r="AK722" s="150"/>
      <c r="AL722" s="150"/>
      <c r="AM722" s="150"/>
      <c r="AN722" s="150"/>
      <c r="AO722" s="150"/>
      <c r="AP722" s="150"/>
      <c r="AQ722" s="150"/>
      <c r="AR722" s="150"/>
      <c r="AS722" s="150"/>
      <c r="AT722" s="150"/>
      <c r="AU722" s="150"/>
      <c r="AV722" s="150"/>
      <c r="AW722" s="150"/>
      <c r="AX722" s="150"/>
      <c r="AY722" s="150"/>
      <c r="AZ722" s="150"/>
      <c r="BA722" s="150"/>
      <c r="BB722" s="150"/>
      <c r="BC722" s="150"/>
      <c r="BD722" s="150"/>
      <c r="BE722" s="150"/>
    </row>
    <row r="723" spans="2:57" s="4" customFormat="1" ht="5.25" customHeight="1" x14ac:dyDescent="0.35">
      <c r="B723" s="2"/>
      <c r="E723" s="26"/>
      <c r="G723" s="43"/>
      <c r="I723" s="150"/>
      <c r="J723" s="150"/>
      <c r="K723" s="150"/>
      <c r="L723" s="150"/>
      <c r="M723" s="150"/>
      <c r="N723" s="150"/>
      <c r="O723" s="150"/>
      <c r="P723" s="150"/>
      <c r="Q723" s="150"/>
      <c r="R723" s="150"/>
      <c r="S723" s="150"/>
      <c r="T723" s="150"/>
      <c r="U723" s="150"/>
      <c r="V723" s="150"/>
      <c r="W723" s="150"/>
      <c r="X723" s="150"/>
      <c r="Y723" s="150"/>
      <c r="Z723" s="150"/>
      <c r="AA723" s="150"/>
      <c r="AB723" s="150"/>
      <c r="AC723" s="150"/>
      <c r="AD723" s="150"/>
      <c r="AE723" s="150"/>
      <c r="AF723" s="150"/>
      <c r="AG723" s="150"/>
      <c r="AH723" s="150"/>
      <c r="AI723" s="150"/>
      <c r="AJ723" s="150"/>
      <c r="AK723" s="150"/>
      <c r="AL723" s="150"/>
      <c r="AM723" s="150"/>
      <c r="AN723" s="150"/>
      <c r="AO723" s="150"/>
      <c r="AP723" s="150"/>
      <c r="AQ723" s="150"/>
      <c r="AR723" s="150"/>
      <c r="AS723" s="150"/>
      <c r="AT723" s="150"/>
      <c r="AU723" s="150"/>
      <c r="AV723" s="150"/>
      <c r="AW723" s="150"/>
      <c r="AX723" s="150"/>
      <c r="AY723" s="150"/>
      <c r="AZ723" s="150"/>
      <c r="BA723" s="150"/>
      <c r="BB723" s="150"/>
      <c r="BC723" s="150"/>
      <c r="BD723" s="150"/>
      <c r="BE723" s="150"/>
    </row>
    <row r="724" spans="2:57" s="4" customFormat="1" ht="15" customHeight="1" x14ac:dyDescent="0.35">
      <c r="B724" s="2"/>
      <c r="D724" s="3" t="s">
        <v>690</v>
      </c>
      <c r="G724" s="43"/>
      <c r="I724" s="231"/>
      <c r="J724" s="231"/>
      <c r="K724" s="231"/>
      <c r="L724" s="231"/>
      <c r="M724" s="231"/>
      <c r="N724" s="231"/>
      <c r="O724" s="231"/>
      <c r="P724" s="231"/>
      <c r="Q724" s="231"/>
      <c r="R724" s="231"/>
      <c r="S724" s="231"/>
      <c r="T724" s="231"/>
      <c r="U724" s="231"/>
      <c r="V724" s="231"/>
      <c r="W724" s="231"/>
      <c r="X724" s="231"/>
      <c r="Y724" s="231"/>
      <c r="Z724" s="231"/>
      <c r="AA724" s="231"/>
      <c r="AB724" s="231"/>
      <c r="AC724" s="231"/>
      <c r="AD724" s="231"/>
      <c r="AE724" s="231"/>
      <c r="AF724" s="231"/>
      <c r="AG724" s="231"/>
      <c r="AH724" s="231"/>
      <c r="AI724" s="231"/>
      <c r="AJ724" s="231"/>
      <c r="AK724" s="231"/>
      <c r="AL724" s="231"/>
      <c r="AM724" s="231"/>
      <c r="AN724" s="231"/>
      <c r="AO724" s="231"/>
      <c r="AP724" s="231"/>
      <c r="AQ724" s="231"/>
      <c r="AR724" s="231"/>
      <c r="AS724" s="231"/>
      <c r="AT724" s="231"/>
      <c r="AU724" s="231"/>
      <c r="AV724" s="231"/>
      <c r="AW724" s="231"/>
      <c r="AX724" s="231"/>
      <c r="AY724" s="231"/>
      <c r="AZ724" s="231"/>
      <c r="BA724" s="231"/>
      <c r="BB724" s="231"/>
      <c r="BC724" s="231"/>
      <c r="BD724" s="231"/>
      <c r="BE724" s="231"/>
    </row>
    <row r="725" spans="2:57" s="4" customFormat="1" ht="15" customHeight="1" x14ac:dyDescent="0.35">
      <c r="B725" s="2"/>
      <c r="D725" s="3"/>
      <c r="E725" s="4" t="s">
        <v>691</v>
      </c>
      <c r="F725" s="4" t="s">
        <v>240</v>
      </c>
      <c r="G725" s="43" t="s">
        <v>241</v>
      </c>
      <c r="I725" s="127">
        <v>103</v>
      </c>
      <c r="J725" s="127">
        <v>99</v>
      </c>
      <c r="K725" s="127">
        <v>94</v>
      </c>
      <c r="L725" s="127">
        <v>89</v>
      </c>
      <c r="M725" s="127">
        <v>84</v>
      </c>
      <c r="N725" s="127">
        <v>79</v>
      </c>
      <c r="O725" s="127">
        <v>74</v>
      </c>
      <c r="P725" s="127">
        <v>69</v>
      </c>
      <c r="Q725" s="127">
        <v>65</v>
      </c>
      <c r="R725" s="127">
        <v>61</v>
      </c>
      <c r="S725" s="127">
        <v>57</v>
      </c>
      <c r="T725" s="127">
        <v>53</v>
      </c>
      <c r="U725" s="127">
        <v>49</v>
      </c>
      <c r="V725" s="127">
        <v>46</v>
      </c>
      <c r="W725" s="127">
        <v>43</v>
      </c>
      <c r="X725" s="127">
        <v>40</v>
      </c>
      <c r="Y725" s="127">
        <v>37</v>
      </c>
      <c r="Z725" s="127">
        <v>35</v>
      </c>
      <c r="AA725" s="127">
        <v>33</v>
      </c>
      <c r="AB725" s="127">
        <v>31</v>
      </c>
      <c r="AC725" s="127">
        <v>29</v>
      </c>
      <c r="AD725" s="127">
        <v>28</v>
      </c>
      <c r="AE725" s="160">
        <f>AD725</f>
        <v>28</v>
      </c>
      <c r="AF725" s="160">
        <f t="shared" ref="AF725:AU727" si="196">AE725</f>
        <v>28</v>
      </c>
      <c r="AG725" s="160">
        <f t="shared" si="196"/>
        <v>28</v>
      </c>
      <c r="AH725" s="160">
        <f t="shared" si="196"/>
        <v>28</v>
      </c>
      <c r="AI725" s="160">
        <f t="shared" si="196"/>
        <v>28</v>
      </c>
      <c r="AJ725" s="160">
        <f t="shared" si="196"/>
        <v>28</v>
      </c>
      <c r="AK725" s="160">
        <f t="shared" si="196"/>
        <v>28</v>
      </c>
      <c r="AL725" s="160">
        <f t="shared" si="196"/>
        <v>28</v>
      </c>
      <c r="AM725" s="160">
        <f t="shared" si="196"/>
        <v>28</v>
      </c>
      <c r="AN725" s="160">
        <f t="shared" si="196"/>
        <v>28</v>
      </c>
      <c r="AO725" s="160">
        <f t="shared" si="196"/>
        <v>28</v>
      </c>
      <c r="AP725" s="160">
        <f t="shared" si="196"/>
        <v>28</v>
      </c>
      <c r="AQ725" s="160">
        <f t="shared" si="196"/>
        <v>28</v>
      </c>
      <c r="AR725" s="160">
        <f t="shared" si="196"/>
        <v>28</v>
      </c>
      <c r="AS725" s="160">
        <f t="shared" si="196"/>
        <v>28</v>
      </c>
      <c r="AT725" s="160">
        <f t="shared" si="196"/>
        <v>28</v>
      </c>
      <c r="AU725" s="160">
        <f t="shared" si="196"/>
        <v>28</v>
      </c>
      <c r="AV725" s="160">
        <f t="shared" ref="AV725:BE727" si="197">AU725</f>
        <v>28</v>
      </c>
      <c r="AW725" s="160">
        <f t="shared" si="197"/>
        <v>28</v>
      </c>
      <c r="AX725" s="160">
        <f t="shared" si="197"/>
        <v>28</v>
      </c>
      <c r="AY725" s="160">
        <f t="shared" si="197"/>
        <v>28</v>
      </c>
      <c r="AZ725" s="160">
        <f t="shared" si="197"/>
        <v>28</v>
      </c>
      <c r="BA725" s="160">
        <f t="shared" si="197"/>
        <v>28</v>
      </c>
      <c r="BB725" s="160">
        <f t="shared" si="197"/>
        <v>28</v>
      </c>
      <c r="BC725" s="160">
        <f t="shared" si="197"/>
        <v>28</v>
      </c>
      <c r="BD725" s="160">
        <f t="shared" si="197"/>
        <v>28</v>
      </c>
      <c r="BE725" s="160">
        <f t="shared" si="197"/>
        <v>28</v>
      </c>
    </row>
    <row r="726" spans="2:57" s="4" customFormat="1" ht="15" customHeight="1" x14ac:dyDescent="0.35">
      <c r="B726" s="2"/>
      <c r="D726" s="3"/>
      <c r="E726" s="4" t="s">
        <v>692</v>
      </c>
      <c r="F726" s="4" t="s">
        <v>240</v>
      </c>
      <c r="G726" s="43" t="s">
        <v>241</v>
      </c>
      <c r="I726" s="127">
        <v>200</v>
      </c>
      <c r="J726" s="127">
        <v>187</v>
      </c>
      <c r="K726" s="127">
        <v>185</v>
      </c>
      <c r="L726" s="127">
        <v>177</v>
      </c>
      <c r="M726" s="127">
        <v>172</v>
      </c>
      <c r="N726" s="127">
        <v>162</v>
      </c>
      <c r="O726" s="127">
        <v>150</v>
      </c>
      <c r="P726" s="127">
        <v>144</v>
      </c>
      <c r="Q726" s="127">
        <v>138</v>
      </c>
      <c r="R726" s="127">
        <v>132</v>
      </c>
      <c r="S726" s="127">
        <v>126</v>
      </c>
      <c r="T726" s="127">
        <v>119</v>
      </c>
      <c r="U726" s="127">
        <v>112</v>
      </c>
      <c r="V726" s="127">
        <v>105</v>
      </c>
      <c r="W726" s="127">
        <v>98</v>
      </c>
      <c r="X726" s="127">
        <v>91</v>
      </c>
      <c r="Y726" s="127">
        <v>84</v>
      </c>
      <c r="Z726" s="127">
        <v>77</v>
      </c>
      <c r="AA726" s="127">
        <v>71</v>
      </c>
      <c r="AB726" s="127">
        <v>67</v>
      </c>
      <c r="AC726" s="127">
        <v>63</v>
      </c>
      <c r="AD726" s="127">
        <v>60</v>
      </c>
      <c r="AE726" s="160">
        <f>AD726</f>
        <v>60</v>
      </c>
      <c r="AF726" s="160">
        <f t="shared" si="196"/>
        <v>60</v>
      </c>
      <c r="AG726" s="160">
        <f t="shared" si="196"/>
        <v>60</v>
      </c>
      <c r="AH726" s="160">
        <f t="shared" si="196"/>
        <v>60</v>
      </c>
      <c r="AI726" s="160">
        <f t="shared" si="196"/>
        <v>60</v>
      </c>
      <c r="AJ726" s="160">
        <f t="shared" si="196"/>
        <v>60</v>
      </c>
      <c r="AK726" s="160">
        <f t="shared" si="196"/>
        <v>60</v>
      </c>
      <c r="AL726" s="160">
        <f t="shared" si="196"/>
        <v>60</v>
      </c>
      <c r="AM726" s="160">
        <f t="shared" si="196"/>
        <v>60</v>
      </c>
      <c r="AN726" s="160">
        <f t="shared" si="196"/>
        <v>60</v>
      </c>
      <c r="AO726" s="160">
        <f t="shared" si="196"/>
        <v>60</v>
      </c>
      <c r="AP726" s="160">
        <f t="shared" si="196"/>
        <v>60</v>
      </c>
      <c r="AQ726" s="160">
        <f t="shared" si="196"/>
        <v>60</v>
      </c>
      <c r="AR726" s="160">
        <f t="shared" si="196"/>
        <v>60</v>
      </c>
      <c r="AS726" s="160">
        <f t="shared" si="196"/>
        <v>60</v>
      </c>
      <c r="AT726" s="160">
        <f t="shared" si="196"/>
        <v>60</v>
      </c>
      <c r="AU726" s="160">
        <f t="shared" si="196"/>
        <v>60</v>
      </c>
      <c r="AV726" s="160">
        <f t="shared" si="197"/>
        <v>60</v>
      </c>
      <c r="AW726" s="160">
        <f t="shared" si="197"/>
        <v>60</v>
      </c>
      <c r="AX726" s="160">
        <f t="shared" si="197"/>
        <v>60</v>
      </c>
      <c r="AY726" s="160">
        <f t="shared" si="197"/>
        <v>60</v>
      </c>
      <c r="AZ726" s="160">
        <f t="shared" si="197"/>
        <v>60</v>
      </c>
      <c r="BA726" s="160">
        <f t="shared" si="197"/>
        <v>60</v>
      </c>
      <c r="BB726" s="160">
        <f t="shared" si="197"/>
        <v>60</v>
      </c>
      <c r="BC726" s="160">
        <f t="shared" si="197"/>
        <v>60</v>
      </c>
      <c r="BD726" s="160">
        <f t="shared" si="197"/>
        <v>60</v>
      </c>
      <c r="BE726" s="160">
        <f t="shared" si="197"/>
        <v>60</v>
      </c>
    </row>
    <row r="727" spans="2:57" s="4" customFormat="1" ht="15" customHeight="1" x14ac:dyDescent="0.35">
      <c r="B727" s="2"/>
      <c r="D727" s="3"/>
      <c r="E727" s="4" t="s">
        <v>693</v>
      </c>
      <c r="F727" s="4" t="s">
        <v>240</v>
      </c>
      <c r="G727" s="43" t="s">
        <v>241</v>
      </c>
      <c r="I727" s="127">
        <v>233</v>
      </c>
      <c r="J727" s="127">
        <v>231</v>
      </c>
      <c r="K727" s="127">
        <v>228</v>
      </c>
      <c r="L727" s="127">
        <v>225</v>
      </c>
      <c r="M727" s="127">
        <v>223</v>
      </c>
      <c r="N727" s="127">
        <v>220</v>
      </c>
      <c r="O727" s="127">
        <v>217</v>
      </c>
      <c r="P727" s="127">
        <v>215</v>
      </c>
      <c r="Q727" s="127">
        <v>212</v>
      </c>
      <c r="R727" s="127">
        <v>209</v>
      </c>
      <c r="S727" s="127">
        <v>206</v>
      </c>
      <c r="T727" s="127">
        <v>203</v>
      </c>
      <c r="U727" s="127">
        <v>200</v>
      </c>
      <c r="V727" s="127">
        <v>197</v>
      </c>
      <c r="W727" s="127">
        <v>193</v>
      </c>
      <c r="X727" s="127">
        <v>190</v>
      </c>
      <c r="Y727" s="127">
        <v>187</v>
      </c>
      <c r="Z727" s="127">
        <v>184</v>
      </c>
      <c r="AA727" s="127">
        <v>180</v>
      </c>
      <c r="AB727" s="127">
        <v>177</v>
      </c>
      <c r="AC727" s="127">
        <v>174</v>
      </c>
      <c r="AD727" s="127">
        <v>171</v>
      </c>
      <c r="AE727" s="160">
        <f>AD727</f>
        <v>171</v>
      </c>
      <c r="AF727" s="160">
        <f t="shared" si="196"/>
        <v>171</v>
      </c>
      <c r="AG727" s="160">
        <f t="shared" si="196"/>
        <v>171</v>
      </c>
      <c r="AH727" s="160">
        <f t="shared" si="196"/>
        <v>171</v>
      </c>
      <c r="AI727" s="160">
        <f t="shared" si="196"/>
        <v>171</v>
      </c>
      <c r="AJ727" s="160">
        <f t="shared" si="196"/>
        <v>171</v>
      </c>
      <c r="AK727" s="160">
        <f t="shared" si="196"/>
        <v>171</v>
      </c>
      <c r="AL727" s="160">
        <f t="shared" si="196"/>
        <v>171</v>
      </c>
      <c r="AM727" s="160">
        <f t="shared" si="196"/>
        <v>171</v>
      </c>
      <c r="AN727" s="160">
        <f t="shared" si="196"/>
        <v>171</v>
      </c>
      <c r="AO727" s="160">
        <f t="shared" si="196"/>
        <v>171</v>
      </c>
      <c r="AP727" s="160">
        <f t="shared" si="196"/>
        <v>171</v>
      </c>
      <c r="AQ727" s="160">
        <f t="shared" si="196"/>
        <v>171</v>
      </c>
      <c r="AR727" s="160">
        <f t="shared" si="196"/>
        <v>171</v>
      </c>
      <c r="AS727" s="160">
        <f t="shared" si="196"/>
        <v>171</v>
      </c>
      <c r="AT727" s="160">
        <f t="shared" si="196"/>
        <v>171</v>
      </c>
      <c r="AU727" s="160">
        <f t="shared" si="196"/>
        <v>171</v>
      </c>
      <c r="AV727" s="160">
        <f t="shared" si="197"/>
        <v>171</v>
      </c>
      <c r="AW727" s="160">
        <f t="shared" si="197"/>
        <v>171</v>
      </c>
      <c r="AX727" s="160">
        <f t="shared" si="197"/>
        <v>171</v>
      </c>
      <c r="AY727" s="160">
        <f t="shared" si="197"/>
        <v>171</v>
      </c>
      <c r="AZ727" s="160">
        <f t="shared" si="197"/>
        <v>171</v>
      </c>
      <c r="BA727" s="160">
        <f t="shared" si="197"/>
        <v>171</v>
      </c>
      <c r="BB727" s="160">
        <f t="shared" si="197"/>
        <v>171</v>
      </c>
      <c r="BC727" s="160">
        <f t="shared" si="197"/>
        <v>171</v>
      </c>
      <c r="BD727" s="160">
        <f t="shared" si="197"/>
        <v>171</v>
      </c>
      <c r="BE727" s="160">
        <f t="shared" si="197"/>
        <v>171</v>
      </c>
    </row>
    <row r="728" spans="2:57" s="4" customFormat="1" ht="15" customHeight="1" x14ac:dyDescent="0.35">
      <c r="B728" s="2"/>
      <c r="D728" s="3"/>
      <c r="E728" s="4" t="s">
        <v>694</v>
      </c>
      <c r="F728" s="4" t="s">
        <v>240</v>
      </c>
      <c r="G728" s="43" t="s">
        <v>241</v>
      </c>
      <c r="I728" s="160">
        <v>112.68041237113403</v>
      </c>
      <c r="J728" s="160">
        <v>108.0721649484536</v>
      </c>
      <c r="K728" s="160">
        <v>103.32989690721649</v>
      </c>
      <c r="L728" s="160">
        <v>98.154639175257742</v>
      </c>
      <c r="M728" s="160">
        <v>93.216494845360828</v>
      </c>
      <c r="N728" s="160">
        <v>87.896907216494853</v>
      </c>
      <c r="O728" s="160">
        <v>82.432989690721655</v>
      </c>
      <c r="P728" s="160">
        <v>77.422680412371136</v>
      </c>
      <c r="Q728" s="160">
        <v>73.298969072164951</v>
      </c>
      <c r="R728" s="160">
        <v>69.17525773195878</v>
      </c>
      <c r="S728" s="160">
        <v>65.051546391752581</v>
      </c>
      <c r="T728" s="160">
        <v>60.855670103092784</v>
      </c>
      <c r="U728" s="160">
        <v>56.659793814432987</v>
      </c>
      <c r="V728" s="160">
        <v>53.371134020618555</v>
      </c>
      <c r="W728" s="160">
        <v>50.061855670103093</v>
      </c>
      <c r="X728" s="160">
        <v>46.773195876288661</v>
      </c>
      <c r="Y728" s="160">
        <v>43.484536082474229</v>
      </c>
      <c r="Z728" s="160">
        <v>41.103092783505154</v>
      </c>
      <c r="AA728" s="160">
        <v>38.773195876288661</v>
      </c>
      <c r="AB728" s="160">
        <v>36.608247422680414</v>
      </c>
      <c r="AC728" s="160">
        <v>34.443298969072167</v>
      </c>
      <c r="AD728" s="160">
        <v>33.257731958762889</v>
      </c>
      <c r="AE728" s="160">
        <v>33.257731958762889</v>
      </c>
      <c r="AF728" s="160">
        <v>33.257731958762889</v>
      </c>
      <c r="AG728" s="160">
        <v>33.257731958762889</v>
      </c>
      <c r="AH728" s="160">
        <v>33.257731958762889</v>
      </c>
      <c r="AI728" s="160">
        <v>33.257731958762889</v>
      </c>
      <c r="AJ728" s="160">
        <v>33.257731958762889</v>
      </c>
      <c r="AK728" s="160">
        <v>33.257731958762889</v>
      </c>
      <c r="AL728" s="160">
        <v>33.257731958762889</v>
      </c>
      <c r="AM728" s="160">
        <v>33.257731958762889</v>
      </c>
      <c r="AN728" s="160">
        <v>33.257731958762889</v>
      </c>
      <c r="AO728" s="160">
        <v>33.257731958762889</v>
      </c>
      <c r="AP728" s="160">
        <v>33.257731958762889</v>
      </c>
      <c r="AQ728" s="160">
        <v>33.257731958762889</v>
      </c>
      <c r="AR728" s="160">
        <v>33.257731958762889</v>
      </c>
      <c r="AS728" s="160">
        <v>33.257731958762889</v>
      </c>
      <c r="AT728" s="160">
        <v>33.257731958762889</v>
      </c>
      <c r="AU728" s="160">
        <v>33.257731958762889</v>
      </c>
      <c r="AV728" s="160">
        <v>33.257731958762889</v>
      </c>
      <c r="AW728" s="160">
        <v>33.257731958762889</v>
      </c>
      <c r="AX728" s="160">
        <v>33.257731958762889</v>
      </c>
      <c r="AY728" s="160">
        <v>33.257731958762889</v>
      </c>
      <c r="AZ728" s="160">
        <v>33.257731958762889</v>
      </c>
      <c r="BA728" s="160">
        <v>33.257731958762889</v>
      </c>
      <c r="BB728" s="160">
        <v>33.257731958762889</v>
      </c>
      <c r="BC728" s="160">
        <v>33.257731958762889</v>
      </c>
      <c r="BD728" s="160">
        <v>33.257731958762889</v>
      </c>
      <c r="BE728" s="160">
        <v>33.257731958762889</v>
      </c>
    </row>
    <row r="729" spans="2:57" s="4" customFormat="1" ht="15" customHeight="1" x14ac:dyDescent="0.35">
      <c r="B729" s="2"/>
      <c r="D729" s="3"/>
      <c r="G729" s="43"/>
      <c r="I729" s="231"/>
      <c r="J729" s="231"/>
      <c r="K729" s="231"/>
      <c r="L729" s="231"/>
      <c r="M729" s="231"/>
      <c r="N729" s="231"/>
      <c r="O729" s="231"/>
      <c r="P729" s="231"/>
      <c r="Q729" s="231"/>
      <c r="R729" s="231"/>
      <c r="S729" s="231"/>
      <c r="T729" s="231"/>
      <c r="U729" s="231"/>
      <c r="V729" s="231"/>
      <c r="W729" s="231"/>
      <c r="X729" s="231"/>
      <c r="Y729" s="231"/>
      <c r="Z729" s="231"/>
      <c r="AA729" s="231"/>
      <c r="AB729" s="231"/>
      <c r="AC729" s="231"/>
      <c r="AD729" s="231"/>
      <c r="AE729" s="231"/>
      <c r="AF729" s="231"/>
      <c r="AG729" s="231"/>
      <c r="AH729" s="231"/>
      <c r="AI729" s="231"/>
      <c r="AJ729" s="231"/>
      <c r="AK729" s="231"/>
      <c r="AL729" s="231"/>
      <c r="AM729" s="231"/>
      <c r="AN729" s="231"/>
      <c r="AO729" s="231"/>
      <c r="AP729" s="231"/>
      <c r="AQ729" s="231"/>
      <c r="AR729" s="231"/>
      <c r="AS729" s="231"/>
      <c r="AT729" s="231"/>
      <c r="AU729" s="231"/>
      <c r="AV729" s="231"/>
      <c r="AW729" s="231"/>
      <c r="AX729" s="231"/>
      <c r="AY729" s="231"/>
      <c r="AZ729" s="231"/>
      <c r="BA729" s="231"/>
      <c r="BB729" s="231"/>
      <c r="BC729" s="231"/>
      <c r="BD729" s="231"/>
      <c r="BE729" s="231"/>
    </row>
    <row r="730" spans="2:57" s="4" customFormat="1" ht="15" customHeight="1" x14ac:dyDescent="0.35">
      <c r="B730" s="2"/>
      <c r="D730" s="3" t="s">
        <v>683</v>
      </c>
      <c r="G730" s="43"/>
      <c r="I730" s="231"/>
      <c r="J730" s="231"/>
      <c r="K730" s="231"/>
      <c r="L730" s="231"/>
      <c r="M730" s="231"/>
      <c r="N730" s="231"/>
      <c r="O730" s="231"/>
      <c r="P730" s="231"/>
      <c r="Q730" s="231"/>
      <c r="R730" s="231"/>
      <c r="S730" s="231"/>
      <c r="T730" s="231"/>
      <c r="U730" s="231"/>
      <c r="V730" s="231"/>
      <c r="W730" s="231"/>
      <c r="X730" s="231"/>
      <c r="Y730" s="231"/>
      <c r="Z730" s="231"/>
      <c r="AA730" s="231"/>
      <c r="AB730" s="231"/>
      <c r="AC730" s="231"/>
      <c r="AD730" s="231"/>
      <c r="AE730" s="231"/>
      <c r="AF730" s="231"/>
      <c r="AG730" s="231"/>
      <c r="AH730" s="231"/>
      <c r="AI730" s="231"/>
      <c r="AJ730" s="231"/>
      <c r="AK730" s="231"/>
      <c r="AL730" s="231"/>
      <c r="AM730" s="231"/>
      <c r="AN730" s="231"/>
      <c r="AO730" s="231"/>
      <c r="AP730" s="231"/>
      <c r="AQ730" s="231"/>
      <c r="AR730" s="231"/>
      <c r="AS730" s="231"/>
      <c r="AT730" s="231"/>
      <c r="AU730" s="231"/>
      <c r="AV730" s="231"/>
      <c r="AW730" s="231"/>
      <c r="AX730" s="231"/>
      <c r="AY730" s="231"/>
      <c r="AZ730" s="231"/>
      <c r="BA730" s="231"/>
      <c r="BB730" s="231"/>
      <c r="BC730" s="231"/>
      <c r="BD730" s="231"/>
      <c r="BE730" s="231"/>
    </row>
    <row r="731" spans="2:57" s="4" customFormat="1" ht="15" customHeight="1" x14ac:dyDescent="0.35">
      <c r="B731" s="2"/>
      <c r="D731" s="3"/>
      <c r="E731" s="4" t="s">
        <v>695</v>
      </c>
      <c r="F731" s="4" t="s">
        <v>240</v>
      </c>
      <c r="G731" s="43" t="s">
        <v>241</v>
      </c>
      <c r="I731" s="232">
        <v>2.5</v>
      </c>
      <c r="J731" s="232">
        <v>2.2999999999999998</v>
      </c>
      <c r="K731" s="232">
        <v>2.2000000000000002</v>
      </c>
      <c r="L731" s="232">
        <v>2</v>
      </c>
      <c r="M731" s="232">
        <v>1.9</v>
      </c>
      <c r="N731" s="232">
        <v>1.7</v>
      </c>
      <c r="O731" s="232">
        <v>1.6</v>
      </c>
      <c r="P731" s="232">
        <v>1.5</v>
      </c>
      <c r="Q731" s="232">
        <v>1.4</v>
      </c>
      <c r="R731" s="232">
        <v>1.3</v>
      </c>
      <c r="S731" s="232">
        <v>1.1000000000000001</v>
      </c>
      <c r="T731" s="232">
        <v>1</v>
      </c>
      <c r="U731" s="232">
        <v>1</v>
      </c>
      <c r="V731" s="232">
        <v>0.9</v>
      </c>
      <c r="W731" s="232">
        <v>0.8</v>
      </c>
      <c r="X731" s="232">
        <v>0.7</v>
      </c>
      <c r="Y731" s="232">
        <v>0.7</v>
      </c>
      <c r="Z731" s="232">
        <v>0.6</v>
      </c>
      <c r="AA731" s="232">
        <v>0.6</v>
      </c>
      <c r="AB731" s="232">
        <v>0.5</v>
      </c>
      <c r="AC731" s="232">
        <v>0.5</v>
      </c>
      <c r="AD731" s="232">
        <v>0.4</v>
      </c>
      <c r="AE731" s="233">
        <f>AD731</f>
        <v>0.4</v>
      </c>
      <c r="AF731" s="233">
        <f t="shared" ref="AF731:BE733" si="198">AE731</f>
        <v>0.4</v>
      </c>
      <c r="AG731" s="233">
        <f t="shared" si="198"/>
        <v>0.4</v>
      </c>
      <c r="AH731" s="233">
        <f t="shared" si="198"/>
        <v>0.4</v>
      </c>
      <c r="AI731" s="233">
        <f t="shared" si="198"/>
        <v>0.4</v>
      </c>
      <c r="AJ731" s="233">
        <f t="shared" si="198"/>
        <v>0.4</v>
      </c>
      <c r="AK731" s="233">
        <f t="shared" si="198"/>
        <v>0.4</v>
      </c>
      <c r="AL731" s="233">
        <f t="shared" si="198"/>
        <v>0.4</v>
      </c>
      <c r="AM731" s="233">
        <f t="shared" si="198"/>
        <v>0.4</v>
      </c>
      <c r="AN731" s="233">
        <f t="shared" si="198"/>
        <v>0.4</v>
      </c>
      <c r="AO731" s="233">
        <f t="shared" si="198"/>
        <v>0.4</v>
      </c>
      <c r="AP731" s="233">
        <f t="shared" si="198"/>
        <v>0.4</v>
      </c>
      <c r="AQ731" s="233">
        <f t="shared" si="198"/>
        <v>0.4</v>
      </c>
      <c r="AR731" s="233">
        <f t="shared" si="198"/>
        <v>0.4</v>
      </c>
      <c r="AS731" s="233">
        <f t="shared" si="198"/>
        <v>0.4</v>
      </c>
      <c r="AT731" s="233">
        <f t="shared" si="198"/>
        <v>0.4</v>
      </c>
      <c r="AU731" s="233">
        <f t="shared" si="198"/>
        <v>0.4</v>
      </c>
      <c r="AV731" s="233">
        <f t="shared" si="198"/>
        <v>0.4</v>
      </c>
      <c r="AW731" s="233">
        <f t="shared" si="198"/>
        <v>0.4</v>
      </c>
      <c r="AX731" s="233">
        <f t="shared" si="198"/>
        <v>0.4</v>
      </c>
      <c r="AY731" s="233">
        <f t="shared" si="198"/>
        <v>0.4</v>
      </c>
      <c r="AZ731" s="233">
        <f t="shared" si="198"/>
        <v>0.4</v>
      </c>
      <c r="BA731" s="233">
        <f t="shared" si="198"/>
        <v>0.4</v>
      </c>
      <c r="BB731" s="233">
        <f t="shared" si="198"/>
        <v>0.4</v>
      </c>
      <c r="BC731" s="233">
        <f t="shared" si="198"/>
        <v>0.4</v>
      </c>
      <c r="BD731" s="233">
        <f t="shared" si="198"/>
        <v>0.4</v>
      </c>
      <c r="BE731" s="233">
        <f t="shared" si="198"/>
        <v>0.4</v>
      </c>
    </row>
    <row r="732" spans="2:57" s="4" customFormat="1" ht="15" customHeight="1" x14ac:dyDescent="0.35">
      <c r="B732" s="2"/>
      <c r="D732" s="3"/>
      <c r="E732" s="4" t="s">
        <v>696</v>
      </c>
      <c r="F732" s="4" t="s">
        <v>240</v>
      </c>
      <c r="G732" s="43" t="s">
        <v>241</v>
      </c>
      <c r="I732" s="232">
        <v>4.4000000000000004</v>
      </c>
      <c r="J732" s="232">
        <v>4.0999999999999996</v>
      </c>
      <c r="K732" s="232">
        <v>4</v>
      </c>
      <c r="L732" s="232">
        <v>3.9</v>
      </c>
      <c r="M732" s="232">
        <v>3.7</v>
      </c>
      <c r="N732" s="232">
        <v>3.5</v>
      </c>
      <c r="O732" s="232">
        <v>3.2</v>
      </c>
      <c r="P732" s="232">
        <v>3.1</v>
      </c>
      <c r="Q732" s="232">
        <v>3</v>
      </c>
      <c r="R732" s="232">
        <v>2.8</v>
      </c>
      <c r="S732" s="232">
        <v>2.7</v>
      </c>
      <c r="T732" s="232">
        <v>2.5</v>
      </c>
      <c r="U732" s="232">
        <v>2.4</v>
      </c>
      <c r="V732" s="232">
        <v>2.2000000000000002</v>
      </c>
      <c r="W732" s="232">
        <v>2.1</v>
      </c>
      <c r="X732" s="232">
        <v>1.9</v>
      </c>
      <c r="Y732" s="232">
        <v>1.7</v>
      </c>
      <c r="Z732" s="232">
        <v>1.6</v>
      </c>
      <c r="AA732" s="232">
        <v>1.5</v>
      </c>
      <c r="AB732" s="232">
        <v>1.4</v>
      </c>
      <c r="AC732" s="232">
        <v>1.3</v>
      </c>
      <c r="AD732" s="232">
        <v>1.2</v>
      </c>
      <c r="AE732" s="233">
        <f>AD732</f>
        <v>1.2</v>
      </c>
      <c r="AF732" s="233">
        <f t="shared" si="198"/>
        <v>1.2</v>
      </c>
      <c r="AG732" s="233">
        <f t="shared" si="198"/>
        <v>1.2</v>
      </c>
      <c r="AH732" s="233">
        <f t="shared" si="198"/>
        <v>1.2</v>
      </c>
      <c r="AI732" s="233">
        <f t="shared" si="198"/>
        <v>1.2</v>
      </c>
      <c r="AJ732" s="233">
        <f t="shared" si="198"/>
        <v>1.2</v>
      </c>
      <c r="AK732" s="233">
        <f t="shared" si="198"/>
        <v>1.2</v>
      </c>
      <c r="AL732" s="233">
        <f t="shared" si="198"/>
        <v>1.2</v>
      </c>
      <c r="AM732" s="233">
        <f t="shared" si="198"/>
        <v>1.2</v>
      </c>
      <c r="AN732" s="233">
        <f t="shared" si="198"/>
        <v>1.2</v>
      </c>
      <c r="AO732" s="233">
        <f t="shared" si="198"/>
        <v>1.2</v>
      </c>
      <c r="AP732" s="233">
        <f t="shared" si="198"/>
        <v>1.2</v>
      </c>
      <c r="AQ732" s="233">
        <f t="shared" si="198"/>
        <v>1.2</v>
      </c>
      <c r="AR732" s="233">
        <f t="shared" si="198"/>
        <v>1.2</v>
      </c>
      <c r="AS732" s="233">
        <f t="shared" si="198"/>
        <v>1.2</v>
      </c>
      <c r="AT732" s="233">
        <f t="shared" si="198"/>
        <v>1.2</v>
      </c>
      <c r="AU732" s="233">
        <f t="shared" si="198"/>
        <v>1.2</v>
      </c>
      <c r="AV732" s="233">
        <f t="shared" si="198"/>
        <v>1.2</v>
      </c>
      <c r="AW732" s="233">
        <f t="shared" si="198"/>
        <v>1.2</v>
      </c>
      <c r="AX732" s="233">
        <f t="shared" si="198"/>
        <v>1.2</v>
      </c>
      <c r="AY732" s="233">
        <f t="shared" si="198"/>
        <v>1.2</v>
      </c>
      <c r="AZ732" s="233">
        <f t="shared" si="198"/>
        <v>1.2</v>
      </c>
      <c r="BA732" s="233">
        <f t="shared" si="198"/>
        <v>1.2</v>
      </c>
      <c r="BB732" s="233">
        <f t="shared" si="198"/>
        <v>1.2</v>
      </c>
      <c r="BC732" s="233">
        <f t="shared" si="198"/>
        <v>1.2</v>
      </c>
      <c r="BD732" s="233">
        <f t="shared" si="198"/>
        <v>1.2</v>
      </c>
      <c r="BE732" s="233">
        <f t="shared" si="198"/>
        <v>1.2</v>
      </c>
    </row>
    <row r="733" spans="2:57" s="4" customFormat="1" ht="15" customHeight="1" x14ac:dyDescent="0.35">
      <c r="B733" s="2"/>
      <c r="D733" s="3"/>
      <c r="E733" s="4" t="s">
        <v>697</v>
      </c>
      <c r="F733" s="4" t="s">
        <v>240</v>
      </c>
      <c r="G733" s="43" t="s">
        <v>241</v>
      </c>
      <c r="I733" s="232">
        <v>5.4</v>
      </c>
      <c r="J733" s="232">
        <v>5.3</v>
      </c>
      <c r="K733" s="232">
        <v>5.3</v>
      </c>
      <c r="L733" s="232">
        <v>5.3</v>
      </c>
      <c r="M733" s="232">
        <v>5.2</v>
      </c>
      <c r="N733" s="232">
        <v>5.2</v>
      </c>
      <c r="O733" s="232">
        <v>5.0999999999999996</v>
      </c>
      <c r="P733" s="232">
        <v>5.0999999999999996</v>
      </c>
      <c r="Q733" s="232">
        <v>5.0999999999999996</v>
      </c>
      <c r="R733" s="232">
        <v>5</v>
      </c>
      <c r="S733" s="232">
        <v>5</v>
      </c>
      <c r="T733" s="232">
        <v>4.9000000000000004</v>
      </c>
      <c r="U733" s="232">
        <v>4.8</v>
      </c>
      <c r="V733" s="232">
        <v>4.8</v>
      </c>
      <c r="W733" s="232">
        <v>4.7</v>
      </c>
      <c r="X733" s="232">
        <v>4.5999999999999996</v>
      </c>
      <c r="Y733" s="232">
        <v>4.5999999999999996</v>
      </c>
      <c r="Z733" s="232">
        <v>4.5</v>
      </c>
      <c r="AA733" s="232">
        <v>4.4000000000000004</v>
      </c>
      <c r="AB733" s="232">
        <v>4.4000000000000004</v>
      </c>
      <c r="AC733" s="232">
        <v>4.3</v>
      </c>
      <c r="AD733" s="232">
        <v>4.2</v>
      </c>
      <c r="AE733" s="233">
        <f>AD733</f>
        <v>4.2</v>
      </c>
      <c r="AF733" s="233">
        <f t="shared" si="198"/>
        <v>4.2</v>
      </c>
      <c r="AG733" s="233">
        <f t="shared" si="198"/>
        <v>4.2</v>
      </c>
      <c r="AH733" s="233">
        <f t="shared" si="198"/>
        <v>4.2</v>
      </c>
      <c r="AI733" s="233">
        <f t="shared" si="198"/>
        <v>4.2</v>
      </c>
      <c r="AJ733" s="233">
        <f t="shared" si="198"/>
        <v>4.2</v>
      </c>
      <c r="AK733" s="233">
        <f t="shared" si="198"/>
        <v>4.2</v>
      </c>
      <c r="AL733" s="233">
        <f t="shared" si="198"/>
        <v>4.2</v>
      </c>
      <c r="AM733" s="233">
        <f t="shared" si="198"/>
        <v>4.2</v>
      </c>
      <c r="AN733" s="233">
        <f t="shared" si="198"/>
        <v>4.2</v>
      </c>
      <c r="AO733" s="233">
        <f t="shared" si="198"/>
        <v>4.2</v>
      </c>
      <c r="AP733" s="233">
        <f t="shared" si="198"/>
        <v>4.2</v>
      </c>
      <c r="AQ733" s="233">
        <f t="shared" si="198"/>
        <v>4.2</v>
      </c>
      <c r="AR733" s="233">
        <f t="shared" si="198"/>
        <v>4.2</v>
      </c>
      <c r="AS733" s="233">
        <f t="shared" si="198"/>
        <v>4.2</v>
      </c>
      <c r="AT733" s="233">
        <f t="shared" si="198"/>
        <v>4.2</v>
      </c>
      <c r="AU733" s="233">
        <f t="shared" si="198"/>
        <v>4.2</v>
      </c>
      <c r="AV733" s="233">
        <f t="shared" si="198"/>
        <v>4.2</v>
      </c>
      <c r="AW733" s="233">
        <f t="shared" si="198"/>
        <v>4.2</v>
      </c>
      <c r="AX733" s="233">
        <f t="shared" si="198"/>
        <v>4.2</v>
      </c>
      <c r="AY733" s="233">
        <f t="shared" si="198"/>
        <v>4.2</v>
      </c>
      <c r="AZ733" s="233">
        <f t="shared" si="198"/>
        <v>4.2</v>
      </c>
      <c r="BA733" s="233">
        <f t="shared" si="198"/>
        <v>4.2</v>
      </c>
      <c r="BB733" s="233">
        <f t="shared" si="198"/>
        <v>4.2</v>
      </c>
      <c r="BC733" s="233">
        <f t="shared" si="198"/>
        <v>4.2</v>
      </c>
      <c r="BD733" s="233">
        <f t="shared" si="198"/>
        <v>4.2</v>
      </c>
      <c r="BE733" s="233">
        <f t="shared" si="198"/>
        <v>4.2</v>
      </c>
    </row>
    <row r="734" spans="2:57" s="4" customFormat="1" ht="15" customHeight="1" x14ac:dyDescent="0.35">
      <c r="B734" s="2"/>
      <c r="D734" s="3"/>
      <c r="E734" s="4" t="s">
        <v>698</v>
      </c>
      <c r="F734" s="4" t="s">
        <v>240</v>
      </c>
      <c r="G734" s="43" t="s">
        <v>241</v>
      </c>
      <c r="I734" s="233">
        <v>2.6969072164948455</v>
      </c>
      <c r="J734" s="233">
        <v>2.4917525773195872</v>
      </c>
      <c r="K734" s="233">
        <v>2.3938144329896911</v>
      </c>
      <c r="L734" s="233">
        <v>2.2051546391752579</v>
      </c>
      <c r="M734" s="233">
        <v>2.097938144329897</v>
      </c>
      <c r="N734" s="233">
        <v>1.902061855670103</v>
      </c>
      <c r="O734" s="233">
        <v>1.7876288659793818</v>
      </c>
      <c r="P734" s="233">
        <v>1.6896907216494848</v>
      </c>
      <c r="Q734" s="233">
        <v>1.5917525773195877</v>
      </c>
      <c r="R734" s="233">
        <v>1.4845360824742269</v>
      </c>
      <c r="S734" s="233">
        <v>1.2958762886597941</v>
      </c>
      <c r="T734" s="233">
        <v>1.1886597938144332</v>
      </c>
      <c r="U734" s="233">
        <v>1.1793814432989691</v>
      </c>
      <c r="V734" s="233">
        <v>1.0742268041237113</v>
      </c>
      <c r="W734" s="233">
        <v>0.97422680412371143</v>
      </c>
      <c r="X734" s="233">
        <v>0.86701030927835043</v>
      </c>
      <c r="Y734" s="233">
        <v>0.85257731958762883</v>
      </c>
      <c r="Z734" s="233">
        <v>0.75257731958762886</v>
      </c>
      <c r="AA734" s="233">
        <v>0.74329896907216486</v>
      </c>
      <c r="AB734" s="233">
        <v>0.64536082474226808</v>
      </c>
      <c r="AC734" s="233">
        <v>0.6360824742268042</v>
      </c>
      <c r="AD734" s="233">
        <v>0.53608247422680422</v>
      </c>
      <c r="AE734" s="233">
        <v>0.53608247422680422</v>
      </c>
      <c r="AF734" s="233">
        <v>0.53608247422680422</v>
      </c>
      <c r="AG734" s="233">
        <v>0.53608247422680422</v>
      </c>
      <c r="AH734" s="233">
        <v>0.53608247422680422</v>
      </c>
      <c r="AI734" s="233">
        <v>0.53608247422680422</v>
      </c>
      <c r="AJ734" s="233">
        <v>0.53608247422680422</v>
      </c>
      <c r="AK734" s="233">
        <v>0.53608247422680422</v>
      </c>
      <c r="AL734" s="233">
        <v>0.53608247422680422</v>
      </c>
      <c r="AM734" s="233">
        <v>0.53608247422680422</v>
      </c>
      <c r="AN734" s="233">
        <v>0.53608247422680422</v>
      </c>
      <c r="AO734" s="233">
        <v>0.53608247422680422</v>
      </c>
      <c r="AP734" s="233">
        <v>0.53608247422680422</v>
      </c>
      <c r="AQ734" s="233">
        <v>0.53608247422680422</v>
      </c>
      <c r="AR734" s="233">
        <v>0.53608247422680422</v>
      </c>
      <c r="AS734" s="233">
        <v>0.53608247422680422</v>
      </c>
      <c r="AT734" s="233">
        <v>0.53608247422680422</v>
      </c>
      <c r="AU734" s="233">
        <v>0.53608247422680422</v>
      </c>
      <c r="AV734" s="233">
        <v>0.53608247422680422</v>
      </c>
      <c r="AW734" s="233">
        <v>0.53608247422680422</v>
      </c>
      <c r="AX734" s="233">
        <v>0.53608247422680422</v>
      </c>
      <c r="AY734" s="233">
        <v>0.53608247422680422</v>
      </c>
      <c r="AZ734" s="233">
        <v>0.53608247422680422</v>
      </c>
      <c r="BA734" s="233">
        <v>0.53608247422680422</v>
      </c>
      <c r="BB734" s="233">
        <v>0.53608247422680422</v>
      </c>
      <c r="BC734" s="233">
        <v>0.53608247422680422</v>
      </c>
      <c r="BD734" s="233">
        <v>0.53608247422680422</v>
      </c>
      <c r="BE734" s="233">
        <v>0.53608247422680422</v>
      </c>
    </row>
    <row r="735" spans="2:57" s="4" customFormat="1" ht="5.25" customHeight="1" x14ac:dyDescent="0.35">
      <c r="E735" s="26"/>
      <c r="G735" s="43"/>
      <c r="I735" s="119"/>
      <c r="J735" s="119"/>
      <c r="K735" s="119"/>
      <c r="L735" s="119"/>
      <c r="M735" s="119"/>
      <c r="N735" s="119"/>
      <c r="O735" s="119"/>
      <c r="P735" s="119"/>
      <c r="Q735" s="119"/>
      <c r="R735" s="119"/>
      <c r="S735" s="119"/>
      <c r="T735" s="119"/>
      <c r="U735" s="119"/>
      <c r="V735" s="119"/>
      <c r="W735" s="119"/>
      <c r="X735" s="119"/>
      <c r="Y735" s="119"/>
      <c r="Z735" s="119"/>
      <c r="AA735" s="119"/>
      <c r="AB735" s="119"/>
      <c r="AC735" s="119"/>
      <c r="AD735" s="119"/>
      <c r="AE735" s="119"/>
      <c r="AF735" s="119"/>
      <c r="AG735" s="119"/>
      <c r="AH735" s="119"/>
      <c r="AI735" s="119"/>
      <c r="AJ735" s="119"/>
      <c r="AK735" s="119"/>
      <c r="AL735" s="119"/>
      <c r="AM735" s="119"/>
      <c r="AN735" s="119"/>
      <c r="AO735" s="21"/>
      <c r="AP735" s="21"/>
      <c r="AQ735" s="21"/>
      <c r="AR735" s="21"/>
      <c r="AS735" s="21"/>
      <c r="AT735" s="21"/>
      <c r="AU735" s="21"/>
      <c r="AV735" s="21"/>
      <c r="AW735" s="21"/>
      <c r="AX735" s="21"/>
      <c r="AY735" s="21"/>
      <c r="AZ735" s="21"/>
      <c r="BA735" s="21"/>
      <c r="BB735" s="21"/>
      <c r="BC735" s="21"/>
      <c r="BD735" s="21"/>
      <c r="BE735" s="21"/>
    </row>
    <row r="736" spans="2:57" s="4" customFormat="1" ht="15" customHeight="1" x14ac:dyDescent="0.35">
      <c r="D736" s="3"/>
      <c r="E736" s="4" t="s">
        <v>246</v>
      </c>
      <c r="F736" s="4" t="s">
        <v>240</v>
      </c>
      <c r="G736" s="43" t="s">
        <v>245</v>
      </c>
      <c r="H736" s="49">
        <v>0.97</v>
      </c>
      <c r="I736" s="160"/>
      <c r="J736" s="160"/>
      <c r="K736" s="160"/>
      <c r="L736" s="160"/>
      <c r="M736" s="160"/>
      <c r="N736" s="160"/>
      <c r="O736" s="160"/>
      <c r="P736" s="160"/>
      <c r="Q736" s="160"/>
      <c r="R736" s="160"/>
      <c r="S736" s="160"/>
      <c r="T736" s="160"/>
      <c r="U736" s="160"/>
      <c r="V736" s="160"/>
      <c r="W736" s="160"/>
      <c r="X736" s="160"/>
      <c r="Y736" s="160"/>
      <c r="Z736" s="160"/>
      <c r="AA736" s="160"/>
      <c r="AB736" s="160"/>
      <c r="AC736" s="160"/>
      <c r="AD736" s="160"/>
      <c r="AE736" s="160"/>
      <c r="AF736" s="160"/>
      <c r="AG736" s="160"/>
      <c r="AH736" s="160"/>
      <c r="AI736" s="160"/>
      <c r="AJ736" s="160"/>
      <c r="AK736" s="160"/>
      <c r="AL736" s="160"/>
      <c r="AM736" s="160"/>
      <c r="AN736" s="160"/>
      <c r="AO736" s="160"/>
      <c r="AP736" s="160"/>
      <c r="AQ736" s="160"/>
      <c r="AR736" s="160"/>
      <c r="AS736" s="160"/>
      <c r="AT736" s="160"/>
      <c r="AU736" s="160"/>
      <c r="AV736" s="160"/>
      <c r="AW736" s="160"/>
      <c r="AX736" s="160"/>
      <c r="AY736" s="160"/>
      <c r="AZ736" s="160"/>
      <c r="BA736" s="160"/>
      <c r="BB736" s="160"/>
      <c r="BC736" s="160"/>
      <c r="BD736" s="160"/>
      <c r="BE736" s="160"/>
    </row>
    <row r="737" spans="2:57" s="4" customFormat="1" ht="15" customHeight="1" x14ac:dyDescent="0.35">
      <c r="D737" s="3"/>
      <c r="G737" s="43"/>
      <c r="I737" s="160"/>
      <c r="J737" s="160"/>
      <c r="K737" s="160"/>
      <c r="L737" s="160"/>
      <c r="M737" s="160"/>
      <c r="N737" s="160"/>
      <c r="O737" s="160"/>
      <c r="P737" s="160"/>
      <c r="Q737" s="160"/>
      <c r="R737" s="160"/>
      <c r="S737" s="160"/>
      <c r="T737" s="160"/>
      <c r="U737" s="160"/>
      <c r="V737" s="160"/>
      <c r="W737" s="160"/>
      <c r="X737" s="160"/>
      <c r="Y737" s="160"/>
      <c r="Z737" s="160"/>
      <c r="AA737" s="160"/>
      <c r="AB737" s="160"/>
      <c r="AC737" s="160"/>
      <c r="AD737" s="160"/>
      <c r="AE737" s="160"/>
      <c r="AF737" s="160"/>
      <c r="AG737" s="160"/>
      <c r="AH737" s="160"/>
      <c r="AI737" s="160"/>
      <c r="AJ737" s="160"/>
      <c r="AK737" s="160"/>
      <c r="AL737" s="160"/>
      <c r="AM737" s="160"/>
      <c r="AN737" s="160"/>
      <c r="AO737" s="160"/>
      <c r="AP737" s="160"/>
      <c r="AQ737" s="160"/>
      <c r="AR737" s="160"/>
      <c r="AS737" s="160"/>
      <c r="AT737" s="160"/>
      <c r="AU737" s="160"/>
      <c r="AV737" s="160"/>
      <c r="AW737" s="160"/>
      <c r="AX737" s="160"/>
      <c r="AY737" s="160"/>
      <c r="AZ737" s="160"/>
      <c r="BA737" s="160"/>
      <c r="BB737" s="160"/>
      <c r="BC737" s="160"/>
      <c r="BD737" s="160"/>
      <c r="BE737" s="160"/>
    </row>
    <row r="738" spans="2:57" s="4" customFormat="1" ht="15" customHeight="1" x14ac:dyDescent="0.35">
      <c r="D738" s="3"/>
      <c r="E738" s="4" t="s">
        <v>699</v>
      </c>
      <c r="F738" s="4" t="s">
        <v>219</v>
      </c>
      <c r="G738" s="43" t="s">
        <v>241</v>
      </c>
      <c r="I738" s="233">
        <f>I731*$H$736</f>
        <v>2.4249999999999998</v>
      </c>
      <c r="J738" s="233">
        <f t="shared" ref="J738:BE741" si="199">J731*$H$736</f>
        <v>2.2309999999999999</v>
      </c>
      <c r="K738" s="233">
        <f t="shared" si="199"/>
        <v>2.1339999999999999</v>
      </c>
      <c r="L738" s="233">
        <f t="shared" si="199"/>
        <v>1.94</v>
      </c>
      <c r="M738" s="233">
        <f t="shared" si="199"/>
        <v>1.843</v>
      </c>
      <c r="N738" s="233">
        <f t="shared" si="199"/>
        <v>1.649</v>
      </c>
      <c r="O738" s="233">
        <f t="shared" si="199"/>
        <v>1.552</v>
      </c>
      <c r="P738" s="233">
        <f t="shared" si="199"/>
        <v>1.4550000000000001</v>
      </c>
      <c r="Q738" s="233">
        <f t="shared" si="199"/>
        <v>1.3579999999999999</v>
      </c>
      <c r="R738" s="233">
        <f t="shared" si="199"/>
        <v>1.2609999999999999</v>
      </c>
      <c r="S738" s="233">
        <f t="shared" si="199"/>
        <v>1.0669999999999999</v>
      </c>
      <c r="T738" s="233">
        <f t="shared" si="199"/>
        <v>0.97</v>
      </c>
      <c r="U738" s="233">
        <f t="shared" si="199"/>
        <v>0.97</v>
      </c>
      <c r="V738" s="233">
        <f t="shared" si="199"/>
        <v>0.873</v>
      </c>
      <c r="W738" s="233">
        <f t="shared" si="199"/>
        <v>0.77600000000000002</v>
      </c>
      <c r="X738" s="233">
        <f t="shared" si="199"/>
        <v>0.67899999999999994</v>
      </c>
      <c r="Y738" s="233">
        <f t="shared" si="199"/>
        <v>0.67899999999999994</v>
      </c>
      <c r="Z738" s="233">
        <f t="shared" si="199"/>
        <v>0.58199999999999996</v>
      </c>
      <c r="AA738" s="233">
        <f t="shared" si="199"/>
        <v>0.58199999999999996</v>
      </c>
      <c r="AB738" s="233">
        <f t="shared" si="199"/>
        <v>0.48499999999999999</v>
      </c>
      <c r="AC738" s="233">
        <f t="shared" si="199"/>
        <v>0.48499999999999999</v>
      </c>
      <c r="AD738" s="233">
        <f t="shared" si="199"/>
        <v>0.38800000000000001</v>
      </c>
      <c r="AE738" s="233">
        <f t="shared" si="199"/>
        <v>0.38800000000000001</v>
      </c>
      <c r="AF738" s="233">
        <f t="shared" si="199"/>
        <v>0.38800000000000001</v>
      </c>
      <c r="AG738" s="233">
        <f t="shared" si="199"/>
        <v>0.38800000000000001</v>
      </c>
      <c r="AH738" s="233">
        <f t="shared" si="199"/>
        <v>0.38800000000000001</v>
      </c>
      <c r="AI738" s="233">
        <f t="shared" si="199"/>
        <v>0.38800000000000001</v>
      </c>
      <c r="AJ738" s="233">
        <f t="shared" si="199"/>
        <v>0.38800000000000001</v>
      </c>
      <c r="AK738" s="233">
        <f t="shared" si="199"/>
        <v>0.38800000000000001</v>
      </c>
      <c r="AL738" s="233">
        <f t="shared" si="199"/>
        <v>0.38800000000000001</v>
      </c>
      <c r="AM738" s="233">
        <f t="shared" si="199"/>
        <v>0.38800000000000001</v>
      </c>
      <c r="AN738" s="233">
        <f t="shared" si="199"/>
        <v>0.38800000000000001</v>
      </c>
      <c r="AO738" s="233">
        <f t="shared" si="199"/>
        <v>0.38800000000000001</v>
      </c>
      <c r="AP738" s="233">
        <f t="shared" si="199"/>
        <v>0.38800000000000001</v>
      </c>
      <c r="AQ738" s="233">
        <f t="shared" si="199"/>
        <v>0.38800000000000001</v>
      </c>
      <c r="AR738" s="233">
        <f t="shared" si="199"/>
        <v>0.38800000000000001</v>
      </c>
      <c r="AS738" s="233">
        <f t="shared" si="199"/>
        <v>0.38800000000000001</v>
      </c>
      <c r="AT738" s="233">
        <f t="shared" si="199"/>
        <v>0.38800000000000001</v>
      </c>
      <c r="AU738" s="233">
        <f t="shared" si="199"/>
        <v>0.38800000000000001</v>
      </c>
      <c r="AV738" s="233">
        <f t="shared" si="199"/>
        <v>0.38800000000000001</v>
      </c>
      <c r="AW738" s="233">
        <f t="shared" si="199"/>
        <v>0.38800000000000001</v>
      </c>
      <c r="AX738" s="233">
        <f t="shared" si="199"/>
        <v>0.38800000000000001</v>
      </c>
      <c r="AY738" s="233">
        <f t="shared" si="199"/>
        <v>0.38800000000000001</v>
      </c>
      <c r="AZ738" s="233">
        <f t="shared" si="199"/>
        <v>0.38800000000000001</v>
      </c>
      <c r="BA738" s="233">
        <f t="shared" si="199"/>
        <v>0.38800000000000001</v>
      </c>
      <c r="BB738" s="233">
        <f t="shared" si="199"/>
        <v>0.38800000000000001</v>
      </c>
      <c r="BC738" s="233">
        <f t="shared" si="199"/>
        <v>0.38800000000000001</v>
      </c>
      <c r="BD738" s="233">
        <f t="shared" si="199"/>
        <v>0.38800000000000001</v>
      </c>
      <c r="BE738" s="233">
        <f t="shared" si="199"/>
        <v>0.38800000000000001</v>
      </c>
    </row>
    <row r="739" spans="2:57" s="4" customFormat="1" ht="15" customHeight="1" x14ac:dyDescent="0.35">
      <c r="D739" s="3"/>
      <c r="E739" s="4" t="s">
        <v>700</v>
      </c>
      <c r="F739" s="4" t="s">
        <v>219</v>
      </c>
      <c r="G739" s="43" t="s">
        <v>241</v>
      </c>
      <c r="I739" s="233">
        <f t="shared" ref="I739:AX741" si="200">I732*$H$736</f>
        <v>4.2679999999999998</v>
      </c>
      <c r="J739" s="233">
        <f t="shared" si="200"/>
        <v>3.9769999999999994</v>
      </c>
      <c r="K739" s="233">
        <f t="shared" si="200"/>
        <v>3.88</v>
      </c>
      <c r="L739" s="233">
        <f t="shared" si="200"/>
        <v>3.7829999999999999</v>
      </c>
      <c r="M739" s="233">
        <f t="shared" si="200"/>
        <v>3.589</v>
      </c>
      <c r="N739" s="233">
        <f t="shared" si="200"/>
        <v>3.395</v>
      </c>
      <c r="O739" s="233">
        <f t="shared" si="200"/>
        <v>3.1040000000000001</v>
      </c>
      <c r="P739" s="233">
        <f t="shared" si="200"/>
        <v>3.0070000000000001</v>
      </c>
      <c r="Q739" s="233">
        <f t="shared" si="200"/>
        <v>2.91</v>
      </c>
      <c r="R739" s="233">
        <f t="shared" si="200"/>
        <v>2.7159999999999997</v>
      </c>
      <c r="S739" s="233">
        <f t="shared" si="200"/>
        <v>2.6190000000000002</v>
      </c>
      <c r="T739" s="233">
        <f t="shared" si="200"/>
        <v>2.4249999999999998</v>
      </c>
      <c r="U739" s="233">
        <f t="shared" si="200"/>
        <v>2.3279999999999998</v>
      </c>
      <c r="V739" s="233">
        <f t="shared" si="200"/>
        <v>2.1339999999999999</v>
      </c>
      <c r="W739" s="233">
        <f t="shared" si="200"/>
        <v>2.0369999999999999</v>
      </c>
      <c r="X739" s="233">
        <f t="shared" si="200"/>
        <v>1.843</v>
      </c>
      <c r="Y739" s="233">
        <f t="shared" si="200"/>
        <v>1.649</v>
      </c>
      <c r="Z739" s="233">
        <f t="shared" si="200"/>
        <v>1.552</v>
      </c>
      <c r="AA739" s="233">
        <f t="shared" si="200"/>
        <v>1.4550000000000001</v>
      </c>
      <c r="AB739" s="233">
        <f t="shared" si="200"/>
        <v>1.3579999999999999</v>
      </c>
      <c r="AC739" s="233">
        <f t="shared" si="200"/>
        <v>1.2609999999999999</v>
      </c>
      <c r="AD739" s="233">
        <f t="shared" si="200"/>
        <v>1.1639999999999999</v>
      </c>
      <c r="AE739" s="233">
        <f t="shared" si="200"/>
        <v>1.1639999999999999</v>
      </c>
      <c r="AF739" s="233">
        <f t="shared" si="200"/>
        <v>1.1639999999999999</v>
      </c>
      <c r="AG739" s="233">
        <f t="shared" si="200"/>
        <v>1.1639999999999999</v>
      </c>
      <c r="AH739" s="233">
        <f t="shared" si="200"/>
        <v>1.1639999999999999</v>
      </c>
      <c r="AI739" s="233">
        <f t="shared" si="200"/>
        <v>1.1639999999999999</v>
      </c>
      <c r="AJ739" s="233">
        <f t="shared" si="200"/>
        <v>1.1639999999999999</v>
      </c>
      <c r="AK739" s="233">
        <f t="shared" si="200"/>
        <v>1.1639999999999999</v>
      </c>
      <c r="AL739" s="233">
        <f t="shared" si="200"/>
        <v>1.1639999999999999</v>
      </c>
      <c r="AM739" s="233">
        <f t="shared" si="200"/>
        <v>1.1639999999999999</v>
      </c>
      <c r="AN739" s="233">
        <f t="shared" si="200"/>
        <v>1.1639999999999999</v>
      </c>
      <c r="AO739" s="233">
        <f t="shared" si="200"/>
        <v>1.1639999999999999</v>
      </c>
      <c r="AP739" s="233">
        <f t="shared" si="200"/>
        <v>1.1639999999999999</v>
      </c>
      <c r="AQ739" s="233">
        <f t="shared" si="200"/>
        <v>1.1639999999999999</v>
      </c>
      <c r="AR739" s="233">
        <f t="shared" si="200"/>
        <v>1.1639999999999999</v>
      </c>
      <c r="AS739" s="233">
        <f t="shared" si="200"/>
        <v>1.1639999999999999</v>
      </c>
      <c r="AT739" s="233">
        <f t="shared" si="200"/>
        <v>1.1639999999999999</v>
      </c>
      <c r="AU739" s="233">
        <f t="shared" si="200"/>
        <v>1.1639999999999999</v>
      </c>
      <c r="AV739" s="233">
        <f t="shared" si="200"/>
        <v>1.1639999999999999</v>
      </c>
      <c r="AW739" s="233">
        <f t="shared" si="200"/>
        <v>1.1639999999999999</v>
      </c>
      <c r="AX739" s="233">
        <f t="shared" si="200"/>
        <v>1.1639999999999999</v>
      </c>
      <c r="AY739" s="233">
        <f t="shared" si="199"/>
        <v>1.1639999999999999</v>
      </c>
      <c r="AZ739" s="233">
        <f t="shared" si="199"/>
        <v>1.1639999999999999</v>
      </c>
      <c r="BA739" s="233">
        <f t="shared" si="199"/>
        <v>1.1639999999999999</v>
      </c>
      <c r="BB739" s="233">
        <f t="shared" si="199"/>
        <v>1.1639999999999999</v>
      </c>
      <c r="BC739" s="233">
        <f t="shared" si="199"/>
        <v>1.1639999999999999</v>
      </c>
      <c r="BD739" s="233">
        <f t="shared" si="199"/>
        <v>1.1639999999999999</v>
      </c>
      <c r="BE739" s="233">
        <f t="shared" si="199"/>
        <v>1.1639999999999999</v>
      </c>
    </row>
    <row r="740" spans="2:57" s="4" customFormat="1" ht="15" customHeight="1" x14ac:dyDescent="0.35">
      <c r="D740" s="3"/>
      <c r="E740" s="4" t="s">
        <v>701</v>
      </c>
      <c r="F740" s="4" t="s">
        <v>219</v>
      </c>
      <c r="G740" s="43" t="s">
        <v>241</v>
      </c>
      <c r="I740" s="233">
        <f t="shared" si="200"/>
        <v>5.2380000000000004</v>
      </c>
      <c r="J740" s="233">
        <f t="shared" si="200"/>
        <v>5.141</v>
      </c>
      <c r="K740" s="233">
        <f t="shared" si="200"/>
        <v>5.141</v>
      </c>
      <c r="L740" s="233">
        <f t="shared" si="200"/>
        <v>5.141</v>
      </c>
      <c r="M740" s="233">
        <f t="shared" si="200"/>
        <v>5.0439999999999996</v>
      </c>
      <c r="N740" s="233">
        <f t="shared" si="200"/>
        <v>5.0439999999999996</v>
      </c>
      <c r="O740" s="233">
        <f t="shared" si="200"/>
        <v>4.9469999999999992</v>
      </c>
      <c r="P740" s="233">
        <f t="shared" si="200"/>
        <v>4.9469999999999992</v>
      </c>
      <c r="Q740" s="233">
        <f t="shared" si="200"/>
        <v>4.9469999999999992</v>
      </c>
      <c r="R740" s="233">
        <f t="shared" si="200"/>
        <v>4.8499999999999996</v>
      </c>
      <c r="S740" s="233">
        <f t="shared" si="200"/>
        <v>4.8499999999999996</v>
      </c>
      <c r="T740" s="233">
        <f t="shared" si="200"/>
        <v>4.7530000000000001</v>
      </c>
      <c r="U740" s="233">
        <f t="shared" si="200"/>
        <v>4.6559999999999997</v>
      </c>
      <c r="V740" s="233">
        <f t="shared" si="200"/>
        <v>4.6559999999999997</v>
      </c>
      <c r="W740" s="233">
        <f t="shared" si="200"/>
        <v>4.5590000000000002</v>
      </c>
      <c r="X740" s="233">
        <f t="shared" si="200"/>
        <v>4.4619999999999997</v>
      </c>
      <c r="Y740" s="233">
        <f t="shared" si="200"/>
        <v>4.4619999999999997</v>
      </c>
      <c r="Z740" s="233">
        <f t="shared" si="200"/>
        <v>4.3650000000000002</v>
      </c>
      <c r="AA740" s="233">
        <f t="shared" si="200"/>
        <v>4.2679999999999998</v>
      </c>
      <c r="AB740" s="233">
        <f t="shared" si="200"/>
        <v>4.2679999999999998</v>
      </c>
      <c r="AC740" s="233">
        <f t="shared" si="200"/>
        <v>4.1709999999999994</v>
      </c>
      <c r="AD740" s="233">
        <f t="shared" si="200"/>
        <v>4.0739999999999998</v>
      </c>
      <c r="AE740" s="233">
        <f t="shared" si="200"/>
        <v>4.0739999999999998</v>
      </c>
      <c r="AF740" s="233">
        <f t="shared" si="200"/>
        <v>4.0739999999999998</v>
      </c>
      <c r="AG740" s="233">
        <f t="shared" si="200"/>
        <v>4.0739999999999998</v>
      </c>
      <c r="AH740" s="233">
        <f t="shared" si="200"/>
        <v>4.0739999999999998</v>
      </c>
      <c r="AI740" s="233">
        <f t="shared" si="200"/>
        <v>4.0739999999999998</v>
      </c>
      <c r="AJ740" s="233">
        <f t="shared" si="200"/>
        <v>4.0739999999999998</v>
      </c>
      <c r="AK740" s="233">
        <f t="shared" si="200"/>
        <v>4.0739999999999998</v>
      </c>
      <c r="AL740" s="233">
        <f t="shared" si="200"/>
        <v>4.0739999999999998</v>
      </c>
      <c r="AM740" s="233">
        <f t="shared" si="200"/>
        <v>4.0739999999999998</v>
      </c>
      <c r="AN740" s="233">
        <f t="shared" si="200"/>
        <v>4.0739999999999998</v>
      </c>
      <c r="AO740" s="233">
        <f t="shared" si="200"/>
        <v>4.0739999999999998</v>
      </c>
      <c r="AP740" s="233">
        <f t="shared" si="200"/>
        <v>4.0739999999999998</v>
      </c>
      <c r="AQ740" s="233">
        <f t="shared" si="200"/>
        <v>4.0739999999999998</v>
      </c>
      <c r="AR740" s="233">
        <f t="shared" si="200"/>
        <v>4.0739999999999998</v>
      </c>
      <c r="AS740" s="233">
        <f t="shared" si="200"/>
        <v>4.0739999999999998</v>
      </c>
      <c r="AT740" s="233">
        <f t="shared" si="200"/>
        <v>4.0739999999999998</v>
      </c>
      <c r="AU740" s="233">
        <f t="shared" si="200"/>
        <v>4.0739999999999998</v>
      </c>
      <c r="AV740" s="233">
        <f t="shared" si="200"/>
        <v>4.0739999999999998</v>
      </c>
      <c r="AW740" s="233">
        <f t="shared" si="200"/>
        <v>4.0739999999999998</v>
      </c>
      <c r="AX740" s="233">
        <f t="shared" si="200"/>
        <v>4.0739999999999998</v>
      </c>
      <c r="AY740" s="233">
        <f t="shared" si="199"/>
        <v>4.0739999999999998</v>
      </c>
      <c r="AZ740" s="233">
        <f t="shared" si="199"/>
        <v>4.0739999999999998</v>
      </c>
      <c r="BA740" s="233">
        <f t="shared" si="199"/>
        <v>4.0739999999999998</v>
      </c>
      <c r="BB740" s="233">
        <f t="shared" si="199"/>
        <v>4.0739999999999998</v>
      </c>
      <c r="BC740" s="233">
        <f t="shared" si="199"/>
        <v>4.0739999999999998</v>
      </c>
      <c r="BD740" s="233">
        <f t="shared" si="199"/>
        <v>4.0739999999999998</v>
      </c>
      <c r="BE740" s="233">
        <f t="shared" si="199"/>
        <v>4.0739999999999998</v>
      </c>
    </row>
    <row r="741" spans="2:57" s="4" customFormat="1" ht="15" customHeight="1" x14ac:dyDescent="0.35">
      <c r="D741" s="3"/>
      <c r="E741" s="4" t="s">
        <v>702</v>
      </c>
      <c r="F741" s="4" t="s">
        <v>219</v>
      </c>
      <c r="G741" s="43" t="s">
        <v>241</v>
      </c>
      <c r="I741" s="233">
        <f t="shared" si="200"/>
        <v>2.6160000000000001</v>
      </c>
      <c r="J741" s="233">
        <f t="shared" si="200"/>
        <v>2.4169999999999994</v>
      </c>
      <c r="K741" s="233">
        <f t="shared" si="200"/>
        <v>2.3220000000000005</v>
      </c>
      <c r="L741" s="233">
        <f t="shared" si="200"/>
        <v>2.1390000000000002</v>
      </c>
      <c r="M741" s="233">
        <f t="shared" si="200"/>
        <v>2.0350000000000001</v>
      </c>
      <c r="N741" s="233">
        <f t="shared" si="200"/>
        <v>1.8449999999999998</v>
      </c>
      <c r="O741" s="233">
        <f t="shared" si="200"/>
        <v>1.7340000000000002</v>
      </c>
      <c r="P741" s="233">
        <f t="shared" si="200"/>
        <v>1.6390000000000002</v>
      </c>
      <c r="Q741" s="233">
        <f t="shared" si="200"/>
        <v>1.544</v>
      </c>
      <c r="R741" s="233">
        <f t="shared" si="200"/>
        <v>1.44</v>
      </c>
      <c r="S741" s="233">
        <f t="shared" si="200"/>
        <v>1.2570000000000003</v>
      </c>
      <c r="T741" s="233">
        <f t="shared" si="200"/>
        <v>1.1530000000000002</v>
      </c>
      <c r="U741" s="233">
        <f t="shared" si="200"/>
        <v>1.1439999999999999</v>
      </c>
      <c r="V741" s="233">
        <f t="shared" si="200"/>
        <v>1.042</v>
      </c>
      <c r="W741" s="233">
        <f t="shared" si="200"/>
        <v>0.94500000000000006</v>
      </c>
      <c r="X741" s="233">
        <f t="shared" si="200"/>
        <v>0.84099999999999986</v>
      </c>
      <c r="Y741" s="233">
        <f t="shared" si="200"/>
        <v>0.82699999999999996</v>
      </c>
      <c r="Z741" s="233">
        <f t="shared" si="200"/>
        <v>0.73</v>
      </c>
      <c r="AA741" s="233">
        <f t="shared" si="200"/>
        <v>0.72099999999999986</v>
      </c>
      <c r="AB741" s="233">
        <f t="shared" si="200"/>
        <v>0.626</v>
      </c>
      <c r="AC741" s="233">
        <f t="shared" si="200"/>
        <v>0.6170000000000001</v>
      </c>
      <c r="AD741" s="233">
        <f t="shared" si="200"/>
        <v>0.52000000000000013</v>
      </c>
      <c r="AE741" s="233">
        <f t="shared" si="200"/>
        <v>0.52000000000000013</v>
      </c>
      <c r="AF741" s="233">
        <f t="shared" si="200"/>
        <v>0.52000000000000013</v>
      </c>
      <c r="AG741" s="233">
        <f t="shared" si="200"/>
        <v>0.52000000000000013</v>
      </c>
      <c r="AH741" s="233">
        <f t="shared" si="200"/>
        <v>0.52000000000000013</v>
      </c>
      <c r="AI741" s="233">
        <f t="shared" si="200"/>
        <v>0.52000000000000013</v>
      </c>
      <c r="AJ741" s="233">
        <f t="shared" si="200"/>
        <v>0.52000000000000013</v>
      </c>
      <c r="AK741" s="233">
        <f t="shared" si="200"/>
        <v>0.52000000000000013</v>
      </c>
      <c r="AL741" s="233">
        <f t="shared" si="200"/>
        <v>0.52000000000000013</v>
      </c>
      <c r="AM741" s="233">
        <f t="shared" si="200"/>
        <v>0.52000000000000013</v>
      </c>
      <c r="AN741" s="233">
        <f t="shared" si="200"/>
        <v>0.52000000000000013</v>
      </c>
      <c r="AO741" s="233">
        <f t="shared" si="200"/>
        <v>0.52000000000000013</v>
      </c>
      <c r="AP741" s="233">
        <f t="shared" si="200"/>
        <v>0.52000000000000013</v>
      </c>
      <c r="AQ741" s="233">
        <f t="shared" si="200"/>
        <v>0.52000000000000013</v>
      </c>
      <c r="AR741" s="233">
        <f t="shared" si="200"/>
        <v>0.52000000000000013</v>
      </c>
      <c r="AS741" s="233">
        <f t="shared" si="200"/>
        <v>0.52000000000000013</v>
      </c>
      <c r="AT741" s="233">
        <f t="shared" si="200"/>
        <v>0.52000000000000013</v>
      </c>
      <c r="AU741" s="233">
        <f t="shared" si="200"/>
        <v>0.52000000000000013</v>
      </c>
      <c r="AV741" s="233">
        <f t="shared" si="200"/>
        <v>0.52000000000000013</v>
      </c>
      <c r="AW741" s="233">
        <f t="shared" si="200"/>
        <v>0.52000000000000013</v>
      </c>
      <c r="AX741" s="233">
        <f t="shared" si="200"/>
        <v>0.52000000000000013</v>
      </c>
      <c r="AY741" s="233">
        <f t="shared" si="199"/>
        <v>0.52000000000000013</v>
      </c>
      <c r="AZ741" s="233">
        <f t="shared" si="199"/>
        <v>0.52000000000000013</v>
      </c>
      <c r="BA741" s="233">
        <f t="shared" si="199"/>
        <v>0.52000000000000013</v>
      </c>
      <c r="BB741" s="233">
        <f t="shared" si="199"/>
        <v>0.52000000000000013</v>
      </c>
      <c r="BC741" s="233">
        <f t="shared" si="199"/>
        <v>0.52000000000000013</v>
      </c>
      <c r="BD741" s="233">
        <f t="shared" si="199"/>
        <v>0.52000000000000013</v>
      </c>
      <c r="BE741" s="233">
        <f t="shared" si="199"/>
        <v>0.52000000000000013</v>
      </c>
    </row>
    <row r="742" spans="2:57" s="4" customFormat="1" ht="15" customHeight="1" x14ac:dyDescent="0.35">
      <c r="D742" s="3"/>
      <c r="G742" s="43"/>
      <c r="I742" s="160"/>
      <c r="J742" s="160"/>
      <c r="K742" s="160"/>
      <c r="L742" s="160"/>
      <c r="M742" s="160"/>
      <c r="N742" s="160"/>
      <c r="O742" s="160"/>
      <c r="P742" s="160"/>
      <c r="Q742" s="160"/>
      <c r="R742" s="160"/>
      <c r="S742" s="160"/>
      <c r="T742" s="160"/>
      <c r="U742" s="160"/>
      <c r="V742" s="160"/>
      <c r="W742" s="160"/>
      <c r="X742" s="160"/>
      <c r="Y742" s="160"/>
      <c r="Z742" s="160"/>
      <c r="AA742" s="160"/>
      <c r="AB742" s="160"/>
      <c r="AC742" s="160"/>
      <c r="AD742" s="160"/>
      <c r="AE742" s="160"/>
      <c r="AF742" s="160"/>
      <c r="AG742" s="160"/>
      <c r="AH742" s="160"/>
      <c r="AI742" s="160"/>
      <c r="AJ742" s="160"/>
      <c r="AK742" s="160"/>
      <c r="AL742" s="160"/>
      <c r="AM742" s="160"/>
      <c r="AN742" s="160"/>
      <c r="AO742" s="160"/>
      <c r="AP742" s="160"/>
      <c r="AQ742" s="160"/>
      <c r="AR742" s="160"/>
      <c r="AS742" s="160"/>
      <c r="AT742" s="160"/>
      <c r="AU742" s="160"/>
      <c r="AV742" s="160"/>
      <c r="AW742" s="160"/>
      <c r="AX742" s="160"/>
      <c r="AY742" s="160"/>
      <c r="AZ742" s="160"/>
      <c r="BA742" s="160"/>
      <c r="BB742" s="160"/>
      <c r="BC742" s="160"/>
      <c r="BD742" s="160"/>
      <c r="BE742" s="160"/>
    </row>
    <row r="743" spans="2:57" s="4" customFormat="1" ht="15" customHeight="1" x14ac:dyDescent="0.35">
      <c r="D743" s="3" t="s">
        <v>703</v>
      </c>
      <c r="G743" s="43"/>
      <c r="I743" s="160"/>
      <c r="J743" s="160"/>
      <c r="K743" s="160"/>
      <c r="L743" s="160"/>
      <c r="M743" s="160"/>
      <c r="N743" s="160"/>
      <c r="O743" s="160"/>
      <c r="P743" s="160"/>
      <c r="Q743" s="160"/>
      <c r="R743" s="160"/>
      <c r="S743" s="160"/>
      <c r="T743" s="160"/>
      <c r="U743" s="160"/>
      <c r="V743" s="160"/>
      <c r="W743" s="160"/>
      <c r="X743" s="160"/>
      <c r="Y743" s="160"/>
      <c r="Z743" s="160"/>
      <c r="AA743" s="160"/>
      <c r="AB743" s="160"/>
      <c r="AC743" s="160"/>
      <c r="AD743" s="160"/>
      <c r="AE743" s="160"/>
      <c r="AF743" s="160"/>
      <c r="AG743" s="160"/>
      <c r="AH743" s="160"/>
      <c r="AI743" s="160"/>
      <c r="AJ743" s="160"/>
      <c r="AK743" s="160"/>
      <c r="AL743" s="160"/>
      <c r="AM743" s="160"/>
      <c r="AN743" s="160"/>
      <c r="AO743" s="160"/>
      <c r="AP743" s="160"/>
      <c r="AQ743" s="160"/>
      <c r="AR743" s="160"/>
      <c r="AS743" s="160"/>
      <c r="AT743" s="160"/>
      <c r="AU743" s="160"/>
      <c r="AV743" s="160"/>
      <c r="AW743" s="160"/>
      <c r="AX743" s="160"/>
      <c r="AY743" s="160"/>
      <c r="AZ743" s="160"/>
      <c r="BA743" s="160"/>
      <c r="BB743" s="160"/>
      <c r="BC743" s="160"/>
      <c r="BD743" s="160"/>
      <c r="BE743" s="160"/>
    </row>
    <row r="744" spans="2:57" s="4" customFormat="1" ht="15" customHeight="1" x14ac:dyDescent="0.35">
      <c r="D744" s="3"/>
      <c r="E744" s="4" t="s">
        <v>704</v>
      </c>
      <c r="F744" s="4" t="s">
        <v>240</v>
      </c>
      <c r="G744" s="43" t="s">
        <v>241</v>
      </c>
      <c r="I744" s="232">
        <v>3.9</v>
      </c>
      <c r="J744" s="232">
        <v>3.6</v>
      </c>
      <c r="K744" s="232">
        <v>3.4</v>
      </c>
      <c r="L744" s="232">
        <v>3.2</v>
      </c>
      <c r="M744" s="232">
        <v>3</v>
      </c>
      <c r="N744" s="232">
        <v>2.8</v>
      </c>
      <c r="O744" s="232">
        <v>2.6</v>
      </c>
      <c r="P744" s="232">
        <v>2.5</v>
      </c>
      <c r="Q744" s="232">
        <v>2.2999999999999998</v>
      </c>
      <c r="R744" s="232">
        <v>2.1</v>
      </c>
      <c r="S744" s="232">
        <v>2</v>
      </c>
      <c r="T744" s="232">
        <v>1.9</v>
      </c>
      <c r="U744" s="232">
        <v>1.7</v>
      </c>
      <c r="V744" s="232">
        <v>1.6</v>
      </c>
      <c r="W744" s="232">
        <v>1.5</v>
      </c>
      <c r="X744" s="232">
        <v>1.4</v>
      </c>
      <c r="Y744" s="232">
        <v>1.3</v>
      </c>
      <c r="Z744" s="232">
        <v>1.2</v>
      </c>
      <c r="AA744" s="232">
        <v>1.2</v>
      </c>
      <c r="AB744" s="232">
        <v>1.1000000000000001</v>
      </c>
      <c r="AC744" s="232">
        <v>1.1000000000000001</v>
      </c>
      <c r="AD744" s="232">
        <v>1</v>
      </c>
      <c r="AE744" s="233">
        <f>AD744</f>
        <v>1</v>
      </c>
      <c r="AF744" s="233">
        <f t="shared" ref="AF744:BE746" si="201">AE744</f>
        <v>1</v>
      </c>
      <c r="AG744" s="233">
        <f t="shared" si="201"/>
        <v>1</v>
      </c>
      <c r="AH744" s="233">
        <f t="shared" si="201"/>
        <v>1</v>
      </c>
      <c r="AI744" s="233">
        <f t="shared" si="201"/>
        <v>1</v>
      </c>
      <c r="AJ744" s="233">
        <f t="shared" si="201"/>
        <v>1</v>
      </c>
      <c r="AK744" s="233">
        <f t="shared" si="201"/>
        <v>1</v>
      </c>
      <c r="AL744" s="233">
        <f t="shared" si="201"/>
        <v>1</v>
      </c>
      <c r="AM744" s="233">
        <f t="shared" si="201"/>
        <v>1</v>
      </c>
      <c r="AN744" s="233">
        <f t="shared" si="201"/>
        <v>1</v>
      </c>
      <c r="AO744" s="233">
        <f t="shared" si="201"/>
        <v>1</v>
      </c>
      <c r="AP744" s="233">
        <f t="shared" si="201"/>
        <v>1</v>
      </c>
      <c r="AQ744" s="233">
        <f t="shared" si="201"/>
        <v>1</v>
      </c>
      <c r="AR744" s="233">
        <f t="shared" si="201"/>
        <v>1</v>
      </c>
      <c r="AS744" s="233">
        <f t="shared" si="201"/>
        <v>1</v>
      </c>
      <c r="AT744" s="233">
        <f t="shared" si="201"/>
        <v>1</v>
      </c>
      <c r="AU744" s="233">
        <f t="shared" si="201"/>
        <v>1</v>
      </c>
      <c r="AV744" s="233">
        <f t="shared" si="201"/>
        <v>1</v>
      </c>
      <c r="AW744" s="233">
        <f t="shared" si="201"/>
        <v>1</v>
      </c>
      <c r="AX744" s="233">
        <f t="shared" si="201"/>
        <v>1</v>
      </c>
      <c r="AY744" s="233">
        <f t="shared" si="201"/>
        <v>1</v>
      </c>
      <c r="AZ744" s="233">
        <f t="shared" si="201"/>
        <v>1</v>
      </c>
      <c r="BA744" s="233">
        <f t="shared" si="201"/>
        <v>1</v>
      </c>
      <c r="BB744" s="233">
        <f t="shared" si="201"/>
        <v>1</v>
      </c>
      <c r="BC744" s="233">
        <f t="shared" si="201"/>
        <v>1</v>
      </c>
      <c r="BD744" s="233">
        <f t="shared" si="201"/>
        <v>1</v>
      </c>
      <c r="BE744" s="233">
        <f t="shared" si="201"/>
        <v>1</v>
      </c>
    </row>
    <row r="745" spans="2:57" s="4" customFormat="1" ht="15" customHeight="1" x14ac:dyDescent="0.35">
      <c r="D745" s="3"/>
      <c r="E745" s="4" t="s">
        <v>705</v>
      </c>
      <c r="F745" s="4" t="s">
        <v>240</v>
      </c>
      <c r="G745" s="43" t="s">
        <v>241</v>
      </c>
      <c r="I745" s="232">
        <v>11.4</v>
      </c>
      <c r="J745" s="232">
        <v>10.5</v>
      </c>
      <c r="K745" s="232">
        <v>10.4</v>
      </c>
      <c r="L745" s="232">
        <v>9.8000000000000007</v>
      </c>
      <c r="M745" s="232">
        <v>9.5</v>
      </c>
      <c r="N745" s="232">
        <v>8.9</v>
      </c>
      <c r="O745" s="232">
        <v>8</v>
      </c>
      <c r="P745" s="232">
        <v>7.6</v>
      </c>
      <c r="Q745" s="232">
        <v>7.3</v>
      </c>
      <c r="R745" s="232">
        <v>6.9</v>
      </c>
      <c r="S745" s="232">
        <v>6.5</v>
      </c>
      <c r="T745" s="232">
        <v>6.2</v>
      </c>
      <c r="U745" s="232">
        <v>5.8</v>
      </c>
      <c r="V745" s="232">
        <v>5.5</v>
      </c>
      <c r="W745" s="232">
        <v>5.0999999999999996</v>
      </c>
      <c r="X745" s="232">
        <v>4.7</v>
      </c>
      <c r="Y745" s="232">
        <v>4.4000000000000004</v>
      </c>
      <c r="Z745" s="232">
        <v>4</v>
      </c>
      <c r="AA745" s="232">
        <v>3.7</v>
      </c>
      <c r="AB745" s="232">
        <v>3.6</v>
      </c>
      <c r="AC745" s="232">
        <v>3.4</v>
      </c>
      <c r="AD745" s="232">
        <v>3.2</v>
      </c>
      <c r="AE745" s="233">
        <f>AD745</f>
        <v>3.2</v>
      </c>
      <c r="AF745" s="233">
        <f t="shared" si="201"/>
        <v>3.2</v>
      </c>
      <c r="AG745" s="233">
        <f t="shared" si="201"/>
        <v>3.2</v>
      </c>
      <c r="AH745" s="233">
        <f t="shared" si="201"/>
        <v>3.2</v>
      </c>
      <c r="AI745" s="233">
        <f t="shared" si="201"/>
        <v>3.2</v>
      </c>
      <c r="AJ745" s="233">
        <f t="shared" si="201"/>
        <v>3.2</v>
      </c>
      <c r="AK745" s="233">
        <f t="shared" si="201"/>
        <v>3.2</v>
      </c>
      <c r="AL745" s="233">
        <f t="shared" si="201"/>
        <v>3.2</v>
      </c>
      <c r="AM745" s="233">
        <f t="shared" si="201"/>
        <v>3.2</v>
      </c>
      <c r="AN745" s="233">
        <f t="shared" si="201"/>
        <v>3.2</v>
      </c>
      <c r="AO745" s="233">
        <f t="shared" si="201"/>
        <v>3.2</v>
      </c>
      <c r="AP745" s="233">
        <f t="shared" si="201"/>
        <v>3.2</v>
      </c>
      <c r="AQ745" s="233">
        <f t="shared" si="201"/>
        <v>3.2</v>
      </c>
      <c r="AR745" s="233">
        <f t="shared" si="201"/>
        <v>3.2</v>
      </c>
      <c r="AS745" s="233">
        <f t="shared" si="201"/>
        <v>3.2</v>
      </c>
      <c r="AT745" s="233">
        <f t="shared" si="201"/>
        <v>3.2</v>
      </c>
      <c r="AU745" s="233">
        <f t="shared" si="201"/>
        <v>3.2</v>
      </c>
      <c r="AV745" s="233">
        <f t="shared" si="201"/>
        <v>3.2</v>
      </c>
      <c r="AW745" s="233">
        <f t="shared" si="201"/>
        <v>3.2</v>
      </c>
      <c r="AX745" s="233">
        <f t="shared" si="201"/>
        <v>3.2</v>
      </c>
      <c r="AY745" s="233">
        <f t="shared" si="201"/>
        <v>3.2</v>
      </c>
      <c r="AZ745" s="233">
        <f t="shared" si="201"/>
        <v>3.2</v>
      </c>
      <c r="BA745" s="233">
        <f t="shared" si="201"/>
        <v>3.2</v>
      </c>
      <c r="BB745" s="233">
        <f t="shared" si="201"/>
        <v>3.2</v>
      </c>
      <c r="BC745" s="233">
        <f t="shared" si="201"/>
        <v>3.2</v>
      </c>
      <c r="BD745" s="233">
        <f t="shared" si="201"/>
        <v>3.2</v>
      </c>
      <c r="BE745" s="233">
        <f t="shared" si="201"/>
        <v>3.2</v>
      </c>
    </row>
    <row r="746" spans="2:57" s="4" customFormat="1" ht="15" customHeight="1" x14ac:dyDescent="0.35">
      <c r="D746" s="3"/>
      <c r="E746" s="4" t="s">
        <v>706</v>
      </c>
      <c r="F746" s="4" t="s">
        <v>240</v>
      </c>
      <c r="G746" s="43" t="s">
        <v>241</v>
      </c>
      <c r="I746" s="232">
        <v>11.7</v>
      </c>
      <c r="J746" s="232">
        <v>11.7</v>
      </c>
      <c r="K746" s="232">
        <v>11.7</v>
      </c>
      <c r="L746" s="232">
        <v>11.7</v>
      </c>
      <c r="M746" s="232">
        <v>11.7</v>
      </c>
      <c r="N746" s="232">
        <v>11.7</v>
      </c>
      <c r="O746" s="232">
        <v>11.7</v>
      </c>
      <c r="P746" s="232">
        <v>11.7</v>
      </c>
      <c r="Q746" s="232">
        <v>11.7</v>
      </c>
      <c r="R746" s="232">
        <v>11.7</v>
      </c>
      <c r="S746" s="232">
        <v>11.7</v>
      </c>
      <c r="T746" s="232">
        <v>11.7</v>
      </c>
      <c r="U746" s="232">
        <v>11.7</v>
      </c>
      <c r="V746" s="232">
        <v>11.7</v>
      </c>
      <c r="W746" s="232">
        <v>11.7</v>
      </c>
      <c r="X746" s="232">
        <v>11.7</v>
      </c>
      <c r="Y746" s="232">
        <v>11.7</v>
      </c>
      <c r="Z746" s="232">
        <v>11.7</v>
      </c>
      <c r="AA746" s="232">
        <v>11.7</v>
      </c>
      <c r="AB746" s="232">
        <v>11.7</v>
      </c>
      <c r="AC746" s="232">
        <v>11.7</v>
      </c>
      <c r="AD746" s="232">
        <v>11.7</v>
      </c>
      <c r="AE746" s="233">
        <f>AD746</f>
        <v>11.7</v>
      </c>
      <c r="AF746" s="233">
        <f t="shared" si="201"/>
        <v>11.7</v>
      </c>
      <c r="AG746" s="233">
        <f t="shared" si="201"/>
        <v>11.7</v>
      </c>
      <c r="AH746" s="233">
        <f t="shared" si="201"/>
        <v>11.7</v>
      </c>
      <c r="AI746" s="233">
        <f t="shared" si="201"/>
        <v>11.7</v>
      </c>
      <c r="AJ746" s="233">
        <f t="shared" si="201"/>
        <v>11.7</v>
      </c>
      <c r="AK746" s="233">
        <f t="shared" si="201"/>
        <v>11.7</v>
      </c>
      <c r="AL746" s="233">
        <f t="shared" si="201"/>
        <v>11.7</v>
      </c>
      <c r="AM746" s="233">
        <f t="shared" si="201"/>
        <v>11.7</v>
      </c>
      <c r="AN746" s="233">
        <f t="shared" si="201"/>
        <v>11.7</v>
      </c>
      <c r="AO746" s="233">
        <f t="shared" si="201"/>
        <v>11.7</v>
      </c>
      <c r="AP746" s="233">
        <f t="shared" si="201"/>
        <v>11.7</v>
      </c>
      <c r="AQ746" s="233">
        <f t="shared" si="201"/>
        <v>11.7</v>
      </c>
      <c r="AR746" s="233">
        <f t="shared" si="201"/>
        <v>11.7</v>
      </c>
      <c r="AS746" s="233">
        <f t="shared" si="201"/>
        <v>11.7</v>
      </c>
      <c r="AT746" s="233">
        <f t="shared" si="201"/>
        <v>11.7</v>
      </c>
      <c r="AU746" s="233">
        <f t="shared" si="201"/>
        <v>11.7</v>
      </c>
      <c r="AV746" s="233">
        <f t="shared" si="201"/>
        <v>11.7</v>
      </c>
      <c r="AW746" s="233">
        <f t="shared" si="201"/>
        <v>11.7</v>
      </c>
      <c r="AX746" s="233">
        <f t="shared" si="201"/>
        <v>11.7</v>
      </c>
      <c r="AY746" s="233">
        <f t="shared" si="201"/>
        <v>11.7</v>
      </c>
      <c r="AZ746" s="233">
        <f t="shared" si="201"/>
        <v>11.7</v>
      </c>
      <c r="BA746" s="233">
        <f t="shared" si="201"/>
        <v>11.7</v>
      </c>
      <c r="BB746" s="233">
        <f t="shared" si="201"/>
        <v>11.7</v>
      </c>
      <c r="BC746" s="233">
        <f t="shared" si="201"/>
        <v>11.7</v>
      </c>
      <c r="BD746" s="233">
        <f t="shared" si="201"/>
        <v>11.7</v>
      </c>
      <c r="BE746" s="233">
        <f t="shared" si="201"/>
        <v>11.7</v>
      </c>
    </row>
    <row r="747" spans="2:57" s="4" customFormat="1" ht="15" customHeight="1" x14ac:dyDescent="0.35">
      <c r="D747" s="3"/>
      <c r="E747" s="4" t="s">
        <v>707</v>
      </c>
      <c r="F747" s="4" t="s">
        <v>240</v>
      </c>
      <c r="G747" s="43" t="s">
        <v>241</v>
      </c>
      <c r="I747" s="233">
        <v>4.6020618556701027</v>
      </c>
      <c r="J747" s="233">
        <v>4.2649484536082474</v>
      </c>
      <c r="K747" s="233">
        <v>4.0762886597938142</v>
      </c>
      <c r="L747" s="233">
        <v>3.8515463917525778</v>
      </c>
      <c r="M747" s="233">
        <v>3.648453608247423</v>
      </c>
      <c r="N747" s="233">
        <v>3.4237113402061854</v>
      </c>
      <c r="O747" s="233">
        <v>3.1773195876288662</v>
      </c>
      <c r="P747" s="233">
        <v>3.0577319587628864</v>
      </c>
      <c r="Q747" s="233">
        <v>2.8546391752577316</v>
      </c>
      <c r="R747" s="233">
        <v>2.6443298969072169</v>
      </c>
      <c r="S747" s="233">
        <v>2.524742268041237</v>
      </c>
      <c r="T747" s="233">
        <v>2.4123711340206184</v>
      </c>
      <c r="U747" s="233">
        <v>2.2020618556701028</v>
      </c>
      <c r="V747" s="233">
        <v>2.0896907216494847</v>
      </c>
      <c r="W747" s="233">
        <v>1.9701030927835053</v>
      </c>
      <c r="X747" s="233">
        <v>1.8505154639175259</v>
      </c>
      <c r="Y747" s="233">
        <v>1.7381443298969073</v>
      </c>
      <c r="Z747" s="233">
        <v>1.6185567010309279</v>
      </c>
      <c r="AA747" s="233">
        <v>1.5969072164948455</v>
      </c>
      <c r="AB747" s="233">
        <v>1.4989690721649487</v>
      </c>
      <c r="AC747" s="233">
        <v>1.4845360824742269</v>
      </c>
      <c r="AD747" s="233">
        <v>1.3793814432989691</v>
      </c>
      <c r="AE747" s="233">
        <v>1.3793814432989691</v>
      </c>
      <c r="AF747" s="233">
        <v>1.3793814432989691</v>
      </c>
      <c r="AG747" s="233">
        <v>1.3793814432989691</v>
      </c>
      <c r="AH747" s="233">
        <v>1.3793814432989691</v>
      </c>
      <c r="AI747" s="233">
        <v>1.3793814432989691</v>
      </c>
      <c r="AJ747" s="233">
        <v>1.3793814432989691</v>
      </c>
      <c r="AK747" s="233">
        <v>1.3793814432989691</v>
      </c>
      <c r="AL747" s="233">
        <v>1.3793814432989691</v>
      </c>
      <c r="AM747" s="233">
        <v>1.3793814432989691</v>
      </c>
      <c r="AN747" s="233">
        <v>1.3793814432989691</v>
      </c>
      <c r="AO747" s="233">
        <v>1.3793814432989691</v>
      </c>
      <c r="AP747" s="233">
        <v>1.3793814432989691</v>
      </c>
      <c r="AQ747" s="233">
        <v>1.3793814432989691</v>
      </c>
      <c r="AR747" s="233">
        <v>1.3793814432989691</v>
      </c>
      <c r="AS747" s="233">
        <v>1.3793814432989691</v>
      </c>
      <c r="AT747" s="233">
        <v>1.3793814432989691</v>
      </c>
      <c r="AU747" s="233">
        <v>1.3793814432989691</v>
      </c>
      <c r="AV747" s="233">
        <v>1.3793814432989691</v>
      </c>
      <c r="AW747" s="233">
        <v>1.3793814432989691</v>
      </c>
      <c r="AX747" s="233">
        <v>1.3793814432989691</v>
      </c>
      <c r="AY747" s="233">
        <v>1.3793814432989691</v>
      </c>
      <c r="AZ747" s="233">
        <v>1.3793814432989691</v>
      </c>
      <c r="BA747" s="233">
        <v>1.3793814432989691</v>
      </c>
      <c r="BB747" s="233">
        <v>1.3793814432989691</v>
      </c>
      <c r="BC747" s="233">
        <v>1.3793814432989691</v>
      </c>
      <c r="BD747" s="233">
        <v>1.3793814432989691</v>
      </c>
      <c r="BE747" s="233">
        <v>1.3793814432989691</v>
      </c>
    </row>
    <row r="748" spans="2:57" s="4" customFormat="1" ht="5.25" customHeight="1" x14ac:dyDescent="0.35">
      <c r="E748" s="26"/>
      <c r="G748" s="43"/>
      <c r="I748" s="150"/>
      <c r="J748" s="150"/>
      <c r="K748" s="150"/>
      <c r="L748" s="150"/>
      <c r="M748" s="150"/>
      <c r="N748" s="150"/>
      <c r="O748" s="150"/>
      <c r="P748" s="150"/>
      <c r="Q748" s="150"/>
      <c r="R748" s="150"/>
      <c r="S748" s="150"/>
      <c r="T748" s="150"/>
      <c r="U748" s="150"/>
      <c r="V748" s="150"/>
      <c r="W748" s="150"/>
      <c r="X748" s="150"/>
      <c r="Y748" s="150"/>
      <c r="Z748" s="150"/>
      <c r="AA748" s="150"/>
      <c r="AB748" s="150"/>
      <c r="AC748" s="150"/>
      <c r="AD748" s="150"/>
      <c r="AE748" s="150"/>
      <c r="AF748" s="150"/>
      <c r="AG748" s="150"/>
      <c r="AH748" s="150"/>
      <c r="AI748" s="150"/>
      <c r="AJ748" s="150"/>
      <c r="AK748" s="150"/>
      <c r="AL748" s="150"/>
      <c r="AM748" s="150"/>
      <c r="AN748" s="150"/>
      <c r="AO748" s="150"/>
      <c r="AP748" s="150"/>
      <c r="AQ748" s="150"/>
      <c r="AR748" s="150"/>
      <c r="AS748" s="150"/>
      <c r="AT748" s="150"/>
      <c r="AU748" s="150"/>
      <c r="AV748" s="150"/>
      <c r="AW748" s="150"/>
      <c r="AX748" s="150"/>
      <c r="AY748" s="150"/>
      <c r="AZ748" s="150"/>
      <c r="BA748" s="150"/>
      <c r="BB748" s="150"/>
      <c r="BC748" s="150"/>
      <c r="BD748" s="150"/>
      <c r="BE748" s="150"/>
    </row>
    <row r="749" spans="2:57" s="4" customFormat="1" ht="15" customHeight="1" x14ac:dyDescent="0.35">
      <c r="D749" s="3"/>
      <c r="E749" s="4" t="s">
        <v>244</v>
      </c>
      <c r="F749" s="4" t="s">
        <v>240</v>
      </c>
      <c r="G749" s="43" t="s">
        <v>245</v>
      </c>
      <c r="H749" s="49">
        <v>1.0529999999999999</v>
      </c>
      <c r="I749" s="160"/>
      <c r="J749" s="160"/>
      <c r="K749" s="160"/>
      <c r="L749" s="160"/>
      <c r="M749" s="160"/>
      <c r="N749" s="160"/>
      <c r="O749" s="160"/>
      <c r="P749" s="160"/>
      <c r="Q749" s="160"/>
      <c r="R749" s="160"/>
      <c r="S749" s="160"/>
      <c r="T749" s="160"/>
      <c r="U749" s="160"/>
      <c r="V749" s="160"/>
      <c r="W749" s="160"/>
      <c r="X749" s="160"/>
      <c r="Y749" s="160"/>
      <c r="Z749" s="160"/>
      <c r="AA749" s="160"/>
      <c r="AB749" s="160"/>
      <c r="AC749" s="160"/>
      <c r="AD749" s="160"/>
      <c r="AE749" s="160"/>
      <c r="AF749" s="160"/>
      <c r="AG749" s="160"/>
      <c r="AH749" s="160"/>
      <c r="AI749" s="160"/>
      <c r="AJ749" s="160"/>
      <c r="AK749" s="160"/>
      <c r="AL749" s="160"/>
      <c r="AM749" s="160"/>
      <c r="AN749" s="160"/>
      <c r="AO749" s="160"/>
      <c r="AP749" s="160"/>
      <c r="AQ749" s="160"/>
      <c r="AR749" s="160"/>
      <c r="AS749" s="160"/>
      <c r="AT749" s="160"/>
      <c r="AU749" s="160"/>
      <c r="AV749" s="160"/>
      <c r="AW749" s="160"/>
      <c r="AX749" s="160"/>
      <c r="AY749" s="160"/>
      <c r="AZ749" s="160"/>
      <c r="BA749" s="160"/>
      <c r="BB749" s="160"/>
      <c r="BC749" s="160"/>
      <c r="BD749" s="160"/>
      <c r="BE749" s="160"/>
    </row>
    <row r="750" spans="2:57" s="4" customFormat="1" ht="5.25" customHeight="1" x14ac:dyDescent="0.35">
      <c r="E750" s="26"/>
      <c r="G750" s="43"/>
      <c r="I750" s="150"/>
      <c r="J750" s="150"/>
      <c r="K750" s="150"/>
      <c r="L750" s="150"/>
      <c r="M750" s="150"/>
      <c r="N750" s="150"/>
      <c r="O750" s="150"/>
      <c r="P750" s="150"/>
      <c r="Q750" s="150"/>
      <c r="R750" s="150"/>
      <c r="S750" s="150"/>
      <c r="T750" s="150"/>
      <c r="U750" s="150"/>
      <c r="V750" s="150"/>
      <c r="W750" s="150"/>
      <c r="X750" s="150"/>
      <c r="Y750" s="150"/>
      <c r="Z750" s="150"/>
      <c r="AA750" s="150"/>
      <c r="AB750" s="150"/>
      <c r="AC750" s="150"/>
      <c r="AD750" s="150"/>
      <c r="AE750" s="150"/>
      <c r="AF750" s="150"/>
      <c r="AG750" s="150"/>
      <c r="AH750" s="150"/>
      <c r="AI750" s="150"/>
      <c r="AJ750" s="150"/>
      <c r="AK750" s="150"/>
      <c r="AL750" s="150"/>
      <c r="AM750" s="150"/>
      <c r="AN750" s="150"/>
      <c r="AO750" s="150"/>
      <c r="AP750" s="150"/>
      <c r="AQ750" s="150"/>
      <c r="AR750" s="150"/>
      <c r="AS750" s="150"/>
      <c r="AT750" s="150"/>
      <c r="AU750" s="150"/>
      <c r="AV750" s="150"/>
      <c r="AW750" s="150"/>
      <c r="AX750" s="150"/>
      <c r="AY750" s="150"/>
      <c r="AZ750" s="150"/>
      <c r="BA750" s="150"/>
      <c r="BB750" s="150"/>
      <c r="BC750" s="150"/>
      <c r="BD750" s="150"/>
      <c r="BE750" s="150"/>
    </row>
    <row r="751" spans="2:57" s="4" customFormat="1" ht="15" customHeight="1" x14ac:dyDescent="0.35">
      <c r="D751" s="3"/>
      <c r="E751" s="4" t="s">
        <v>708</v>
      </c>
      <c r="F751" s="4" t="s">
        <v>219</v>
      </c>
      <c r="G751" s="43" t="s">
        <v>241</v>
      </c>
      <c r="I751" s="233">
        <f>I744*$H$749</f>
        <v>4.1067</v>
      </c>
      <c r="J751" s="233">
        <f t="shared" ref="J751:BE754" si="202">J744*$H$749</f>
        <v>3.7907999999999999</v>
      </c>
      <c r="K751" s="233">
        <f t="shared" si="202"/>
        <v>3.5801999999999996</v>
      </c>
      <c r="L751" s="233">
        <f t="shared" si="202"/>
        <v>3.3696000000000002</v>
      </c>
      <c r="M751" s="233">
        <f t="shared" si="202"/>
        <v>3.1589999999999998</v>
      </c>
      <c r="N751" s="233">
        <f t="shared" si="202"/>
        <v>2.9483999999999995</v>
      </c>
      <c r="O751" s="233">
        <f t="shared" si="202"/>
        <v>2.7378</v>
      </c>
      <c r="P751" s="233">
        <f t="shared" si="202"/>
        <v>2.6324999999999998</v>
      </c>
      <c r="Q751" s="233">
        <f t="shared" si="202"/>
        <v>2.4218999999999995</v>
      </c>
      <c r="R751" s="233">
        <f t="shared" si="202"/>
        <v>2.2113</v>
      </c>
      <c r="S751" s="233">
        <f t="shared" si="202"/>
        <v>2.1059999999999999</v>
      </c>
      <c r="T751" s="233">
        <f t="shared" si="202"/>
        <v>2.0006999999999997</v>
      </c>
      <c r="U751" s="233">
        <f t="shared" si="202"/>
        <v>1.7900999999999998</v>
      </c>
      <c r="V751" s="233">
        <f t="shared" si="202"/>
        <v>1.6848000000000001</v>
      </c>
      <c r="W751" s="233">
        <f t="shared" si="202"/>
        <v>1.5794999999999999</v>
      </c>
      <c r="X751" s="233">
        <f t="shared" si="202"/>
        <v>1.4741999999999997</v>
      </c>
      <c r="Y751" s="233">
        <f t="shared" si="202"/>
        <v>1.3689</v>
      </c>
      <c r="Z751" s="233">
        <f t="shared" si="202"/>
        <v>1.2635999999999998</v>
      </c>
      <c r="AA751" s="233">
        <f t="shared" si="202"/>
        <v>1.2635999999999998</v>
      </c>
      <c r="AB751" s="233">
        <f t="shared" si="202"/>
        <v>1.1583000000000001</v>
      </c>
      <c r="AC751" s="233">
        <f t="shared" si="202"/>
        <v>1.1583000000000001</v>
      </c>
      <c r="AD751" s="233">
        <f t="shared" si="202"/>
        <v>1.0529999999999999</v>
      </c>
      <c r="AE751" s="233">
        <f t="shared" si="202"/>
        <v>1.0529999999999999</v>
      </c>
      <c r="AF751" s="233">
        <f t="shared" si="202"/>
        <v>1.0529999999999999</v>
      </c>
      <c r="AG751" s="233">
        <f t="shared" si="202"/>
        <v>1.0529999999999999</v>
      </c>
      <c r="AH751" s="233">
        <f t="shared" si="202"/>
        <v>1.0529999999999999</v>
      </c>
      <c r="AI751" s="233">
        <f t="shared" si="202"/>
        <v>1.0529999999999999</v>
      </c>
      <c r="AJ751" s="233">
        <f t="shared" si="202"/>
        <v>1.0529999999999999</v>
      </c>
      <c r="AK751" s="233">
        <f t="shared" si="202"/>
        <v>1.0529999999999999</v>
      </c>
      <c r="AL751" s="233">
        <f t="shared" si="202"/>
        <v>1.0529999999999999</v>
      </c>
      <c r="AM751" s="233">
        <f t="shared" si="202"/>
        <v>1.0529999999999999</v>
      </c>
      <c r="AN751" s="233">
        <f t="shared" si="202"/>
        <v>1.0529999999999999</v>
      </c>
      <c r="AO751" s="233">
        <f t="shared" si="202"/>
        <v>1.0529999999999999</v>
      </c>
      <c r="AP751" s="233">
        <f t="shared" si="202"/>
        <v>1.0529999999999999</v>
      </c>
      <c r="AQ751" s="233">
        <f t="shared" si="202"/>
        <v>1.0529999999999999</v>
      </c>
      <c r="AR751" s="233">
        <f t="shared" si="202"/>
        <v>1.0529999999999999</v>
      </c>
      <c r="AS751" s="233">
        <f t="shared" si="202"/>
        <v>1.0529999999999999</v>
      </c>
      <c r="AT751" s="233">
        <f t="shared" si="202"/>
        <v>1.0529999999999999</v>
      </c>
      <c r="AU751" s="233">
        <f t="shared" si="202"/>
        <v>1.0529999999999999</v>
      </c>
      <c r="AV751" s="233">
        <f t="shared" si="202"/>
        <v>1.0529999999999999</v>
      </c>
      <c r="AW751" s="233">
        <f t="shared" si="202"/>
        <v>1.0529999999999999</v>
      </c>
      <c r="AX751" s="233">
        <f t="shared" si="202"/>
        <v>1.0529999999999999</v>
      </c>
      <c r="AY751" s="233">
        <f t="shared" si="202"/>
        <v>1.0529999999999999</v>
      </c>
      <c r="AZ751" s="233">
        <f t="shared" si="202"/>
        <v>1.0529999999999999</v>
      </c>
      <c r="BA751" s="233">
        <f t="shared" si="202"/>
        <v>1.0529999999999999</v>
      </c>
      <c r="BB751" s="233">
        <f t="shared" si="202"/>
        <v>1.0529999999999999</v>
      </c>
      <c r="BC751" s="233">
        <f t="shared" si="202"/>
        <v>1.0529999999999999</v>
      </c>
      <c r="BD751" s="233">
        <f t="shared" si="202"/>
        <v>1.0529999999999999</v>
      </c>
      <c r="BE751" s="233">
        <f t="shared" si="202"/>
        <v>1.0529999999999999</v>
      </c>
    </row>
    <row r="752" spans="2:57" s="4" customFormat="1" ht="15" customHeight="1" x14ac:dyDescent="0.35">
      <c r="B752" s="2"/>
      <c r="D752" s="3"/>
      <c r="E752" s="4" t="s">
        <v>709</v>
      </c>
      <c r="F752" s="4" t="s">
        <v>219</v>
      </c>
      <c r="G752" s="43" t="s">
        <v>241</v>
      </c>
      <c r="I752" s="233">
        <f t="shared" ref="I752:AX754" si="203">I745*$H$749</f>
        <v>12.004199999999999</v>
      </c>
      <c r="J752" s="233">
        <f t="shared" si="203"/>
        <v>11.0565</v>
      </c>
      <c r="K752" s="233">
        <f t="shared" si="203"/>
        <v>10.9512</v>
      </c>
      <c r="L752" s="233">
        <f t="shared" si="203"/>
        <v>10.3194</v>
      </c>
      <c r="M752" s="233">
        <f t="shared" si="203"/>
        <v>10.003499999999999</v>
      </c>
      <c r="N752" s="233">
        <f t="shared" si="203"/>
        <v>9.3717000000000006</v>
      </c>
      <c r="O752" s="233">
        <f t="shared" si="203"/>
        <v>8.4239999999999995</v>
      </c>
      <c r="P752" s="233">
        <f t="shared" si="203"/>
        <v>8.0027999999999988</v>
      </c>
      <c r="Q752" s="233">
        <f t="shared" si="203"/>
        <v>7.6868999999999996</v>
      </c>
      <c r="R752" s="233">
        <f t="shared" si="203"/>
        <v>7.2656999999999998</v>
      </c>
      <c r="S752" s="233">
        <f t="shared" si="203"/>
        <v>6.8445</v>
      </c>
      <c r="T752" s="233">
        <f t="shared" si="203"/>
        <v>6.5286</v>
      </c>
      <c r="U752" s="233">
        <f t="shared" si="203"/>
        <v>6.1073999999999993</v>
      </c>
      <c r="V752" s="233">
        <f t="shared" si="203"/>
        <v>5.7914999999999992</v>
      </c>
      <c r="W752" s="233">
        <f t="shared" si="203"/>
        <v>5.3702999999999994</v>
      </c>
      <c r="X752" s="233">
        <f t="shared" si="203"/>
        <v>4.9490999999999996</v>
      </c>
      <c r="Y752" s="233">
        <f t="shared" si="203"/>
        <v>4.6332000000000004</v>
      </c>
      <c r="Z752" s="233">
        <f t="shared" si="203"/>
        <v>4.2119999999999997</v>
      </c>
      <c r="AA752" s="233">
        <f t="shared" si="203"/>
        <v>3.8961000000000001</v>
      </c>
      <c r="AB752" s="233">
        <f t="shared" si="203"/>
        <v>3.7907999999999999</v>
      </c>
      <c r="AC752" s="233">
        <f t="shared" si="203"/>
        <v>3.5801999999999996</v>
      </c>
      <c r="AD752" s="233">
        <f t="shared" si="203"/>
        <v>3.3696000000000002</v>
      </c>
      <c r="AE752" s="233">
        <f t="shared" si="203"/>
        <v>3.3696000000000002</v>
      </c>
      <c r="AF752" s="233">
        <f t="shared" si="203"/>
        <v>3.3696000000000002</v>
      </c>
      <c r="AG752" s="233">
        <f t="shared" si="203"/>
        <v>3.3696000000000002</v>
      </c>
      <c r="AH752" s="233">
        <f t="shared" si="203"/>
        <v>3.3696000000000002</v>
      </c>
      <c r="AI752" s="233">
        <f t="shared" si="203"/>
        <v>3.3696000000000002</v>
      </c>
      <c r="AJ752" s="233">
        <f t="shared" si="203"/>
        <v>3.3696000000000002</v>
      </c>
      <c r="AK752" s="233">
        <f t="shared" si="203"/>
        <v>3.3696000000000002</v>
      </c>
      <c r="AL752" s="233">
        <f t="shared" si="203"/>
        <v>3.3696000000000002</v>
      </c>
      <c r="AM752" s="233">
        <f t="shared" si="203"/>
        <v>3.3696000000000002</v>
      </c>
      <c r="AN752" s="233">
        <f t="shared" si="203"/>
        <v>3.3696000000000002</v>
      </c>
      <c r="AO752" s="233">
        <f t="shared" si="203"/>
        <v>3.3696000000000002</v>
      </c>
      <c r="AP752" s="233">
        <f t="shared" si="203"/>
        <v>3.3696000000000002</v>
      </c>
      <c r="AQ752" s="233">
        <f t="shared" si="203"/>
        <v>3.3696000000000002</v>
      </c>
      <c r="AR752" s="233">
        <f t="shared" si="203"/>
        <v>3.3696000000000002</v>
      </c>
      <c r="AS752" s="233">
        <f t="shared" si="203"/>
        <v>3.3696000000000002</v>
      </c>
      <c r="AT752" s="233">
        <f t="shared" si="203"/>
        <v>3.3696000000000002</v>
      </c>
      <c r="AU752" s="233">
        <f t="shared" si="203"/>
        <v>3.3696000000000002</v>
      </c>
      <c r="AV752" s="233">
        <f t="shared" si="203"/>
        <v>3.3696000000000002</v>
      </c>
      <c r="AW752" s="233">
        <f t="shared" si="203"/>
        <v>3.3696000000000002</v>
      </c>
      <c r="AX752" s="233">
        <f t="shared" si="203"/>
        <v>3.3696000000000002</v>
      </c>
      <c r="AY752" s="233">
        <f t="shared" si="202"/>
        <v>3.3696000000000002</v>
      </c>
      <c r="AZ752" s="233">
        <f t="shared" si="202"/>
        <v>3.3696000000000002</v>
      </c>
      <c r="BA752" s="233">
        <f t="shared" si="202"/>
        <v>3.3696000000000002</v>
      </c>
      <c r="BB752" s="233">
        <f t="shared" si="202"/>
        <v>3.3696000000000002</v>
      </c>
      <c r="BC752" s="233">
        <f t="shared" si="202"/>
        <v>3.3696000000000002</v>
      </c>
      <c r="BD752" s="233">
        <f t="shared" si="202"/>
        <v>3.3696000000000002</v>
      </c>
      <c r="BE752" s="233">
        <f t="shared" si="202"/>
        <v>3.3696000000000002</v>
      </c>
    </row>
    <row r="753" spans="2:57" s="4" customFormat="1" ht="15" customHeight="1" x14ac:dyDescent="0.35">
      <c r="B753" s="2"/>
      <c r="D753" s="3"/>
      <c r="E753" s="4" t="s">
        <v>710</v>
      </c>
      <c r="F753" s="4" t="s">
        <v>219</v>
      </c>
      <c r="G753" s="43" t="s">
        <v>241</v>
      </c>
      <c r="I753" s="233">
        <f t="shared" si="203"/>
        <v>12.320099999999998</v>
      </c>
      <c r="J753" s="233">
        <f t="shared" si="203"/>
        <v>12.320099999999998</v>
      </c>
      <c r="K753" s="233">
        <f t="shared" si="203"/>
        <v>12.320099999999998</v>
      </c>
      <c r="L753" s="233">
        <f t="shared" si="203"/>
        <v>12.320099999999998</v>
      </c>
      <c r="M753" s="233">
        <f t="shared" si="203"/>
        <v>12.320099999999998</v>
      </c>
      <c r="N753" s="233">
        <f t="shared" si="203"/>
        <v>12.320099999999998</v>
      </c>
      <c r="O753" s="233">
        <f t="shared" si="203"/>
        <v>12.320099999999998</v>
      </c>
      <c r="P753" s="233">
        <f t="shared" si="203"/>
        <v>12.320099999999998</v>
      </c>
      <c r="Q753" s="233">
        <f t="shared" si="203"/>
        <v>12.320099999999998</v>
      </c>
      <c r="R753" s="233">
        <f t="shared" si="203"/>
        <v>12.320099999999998</v>
      </c>
      <c r="S753" s="233">
        <f t="shared" si="203"/>
        <v>12.320099999999998</v>
      </c>
      <c r="T753" s="233">
        <f t="shared" si="203"/>
        <v>12.320099999999998</v>
      </c>
      <c r="U753" s="233">
        <f t="shared" si="203"/>
        <v>12.320099999999998</v>
      </c>
      <c r="V753" s="233">
        <f t="shared" si="203"/>
        <v>12.320099999999998</v>
      </c>
      <c r="W753" s="233">
        <f t="shared" si="203"/>
        <v>12.320099999999998</v>
      </c>
      <c r="X753" s="233">
        <f t="shared" si="203"/>
        <v>12.320099999999998</v>
      </c>
      <c r="Y753" s="233">
        <f t="shared" si="203"/>
        <v>12.320099999999998</v>
      </c>
      <c r="Z753" s="233">
        <f t="shared" si="203"/>
        <v>12.320099999999998</v>
      </c>
      <c r="AA753" s="233">
        <f t="shared" si="203"/>
        <v>12.320099999999998</v>
      </c>
      <c r="AB753" s="233">
        <f t="shared" si="203"/>
        <v>12.320099999999998</v>
      </c>
      <c r="AC753" s="233">
        <f t="shared" si="203"/>
        <v>12.320099999999998</v>
      </c>
      <c r="AD753" s="233">
        <f t="shared" si="203"/>
        <v>12.320099999999998</v>
      </c>
      <c r="AE753" s="233">
        <f t="shared" si="203"/>
        <v>12.320099999999998</v>
      </c>
      <c r="AF753" s="233">
        <f t="shared" si="203"/>
        <v>12.320099999999998</v>
      </c>
      <c r="AG753" s="233">
        <f t="shared" si="203"/>
        <v>12.320099999999998</v>
      </c>
      <c r="AH753" s="233">
        <f t="shared" si="203"/>
        <v>12.320099999999998</v>
      </c>
      <c r="AI753" s="233">
        <f t="shared" si="203"/>
        <v>12.320099999999998</v>
      </c>
      <c r="AJ753" s="233">
        <f t="shared" si="203"/>
        <v>12.320099999999998</v>
      </c>
      <c r="AK753" s="233">
        <f t="shared" si="203"/>
        <v>12.320099999999998</v>
      </c>
      <c r="AL753" s="233">
        <f t="shared" si="203"/>
        <v>12.320099999999998</v>
      </c>
      <c r="AM753" s="233">
        <f t="shared" si="203"/>
        <v>12.320099999999998</v>
      </c>
      <c r="AN753" s="233">
        <f t="shared" si="203"/>
        <v>12.320099999999998</v>
      </c>
      <c r="AO753" s="233">
        <f t="shared" si="203"/>
        <v>12.320099999999998</v>
      </c>
      <c r="AP753" s="233">
        <f t="shared" si="203"/>
        <v>12.320099999999998</v>
      </c>
      <c r="AQ753" s="233">
        <f t="shared" si="203"/>
        <v>12.320099999999998</v>
      </c>
      <c r="AR753" s="233">
        <f t="shared" si="203"/>
        <v>12.320099999999998</v>
      </c>
      <c r="AS753" s="233">
        <f t="shared" si="203"/>
        <v>12.320099999999998</v>
      </c>
      <c r="AT753" s="233">
        <f t="shared" si="203"/>
        <v>12.320099999999998</v>
      </c>
      <c r="AU753" s="233">
        <f t="shared" si="203"/>
        <v>12.320099999999998</v>
      </c>
      <c r="AV753" s="233">
        <f t="shared" si="203"/>
        <v>12.320099999999998</v>
      </c>
      <c r="AW753" s="233">
        <f t="shared" si="203"/>
        <v>12.320099999999998</v>
      </c>
      <c r="AX753" s="233">
        <f t="shared" si="203"/>
        <v>12.320099999999998</v>
      </c>
      <c r="AY753" s="233">
        <f t="shared" si="202"/>
        <v>12.320099999999998</v>
      </c>
      <c r="AZ753" s="233">
        <f t="shared" si="202"/>
        <v>12.320099999999998</v>
      </c>
      <c r="BA753" s="233">
        <f t="shared" si="202"/>
        <v>12.320099999999998</v>
      </c>
      <c r="BB753" s="233">
        <f t="shared" si="202"/>
        <v>12.320099999999998</v>
      </c>
      <c r="BC753" s="233">
        <f t="shared" si="202"/>
        <v>12.320099999999998</v>
      </c>
      <c r="BD753" s="233">
        <f t="shared" si="202"/>
        <v>12.320099999999998</v>
      </c>
      <c r="BE753" s="233">
        <f t="shared" si="202"/>
        <v>12.320099999999998</v>
      </c>
    </row>
    <row r="754" spans="2:57" s="4" customFormat="1" ht="15" customHeight="1" x14ac:dyDescent="0.35">
      <c r="B754" s="2"/>
      <c r="D754" s="3"/>
      <c r="E754" s="4" t="s">
        <v>711</v>
      </c>
      <c r="F754" s="4" t="s">
        <v>219</v>
      </c>
      <c r="G754" s="43" t="s">
        <v>241</v>
      </c>
      <c r="I754" s="233">
        <f t="shared" si="203"/>
        <v>4.8459711340206182</v>
      </c>
      <c r="J754" s="233">
        <f t="shared" si="203"/>
        <v>4.4909907216494842</v>
      </c>
      <c r="K754" s="233">
        <f t="shared" si="203"/>
        <v>4.2923319587628859</v>
      </c>
      <c r="L754" s="233">
        <f t="shared" si="203"/>
        <v>4.0556783505154641</v>
      </c>
      <c r="M754" s="233">
        <f t="shared" si="203"/>
        <v>3.8418216494845363</v>
      </c>
      <c r="N754" s="233">
        <f t="shared" si="203"/>
        <v>3.6051680412371132</v>
      </c>
      <c r="O754" s="233">
        <f t="shared" si="203"/>
        <v>3.3457175257731961</v>
      </c>
      <c r="P754" s="233">
        <f t="shared" si="203"/>
        <v>3.219791752577319</v>
      </c>
      <c r="Q754" s="233">
        <f t="shared" si="203"/>
        <v>3.0059350515463912</v>
      </c>
      <c r="R754" s="233">
        <f t="shared" si="203"/>
        <v>2.7844793814432993</v>
      </c>
      <c r="S754" s="233">
        <f t="shared" si="203"/>
        <v>2.6585536082474226</v>
      </c>
      <c r="T754" s="233">
        <f t="shared" si="203"/>
        <v>2.5402268041237108</v>
      </c>
      <c r="U754" s="233">
        <f t="shared" si="203"/>
        <v>2.3187711340206181</v>
      </c>
      <c r="V754" s="233">
        <f t="shared" si="203"/>
        <v>2.2004443298969072</v>
      </c>
      <c r="W754" s="233">
        <f t="shared" si="203"/>
        <v>2.0745185567010309</v>
      </c>
      <c r="X754" s="233">
        <f t="shared" si="203"/>
        <v>1.9485927835051546</v>
      </c>
      <c r="Y754" s="233">
        <f t="shared" si="203"/>
        <v>1.8302659793814433</v>
      </c>
      <c r="Z754" s="233">
        <f t="shared" si="203"/>
        <v>1.704340206185567</v>
      </c>
      <c r="AA754" s="233">
        <f t="shared" si="203"/>
        <v>1.6815432989690722</v>
      </c>
      <c r="AB754" s="233">
        <f t="shared" si="203"/>
        <v>1.578414432989691</v>
      </c>
      <c r="AC754" s="233">
        <f t="shared" si="203"/>
        <v>1.5632164948453608</v>
      </c>
      <c r="AD754" s="233">
        <f t="shared" si="203"/>
        <v>1.4524886597938143</v>
      </c>
      <c r="AE754" s="233">
        <f t="shared" si="203"/>
        <v>1.4524886597938143</v>
      </c>
      <c r="AF754" s="233">
        <f t="shared" si="203"/>
        <v>1.4524886597938143</v>
      </c>
      <c r="AG754" s="233">
        <f t="shared" si="203"/>
        <v>1.4524886597938143</v>
      </c>
      <c r="AH754" s="233">
        <f t="shared" si="203"/>
        <v>1.4524886597938143</v>
      </c>
      <c r="AI754" s="233">
        <f t="shared" si="203"/>
        <v>1.4524886597938143</v>
      </c>
      <c r="AJ754" s="233">
        <f t="shared" si="203"/>
        <v>1.4524886597938143</v>
      </c>
      <c r="AK754" s="233">
        <f t="shared" si="203"/>
        <v>1.4524886597938143</v>
      </c>
      <c r="AL754" s="233">
        <f t="shared" si="203"/>
        <v>1.4524886597938143</v>
      </c>
      <c r="AM754" s="233">
        <f t="shared" si="203"/>
        <v>1.4524886597938143</v>
      </c>
      <c r="AN754" s="233">
        <f t="shared" si="203"/>
        <v>1.4524886597938143</v>
      </c>
      <c r="AO754" s="233">
        <f t="shared" si="203"/>
        <v>1.4524886597938143</v>
      </c>
      <c r="AP754" s="233">
        <f t="shared" si="203"/>
        <v>1.4524886597938143</v>
      </c>
      <c r="AQ754" s="233">
        <f t="shared" si="203"/>
        <v>1.4524886597938143</v>
      </c>
      <c r="AR754" s="233">
        <f t="shared" si="203"/>
        <v>1.4524886597938143</v>
      </c>
      <c r="AS754" s="233">
        <f t="shared" si="203"/>
        <v>1.4524886597938143</v>
      </c>
      <c r="AT754" s="233">
        <f t="shared" si="203"/>
        <v>1.4524886597938143</v>
      </c>
      <c r="AU754" s="233">
        <f t="shared" si="203"/>
        <v>1.4524886597938143</v>
      </c>
      <c r="AV754" s="233">
        <f t="shared" si="203"/>
        <v>1.4524886597938143</v>
      </c>
      <c r="AW754" s="233">
        <f t="shared" si="203"/>
        <v>1.4524886597938143</v>
      </c>
      <c r="AX754" s="233">
        <f t="shared" si="203"/>
        <v>1.4524886597938143</v>
      </c>
      <c r="AY754" s="233">
        <f t="shared" si="202"/>
        <v>1.4524886597938143</v>
      </c>
      <c r="AZ754" s="233">
        <f t="shared" si="202"/>
        <v>1.4524886597938143</v>
      </c>
      <c r="BA754" s="233">
        <f t="shared" si="202"/>
        <v>1.4524886597938143</v>
      </c>
      <c r="BB754" s="233">
        <f t="shared" si="202"/>
        <v>1.4524886597938143</v>
      </c>
      <c r="BC754" s="233">
        <f t="shared" si="202"/>
        <v>1.4524886597938143</v>
      </c>
      <c r="BD754" s="233">
        <f t="shared" si="202"/>
        <v>1.4524886597938143</v>
      </c>
      <c r="BE754" s="233">
        <f t="shared" si="202"/>
        <v>1.4524886597938143</v>
      </c>
    </row>
    <row r="755" spans="2:57" s="4" customFormat="1" ht="5.25" customHeight="1" x14ac:dyDescent="0.35">
      <c r="B755" s="2"/>
      <c r="E755" s="26"/>
      <c r="G755" s="43"/>
      <c r="I755" s="150"/>
      <c r="J755" s="150"/>
      <c r="K755" s="150"/>
      <c r="L755" s="150"/>
      <c r="M755" s="150"/>
      <c r="N755" s="150"/>
      <c r="O755" s="150"/>
      <c r="P755" s="150"/>
      <c r="Q755" s="150"/>
      <c r="R755" s="150"/>
      <c r="S755" s="150"/>
      <c r="T755" s="150"/>
      <c r="U755" s="150"/>
      <c r="V755" s="150"/>
      <c r="W755" s="150"/>
      <c r="X755" s="150"/>
      <c r="Y755" s="150"/>
      <c r="Z755" s="150"/>
      <c r="AA755" s="150"/>
      <c r="AB755" s="150"/>
      <c r="AC755" s="150"/>
      <c r="AD755" s="150"/>
      <c r="AE755" s="150"/>
      <c r="AF755" s="150"/>
      <c r="AG755" s="150"/>
      <c r="AH755" s="150"/>
      <c r="AI755" s="150"/>
      <c r="AJ755" s="150"/>
      <c r="AK755" s="150"/>
      <c r="AL755" s="150"/>
      <c r="AM755" s="150"/>
      <c r="AN755" s="150"/>
      <c r="AO755" s="150"/>
      <c r="AP755" s="150"/>
      <c r="AQ755" s="150"/>
      <c r="AR755" s="150"/>
      <c r="AS755" s="150"/>
      <c r="AT755" s="150"/>
      <c r="AU755" s="150"/>
      <c r="AV755" s="150"/>
      <c r="AW755" s="150"/>
      <c r="AX755" s="150"/>
      <c r="AY755" s="150"/>
      <c r="AZ755" s="150"/>
      <c r="BA755" s="150"/>
      <c r="BB755" s="150"/>
      <c r="BC755" s="150"/>
      <c r="BD755" s="150"/>
      <c r="BE755" s="150"/>
    </row>
    <row r="756" spans="2:57" s="4" customFormat="1" ht="15" customHeight="1" x14ac:dyDescent="0.35">
      <c r="B756" s="2" t="s">
        <v>712</v>
      </c>
      <c r="E756" s="26"/>
      <c r="G756" s="43"/>
      <c r="I756" s="150"/>
      <c r="J756" s="150"/>
      <c r="K756" s="150"/>
      <c r="L756" s="150"/>
      <c r="M756" s="150"/>
      <c r="N756" s="150"/>
      <c r="O756" s="150"/>
      <c r="P756" s="150"/>
      <c r="Q756" s="150"/>
      <c r="R756" s="150"/>
      <c r="S756" s="150"/>
      <c r="T756" s="150"/>
      <c r="U756" s="150"/>
      <c r="V756" s="150"/>
      <c r="W756" s="150"/>
      <c r="X756" s="150"/>
      <c r="Y756" s="150"/>
      <c r="Z756" s="150"/>
      <c r="AA756" s="150"/>
      <c r="AB756" s="150"/>
      <c r="AC756" s="150"/>
      <c r="AD756" s="150"/>
      <c r="AE756" s="150"/>
      <c r="AF756" s="150"/>
      <c r="AG756" s="150"/>
      <c r="AH756" s="150"/>
      <c r="AI756" s="150"/>
      <c r="AJ756" s="150"/>
      <c r="AK756" s="150"/>
      <c r="AL756" s="150"/>
      <c r="AM756" s="150"/>
      <c r="AN756" s="150"/>
      <c r="AO756" s="150"/>
      <c r="AP756" s="150"/>
      <c r="AQ756" s="150"/>
      <c r="AR756" s="150"/>
      <c r="AS756" s="150"/>
      <c r="AT756" s="150"/>
      <c r="AU756" s="150"/>
      <c r="AV756" s="150"/>
      <c r="AW756" s="150"/>
      <c r="AX756" s="150"/>
      <c r="AY756" s="150"/>
      <c r="AZ756" s="150"/>
      <c r="BA756" s="150"/>
      <c r="BB756" s="150"/>
      <c r="BC756" s="150"/>
      <c r="BD756" s="150"/>
      <c r="BE756" s="150"/>
    </row>
    <row r="757" spans="2:57" s="4" customFormat="1" ht="5.25" customHeight="1" x14ac:dyDescent="0.35">
      <c r="B757" s="2"/>
      <c r="E757" s="26"/>
      <c r="G757" s="43"/>
      <c r="I757" s="150"/>
      <c r="J757" s="150"/>
      <c r="K757" s="150"/>
      <c r="L757" s="150"/>
      <c r="M757" s="150"/>
      <c r="N757" s="150"/>
      <c r="O757" s="150"/>
      <c r="P757" s="150"/>
      <c r="Q757" s="150"/>
      <c r="R757" s="150"/>
      <c r="S757" s="150"/>
      <c r="T757" s="150"/>
      <c r="U757" s="150"/>
      <c r="V757" s="150"/>
      <c r="W757" s="150"/>
      <c r="X757" s="150"/>
      <c r="Y757" s="150"/>
      <c r="Z757" s="150"/>
      <c r="AA757" s="150"/>
      <c r="AB757" s="150"/>
      <c r="AC757" s="150"/>
      <c r="AD757" s="150"/>
      <c r="AE757" s="150"/>
      <c r="AF757" s="150"/>
      <c r="AG757" s="150"/>
      <c r="AH757" s="150"/>
      <c r="AI757" s="150"/>
      <c r="AJ757" s="150"/>
      <c r="AK757" s="150"/>
      <c r="AL757" s="150"/>
      <c r="AM757" s="150"/>
      <c r="AN757" s="150"/>
      <c r="AO757" s="150"/>
      <c r="AP757" s="150"/>
      <c r="AQ757" s="150"/>
      <c r="AR757" s="150"/>
      <c r="AS757" s="150"/>
      <c r="AT757" s="150"/>
      <c r="AU757" s="150"/>
      <c r="AV757" s="150"/>
      <c r="AW757" s="150"/>
      <c r="AX757" s="150"/>
      <c r="AY757" s="150"/>
      <c r="AZ757" s="150"/>
      <c r="BA757" s="150"/>
      <c r="BB757" s="150"/>
      <c r="BC757" s="150"/>
      <c r="BD757" s="150"/>
      <c r="BE757" s="150"/>
    </row>
    <row r="758" spans="2:57" s="4" customFormat="1" ht="15" customHeight="1" x14ac:dyDescent="0.35">
      <c r="B758" s="2"/>
      <c r="D758" s="3" t="s">
        <v>690</v>
      </c>
      <c r="G758" s="43"/>
      <c r="I758" s="231"/>
      <c r="J758" s="231"/>
      <c r="K758" s="231"/>
      <c r="L758" s="231"/>
      <c r="M758" s="231"/>
      <c r="N758" s="231"/>
      <c r="O758" s="231"/>
      <c r="P758" s="231"/>
      <c r="Q758" s="231"/>
      <c r="R758" s="231"/>
      <c r="S758" s="231"/>
      <c r="T758" s="231"/>
      <c r="U758" s="231"/>
      <c r="V758" s="231"/>
      <c r="W758" s="231"/>
      <c r="X758" s="231"/>
      <c r="Y758" s="231"/>
      <c r="Z758" s="231"/>
      <c r="AA758" s="231"/>
      <c r="AB758" s="231"/>
      <c r="AC758" s="231"/>
      <c r="AD758" s="231"/>
      <c r="AE758" s="231"/>
      <c r="AF758" s="231"/>
      <c r="AG758" s="231"/>
      <c r="AH758" s="231"/>
      <c r="AI758" s="231"/>
      <c r="AJ758" s="231"/>
      <c r="AK758" s="231"/>
      <c r="AL758" s="231"/>
      <c r="AM758" s="231"/>
      <c r="AN758" s="231"/>
      <c r="AO758" s="231"/>
      <c r="AP758" s="231"/>
      <c r="AQ758" s="231"/>
      <c r="AR758" s="231"/>
      <c r="AS758" s="231"/>
      <c r="AT758" s="231"/>
      <c r="AU758" s="231"/>
      <c r="AV758" s="231"/>
      <c r="AW758" s="231"/>
      <c r="AX758" s="231"/>
      <c r="AY758" s="231"/>
      <c r="AZ758" s="231"/>
      <c r="BA758" s="231"/>
      <c r="BB758" s="231"/>
      <c r="BC758" s="231"/>
      <c r="BD758" s="231"/>
      <c r="BE758" s="231"/>
    </row>
    <row r="759" spans="2:57" s="4" customFormat="1" ht="15" customHeight="1" x14ac:dyDescent="0.35">
      <c r="B759" s="2"/>
      <c r="D759" s="3"/>
      <c r="E759" s="4" t="s">
        <v>691</v>
      </c>
      <c r="F759" s="4" t="s">
        <v>240</v>
      </c>
      <c r="G759" s="43" t="s">
        <v>241</v>
      </c>
      <c r="I759" s="127">
        <v>103</v>
      </c>
      <c r="J759" s="127">
        <v>99</v>
      </c>
      <c r="K759" s="127">
        <v>94</v>
      </c>
      <c r="L759" s="127">
        <v>89</v>
      </c>
      <c r="M759" s="127">
        <v>84</v>
      </c>
      <c r="N759" s="127">
        <v>79</v>
      </c>
      <c r="O759" s="127">
        <v>74</v>
      </c>
      <c r="P759" s="127">
        <v>69</v>
      </c>
      <c r="Q759" s="127">
        <v>65</v>
      </c>
      <c r="R759" s="127">
        <v>61</v>
      </c>
      <c r="S759" s="127">
        <v>57</v>
      </c>
      <c r="T759" s="127">
        <v>53</v>
      </c>
      <c r="U759" s="127">
        <v>49</v>
      </c>
      <c r="V759" s="127">
        <v>46</v>
      </c>
      <c r="W759" s="127">
        <v>43</v>
      </c>
      <c r="X759" s="127">
        <v>40</v>
      </c>
      <c r="Y759" s="127">
        <v>37</v>
      </c>
      <c r="Z759" s="127">
        <v>35</v>
      </c>
      <c r="AA759" s="127">
        <v>33</v>
      </c>
      <c r="AB759" s="127">
        <v>31</v>
      </c>
      <c r="AC759" s="127">
        <v>29</v>
      </c>
      <c r="AD759" s="127">
        <v>28</v>
      </c>
      <c r="AE759" s="160">
        <f>AD759</f>
        <v>28</v>
      </c>
      <c r="AF759" s="160">
        <f t="shared" ref="AF759:BE761" si="204">AE759</f>
        <v>28</v>
      </c>
      <c r="AG759" s="160">
        <f t="shared" si="204"/>
        <v>28</v>
      </c>
      <c r="AH759" s="160">
        <f t="shared" si="204"/>
        <v>28</v>
      </c>
      <c r="AI759" s="160">
        <f t="shared" si="204"/>
        <v>28</v>
      </c>
      <c r="AJ759" s="160">
        <f t="shared" si="204"/>
        <v>28</v>
      </c>
      <c r="AK759" s="160">
        <f t="shared" si="204"/>
        <v>28</v>
      </c>
      <c r="AL759" s="160">
        <f t="shared" si="204"/>
        <v>28</v>
      </c>
      <c r="AM759" s="160">
        <f t="shared" si="204"/>
        <v>28</v>
      </c>
      <c r="AN759" s="160">
        <f t="shared" si="204"/>
        <v>28</v>
      </c>
      <c r="AO759" s="160">
        <f t="shared" si="204"/>
        <v>28</v>
      </c>
      <c r="AP759" s="160">
        <f t="shared" si="204"/>
        <v>28</v>
      </c>
      <c r="AQ759" s="160">
        <f t="shared" si="204"/>
        <v>28</v>
      </c>
      <c r="AR759" s="160">
        <f t="shared" si="204"/>
        <v>28</v>
      </c>
      <c r="AS759" s="160">
        <f t="shared" si="204"/>
        <v>28</v>
      </c>
      <c r="AT759" s="160">
        <f t="shared" si="204"/>
        <v>28</v>
      </c>
      <c r="AU759" s="160">
        <f t="shared" si="204"/>
        <v>28</v>
      </c>
      <c r="AV759" s="160">
        <f t="shared" si="204"/>
        <v>28</v>
      </c>
      <c r="AW759" s="160">
        <f t="shared" si="204"/>
        <v>28</v>
      </c>
      <c r="AX759" s="160">
        <f t="shared" si="204"/>
        <v>28</v>
      </c>
      <c r="AY759" s="160">
        <f t="shared" si="204"/>
        <v>28</v>
      </c>
      <c r="AZ759" s="160">
        <f t="shared" si="204"/>
        <v>28</v>
      </c>
      <c r="BA759" s="160">
        <f t="shared" si="204"/>
        <v>28</v>
      </c>
      <c r="BB759" s="160">
        <f t="shared" si="204"/>
        <v>28</v>
      </c>
      <c r="BC759" s="160">
        <f t="shared" si="204"/>
        <v>28</v>
      </c>
      <c r="BD759" s="160">
        <f t="shared" si="204"/>
        <v>28</v>
      </c>
      <c r="BE759" s="160">
        <f t="shared" si="204"/>
        <v>28</v>
      </c>
    </row>
    <row r="760" spans="2:57" s="4" customFormat="1" ht="15" customHeight="1" x14ac:dyDescent="0.35">
      <c r="B760" s="2"/>
      <c r="D760" s="3"/>
      <c r="E760" s="4" t="s">
        <v>692</v>
      </c>
      <c r="F760" s="4" t="s">
        <v>240</v>
      </c>
      <c r="G760" s="43" t="s">
        <v>241</v>
      </c>
      <c r="I760" s="127">
        <v>200</v>
      </c>
      <c r="J760" s="127">
        <v>187</v>
      </c>
      <c r="K760" s="127">
        <v>185</v>
      </c>
      <c r="L760" s="127">
        <v>177</v>
      </c>
      <c r="M760" s="127">
        <v>172</v>
      </c>
      <c r="N760" s="127">
        <v>162</v>
      </c>
      <c r="O760" s="127">
        <v>150</v>
      </c>
      <c r="P760" s="127">
        <v>144</v>
      </c>
      <c r="Q760" s="127">
        <v>138</v>
      </c>
      <c r="R760" s="127">
        <v>132</v>
      </c>
      <c r="S760" s="127">
        <v>126</v>
      </c>
      <c r="T760" s="127">
        <v>119</v>
      </c>
      <c r="U760" s="127">
        <v>112</v>
      </c>
      <c r="V760" s="127">
        <v>105</v>
      </c>
      <c r="W760" s="127">
        <v>98</v>
      </c>
      <c r="X760" s="127">
        <v>91</v>
      </c>
      <c r="Y760" s="127">
        <v>84</v>
      </c>
      <c r="Z760" s="127">
        <v>77</v>
      </c>
      <c r="AA760" s="127">
        <v>71</v>
      </c>
      <c r="AB760" s="127">
        <v>67</v>
      </c>
      <c r="AC760" s="127">
        <v>63</v>
      </c>
      <c r="AD760" s="127">
        <v>60</v>
      </c>
      <c r="AE760" s="160">
        <f>AD760</f>
        <v>60</v>
      </c>
      <c r="AF760" s="160">
        <f t="shared" si="204"/>
        <v>60</v>
      </c>
      <c r="AG760" s="160">
        <f t="shared" si="204"/>
        <v>60</v>
      </c>
      <c r="AH760" s="160">
        <f t="shared" si="204"/>
        <v>60</v>
      </c>
      <c r="AI760" s="160">
        <f t="shared" si="204"/>
        <v>60</v>
      </c>
      <c r="AJ760" s="160">
        <f t="shared" si="204"/>
        <v>60</v>
      </c>
      <c r="AK760" s="160">
        <f t="shared" si="204"/>
        <v>60</v>
      </c>
      <c r="AL760" s="160">
        <f t="shared" si="204"/>
        <v>60</v>
      </c>
      <c r="AM760" s="160">
        <f t="shared" si="204"/>
        <v>60</v>
      </c>
      <c r="AN760" s="160">
        <f t="shared" si="204"/>
        <v>60</v>
      </c>
      <c r="AO760" s="160">
        <f t="shared" si="204"/>
        <v>60</v>
      </c>
      <c r="AP760" s="160">
        <f t="shared" si="204"/>
        <v>60</v>
      </c>
      <c r="AQ760" s="160">
        <f t="shared" si="204"/>
        <v>60</v>
      </c>
      <c r="AR760" s="160">
        <f t="shared" si="204"/>
        <v>60</v>
      </c>
      <c r="AS760" s="160">
        <f t="shared" si="204"/>
        <v>60</v>
      </c>
      <c r="AT760" s="160">
        <f t="shared" si="204"/>
        <v>60</v>
      </c>
      <c r="AU760" s="160">
        <f t="shared" si="204"/>
        <v>60</v>
      </c>
      <c r="AV760" s="160">
        <f t="shared" si="204"/>
        <v>60</v>
      </c>
      <c r="AW760" s="160">
        <f t="shared" si="204"/>
        <v>60</v>
      </c>
      <c r="AX760" s="160">
        <f t="shared" si="204"/>
        <v>60</v>
      </c>
      <c r="AY760" s="160">
        <f t="shared" si="204"/>
        <v>60</v>
      </c>
      <c r="AZ760" s="160">
        <f t="shared" si="204"/>
        <v>60</v>
      </c>
      <c r="BA760" s="160">
        <f t="shared" si="204"/>
        <v>60</v>
      </c>
      <c r="BB760" s="160">
        <f t="shared" si="204"/>
        <v>60</v>
      </c>
      <c r="BC760" s="160">
        <f t="shared" si="204"/>
        <v>60</v>
      </c>
      <c r="BD760" s="160">
        <f t="shared" si="204"/>
        <v>60</v>
      </c>
      <c r="BE760" s="160">
        <f t="shared" si="204"/>
        <v>60</v>
      </c>
    </row>
    <row r="761" spans="2:57" s="4" customFormat="1" ht="15" customHeight="1" x14ac:dyDescent="0.35">
      <c r="B761" s="2"/>
      <c r="D761" s="3"/>
      <c r="E761" s="4" t="s">
        <v>693</v>
      </c>
      <c r="F761" s="4" t="s">
        <v>240</v>
      </c>
      <c r="G761" s="43" t="s">
        <v>241</v>
      </c>
      <c r="I761" s="127">
        <v>233</v>
      </c>
      <c r="J761" s="127">
        <v>231</v>
      </c>
      <c r="K761" s="127">
        <v>228</v>
      </c>
      <c r="L761" s="127">
        <v>225</v>
      </c>
      <c r="M761" s="127">
        <v>223</v>
      </c>
      <c r="N761" s="127">
        <v>220</v>
      </c>
      <c r="O761" s="127">
        <v>217</v>
      </c>
      <c r="P761" s="127">
        <v>215</v>
      </c>
      <c r="Q761" s="127">
        <v>212</v>
      </c>
      <c r="R761" s="127">
        <v>209</v>
      </c>
      <c r="S761" s="127">
        <v>206</v>
      </c>
      <c r="T761" s="127">
        <v>203</v>
      </c>
      <c r="U761" s="127">
        <v>200</v>
      </c>
      <c r="V761" s="127">
        <v>197</v>
      </c>
      <c r="W761" s="127">
        <v>193</v>
      </c>
      <c r="X761" s="127">
        <v>190</v>
      </c>
      <c r="Y761" s="127">
        <v>187</v>
      </c>
      <c r="Z761" s="127">
        <v>184</v>
      </c>
      <c r="AA761" s="127">
        <v>180</v>
      </c>
      <c r="AB761" s="127">
        <v>177</v>
      </c>
      <c r="AC761" s="127">
        <v>174</v>
      </c>
      <c r="AD761" s="127">
        <v>171</v>
      </c>
      <c r="AE761" s="160">
        <f>AD761</f>
        <v>171</v>
      </c>
      <c r="AF761" s="160">
        <f t="shared" si="204"/>
        <v>171</v>
      </c>
      <c r="AG761" s="160">
        <f t="shared" si="204"/>
        <v>171</v>
      </c>
      <c r="AH761" s="160">
        <f t="shared" si="204"/>
        <v>171</v>
      </c>
      <c r="AI761" s="160">
        <f t="shared" si="204"/>
        <v>171</v>
      </c>
      <c r="AJ761" s="160">
        <f t="shared" si="204"/>
        <v>171</v>
      </c>
      <c r="AK761" s="160">
        <f t="shared" si="204"/>
        <v>171</v>
      </c>
      <c r="AL761" s="160">
        <f t="shared" si="204"/>
        <v>171</v>
      </c>
      <c r="AM761" s="160">
        <f t="shared" si="204"/>
        <v>171</v>
      </c>
      <c r="AN761" s="160">
        <f t="shared" si="204"/>
        <v>171</v>
      </c>
      <c r="AO761" s="160">
        <f t="shared" si="204"/>
        <v>171</v>
      </c>
      <c r="AP761" s="160">
        <f t="shared" si="204"/>
        <v>171</v>
      </c>
      <c r="AQ761" s="160">
        <f t="shared" si="204"/>
        <v>171</v>
      </c>
      <c r="AR761" s="160">
        <f t="shared" si="204"/>
        <v>171</v>
      </c>
      <c r="AS761" s="160">
        <f t="shared" si="204"/>
        <v>171</v>
      </c>
      <c r="AT761" s="160">
        <f t="shared" si="204"/>
        <v>171</v>
      </c>
      <c r="AU761" s="160">
        <f t="shared" si="204"/>
        <v>171</v>
      </c>
      <c r="AV761" s="160">
        <f t="shared" si="204"/>
        <v>171</v>
      </c>
      <c r="AW761" s="160">
        <f t="shared" si="204"/>
        <v>171</v>
      </c>
      <c r="AX761" s="160">
        <f t="shared" si="204"/>
        <v>171</v>
      </c>
      <c r="AY761" s="160">
        <f t="shared" si="204"/>
        <v>171</v>
      </c>
      <c r="AZ761" s="160">
        <f t="shared" si="204"/>
        <v>171</v>
      </c>
      <c r="BA761" s="160">
        <f t="shared" si="204"/>
        <v>171</v>
      </c>
      <c r="BB761" s="160">
        <f t="shared" si="204"/>
        <v>171</v>
      </c>
      <c r="BC761" s="160">
        <f t="shared" si="204"/>
        <v>171</v>
      </c>
      <c r="BD761" s="160">
        <f t="shared" si="204"/>
        <v>171</v>
      </c>
      <c r="BE761" s="160">
        <f t="shared" si="204"/>
        <v>171</v>
      </c>
    </row>
    <row r="762" spans="2:57" s="4" customFormat="1" ht="15" customHeight="1" x14ac:dyDescent="0.35">
      <c r="B762" s="2"/>
      <c r="D762" s="3"/>
      <c r="E762" s="4" t="s">
        <v>694</v>
      </c>
      <c r="F762" s="4" t="s">
        <v>240</v>
      </c>
      <c r="G762" s="43" t="s">
        <v>241</v>
      </c>
      <c r="I762" s="160">
        <v>112.68041237113403</v>
      </c>
      <c r="J762" s="160">
        <v>108.0721649484536</v>
      </c>
      <c r="K762" s="160">
        <v>103.32989690721649</v>
      </c>
      <c r="L762" s="160">
        <v>98.154639175257742</v>
      </c>
      <c r="M762" s="160">
        <v>93.216494845360828</v>
      </c>
      <c r="N762" s="160">
        <v>87.896907216494853</v>
      </c>
      <c r="O762" s="160">
        <v>82.432989690721655</v>
      </c>
      <c r="P762" s="160">
        <v>77.422680412371136</v>
      </c>
      <c r="Q762" s="160">
        <v>73.298969072164951</v>
      </c>
      <c r="R762" s="160">
        <v>69.17525773195878</v>
      </c>
      <c r="S762" s="160">
        <v>65.051546391752581</v>
      </c>
      <c r="T762" s="160">
        <v>60.855670103092784</v>
      </c>
      <c r="U762" s="160">
        <v>56.659793814432987</v>
      </c>
      <c r="V762" s="160">
        <v>53.371134020618555</v>
      </c>
      <c r="W762" s="160">
        <v>50.061855670103093</v>
      </c>
      <c r="X762" s="160">
        <v>46.773195876288661</v>
      </c>
      <c r="Y762" s="160">
        <v>43.484536082474229</v>
      </c>
      <c r="Z762" s="160">
        <v>41.103092783505154</v>
      </c>
      <c r="AA762" s="160">
        <v>38.773195876288661</v>
      </c>
      <c r="AB762" s="160">
        <v>36.608247422680414</v>
      </c>
      <c r="AC762" s="160">
        <v>34.443298969072167</v>
      </c>
      <c r="AD762" s="160">
        <v>33.257731958762889</v>
      </c>
      <c r="AE762" s="160">
        <v>33.257731958762889</v>
      </c>
      <c r="AF762" s="160">
        <v>33.257731958762889</v>
      </c>
      <c r="AG762" s="160">
        <v>33.257731958762889</v>
      </c>
      <c r="AH762" s="160">
        <v>33.257731958762889</v>
      </c>
      <c r="AI762" s="160">
        <v>33.257731958762889</v>
      </c>
      <c r="AJ762" s="160">
        <v>33.257731958762889</v>
      </c>
      <c r="AK762" s="160">
        <v>33.257731958762889</v>
      </c>
      <c r="AL762" s="160">
        <v>33.257731958762889</v>
      </c>
      <c r="AM762" s="160">
        <v>33.257731958762889</v>
      </c>
      <c r="AN762" s="160">
        <v>33.257731958762889</v>
      </c>
      <c r="AO762" s="160">
        <v>33.257731958762889</v>
      </c>
      <c r="AP762" s="160">
        <v>33.257731958762889</v>
      </c>
      <c r="AQ762" s="160">
        <v>33.257731958762889</v>
      </c>
      <c r="AR762" s="160">
        <v>33.257731958762889</v>
      </c>
      <c r="AS762" s="160">
        <v>33.257731958762889</v>
      </c>
      <c r="AT762" s="160">
        <v>33.257731958762889</v>
      </c>
      <c r="AU762" s="160">
        <v>33.257731958762889</v>
      </c>
      <c r="AV762" s="160">
        <v>33.257731958762889</v>
      </c>
      <c r="AW762" s="160">
        <v>33.257731958762889</v>
      </c>
      <c r="AX762" s="160">
        <v>33.257731958762889</v>
      </c>
      <c r="AY762" s="160">
        <v>33.257731958762889</v>
      </c>
      <c r="AZ762" s="160">
        <v>33.257731958762889</v>
      </c>
      <c r="BA762" s="160">
        <v>33.257731958762889</v>
      </c>
      <c r="BB762" s="160">
        <v>33.257731958762889</v>
      </c>
      <c r="BC762" s="160">
        <v>33.257731958762889</v>
      </c>
      <c r="BD762" s="160">
        <v>33.257731958762889</v>
      </c>
      <c r="BE762" s="160">
        <v>33.257731958762889</v>
      </c>
    </row>
    <row r="763" spans="2:57" s="4" customFormat="1" ht="15" customHeight="1" x14ac:dyDescent="0.35">
      <c r="B763" s="2"/>
      <c r="D763" s="3"/>
      <c r="G763" s="43"/>
      <c r="I763" s="231"/>
      <c r="J763" s="231"/>
      <c r="K763" s="231"/>
      <c r="L763" s="231"/>
      <c r="M763" s="231"/>
      <c r="N763" s="231"/>
      <c r="O763" s="231"/>
      <c r="P763" s="231"/>
      <c r="Q763" s="231"/>
      <c r="R763" s="231"/>
      <c r="S763" s="231"/>
      <c r="T763" s="231"/>
      <c r="U763" s="231"/>
      <c r="V763" s="231"/>
      <c r="W763" s="231"/>
      <c r="X763" s="231"/>
      <c r="Y763" s="231"/>
      <c r="Z763" s="231"/>
      <c r="AA763" s="231"/>
      <c r="AB763" s="231"/>
      <c r="AC763" s="231"/>
      <c r="AD763" s="231"/>
      <c r="AE763" s="231"/>
      <c r="AF763" s="231"/>
      <c r="AG763" s="231"/>
      <c r="AH763" s="231"/>
      <c r="AI763" s="231"/>
      <c r="AJ763" s="231"/>
      <c r="AK763" s="231"/>
      <c r="AL763" s="231"/>
      <c r="AM763" s="231"/>
      <c r="AN763" s="231"/>
      <c r="AO763" s="231"/>
      <c r="AP763" s="231"/>
      <c r="AQ763" s="231"/>
      <c r="AR763" s="231"/>
      <c r="AS763" s="231"/>
      <c r="AT763" s="231"/>
      <c r="AU763" s="231"/>
      <c r="AV763" s="231"/>
      <c r="AW763" s="231"/>
      <c r="AX763" s="231"/>
      <c r="AY763" s="231"/>
      <c r="AZ763" s="231"/>
      <c r="BA763" s="231"/>
      <c r="BB763" s="231"/>
      <c r="BC763" s="231"/>
      <c r="BD763" s="231"/>
      <c r="BE763" s="231"/>
    </row>
    <row r="764" spans="2:57" s="4" customFormat="1" ht="15" customHeight="1" x14ac:dyDescent="0.35">
      <c r="B764" s="2"/>
      <c r="D764" s="3" t="s">
        <v>683</v>
      </c>
      <c r="G764" s="43"/>
      <c r="I764" s="231"/>
      <c r="J764" s="231"/>
      <c r="K764" s="231"/>
      <c r="L764" s="231"/>
      <c r="M764" s="231"/>
      <c r="N764" s="231"/>
      <c r="O764" s="231"/>
      <c r="P764" s="231"/>
      <c r="Q764" s="231"/>
      <c r="R764" s="231"/>
      <c r="S764" s="231"/>
      <c r="T764" s="231"/>
      <c r="U764" s="231"/>
      <c r="V764" s="231"/>
      <c r="W764" s="231"/>
      <c r="X764" s="231"/>
      <c r="Y764" s="231"/>
      <c r="Z764" s="231"/>
      <c r="AA764" s="231"/>
      <c r="AB764" s="231"/>
      <c r="AC764" s="231"/>
      <c r="AD764" s="231"/>
      <c r="AE764" s="231"/>
      <c r="AF764" s="231"/>
      <c r="AG764" s="231"/>
      <c r="AH764" s="231"/>
      <c r="AI764" s="231"/>
      <c r="AJ764" s="231"/>
      <c r="AK764" s="231"/>
      <c r="AL764" s="231"/>
      <c r="AM764" s="231"/>
      <c r="AN764" s="231"/>
      <c r="AO764" s="231"/>
      <c r="AP764" s="231"/>
      <c r="AQ764" s="231"/>
      <c r="AR764" s="231"/>
      <c r="AS764" s="231"/>
      <c r="AT764" s="231"/>
      <c r="AU764" s="231"/>
      <c r="AV764" s="231"/>
      <c r="AW764" s="231"/>
      <c r="AX764" s="231"/>
      <c r="AY764" s="231"/>
      <c r="AZ764" s="231"/>
      <c r="BA764" s="231"/>
      <c r="BB764" s="231"/>
      <c r="BC764" s="231"/>
      <c r="BD764" s="231"/>
      <c r="BE764" s="231"/>
    </row>
    <row r="765" spans="2:57" s="4" customFormat="1" ht="15" customHeight="1" x14ac:dyDescent="0.35">
      <c r="B765" s="2"/>
      <c r="D765" s="3"/>
      <c r="E765" s="4" t="s">
        <v>695</v>
      </c>
      <c r="F765" s="4" t="s">
        <v>240</v>
      </c>
      <c r="G765" s="43" t="s">
        <v>241</v>
      </c>
      <c r="I765" s="232">
        <v>2.5</v>
      </c>
      <c r="J765" s="232">
        <v>2.2999999999999998</v>
      </c>
      <c r="K765" s="232">
        <v>2.2000000000000002</v>
      </c>
      <c r="L765" s="232">
        <v>2</v>
      </c>
      <c r="M765" s="232">
        <v>1.9</v>
      </c>
      <c r="N765" s="232">
        <v>1.7</v>
      </c>
      <c r="O765" s="232">
        <v>1.6</v>
      </c>
      <c r="P765" s="232">
        <v>1.5</v>
      </c>
      <c r="Q765" s="232">
        <v>1.4</v>
      </c>
      <c r="R765" s="232">
        <v>1.3</v>
      </c>
      <c r="S765" s="232">
        <v>1.1000000000000001</v>
      </c>
      <c r="T765" s="232">
        <v>1</v>
      </c>
      <c r="U765" s="232">
        <v>1</v>
      </c>
      <c r="V765" s="232">
        <v>0.9</v>
      </c>
      <c r="W765" s="232">
        <v>0.8</v>
      </c>
      <c r="X765" s="232">
        <v>0.7</v>
      </c>
      <c r="Y765" s="232">
        <v>0.7</v>
      </c>
      <c r="Z765" s="232">
        <v>0.6</v>
      </c>
      <c r="AA765" s="232">
        <v>0.6</v>
      </c>
      <c r="AB765" s="232">
        <v>0.5</v>
      </c>
      <c r="AC765" s="232">
        <v>0.5</v>
      </c>
      <c r="AD765" s="232">
        <v>0.4</v>
      </c>
      <c r="AE765" s="233">
        <f>AD765</f>
        <v>0.4</v>
      </c>
      <c r="AF765" s="233">
        <f t="shared" ref="AF765:BE767" si="205">AE765</f>
        <v>0.4</v>
      </c>
      <c r="AG765" s="233">
        <f t="shared" si="205"/>
        <v>0.4</v>
      </c>
      <c r="AH765" s="233">
        <f t="shared" si="205"/>
        <v>0.4</v>
      </c>
      <c r="AI765" s="233">
        <f t="shared" si="205"/>
        <v>0.4</v>
      </c>
      <c r="AJ765" s="233">
        <f t="shared" si="205"/>
        <v>0.4</v>
      </c>
      <c r="AK765" s="233">
        <f t="shared" si="205"/>
        <v>0.4</v>
      </c>
      <c r="AL765" s="233">
        <f t="shared" si="205"/>
        <v>0.4</v>
      </c>
      <c r="AM765" s="233">
        <f t="shared" si="205"/>
        <v>0.4</v>
      </c>
      <c r="AN765" s="233">
        <f t="shared" si="205"/>
        <v>0.4</v>
      </c>
      <c r="AO765" s="233">
        <f t="shared" si="205"/>
        <v>0.4</v>
      </c>
      <c r="AP765" s="233">
        <f t="shared" si="205"/>
        <v>0.4</v>
      </c>
      <c r="AQ765" s="233">
        <f t="shared" si="205"/>
        <v>0.4</v>
      </c>
      <c r="AR765" s="233">
        <f t="shared" si="205"/>
        <v>0.4</v>
      </c>
      <c r="AS765" s="233">
        <f t="shared" si="205"/>
        <v>0.4</v>
      </c>
      <c r="AT765" s="233">
        <f t="shared" si="205"/>
        <v>0.4</v>
      </c>
      <c r="AU765" s="233">
        <f t="shared" si="205"/>
        <v>0.4</v>
      </c>
      <c r="AV765" s="233">
        <f t="shared" si="205"/>
        <v>0.4</v>
      </c>
      <c r="AW765" s="233">
        <f t="shared" si="205"/>
        <v>0.4</v>
      </c>
      <c r="AX765" s="233">
        <f t="shared" si="205"/>
        <v>0.4</v>
      </c>
      <c r="AY765" s="233">
        <f t="shared" si="205"/>
        <v>0.4</v>
      </c>
      <c r="AZ765" s="233">
        <f t="shared" si="205"/>
        <v>0.4</v>
      </c>
      <c r="BA765" s="233">
        <f t="shared" si="205"/>
        <v>0.4</v>
      </c>
      <c r="BB765" s="233">
        <f t="shared" si="205"/>
        <v>0.4</v>
      </c>
      <c r="BC765" s="233">
        <f t="shared" si="205"/>
        <v>0.4</v>
      </c>
      <c r="BD765" s="233">
        <f t="shared" si="205"/>
        <v>0.4</v>
      </c>
      <c r="BE765" s="233">
        <f t="shared" si="205"/>
        <v>0.4</v>
      </c>
    </row>
    <row r="766" spans="2:57" s="4" customFormat="1" ht="15" customHeight="1" x14ac:dyDescent="0.35">
      <c r="B766" s="2"/>
      <c r="D766" s="3"/>
      <c r="E766" s="4" t="s">
        <v>696</v>
      </c>
      <c r="F766" s="4" t="s">
        <v>240</v>
      </c>
      <c r="G766" s="43" t="s">
        <v>241</v>
      </c>
      <c r="I766" s="232">
        <v>4.4000000000000004</v>
      </c>
      <c r="J766" s="232">
        <v>4.0999999999999996</v>
      </c>
      <c r="K766" s="232">
        <v>4</v>
      </c>
      <c r="L766" s="232">
        <v>3.9</v>
      </c>
      <c r="M766" s="232">
        <v>3.7</v>
      </c>
      <c r="N766" s="232">
        <v>3.5</v>
      </c>
      <c r="O766" s="232">
        <v>3.2</v>
      </c>
      <c r="P766" s="232">
        <v>3.1</v>
      </c>
      <c r="Q766" s="232">
        <v>3</v>
      </c>
      <c r="R766" s="232">
        <v>2.8</v>
      </c>
      <c r="S766" s="232">
        <v>2.7</v>
      </c>
      <c r="T766" s="232">
        <v>2.5</v>
      </c>
      <c r="U766" s="232">
        <v>2.4</v>
      </c>
      <c r="V766" s="232">
        <v>2.2000000000000002</v>
      </c>
      <c r="W766" s="232">
        <v>2.1</v>
      </c>
      <c r="X766" s="232">
        <v>1.9</v>
      </c>
      <c r="Y766" s="232">
        <v>1.7</v>
      </c>
      <c r="Z766" s="232">
        <v>1.6</v>
      </c>
      <c r="AA766" s="232">
        <v>1.5</v>
      </c>
      <c r="AB766" s="232">
        <v>1.4</v>
      </c>
      <c r="AC766" s="232">
        <v>1.3</v>
      </c>
      <c r="AD766" s="232">
        <v>1.2</v>
      </c>
      <c r="AE766" s="233">
        <f>AD766</f>
        <v>1.2</v>
      </c>
      <c r="AF766" s="233">
        <f t="shared" si="205"/>
        <v>1.2</v>
      </c>
      <c r="AG766" s="233">
        <f t="shared" si="205"/>
        <v>1.2</v>
      </c>
      <c r="AH766" s="233">
        <f t="shared" si="205"/>
        <v>1.2</v>
      </c>
      <c r="AI766" s="233">
        <f t="shared" si="205"/>
        <v>1.2</v>
      </c>
      <c r="AJ766" s="233">
        <f t="shared" si="205"/>
        <v>1.2</v>
      </c>
      <c r="AK766" s="233">
        <f t="shared" si="205"/>
        <v>1.2</v>
      </c>
      <c r="AL766" s="233">
        <f t="shared" si="205"/>
        <v>1.2</v>
      </c>
      <c r="AM766" s="233">
        <f t="shared" si="205"/>
        <v>1.2</v>
      </c>
      <c r="AN766" s="233">
        <f t="shared" si="205"/>
        <v>1.2</v>
      </c>
      <c r="AO766" s="233">
        <f t="shared" si="205"/>
        <v>1.2</v>
      </c>
      <c r="AP766" s="233">
        <f t="shared" si="205"/>
        <v>1.2</v>
      </c>
      <c r="AQ766" s="233">
        <f t="shared" si="205"/>
        <v>1.2</v>
      </c>
      <c r="AR766" s="233">
        <f t="shared" si="205"/>
        <v>1.2</v>
      </c>
      <c r="AS766" s="233">
        <f t="shared" si="205"/>
        <v>1.2</v>
      </c>
      <c r="AT766" s="233">
        <f t="shared" si="205"/>
        <v>1.2</v>
      </c>
      <c r="AU766" s="233">
        <f t="shared" si="205"/>
        <v>1.2</v>
      </c>
      <c r="AV766" s="233">
        <f t="shared" si="205"/>
        <v>1.2</v>
      </c>
      <c r="AW766" s="233">
        <f t="shared" si="205"/>
        <v>1.2</v>
      </c>
      <c r="AX766" s="233">
        <f t="shared" si="205"/>
        <v>1.2</v>
      </c>
      <c r="AY766" s="233">
        <f t="shared" si="205"/>
        <v>1.2</v>
      </c>
      <c r="AZ766" s="233">
        <f t="shared" si="205"/>
        <v>1.2</v>
      </c>
      <c r="BA766" s="233">
        <f t="shared" si="205"/>
        <v>1.2</v>
      </c>
      <c r="BB766" s="233">
        <f t="shared" si="205"/>
        <v>1.2</v>
      </c>
      <c r="BC766" s="233">
        <f t="shared" si="205"/>
        <v>1.2</v>
      </c>
      <c r="BD766" s="233">
        <f t="shared" si="205"/>
        <v>1.2</v>
      </c>
      <c r="BE766" s="233">
        <f t="shared" si="205"/>
        <v>1.2</v>
      </c>
    </row>
    <row r="767" spans="2:57" s="4" customFormat="1" ht="15" customHeight="1" x14ac:dyDescent="0.35">
      <c r="B767" s="2"/>
      <c r="D767" s="3"/>
      <c r="E767" s="4" t="s">
        <v>697</v>
      </c>
      <c r="F767" s="4" t="s">
        <v>240</v>
      </c>
      <c r="G767" s="43" t="s">
        <v>241</v>
      </c>
      <c r="I767" s="232">
        <v>5.4</v>
      </c>
      <c r="J767" s="232">
        <v>5.3</v>
      </c>
      <c r="K767" s="232">
        <v>5.3</v>
      </c>
      <c r="L767" s="232">
        <v>5.3</v>
      </c>
      <c r="M767" s="232">
        <v>5.2</v>
      </c>
      <c r="N767" s="232">
        <v>5.2</v>
      </c>
      <c r="O767" s="232">
        <v>5.0999999999999996</v>
      </c>
      <c r="P767" s="232">
        <v>5.0999999999999996</v>
      </c>
      <c r="Q767" s="232">
        <v>5.0999999999999996</v>
      </c>
      <c r="R767" s="232">
        <v>5</v>
      </c>
      <c r="S767" s="232">
        <v>5</v>
      </c>
      <c r="T767" s="232">
        <v>4.9000000000000004</v>
      </c>
      <c r="U767" s="232">
        <v>4.8</v>
      </c>
      <c r="V767" s="232">
        <v>4.8</v>
      </c>
      <c r="W767" s="232">
        <v>4.7</v>
      </c>
      <c r="X767" s="232">
        <v>4.5999999999999996</v>
      </c>
      <c r="Y767" s="232">
        <v>4.5999999999999996</v>
      </c>
      <c r="Z767" s="232">
        <v>4.5</v>
      </c>
      <c r="AA767" s="232">
        <v>4.4000000000000004</v>
      </c>
      <c r="AB767" s="232">
        <v>4.4000000000000004</v>
      </c>
      <c r="AC767" s="232">
        <v>4.3</v>
      </c>
      <c r="AD767" s="232">
        <v>4.2</v>
      </c>
      <c r="AE767" s="233">
        <f>AD767</f>
        <v>4.2</v>
      </c>
      <c r="AF767" s="233">
        <f t="shared" si="205"/>
        <v>4.2</v>
      </c>
      <c r="AG767" s="233">
        <f t="shared" si="205"/>
        <v>4.2</v>
      </c>
      <c r="AH767" s="233">
        <f t="shared" si="205"/>
        <v>4.2</v>
      </c>
      <c r="AI767" s="233">
        <f t="shared" si="205"/>
        <v>4.2</v>
      </c>
      <c r="AJ767" s="233">
        <f t="shared" si="205"/>
        <v>4.2</v>
      </c>
      <c r="AK767" s="233">
        <f t="shared" si="205"/>
        <v>4.2</v>
      </c>
      <c r="AL767" s="233">
        <f t="shared" si="205"/>
        <v>4.2</v>
      </c>
      <c r="AM767" s="233">
        <f t="shared" si="205"/>
        <v>4.2</v>
      </c>
      <c r="AN767" s="233">
        <f t="shared" si="205"/>
        <v>4.2</v>
      </c>
      <c r="AO767" s="233">
        <f t="shared" si="205"/>
        <v>4.2</v>
      </c>
      <c r="AP767" s="233">
        <f t="shared" si="205"/>
        <v>4.2</v>
      </c>
      <c r="AQ767" s="233">
        <f t="shared" si="205"/>
        <v>4.2</v>
      </c>
      <c r="AR767" s="233">
        <f t="shared" si="205"/>
        <v>4.2</v>
      </c>
      <c r="AS767" s="233">
        <f t="shared" si="205"/>
        <v>4.2</v>
      </c>
      <c r="AT767" s="233">
        <f t="shared" si="205"/>
        <v>4.2</v>
      </c>
      <c r="AU767" s="233">
        <f t="shared" si="205"/>
        <v>4.2</v>
      </c>
      <c r="AV767" s="233">
        <f t="shared" si="205"/>
        <v>4.2</v>
      </c>
      <c r="AW767" s="233">
        <f t="shared" si="205"/>
        <v>4.2</v>
      </c>
      <c r="AX767" s="233">
        <f t="shared" si="205"/>
        <v>4.2</v>
      </c>
      <c r="AY767" s="233">
        <f t="shared" si="205"/>
        <v>4.2</v>
      </c>
      <c r="AZ767" s="233">
        <f t="shared" si="205"/>
        <v>4.2</v>
      </c>
      <c r="BA767" s="233">
        <f t="shared" si="205"/>
        <v>4.2</v>
      </c>
      <c r="BB767" s="233">
        <f t="shared" si="205"/>
        <v>4.2</v>
      </c>
      <c r="BC767" s="233">
        <f t="shared" si="205"/>
        <v>4.2</v>
      </c>
      <c r="BD767" s="233">
        <f t="shared" si="205"/>
        <v>4.2</v>
      </c>
      <c r="BE767" s="233">
        <f t="shared" si="205"/>
        <v>4.2</v>
      </c>
    </row>
    <row r="768" spans="2:57" s="4" customFormat="1" ht="15" customHeight="1" x14ac:dyDescent="0.35">
      <c r="D768" s="3"/>
      <c r="E768" s="4" t="s">
        <v>698</v>
      </c>
      <c r="F768" s="4" t="s">
        <v>240</v>
      </c>
      <c r="G768" s="43" t="s">
        <v>241</v>
      </c>
      <c r="I768" s="233">
        <v>2.6969072164948455</v>
      </c>
      <c r="J768" s="233">
        <v>2.4917525773195872</v>
      </c>
      <c r="K768" s="233">
        <v>2.3938144329896911</v>
      </c>
      <c r="L768" s="233">
        <v>2.2051546391752579</v>
      </c>
      <c r="M768" s="233">
        <v>2.097938144329897</v>
      </c>
      <c r="N768" s="233">
        <v>1.902061855670103</v>
      </c>
      <c r="O768" s="233">
        <v>1.7876288659793818</v>
      </c>
      <c r="P768" s="233">
        <v>1.6896907216494848</v>
      </c>
      <c r="Q768" s="233">
        <v>1.5917525773195877</v>
      </c>
      <c r="R768" s="233">
        <v>1.4845360824742269</v>
      </c>
      <c r="S768" s="233">
        <v>1.2958762886597941</v>
      </c>
      <c r="T768" s="233">
        <v>1.1886597938144332</v>
      </c>
      <c r="U768" s="233">
        <v>1.1793814432989691</v>
      </c>
      <c r="V768" s="233">
        <v>1.0742268041237113</v>
      </c>
      <c r="W768" s="233">
        <v>0.97422680412371143</v>
      </c>
      <c r="X768" s="233">
        <v>0.86701030927835043</v>
      </c>
      <c r="Y768" s="233">
        <v>0.85257731958762883</v>
      </c>
      <c r="Z768" s="233">
        <v>0.75257731958762886</v>
      </c>
      <c r="AA768" s="233">
        <v>0.74329896907216486</v>
      </c>
      <c r="AB768" s="233">
        <v>0.64536082474226808</v>
      </c>
      <c r="AC768" s="233">
        <v>0.6360824742268042</v>
      </c>
      <c r="AD768" s="233">
        <v>0.53608247422680422</v>
      </c>
      <c r="AE768" s="233">
        <v>0.53608247422680422</v>
      </c>
      <c r="AF768" s="233">
        <v>0.53608247422680422</v>
      </c>
      <c r="AG768" s="233">
        <v>0.53608247422680422</v>
      </c>
      <c r="AH768" s="233">
        <v>0.53608247422680422</v>
      </c>
      <c r="AI768" s="233">
        <v>0.53608247422680422</v>
      </c>
      <c r="AJ768" s="233">
        <v>0.53608247422680422</v>
      </c>
      <c r="AK768" s="233">
        <v>0.53608247422680422</v>
      </c>
      <c r="AL768" s="233">
        <v>0.53608247422680422</v>
      </c>
      <c r="AM768" s="233">
        <v>0.53608247422680422</v>
      </c>
      <c r="AN768" s="233">
        <v>0.53608247422680422</v>
      </c>
      <c r="AO768" s="233">
        <v>0.53608247422680422</v>
      </c>
      <c r="AP768" s="233">
        <v>0.53608247422680422</v>
      </c>
      <c r="AQ768" s="233">
        <v>0.53608247422680422</v>
      </c>
      <c r="AR768" s="233">
        <v>0.53608247422680422</v>
      </c>
      <c r="AS768" s="233">
        <v>0.53608247422680422</v>
      </c>
      <c r="AT768" s="233">
        <v>0.53608247422680422</v>
      </c>
      <c r="AU768" s="233">
        <v>0.53608247422680422</v>
      </c>
      <c r="AV768" s="233">
        <v>0.53608247422680422</v>
      </c>
      <c r="AW768" s="233">
        <v>0.53608247422680422</v>
      </c>
      <c r="AX768" s="233">
        <v>0.53608247422680422</v>
      </c>
      <c r="AY768" s="233">
        <v>0.53608247422680422</v>
      </c>
      <c r="AZ768" s="233">
        <v>0.53608247422680422</v>
      </c>
      <c r="BA768" s="233">
        <v>0.53608247422680422</v>
      </c>
      <c r="BB768" s="233">
        <v>0.53608247422680422</v>
      </c>
      <c r="BC768" s="233">
        <v>0.53608247422680422</v>
      </c>
      <c r="BD768" s="233">
        <v>0.53608247422680422</v>
      </c>
      <c r="BE768" s="233">
        <v>0.53608247422680422</v>
      </c>
    </row>
    <row r="769" spans="4:57" s="4" customFormat="1" ht="15" customHeight="1" x14ac:dyDescent="0.35">
      <c r="D769" s="3"/>
      <c r="G769" s="43"/>
      <c r="I769" s="160"/>
      <c r="J769" s="160"/>
      <c r="K769" s="160"/>
      <c r="L769" s="160"/>
      <c r="M769" s="160"/>
      <c r="N769" s="160"/>
      <c r="O769" s="160"/>
      <c r="P769" s="160"/>
      <c r="Q769" s="160"/>
      <c r="R769" s="160"/>
      <c r="S769" s="160"/>
      <c r="T769" s="160"/>
      <c r="U769" s="160"/>
      <c r="V769" s="160"/>
      <c r="W769" s="160"/>
      <c r="X769" s="160"/>
      <c r="Y769" s="160"/>
      <c r="Z769" s="160"/>
      <c r="AA769" s="160"/>
      <c r="AB769" s="160"/>
      <c r="AC769" s="160"/>
      <c r="AD769" s="160"/>
      <c r="AE769" s="160"/>
      <c r="AF769" s="160"/>
      <c r="AG769" s="160"/>
      <c r="AH769" s="160"/>
      <c r="AI769" s="160"/>
      <c r="AJ769" s="160"/>
      <c r="AK769" s="160"/>
      <c r="AL769" s="160"/>
      <c r="AM769" s="160"/>
      <c r="AN769" s="160"/>
      <c r="AO769" s="160"/>
      <c r="AP769" s="160"/>
      <c r="AQ769" s="160"/>
      <c r="AR769" s="160"/>
      <c r="AS769" s="160"/>
      <c r="AT769" s="160"/>
      <c r="AU769" s="160"/>
      <c r="AV769" s="160"/>
      <c r="AW769" s="160"/>
      <c r="AX769" s="160"/>
      <c r="AY769" s="160"/>
      <c r="AZ769" s="160"/>
      <c r="BA769" s="160"/>
      <c r="BB769" s="160"/>
      <c r="BC769" s="160"/>
      <c r="BD769" s="160"/>
      <c r="BE769" s="160"/>
    </row>
    <row r="770" spans="4:57" s="4" customFormat="1" ht="15" customHeight="1" x14ac:dyDescent="0.35">
      <c r="D770" s="3"/>
      <c r="E770" s="4" t="s">
        <v>246</v>
      </c>
      <c r="F770" s="4" t="s">
        <v>240</v>
      </c>
      <c r="G770" s="43" t="s">
        <v>245</v>
      </c>
      <c r="H770" s="49">
        <v>0.97</v>
      </c>
      <c r="I770" s="160"/>
      <c r="J770" s="160"/>
      <c r="K770" s="160"/>
      <c r="L770" s="160"/>
      <c r="M770" s="160"/>
      <c r="N770" s="160"/>
      <c r="O770" s="160"/>
      <c r="P770" s="160"/>
      <c r="Q770" s="160"/>
      <c r="R770" s="160"/>
      <c r="S770" s="160"/>
      <c r="T770" s="160"/>
      <c r="U770" s="160"/>
      <c r="V770" s="160"/>
      <c r="W770" s="160"/>
      <c r="X770" s="160"/>
      <c r="Y770" s="160"/>
      <c r="Z770" s="160"/>
      <c r="AA770" s="160"/>
      <c r="AB770" s="160"/>
      <c r="AC770" s="160"/>
      <c r="AD770" s="160"/>
      <c r="AE770" s="160"/>
      <c r="AF770" s="160"/>
      <c r="AG770" s="160"/>
      <c r="AH770" s="160"/>
      <c r="AI770" s="160"/>
      <c r="AJ770" s="160"/>
      <c r="AK770" s="160"/>
      <c r="AL770" s="160"/>
      <c r="AM770" s="160"/>
      <c r="AN770" s="160"/>
      <c r="AO770" s="160"/>
      <c r="AP770" s="160"/>
      <c r="AQ770" s="160"/>
      <c r="AR770" s="160"/>
      <c r="AS770" s="160"/>
      <c r="AT770" s="160"/>
      <c r="AU770" s="160"/>
      <c r="AV770" s="160"/>
      <c r="AW770" s="160"/>
      <c r="AX770" s="160"/>
      <c r="AY770" s="160"/>
      <c r="AZ770" s="160"/>
      <c r="BA770" s="160"/>
      <c r="BB770" s="160"/>
      <c r="BC770" s="160"/>
      <c r="BD770" s="160"/>
      <c r="BE770" s="160"/>
    </row>
    <row r="771" spans="4:57" s="4" customFormat="1" ht="15" customHeight="1" x14ac:dyDescent="0.35">
      <c r="D771" s="3"/>
      <c r="G771" s="43"/>
      <c r="I771" s="160"/>
      <c r="J771" s="160"/>
      <c r="K771" s="160"/>
      <c r="L771" s="160"/>
      <c r="M771" s="160"/>
      <c r="N771" s="160"/>
      <c r="O771" s="160"/>
      <c r="P771" s="160"/>
      <c r="Q771" s="160"/>
      <c r="R771" s="160"/>
      <c r="S771" s="160"/>
      <c r="T771" s="160"/>
      <c r="U771" s="160"/>
      <c r="V771" s="160"/>
      <c r="W771" s="160"/>
      <c r="X771" s="160"/>
      <c r="Y771" s="160"/>
      <c r="Z771" s="160"/>
      <c r="AA771" s="160"/>
      <c r="AB771" s="160"/>
      <c r="AC771" s="160"/>
      <c r="AD771" s="160"/>
      <c r="AE771" s="160"/>
      <c r="AF771" s="160"/>
      <c r="AG771" s="160"/>
      <c r="AH771" s="160"/>
      <c r="AI771" s="160"/>
      <c r="AJ771" s="160"/>
      <c r="AK771" s="160"/>
      <c r="AL771" s="160"/>
      <c r="AM771" s="160"/>
      <c r="AN771" s="160"/>
      <c r="AO771" s="160"/>
      <c r="AP771" s="160"/>
      <c r="AQ771" s="160"/>
      <c r="AR771" s="160"/>
      <c r="AS771" s="160"/>
      <c r="AT771" s="160"/>
      <c r="AU771" s="160"/>
      <c r="AV771" s="160"/>
      <c r="AW771" s="160"/>
      <c r="AX771" s="160"/>
      <c r="AY771" s="160"/>
      <c r="AZ771" s="160"/>
      <c r="BA771" s="160"/>
      <c r="BB771" s="160"/>
      <c r="BC771" s="160"/>
      <c r="BD771" s="160"/>
      <c r="BE771" s="160"/>
    </row>
    <row r="772" spans="4:57" s="4" customFormat="1" ht="15" customHeight="1" x14ac:dyDescent="0.35">
      <c r="D772" s="3"/>
      <c r="E772" s="4" t="s">
        <v>699</v>
      </c>
      <c r="G772" s="43" t="s">
        <v>241</v>
      </c>
      <c r="I772" s="233">
        <f>I765*$H$736</f>
        <v>2.4249999999999998</v>
      </c>
      <c r="J772" s="233">
        <f t="shared" ref="J772:BE775" si="206">J765*$H$736</f>
        <v>2.2309999999999999</v>
      </c>
      <c r="K772" s="233">
        <f t="shared" si="206"/>
        <v>2.1339999999999999</v>
      </c>
      <c r="L772" s="233">
        <f t="shared" si="206"/>
        <v>1.94</v>
      </c>
      <c r="M772" s="233">
        <f t="shared" si="206"/>
        <v>1.843</v>
      </c>
      <c r="N772" s="233">
        <f t="shared" si="206"/>
        <v>1.649</v>
      </c>
      <c r="O772" s="233">
        <f t="shared" si="206"/>
        <v>1.552</v>
      </c>
      <c r="P772" s="233">
        <f t="shared" si="206"/>
        <v>1.4550000000000001</v>
      </c>
      <c r="Q772" s="233">
        <f t="shared" si="206"/>
        <v>1.3579999999999999</v>
      </c>
      <c r="R772" s="233">
        <f t="shared" si="206"/>
        <v>1.2609999999999999</v>
      </c>
      <c r="S772" s="233">
        <f t="shared" si="206"/>
        <v>1.0669999999999999</v>
      </c>
      <c r="T772" s="233">
        <f t="shared" si="206"/>
        <v>0.97</v>
      </c>
      <c r="U772" s="233">
        <f t="shared" si="206"/>
        <v>0.97</v>
      </c>
      <c r="V772" s="233">
        <f t="shared" si="206"/>
        <v>0.873</v>
      </c>
      <c r="W772" s="233">
        <f t="shared" si="206"/>
        <v>0.77600000000000002</v>
      </c>
      <c r="X772" s="233">
        <f t="shared" si="206"/>
        <v>0.67899999999999994</v>
      </c>
      <c r="Y772" s="233">
        <f t="shared" si="206"/>
        <v>0.67899999999999994</v>
      </c>
      <c r="Z772" s="233">
        <f t="shared" si="206"/>
        <v>0.58199999999999996</v>
      </c>
      <c r="AA772" s="233">
        <f t="shared" si="206"/>
        <v>0.58199999999999996</v>
      </c>
      <c r="AB772" s="233">
        <f t="shared" si="206"/>
        <v>0.48499999999999999</v>
      </c>
      <c r="AC772" s="233">
        <f t="shared" si="206"/>
        <v>0.48499999999999999</v>
      </c>
      <c r="AD772" s="233">
        <f t="shared" si="206"/>
        <v>0.38800000000000001</v>
      </c>
      <c r="AE772" s="233">
        <f t="shared" si="206"/>
        <v>0.38800000000000001</v>
      </c>
      <c r="AF772" s="233">
        <f t="shared" si="206"/>
        <v>0.38800000000000001</v>
      </c>
      <c r="AG772" s="233">
        <f t="shared" si="206"/>
        <v>0.38800000000000001</v>
      </c>
      <c r="AH772" s="233">
        <f t="shared" si="206"/>
        <v>0.38800000000000001</v>
      </c>
      <c r="AI772" s="233">
        <f t="shared" si="206"/>
        <v>0.38800000000000001</v>
      </c>
      <c r="AJ772" s="233">
        <f t="shared" si="206"/>
        <v>0.38800000000000001</v>
      </c>
      <c r="AK772" s="233">
        <f t="shared" si="206"/>
        <v>0.38800000000000001</v>
      </c>
      <c r="AL772" s="233">
        <f t="shared" si="206"/>
        <v>0.38800000000000001</v>
      </c>
      <c r="AM772" s="233">
        <f t="shared" si="206"/>
        <v>0.38800000000000001</v>
      </c>
      <c r="AN772" s="233">
        <f t="shared" si="206"/>
        <v>0.38800000000000001</v>
      </c>
      <c r="AO772" s="233">
        <f t="shared" si="206"/>
        <v>0.38800000000000001</v>
      </c>
      <c r="AP772" s="233">
        <f t="shared" si="206"/>
        <v>0.38800000000000001</v>
      </c>
      <c r="AQ772" s="233">
        <f t="shared" si="206"/>
        <v>0.38800000000000001</v>
      </c>
      <c r="AR772" s="233">
        <f t="shared" si="206"/>
        <v>0.38800000000000001</v>
      </c>
      <c r="AS772" s="233">
        <f t="shared" si="206"/>
        <v>0.38800000000000001</v>
      </c>
      <c r="AT772" s="233">
        <f t="shared" si="206"/>
        <v>0.38800000000000001</v>
      </c>
      <c r="AU772" s="233">
        <f t="shared" si="206"/>
        <v>0.38800000000000001</v>
      </c>
      <c r="AV772" s="233">
        <f t="shared" si="206"/>
        <v>0.38800000000000001</v>
      </c>
      <c r="AW772" s="233">
        <f t="shared" si="206"/>
        <v>0.38800000000000001</v>
      </c>
      <c r="AX772" s="233">
        <f t="shared" si="206"/>
        <v>0.38800000000000001</v>
      </c>
      <c r="AY772" s="233">
        <f t="shared" si="206"/>
        <v>0.38800000000000001</v>
      </c>
      <c r="AZ772" s="233">
        <f t="shared" si="206"/>
        <v>0.38800000000000001</v>
      </c>
      <c r="BA772" s="233">
        <f t="shared" si="206"/>
        <v>0.38800000000000001</v>
      </c>
      <c r="BB772" s="233">
        <f t="shared" si="206"/>
        <v>0.38800000000000001</v>
      </c>
      <c r="BC772" s="233">
        <f t="shared" si="206"/>
        <v>0.38800000000000001</v>
      </c>
      <c r="BD772" s="233">
        <f t="shared" si="206"/>
        <v>0.38800000000000001</v>
      </c>
      <c r="BE772" s="233">
        <f t="shared" si="206"/>
        <v>0.38800000000000001</v>
      </c>
    </row>
    <row r="773" spans="4:57" s="4" customFormat="1" ht="15" customHeight="1" x14ac:dyDescent="0.35">
      <c r="D773" s="3"/>
      <c r="E773" s="4" t="s">
        <v>700</v>
      </c>
      <c r="G773" s="43" t="s">
        <v>241</v>
      </c>
      <c r="I773" s="233">
        <f t="shared" ref="I773:AX775" si="207">I766*$H$736</f>
        <v>4.2679999999999998</v>
      </c>
      <c r="J773" s="233">
        <f t="shared" si="207"/>
        <v>3.9769999999999994</v>
      </c>
      <c r="K773" s="233">
        <f t="shared" si="207"/>
        <v>3.88</v>
      </c>
      <c r="L773" s="233">
        <f t="shared" si="207"/>
        <v>3.7829999999999999</v>
      </c>
      <c r="M773" s="233">
        <f t="shared" si="207"/>
        <v>3.589</v>
      </c>
      <c r="N773" s="233">
        <f t="shared" si="207"/>
        <v>3.395</v>
      </c>
      <c r="O773" s="233">
        <f t="shared" si="207"/>
        <v>3.1040000000000001</v>
      </c>
      <c r="P773" s="233">
        <f t="shared" si="207"/>
        <v>3.0070000000000001</v>
      </c>
      <c r="Q773" s="233">
        <f t="shared" si="207"/>
        <v>2.91</v>
      </c>
      <c r="R773" s="233">
        <f t="shared" si="207"/>
        <v>2.7159999999999997</v>
      </c>
      <c r="S773" s="233">
        <f t="shared" si="207"/>
        <v>2.6190000000000002</v>
      </c>
      <c r="T773" s="233">
        <f t="shared" si="207"/>
        <v>2.4249999999999998</v>
      </c>
      <c r="U773" s="233">
        <f t="shared" si="207"/>
        <v>2.3279999999999998</v>
      </c>
      <c r="V773" s="233">
        <f t="shared" si="207"/>
        <v>2.1339999999999999</v>
      </c>
      <c r="W773" s="233">
        <f t="shared" si="207"/>
        <v>2.0369999999999999</v>
      </c>
      <c r="X773" s="233">
        <f t="shared" si="207"/>
        <v>1.843</v>
      </c>
      <c r="Y773" s="233">
        <f t="shared" si="207"/>
        <v>1.649</v>
      </c>
      <c r="Z773" s="233">
        <f t="shared" si="207"/>
        <v>1.552</v>
      </c>
      <c r="AA773" s="233">
        <f t="shared" si="207"/>
        <v>1.4550000000000001</v>
      </c>
      <c r="AB773" s="233">
        <f t="shared" si="207"/>
        <v>1.3579999999999999</v>
      </c>
      <c r="AC773" s="233">
        <f t="shared" si="207"/>
        <v>1.2609999999999999</v>
      </c>
      <c r="AD773" s="233">
        <f t="shared" si="207"/>
        <v>1.1639999999999999</v>
      </c>
      <c r="AE773" s="233">
        <f t="shared" si="207"/>
        <v>1.1639999999999999</v>
      </c>
      <c r="AF773" s="233">
        <f t="shared" si="207"/>
        <v>1.1639999999999999</v>
      </c>
      <c r="AG773" s="233">
        <f t="shared" si="207"/>
        <v>1.1639999999999999</v>
      </c>
      <c r="AH773" s="233">
        <f t="shared" si="207"/>
        <v>1.1639999999999999</v>
      </c>
      <c r="AI773" s="233">
        <f t="shared" si="207"/>
        <v>1.1639999999999999</v>
      </c>
      <c r="AJ773" s="233">
        <f t="shared" si="207"/>
        <v>1.1639999999999999</v>
      </c>
      <c r="AK773" s="233">
        <f t="shared" si="207"/>
        <v>1.1639999999999999</v>
      </c>
      <c r="AL773" s="233">
        <f t="shared" si="207"/>
        <v>1.1639999999999999</v>
      </c>
      <c r="AM773" s="233">
        <f t="shared" si="207"/>
        <v>1.1639999999999999</v>
      </c>
      <c r="AN773" s="233">
        <f t="shared" si="207"/>
        <v>1.1639999999999999</v>
      </c>
      <c r="AO773" s="233">
        <f t="shared" si="207"/>
        <v>1.1639999999999999</v>
      </c>
      <c r="AP773" s="233">
        <f t="shared" si="207"/>
        <v>1.1639999999999999</v>
      </c>
      <c r="AQ773" s="233">
        <f t="shared" si="207"/>
        <v>1.1639999999999999</v>
      </c>
      <c r="AR773" s="233">
        <f t="shared" si="207"/>
        <v>1.1639999999999999</v>
      </c>
      <c r="AS773" s="233">
        <f t="shared" si="207"/>
        <v>1.1639999999999999</v>
      </c>
      <c r="AT773" s="233">
        <f t="shared" si="207"/>
        <v>1.1639999999999999</v>
      </c>
      <c r="AU773" s="233">
        <f t="shared" si="207"/>
        <v>1.1639999999999999</v>
      </c>
      <c r="AV773" s="233">
        <f t="shared" si="207"/>
        <v>1.1639999999999999</v>
      </c>
      <c r="AW773" s="233">
        <f t="shared" si="207"/>
        <v>1.1639999999999999</v>
      </c>
      <c r="AX773" s="233">
        <f t="shared" si="207"/>
        <v>1.1639999999999999</v>
      </c>
      <c r="AY773" s="233">
        <f t="shared" si="206"/>
        <v>1.1639999999999999</v>
      </c>
      <c r="AZ773" s="233">
        <f t="shared" si="206"/>
        <v>1.1639999999999999</v>
      </c>
      <c r="BA773" s="233">
        <f t="shared" si="206"/>
        <v>1.1639999999999999</v>
      </c>
      <c r="BB773" s="233">
        <f t="shared" si="206"/>
        <v>1.1639999999999999</v>
      </c>
      <c r="BC773" s="233">
        <f t="shared" si="206"/>
        <v>1.1639999999999999</v>
      </c>
      <c r="BD773" s="233">
        <f t="shared" si="206"/>
        <v>1.1639999999999999</v>
      </c>
      <c r="BE773" s="233">
        <f t="shared" si="206"/>
        <v>1.1639999999999999</v>
      </c>
    </row>
    <row r="774" spans="4:57" s="4" customFormat="1" ht="15" customHeight="1" x14ac:dyDescent="0.35">
      <c r="D774" s="3"/>
      <c r="E774" s="4" t="s">
        <v>701</v>
      </c>
      <c r="G774" s="43" t="s">
        <v>241</v>
      </c>
      <c r="I774" s="233">
        <f t="shared" si="207"/>
        <v>5.2380000000000004</v>
      </c>
      <c r="J774" s="233">
        <f t="shared" si="207"/>
        <v>5.141</v>
      </c>
      <c r="K774" s="233">
        <f t="shared" si="207"/>
        <v>5.141</v>
      </c>
      <c r="L774" s="233">
        <f t="shared" si="207"/>
        <v>5.141</v>
      </c>
      <c r="M774" s="233">
        <f t="shared" si="207"/>
        <v>5.0439999999999996</v>
      </c>
      <c r="N774" s="233">
        <f t="shared" si="207"/>
        <v>5.0439999999999996</v>
      </c>
      <c r="O774" s="233">
        <f t="shared" si="207"/>
        <v>4.9469999999999992</v>
      </c>
      <c r="P774" s="233">
        <f t="shared" si="207"/>
        <v>4.9469999999999992</v>
      </c>
      <c r="Q774" s="233">
        <f t="shared" si="207"/>
        <v>4.9469999999999992</v>
      </c>
      <c r="R774" s="233">
        <f t="shared" si="207"/>
        <v>4.8499999999999996</v>
      </c>
      <c r="S774" s="233">
        <f t="shared" si="207"/>
        <v>4.8499999999999996</v>
      </c>
      <c r="T774" s="233">
        <f t="shared" si="207"/>
        <v>4.7530000000000001</v>
      </c>
      <c r="U774" s="233">
        <f t="shared" si="207"/>
        <v>4.6559999999999997</v>
      </c>
      <c r="V774" s="233">
        <f t="shared" si="207"/>
        <v>4.6559999999999997</v>
      </c>
      <c r="W774" s="233">
        <f t="shared" si="207"/>
        <v>4.5590000000000002</v>
      </c>
      <c r="X774" s="233">
        <f t="shared" si="207"/>
        <v>4.4619999999999997</v>
      </c>
      <c r="Y774" s="233">
        <f t="shared" si="207"/>
        <v>4.4619999999999997</v>
      </c>
      <c r="Z774" s="233">
        <f t="shared" si="207"/>
        <v>4.3650000000000002</v>
      </c>
      <c r="AA774" s="233">
        <f t="shared" si="207"/>
        <v>4.2679999999999998</v>
      </c>
      <c r="AB774" s="233">
        <f t="shared" si="207"/>
        <v>4.2679999999999998</v>
      </c>
      <c r="AC774" s="233">
        <f t="shared" si="207"/>
        <v>4.1709999999999994</v>
      </c>
      <c r="AD774" s="233">
        <f t="shared" si="207"/>
        <v>4.0739999999999998</v>
      </c>
      <c r="AE774" s="233">
        <f t="shared" si="207"/>
        <v>4.0739999999999998</v>
      </c>
      <c r="AF774" s="233">
        <f t="shared" si="207"/>
        <v>4.0739999999999998</v>
      </c>
      <c r="AG774" s="233">
        <f t="shared" si="207"/>
        <v>4.0739999999999998</v>
      </c>
      <c r="AH774" s="233">
        <f t="shared" si="207"/>
        <v>4.0739999999999998</v>
      </c>
      <c r="AI774" s="233">
        <f t="shared" si="207"/>
        <v>4.0739999999999998</v>
      </c>
      <c r="AJ774" s="233">
        <f t="shared" si="207"/>
        <v>4.0739999999999998</v>
      </c>
      <c r="AK774" s="233">
        <f t="shared" si="207"/>
        <v>4.0739999999999998</v>
      </c>
      <c r="AL774" s="233">
        <f t="shared" si="207"/>
        <v>4.0739999999999998</v>
      </c>
      <c r="AM774" s="233">
        <f t="shared" si="207"/>
        <v>4.0739999999999998</v>
      </c>
      <c r="AN774" s="233">
        <f t="shared" si="207"/>
        <v>4.0739999999999998</v>
      </c>
      <c r="AO774" s="233">
        <f t="shared" si="207"/>
        <v>4.0739999999999998</v>
      </c>
      <c r="AP774" s="233">
        <f t="shared" si="207"/>
        <v>4.0739999999999998</v>
      </c>
      <c r="AQ774" s="233">
        <f t="shared" si="207"/>
        <v>4.0739999999999998</v>
      </c>
      <c r="AR774" s="233">
        <f t="shared" si="207"/>
        <v>4.0739999999999998</v>
      </c>
      <c r="AS774" s="233">
        <f t="shared" si="207"/>
        <v>4.0739999999999998</v>
      </c>
      <c r="AT774" s="233">
        <f t="shared" si="207"/>
        <v>4.0739999999999998</v>
      </c>
      <c r="AU774" s="233">
        <f t="shared" si="207"/>
        <v>4.0739999999999998</v>
      </c>
      <c r="AV774" s="233">
        <f t="shared" si="207"/>
        <v>4.0739999999999998</v>
      </c>
      <c r="AW774" s="233">
        <f t="shared" si="207"/>
        <v>4.0739999999999998</v>
      </c>
      <c r="AX774" s="233">
        <f t="shared" si="207"/>
        <v>4.0739999999999998</v>
      </c>
      <c r="AY774" s="233">
        <f t="shared" si="206"/>
        <v>4.0739999999999998</v>
      </c>
      <c r="AZ774" s="233">
        <f t="shared" si="206"/>
        <v>4.0739999999999998</v>
      </c>
      <c r="BA774" s="233">
        <f t="shared" si="206"/>
        <v>4.0739999999999998</v>
      </c>
      <c r="BB774" s="233">
        <f t="shared" si="206"/>
        <v>4.0739999999999998</v>
      </c>
      <c r="BC774" s="233">
        <f t="shared" si="206"/>
        <v>4.0739999999999998</v>
      </c>
      <c r="BD774" s="233">
        <f t="shared" si="206"/>
        <v>4.0739999999999998</v>
      </c>
      <c r="BE774" s="233">
        <f t="shared" si="206"/>
        <v>4.0739999999999998</v>
      </c>
    </row>
    <row r="775" spans="4:57" s="4" customFormat="1" ht="15" customHeight="1" x14ac:dyDescent="0.35">
      <c r="D775" s="3"/>
      <c r="E775" s="4" t="s">
        <v>702</v>
      </c>
      <c r="G775" s="43" t="s">
        <v>241</v>
      </c>
      <c r="I775" s="233">
        <f t="shared" si="207"/>
        <v>2.6160000000000001</v>
      </c>
      <c r="J775" s="233">
        <f t="shared" si="207"/>
        <v>2.4169999999999994</v>
      </c>
      <c r="K775" s="233">
        <f t="shared" si="207"/>
        <v>2.3220000000000005</v>
      </c>
      <c r="L775" s="233">
        <f t="shared" si="207"/>
        <v>2.1390000000000002</v>
      </c>
      <c r="M775" s="233">
        <f t="shared" si="207"/>
        <v>2.0350000000000001</v>
      </c>
      <c r="N775" s="233">
        <f t="shared" si="207"/>
        <v>1.8449999999999998</v>
      </c>
      <c r="O775" s="233">
        <f t="shared" si="207"/>
        <v>1.7340000000000002</v>
      </c>
      <c r="P775" s="233">
        <f t="shared" si="207"/>
        <v>1.6390000000000002</v>
      </c>
      <c r="Q775" s="233">
        <f t="shared" si="207"/>
        <v>1.544</v>
      </c>
      <c r="R775" s="233">
        <f t="shared" si="207"/>
        <v>1.44</v>
      </c>
      <c r="S775" s="233">
        <f t="shared" si="207"/>
        <v>1.2570000000000003</v>
      </c>
      <c r="T775" s="233">
        <f t="shared" si="207"/>
        <v>1.1530000000000002</v>
      </c>
      <c r="U775" s="233">
        <f t="shared" si="207"/>
        <v>1.1439999999999999</v>
      </c>
      <c r="V775" s="233">
        <f t="shared" si="207"/>
        <v>1.042</v>
      </c>
      <c r="W775" s="233">
        <f t="shared" si="207"/>
        <v>0.94500000000000006</v>
      </c>
      <c r="X775" s="233">
        <f t="shared" si="207"/>
        <v>0.84099999999999986</v>
      </c>
      <c r="Y775" s="233">
        <f t="shared" si="207"/>
        <v>0.82699999999999996</v>
      </c>
      <c r="Z775" s="233">
        <f t="shared" si="207"/>
        <v>0.73</v>
      </c>
      <c r="AA775" s="233">
        <f t="shared" si="207"/>
        <v>0.72099999999999986</v>
      </c>
      <c r="AB775" s="233">
        <f t="shared" si="207"/>
        <v>0.626</v>
      </c>
      <c r="AC775" s="233">
        <f t="shared" si="207"/>
        <v>0.6170000000000001</v>
      </c>
      <c r="AD775" s="233">
        <f t="shared" si="207"/>
        <v>0.52000000000000013</v>
      </c>
      <c r="AE775" s="233">
        <f t="shared" si="207"/>
        <v>0.52000000000000013</v>
      </c>
      <c r="AF775" s="233">
        <f t="shared" si="207"/>
        <v>0.52000000000000013</v>
      </c>
      <c r="AG775" s="233">
        <f t="shared" si="207"/>
        <v>0.52000000000000013</v>
      </c>
      <c r="AH775" s="233">
        <f t="shared" si="207"/>
        <v>0.52000000000000013</v>
      </c>
      <c r="AI775" s="233">
        <f t="shared" si="207"/>
        <v>0.52000000000000013</v>
      </c>
      <c r="AJ775" s="233">
        <f t="shared" si="207"/>
        <v>0.52000000000000013</v>
      </c>
      <c r="AK775" s="233">
        <f t="shared" si="207"/>
        <v>0.52000000000000013</v>
      </c>
      <c r="AL775" s="233">
        <f t="shared" si="207"/>
        <v>0.52000000000000013</v>
      </c>
      <c r="AM775" s="233">
        <f t="shared" si="207"/>
        <v>0.52000000000000013</v>
      </c>
      <c r="AN775" s="233">
        <f t="shared" si="207"/>
        <v>0.52000000000000013</v>
      </c>
      <c r="AO775" s="233">
        <f t="shared" si="207"/>
        <v>0.52000000000000013</v>
      </c>
      <c r="AP775" s="233">
        <f t="shared" si="207"/>
        <v>0.52000000000000013</v>
      </c>
      <c r="AQ775" s="233">
        <f t="shared" si="207"/>
        <v>0.52000000000000013</v>
      </c>
      <c r="AR775" s="233">
        <f t="shared" si="207"/>
        <v>0.52000000000000013</v>
      </c>
      <c r="AS775" s="233">
        <f t="shared" si="207"/>
        <v>0.52000000000000013</v>
      </c>
      <c r="AT775" s="233">
        <f t="shared" si="207"/>
        <v>0.52000000000000013</v>
      </c>
      <c r="AU775" s="233">
        <f t="shared" si="207"/>
        <v>0.52000000000000013</v>
      </c>
      <c r="AV775" s="233">
        <f t="shared" si="207"/>
        <v>0.52000000000000013</v>
      </c>
      <c r="AW775" s="233">
        <f t="shared" si="207"/>
        <v>0.52000000000000013</v>
      </c>
      <c r="AX775" s="233">
        <f t="shared" si="207"/>
        <v>0.52000000000000013</v>
      </c>
      <c r="AY775" s="233">
        <f t="shared" si="206"/>
        <v>0.52000000000000013</v>
      </c>
      <c r="AZ775" s="233">
        <f t="shared" si="206"/>
        <v>0.52000000000000013</v>
      </c>
      <c r="BA775" s="233">
        <f t="shared" si="206"/>
        <v>0.52000000000000013</v>
      </c>
      <c r="BB775" s="233">
        <f t="shared" si="206"/>
        <v>0.52000000000000013</v>
      </c>
      <c r="BC775" s="233">
        <f t="shared" si="206"/>
        <v>0.52000000000000013</v>
      </c>
      <c r="BD775" s="233">
        <f t="shared" si="206"/>
        <v>0.52000000000000013</v>
      </c>
      <c r="BE775" s="233">
        <f t="shared" si="206"/>
        <v>0.52000000000000013</v>
      </c>
    </row>
    <row r="776" spans="4:57" s="4" customFormat="1" ht="15" customHeight="1" x14ac:dyDescent="0.35">
      <c r="D776" s="3"/>
      <c r="G776" s="43"/>
      <c r="I776" s="160"/>
      <c r="J776" s="160"/>
      <c r="K776" s="160"/>
      <c r="L776" s="160"/>
      <c r="M776" s="160"/>
      <c r="N776" s="160"/>
      <c r="O776" s="160"/>
      <c r="P776" s="160"/>
      <c r="Q776" s="160"/>
      <c r="R776" s="160"/>
      <c r="S776" s="160"/>
      <c r="T776" s="160"/>
      <c r="U776" s="160"/>
      <c r="V776" s="160"/>
      <c r="W776" s="160"/>
      <c r="X776" s="160"/>
      <c r="Y776" s="160"/>
      <c r="Z776" s="160"/>
      <c r="AA776" s="160"/>
      <c r="AB776" s="160"/>
      <c r="AC776" s="160"/>
      <c r="AD776" s="160"/>
      <c r="AE776" s="160"/>
      <c r="AF776" s="160"/>
      <c r="AG776" s="160"/>
      <c r="AH776" s="160"/>
      <c r="AI776" s="160"/>
      <c r="AJ776" s="160"/>
      <c r="AK776" s="160"/>
      <c r="AL776" s="160"/>
      <c r="AM776" s="160"/>
      <c r="AN776" s="160"/>
      <c r="AO776" s="160"/>
      <c r="AP776" s="160"/>
      <c r="AQ776" s="160"/>
      <c r="AR776" s="160"/>
      <c r="AS776" s="160"/>
      <c r="AT776" s="160"/>
      <c r="AU776" s="160"/>
      <c r="AV776" s="160"/>
      <c r="AW776" s="160"/>
      <c r="AX776" s="160"/>
      <c r="AY776" s="160"/>
      <c r="AZ776" s="160"/>
      <c r="BA776" s="160"/>
      <c r="BB776" s="160"/>
      <c r="BC776" s="160"/>
      <c r="BD776" s="160"/>
      <c r="BE776" s="160"/>
    </row>
    <row r="777" spans="4:57" s="4" customFormat="1" ht="15" customHeight="1" x14ac:dyDescent="0.35">
      <c r="D777" s="3" t="s">
        <v>703</v>
      </c>
      <c r="G777" s="43"/>
      <c r="I777" s="160"/>
      <c r="J777" s="160"/>
      <c r="K777" s="160"/>
      <c r="L777" s="160"/>
      <c r="M777" s="160"/>
      <c r="N777" s="160"/>
      <c r="O777" s="160"/>
      <c r="P777" s="160"/>
      <c r="Q777" s="160"/>
      <c r="R777" s="160"/>
      <c r="S777" s="160"/>
      <c r="T777" s="160"/>
      <c r="U777" s="160"/>
      <c r="V777" s="160"/>
      <c r="W777" s="160"/>
      <c r="X777" s="160"/>
      <c r="Y777" s="160"/>
      <c r="Z777" s="160"/>
      <c r="AA777" s="160"/>
      <c r="AB777" s="160"/>
      <c r="AC777" s="160"/>
      <c r="AD777" s="160"/>
      <c r="AE777" s="160"/>
      <c r="AF777" s="160"/>
      <c r="AG777" s="160"/>
      <c r="AH777" s="160"/>
      <c r="AI777" s="160"/>
      <c r="AJ777" s="160"/>
      <c r="AK777" s="160"/>
      <c r="AL777" s="160"/>
      <c r="AM777" s="160"/>
      <c r="AN777" s="160"/>
      <c r="AO777" s="160"/>
      <c r="AP777" s="160"/>
      <c r="AQ777" s="160"/>
      <c r="AR777" s="160"/>
      <c r="AS777" s="160"/>
      <c r="AT777" s="160"/>
      <c r="AU777" s="160"/>
      <c r="AV777" s="160"/>
      <c r="AW777" s="160"/>
      <c r="AX777" s="160"/>
      <c r="AY777" s="160"/>
      <c r="AZ777" s="160"/>
      <c r="BA777" s="160"/>
      <c r="BB777" s="160"/>
      <c r="BC777" s="160"/>
      <c r="BD777" s="160"/>
      <c r="BE777" s="160"/>
    </row>
    <row r="778" spans="4:57" s="4" customFormat="1" ht="15" customHeight="1" x14ac:dyDescent="0.35">
      <c r="D778" s="3"/>
      <c r="E778" s="4" t="s">
        <v>704</v>
      </c>
      <c r="F778" s="4" t="s">
        <v>240</v>
      </c>
      <c r="G778" s="43" t="s">
        <v>241</v>
      </c>
      <c r="I778" s="232">
        <v>3.9</v>
      </c>
      <c r="J778" s="232">
        <v>3.6</v>
      </c>
      <c r="K778" s="232">
        <v>3.4</v>
      </c>
      <c r="L778" s="232">
        <v>3.2</v>
      </c>
      <c r="M778" s="232">
        <v>3</v>
      </c>
      <c r="N778" s="232">
        <v>2.8</v>
      </c>
      <c r="O778" s="232">
        <v>2.6</v>
      </c>
      <c r="P778" s="232">
        <v>2.5</v>
      </c>
      <c r="Q778" s="232">
        <v>2.2999999999999998</v>
      </c>
      <c r="R778" s="232">
        <v>2.1</v>
      </c>
      <c r="S778" s="232">
        <v>2</v>
      </c>
      <c r="T778" s="232">
        <v>1.9</v>
      </c>
      <c r="U778" s="232">
        <v>1.7</v>
      </c>
      <c r="V778" s="232">
        <v>1.6</v>
      </c>
      <c r="W778" s="232">
        <v>1.5</v>
      </c>
      <c r="X778" s="232">
        <v>1.4</v>
      </c>
      <c r="Y778" s="232">
        <v>1.3</v>
      </c>
      <c r="Z778" s="232">
        <v>1.2</v>
      </c>
      <c r="AA778" s="232">
        <v>1.2</v>
      </c>
      <c r="AB778" s="232">
        <v>1.1000000000000001</v>
      </c>
      <c r="AC778" s="232">
        <v>1.1000000000000001</v>
      </c>
      <c r="AD778" s="232">
        <v>1</v>
      </c>
      <c r="AE778" s="233">
        <f>AD778</f>
        <v>1</v>
      </c>
      <c r="AF778" s="233">
        <f t="shared" ref="AF778:BE780" si="208">AE778</f>
        <v>1</v>
      </c>
      <c r="AG778" s="233">
        <f t="shared" si="208"/>
        <v>1</v>
      </c>
      <c r="AH778" s="233">
        <f t="shared" si="208"/>
        <v>1</v>
      </c>
      <c r="AI778" s="233">
        <f t="shared" si="208"/>
        <v>1</v>
      </c>
      <c r="AJ778" s="233">
        <f t="shared" si="208"/>
        <v>1</v>
      </c>
      <c r="AK778" s="233">
        <f t="shared" si="208"/>
        <v>1</v>
      </c>
      <c r="AL778" s="233">
        <f t="shared" si="208"/>
        <v>1</v>
      </c>
      <c r="AM778" s="233">
        <f t="shared" si="208"/>
        <v>1</v>
      </c>
      <c r="AN778" s="233">
        <f t="shared" si="208"/>
        <v>1</v>
      </c>
      <c r="AO778" s="233">
        <f t="shared" si="208"/>
        <v>1</v>
      </c>
      <c r="AP778" s="233">
        <f t="shared" si="208"/>
        <v>1</v>
      </c>
      <c r="AQ778" s="233">
        <f t="shared" si="208"/>
        <v>1</v>
      </c>
      <c r="AR778" s="233">
        <f t="shared" si="208"/>
        <v>1</v>
      </c>
      <c r="AS778" s="233">
        <f t="shared" si="208"/>
        <v>1</v>
      </c>
      <c r="AT778" s="233">
        <f t="shared" si="208"/>
        <v>1</v>
      </c>
      <c r="AU778" s="233">
        <f t="shared" si="208"/>
        <v>1</v>
      </c>
      <c r="AV778" s="233">
        <f t="shared" si="208"/>
        <v>1</v>
      </c>
      <c r="AW778" s="233">
        <f t="shared" si="208"/>
        <v>1</v>
      </c>
      <c r="AX778" s="233">
        <f t="shared" si="208"/>
        <v>1</v>
      </c>
      <c r="AY778" s="233">
        <f t="shared" si="208"/>
        <v>1</v>
      </c>
      <c r="AZ778" s="233">
        <f t="shared" si="208"/>
        <v>1</v>
      </c>
      <c r="BA778" s="233">
        <f t="shared" si="208"/>
        <v>1</v>
      </c>
      <c r="BB778" s="233">
        <f t="shared" si="208"/>
        <v>1</v>
      </c>
      <c r="BC778" s="233">
        <f t="shared" si="208"/>
        <v>1</v>
      </c>
      <c r="BD778" s="233">
        <f t="shared" si="208"/>
        <v>1</v>
      </c>
      <c r="BE778" s="233">
        <f t="shared" si="208"/>
        <v>1</v>
      </c>
    </row>
    <row r="779" spans="4:57" s="4" customFormat="1" ht="15" customHeight="1" x14ac:dyDescent="0.35">
      <c r="D779" s="3"/>
      <c r="E779" s="4" t="s">
        <v>705</v>
      </c>
      <c r="F779" s="4" t="s">
        <v>240</v>
      </c>
      <c r="G779" s="43" t="s">
        <v>241</v>
      </c>
      <c r="I779" s="232">
        <v>11.4</v>
      </c>
      <c r="J779" s="232">
        <v>10.5</v>
      </c>
      <c r="K779" s="232">
        <v>10.4</v>
      </c>
      <c r="L779" s="232">
        <v>9.8000000000000007</v>
      </c>
      <c r="M779" s="232">
        <v>9.5</v>
      </c>
      <c r="N779" s="232">
        <v>8.9</v>
      </c>
      <c r="O779" s="232">
        <v>8</v>
      </c>
      <c r="P779" s="232">
        <v>7.6</v>
      </c>
      <c r="Q779" s="232">
        <v>7.3</v>
      </c>
      <c r="R779" s="232">
        <v>6.9</v>
      </c>
      <c r="S779" s="232">
        <v>6.5</v>
      </c>
      <c r="T779" s="232">
        <v>6.2</v>
      </c>
      <c r="U779" s="232">
        <v>5.8</v>
      </c>
      <c r="V779" s="232">
        <v>5.5</v>
      </c>
      <c r="W779" s="232">
        <v>5.0999999999999996</v>
      </c>
      <c r="X779" s="232">
        <v>4.7</v>
      </c>
      <c r="Y779" s="232">
        <v>4.4000000000000004</v>
      </c>
      <c r="Z779" s="232">
        <v>4</v>
      </c>
      <c r="AA779" s="232">
        <v>3.7</v>
      </c>
      <c r="AB779" s="232">
        <v>3.6</v>
      </c>
      <c r="AC779" s="232">
        <v>3.4</v>
      </c>
      <c r="AD779" s="232">
        <v>3.2</v>
      </c>
      <c r="AE779" s="233">
        <f>AD779</f>
        <v>3.2</v>
      </c>
      <c r="AF779" s="233">
        <f t="shared" si="208"/>
        <v>3.2</v>
      </c>
      <c r="AG779" s="233">
        <f t="shared" si="208"/>
        <v>3.2</v>
      </c>
      <c r="AH779" s="233">
        <f t="shared" si="208"/>
        <v>3.2</v>
      </c>
      <c r="AI779" s="233">
        <f t="shared" si="208"/>
        <v>3.2</v>
      </c>
      <c r="AJ779" s="233">
        <f t="shared" si="208"/>
        <v>3.2</v>
      </c>
      <c r="AK779" s="233">
        <f t="shared" si="208"/>
        <v>3.2</v>
      </c>
      <c r="AL779" s="233">
        <f t="shared" si="208"/>
        <v>3.2</v>
      </c>
      <c r="AM779" s="233">
        <f t="shared" si="208"/>
        <v>3.2</v>
      </c>
      <c r="AN779" s="233">
        <f t="shared" si="208"/>
        <v>3.2</v>
      </c>
      <c r="AO779" s="233">
        <f t="shared" si="208"/>
        <v>3.2</v>
      </c>
      <c r="AP779" s="233">
        <f t="shared" si="208"/>
        <v>3.2</v>
      </c>
      <c r="AQ779" s="233">
        <f t="shared" si="208"/>
        <v>3.2</v>
      </c>
      <c r="AR779" s="233">
        <f t="shared" si="208"/>
        <v>3.2</v>
      </c>
      <c r="AS779" s="233">
        <f t="shared" si="208"/>
        <v>3.2</v>
      </c>
      <c r="AT779" s="233">
        <f t="shared" si="208"/>
        <v>3.2</v>
      </c>
      <c r="AU779" s="233">
        <f t="shared" si="208"/>
        <v>3.2</v>
      </c>
      <c r="AV779" s="233">
        <f t="shared" si="208"/>
        <v>3.2</v>
      </c>
      <c r="AW779" s="233">
        <f t="shared" si="208"/>
        <v>3.2</v>
      </c>
      <c r="AX779" s="233">
        <f t="shared" si="208"/>
        <v>3.2</v>
      </c>
      <c r="AY779" s="233">
        <f t="shared" si="208"/>
        <v>3.2</v>
      </c>
      <c r="AZ779" s="233">
        <f t="shared" si="208"/>
        <v>3.2</v>
      </c>
      <c r="BA779" s="233">
        <f t="shared" si="208"/>
        <v>3.2</v>
      </c>
      <c r="BB779" s="233">
        <f t="shared" si="208"/>
        <v>3.2</v>
      </c>
      <c r="BC779" s="233">
        <f t="shared" si="208"/>
        <v>3.2</v>
      </c>
      <c r="BD779" s="233">
        <f t="shared" si="208"/>
        <v>3.2</v>
      </c>
      <c r="BE779" s="233">
        <f t="shared" si="208"/>
        <v>3.2</v>
      </c>
    </row>
    <row r="780" spans="4:57" s="4" customFormat="1" ht="15" customHeight="1" x14ac:dyDescent="0.35">
      <c r="D780" s="3"/>
      <c r="E780" s="4" t="s">
        <v>706</v>
      </c>
      <c r="F780" s="4" t="s">
        <v>240</v>
      </c>
      <c r="G780" s="43" t="s">
        <v>241</v>
      </c>
      <c r="I780" s="232">
        <v>11.7</v>
      </c>
      <c r="J780" s="232">
        <v>11.7</v>
      </c>
      <c r="K780" s="232">
        <v>11.7</v>
      </c>
      <c r="L780" s="232">
        <v>11.7</v>
      </c>
      <c r="M780" s="232">
        <v>11.7</v>
      </c>
      <c r="N780" s="232">
        <v>11.7</v>
      </c>
      <c r="O780" s="232">
        <v>11.7</v>
      </c>
      <c r="P780" s="232">
        <v>11.7</v>
      </c>
      <c r="Q780" s="232">
        <v>11.7</v>
      </c>
      <c r="R780" s="232">
        <v>11.7</v>
      </c>
      <c r="S780" s="232">
        <v>11.7</v>
      </c>
      <c r="T780" s="232">
        <v>11.7</v>
      </c>
      <c r="U780" s="232">
        <v>11.7</v>
      </c>
      <c r="V780" s="232">
        <v>11.7</v>
      </c>
      <c r="W780" s="232">
        <v>11.7</v>
      </c>
      <c r="X780" s="232">
        <v>11.7</v>
      </c>
      <c r="Y780" s="232">
        <v>11.7</v>
      </c>
      <c r="Z780" s="232">
        <v>11.7</v>
      </c>
      <c r="AA780" s="232">
        <v>11.7</v>
      </c>
      <c r="AB780" s="232">
        <v>11.7</v>
      </c>
      <c r="AC780" s="232">
        <v>11.7</v>
      </c>
      <c r="AD780" s="232">
        <v>11.7</v>
      </c>
      <c r="AE780" s="233">
        <f>AD780</f>
        <v>11.7</v>
      </c>
      <c r="AF780" s="233">
        <f t="shared" si="208"/>
        <v>11.7</v>
      </c>
      <c r="AG780" s="233">
        <f t="shared" si="208"/>
        <v>11.7</v>
      </c>
      <c r="AH780" s="233">
        <f t="shared" si="208"/>
        <v>11.7</v>
      </c>
      <c r="AI780" s="233">
        <f t="shared" si="208"/>
        <v>11.7</v>
      </c>
      <c r="AJ780" s="233">
        <f t="shared" si="208"/>
        <v>11.7</v>
      </c>
      <c r="AK780" s="233">
        <f t="shared" si="208"/>
        <v>11.7</v>
      </c>
      <c r="AL780" s="233">
        <f t="shared" si="208"/>
        <v>11.7</v>
      </c>
      <c r="AM780" s="233">
        <f t="shared" si="208"/>
        <v>11.7</v>
      </c>
      <c r="AN780" s="233">
        <f t="shared" si="208"/>
        <v>11.7</v>
      </c>
      <c r="AO780" s="233">
        <f t="shared" si="208"/>
        <v>11.7</v>
      </c>
      <c r="AP780" s="233">
        <f t="shared" si="208"/>
        <v>11.7</v>
      </c>
      <c r="AQ780" s="233">
        <f t="shared" si="208"/>
        <v>11.7</v>
      </c>
      <c r="AR780" s="233">
        <f t="shared" si="208"/>
        <v>11.7</v>
      </c>
      <c r="AS780" s="233">
        <f t="shared" si="208"/>
        <v>11.7</v>
      </c>
      <c r="AT780" s="233">
        <f t="shared" si="208"/>
        <v>11.7</v>
      </c>
      <c r="AU780" s="233">
        <f t="shared" si="208"/>
        <v>11.7</v>
      </c>
      <c r="AV780" s="233">
        <f t="shared" si="208"/>
        <v>11.7</v>
      </c>
      <c r="AW780" s="233">
        <f t="shared" si="208"/>
        <v>11.7</v>
      </c>
      <c r="AX780" s="233">
        <f t="shared" si="208"/>
        <v>11.7</v>
      </c>
      <c r="AY780" s="233">
        <f t="shared" si="208"/>
        <v>11.7</v>
      </c>
      <c r="AZ780" s="233">
        <f t="shared" si="208"/>
        <v>11.7</v>
      </c>
      <c r="BA780" s="233">
        <f t="shared" si="208"/>
        <v>11.7</v>
      </c>
      <c r="BB780" s="233">
        <f t="shared" si="208"/>
        <v>11.7</v>
      </c>
      <c r="BC780" s="233">
        <f t="shared" si="208"/>
        <v>11.7</v>
      </c>
      <c r="BD780" s="233">
        <f t="shared" si="208"/>
        <v>11.7</v>
      </c>
      <c r="BE780" s="233">
        <f t="shared" si="208"/>
        <v>11.7</v>
      </c>
    </row>
    <row r="781" spans="4:57" s="4" customFormat="1" ht="15" customHeight="1" x14ac:dyDescent="0.35">
      <c r="D781" s="3"/>
      <c r="E781" s="4" t="s">
        <v>707</v>
      </c>
      <c r="F781" s="4" t="s">
        <v>240</v>
      </c>
      <c r="G781" s="43" t="s">
        <v>241</v>
      </c>
      <c r="I781" s="233">
        <v>4.6020618556701027</v>
      </c>
      <c r="J781" s="233">
        <v>4.2649484536082474</v>
      </c>
      <c r="K781" s="233">
        <v>4.0762886597938142</v>
      </c>
      <c r="L781" s="233">
        <v>3.8515463917525778</v>
      </c>
      <c r="M781" s="233">
        <v>3.648453608247423</v>
      </c>
      <c r="N781" s="233">
        <v>3.4237113402061854</v>
      </c>
      <c r="O781" s="233">
        <v>3.1773195876288662</v>
      </c>
      <c r="P781" s="233">
        <v>3.0577319587628864</v>
      </c>
      <c r="Q781" s="233">
        <v>2.8546391752577316</v>
      </c>
      <c r="R781" s="233">
        <v>2.6443298969072169</v>
      </c>
      <c r="S781" s="233">
        <v>2.524742268041237</v>
      </c>
      <c r="T781" s="233">
        <v>2.4123711340206184</v>
      </c>
      <c r="U781" s="233">
        <v>2.2020618556701028</v>
      </c>
      <c r="V781" s="233">
        <v>2.0896907216494847</v>
      </c>
      <c r="W781" s="233">
        <v>1.9701030927835053</v>
      </c>
      <c r="X781" s="233">
        <v>1.8505154639175259</v>
      </c>
      <c r="Y781" s="233">
        <v>1.7381443298969073</v>
      </c>
      <c r="Z781" s="233">
        <v>1.6185567010309279</v>
      </c>
      <c r="AA781" s="233">
        <v>1.5969072164948455</v>
      </c>
      <c r="AB781" s="233">
        <v>1.4989690721649487</v>
      </c>
      <c r="AC781" s="233">
        <v>1.4845360824742269</v>
      </c>
      <c r="AD781" s="233">
        <v>1.3793814432989691</v>
      </c>
      <c r="AE781" s="233">
        <v>1.3793814432989691</v>
      </c>
      <c r="AF781" s="233">
        <v>1.3793814432989691</v>
      </c>
      <c r="AG781" s="233">
        <v>1.3793814432989691</v>
      </c>
      <c r="AH781" s="233">
        <v>1.3793814432989691</v>
      </c>
      <c r="AI781" s="233">
        <v>1.3793814432989691</v>
      </c>
      <c r="AJ781" s="233">
        <v>1.3793814432989691</v>
      </c>
      <c r="AK781" s="233">
        <v>1.3793814432989691</v>
      </c>
      <c r="AL781" s="233">
        <v>1.3793814432989691</v>
      </c>
      <c r="AM781" s="233">
        <v>1.3793814432989691</v>
      </c>
      <c r="AN781" s="233">
        <v>1.3793814432989691</v>
      </c>
      <c r="AO781" s="233">
        <v>1.3793814432989691</v>
      </c>
      <c r="AP781" s="233">
        <v>1.3793814432989691</v>
      </c>
      <c r="AQ781" s="233">
        <v>1.3793814432989691</v>
      </c>
      <c r="AR781" s="233">
        <v>1.3793814432989691</v>
      </c>
      <c r="AS781" s="233">
        <v>1.3793814432989691</v>
      </c>
      <c r="AT781" s="233">
        <v>1.3793814432989691</v>
      </c>
      <c r="AU781" s="233">
        <v>1.3793814432989691</v>
      </c>
      <c r="AV781" s="233">
        <v>1.3793814432989691</v>
      </c>
      <c r="AW781" s="233">
        <v>1.3793814432989691</v>
      </c>
      <c r="AX781" s="233">
        <v>1.3793814432989691</v>
      </c>
      <c r="AY781" s="233">
        <v>1.3793814432989691</v>
      </c>
      <c r="AZ781" s="233">
        <v>1.3793814432989691</v>
      </c>
      <c r="BA781" s="233">
        <v>1.3793814432989691</v>
      </c>
      <c r="BB781" s="233">
        <v>1.3793814432989691</v>
      </c>
      <c r="BC781" s="233">
        <v>1.3793814432989691</v>
      </c>
      <c r="BD781" s="233">
        <v>1.3793814432989691</v>
      </c>
      <c r="BE781" s="233">
        <v>1.3793814432989691</v>
      </c>
    </row>
    <row r="782" spans="4:57" s="4" customFormat="1" ht="5.25" customHeight="1" x14ac:dyDescent="0.35">
      <c r="E782" s="26"/>
      <c r="G782" s="43"/>
      <c r="I782" s="150"/>
      <c r="J782" s="150"/>
      <c r="K782" s="150"/>
      <c r="L782" s="150"/>
      <c r="M782" s="150"/>
      <c r="N782" s="150"/>
      <c r="O782" s="150"/>
      <c r="P782" s="150"/>
      <c r="Q782" s="150"/>
      <c r="R782" s="150"/>
      <c r="S782" s="150"/>
      <c r="T782" s="150"/>
      <c r="U782" s="150"/>
      <c r="V782" s="150"/>
      <c r="W782" s="150"/>
      <c r="X782" s="150"/>
      <c r="Y782" s="150"/>
      <c r="Z782" s="150"/>
      <c r="AA782" s="150"/>
      <c r="AB782" s="150"/>
      <c r="AC782" s="150"/>
      <c r="AD782" s="150"/>
      <c r="AE782" s="150"/>
      <c r="AF782" s="150"/>
      <c r="AG782" s="150"/>
      <c r="AH782" s="150"/>
      <c r="AI782" s="150"/>
      <c r="AJ782" s="150"/>
      <c r="AK782" s="150"/>
      <c r="AL782" s="150"/>
      <c r="AM782" s="150"/>
      <c r="AN782" s="150"/>
      <c r="AO782" s="150"/>
      <c r="AP782" s="150"/>
      <c r="AQ782" s="150"/>
      <c r="AR782" s="150"/>
      <c r="AS782" s="150"/>
      <c r="AT782" s="150"/>
      <c r="AU782" s="150"/>
      <c r="AV782" s="150"/>
      <c r="AW782" s="150"/>
      <c r="AX782" s="150"/>
      <c r="AY782" s="150"/>
      <c r="AZ782" s="150"/>
      <c r="BA782" s="150"/>
      <c r="BB782" s="150"/>
      <c r="BC782" s="150"/>
      <c r="BD782" s="150"/>
      <c r="BE782" s="150"/>
    </row>
    <row r="783" spans="4:57" s="4" customFormat="1" ht="15" customHeight="1" x14ac:dyDescent="0.35">
      <c r="D783" s="3"/>
      <c r="E783" s="4" t="s">
        <v>244</v>
      </c>
      <c r="F783" s="4" t="s">
        <v>240</v>
      </c>
      <c r="G783" s="43" t="s">
        <v>245</v>
      </c>
      <c r="H783" s="49">
        <v>1.0529999999999999</v>
      </c>
      <c r="I783" s="160"/>
      <c r="J783" s="160"/>
      <c r="K783" s="160"/>
      <c r="L783" s="160"/>
      <c r="M783" s="160"/>
      <c r="N783" s="160"/>
      <c r="O783" s="160"/>
      <c r="P783" s="160"/>
      <c r="Q783" s="160"/>
      <c r="R783" s="160"/>
      <c r="S783" s="160"/>
      <c r="T783" s="160"/>
      <c r="U783" s="160"/>
      <c r="V783" s="160"/>
      <c r="W783" s="160"/>
      <c r="X783" s="160"/>
      <c r="Y783" s="160"/>
      <c r="Z783" s="160"/>
      <c r="AA783" s="160"/>
      <c r="AB783" s="160"/>
      <c r="AC783" s="160"/>
      <c r="AD783" s="160"/>
      <c r="AE783" s="160"/>
      <c r="AF783" s="160"/>
      <c r="AG783" s="160"/>
      <c r="AH783" s="160"/>
      <c r="AI783" s="160"/>
      <c r="AJ783" s="160"/>
      <c r="AK783" s="160"/>
      <c r="AL783" s="160"/>
      <c r="AM783" s="160"/>
      <c r="AN783" s="160"/>
      <c r="AO783" s="160"/>
      <c r="AP783" s="160"/>
      <c r="AQ783" s="160"/>
      <c r="AR783" s="160"/>
      <c r="AS783" s="160"/>
      <c r="AT783" s="160"/>
      <c r="AU783" s="160"/>
      <c r="AV783" s="160"/>
      <c r="AW783" s="160"/>
      <c r="AX783" s="160"/>
      <c r="AY783" s="160"/>
      <c r="AZ783" s="160"/>
      <c r="BA783" s="160"/>
      <c r="BB783" s="160"/>
      <c r="BC783" s="160"/>
      <c r="BD783" s="160"/>
      <c r="BE783" s="160"/>
    </row>
    <row r="784" spans="4:57" s="4" customFormat="1" ht="5.25" customHeight="1" x14ac:dyDescent="0.35">
      <c r="E784" s="26"/>
      <c r="G784" s="43"/>
      <c r="I784" s="119"/>
      <c r="J784" s="119"/>
      <c r="K784" s="119"/>
      <c r="L784" s="119"/>
      <c r="M784" s="119"/>
      <c r="N784" s="119"/>
      <c r="O784" s="119"/>
      <c r="P784" s="119"/>
      <c r="Q784" s="119"/>
      <c r="R784" s="119"/>
      <c r="S784" s="119"/>
      <c r="T784" s="119"/>
      <c r="U784" s="119"/>
      <c r="V784" s="119"/>
      <c r="W784" s="119"/>
      <c r="X784" s="119"/>
      <c r="Y784" s="119"/>
      <c r="Z784" s="119"/>
      <c r="AA784" s="119"/>
      <c r="AB784" s="119"/>
      <c r="AC784" s="119"/>
      <c r="AD784" s="119"/>
      <c r="AE784" s="119"/>
      <c r="AF784" s="119"/>
      <c r="AG784" s="119"/>
      <c r="AH784" s="119"/>
      <c r="AI784" s="119"/>
      <c r="AJ784" s="119"/>
      <c r="AK784" s="119"/>
      <c r="AL784" s="119"/>
      <c r="AM784" s="119"/>
      <c r="AN784" s="119"/>
      <c r="AO784" s="21"/>
      <c r="AP784" s="21"/>
      <c r="AQ784" s="21"/>
      <c r="AR784" s="21"/>
      <c r="AS784" s="21"/>
      <c r="AT784" s="21"/>
      <c r="AU784" s="21"/>
      <c r="AV784" s="21"/>
      <c r="AW784" s="21"/>
      <c r="AX784" s="21"/>
      <c r="AY784" s="21"/>
      <c r="AZ784" s="21"/>
      <c r="BA784" s="21"/>
      <c r="BB784" s="21"/>
      <c r="BC784" s="21"/>
      <c r="BD784" s="21"/>
      <c r="BE784" s="21"/>
    </row>
    <row r="785" spans="5:57" s="4" customFormat="1" ht="15" customHeight="1" x14ac:dyDescent="0.35">
      <c r="E785" s="4" t="s">
        <v>708</v>
      </c>
      <c r="G785" s="43" t="s">
        <v>241</v>
      </c>
      <c r="I785" s="233">
        <f>I778*$H$749</f>
        <v>4.1067</v>
      </c>
      <c r="J785" s="233">
        <f t="shared" ref="J785:BE788" si="209">J778*$H$749</f>
        <v>3.7907999999999999</v>
      </c>
      <c r="K785" s="233">
        <f t="shared" si="209"/>
        <v>3.5801999999999996</v>
      </c>
      <c r="L785" s="233">
        <f t="shared" si="209"/>
        <v>3.3696000000000002</v>
      </c>
      <c r="M785" s="233">
        <f t="shared" si="209"/>
        <v>3.1589999999999998</v>
      </c>
      <c r="N785" s="233">
        <f t="shared" si="209"/>
        <v>2.9483999999999995</v>
      </c>
      <c r="O785" s="233">
        <f t="shared" si="209"/>
        <v>2.7378</v>
      </c>
      <c r="P785" s="233">
        <f t="shared" si="209"/>
        <v>2.6324999999999998</v>
      </c>
      <c r="Q785" s="233">
        <f t="shared" si="209"/>
        <v>2.4218999999999995</v>
      </c>
      <c r="R785" s="233">
        <f t="shared" si="209"/>
        <v>2.2113</v>
      </c>
      <c r="S785" s="233">
        <f t="shared" si="209"/>
        <v>2.1059999999999999</v>
      </c>
      <c r="T785" s="233">
        <f t="shared" si="209"/>
        <v>2.0006999999999997</v>
      </c>
      <c r="U785" s="233">
        <f t="shared" si="209"/>
        <v>1.7900999999999998</v>
      </c>
      <c r="V785" s="233">
        <f t="shared" si="209"/>
        <v>1.6848000000000001</v>
      </c>
      <c r="W785" s="233">
        <f t="shared" si="209"/>
        <v>1.5794999999999999</v>
      </c>
      <c r="X785" s="233">
        <f t="shared" si="209"/>
        <v>1.4741999999999997</v>
      </c>
      <c r="Y785" s="233">
        <f t="shared" si="209"/>
        <v>1.3689</v>
      </c>
      <c r="Z785" s="233">
        <f t="shared" si="209"/>
        <v>1.2635999999999998</v>
      </c>
      <c r="AA785" s="233">
        <f t="shared" si="209"/>
        <v>1.2635999999999998</v>
      </c>
      <c r="AB785" s="233">
        <f t="shared" si="209"/>
        <v>1.1583000000000001</v>
      </c>
      <c r="AC785" s="233">
        <f t="shared" si="209"/>
        <v>1.1583000000000001</v>
      </c>
      <c r="AD785" s="233">
        <f t="shared" si="209"/>
        <v>1.0529999999999999</v>
      </c>
      <c r="AE785" s="233">
        <f t="shared" si="209"/>
        <v>1.0529999999999999</v>
      </c>
      <c r="AF785" s="233">
        <f t="shared" si="209"/>
        <v>1.0529999999999999</v>
      </c>
      <c r="AG785" s="233">
        <f t="shared" si="209"/>
        <v>1.0529999999999999</v>
      </c>
      <c r="AH785" s="233">
        <f t="shared" si="209"/>
        <v>1.0529999999999999</v>
      </c>
      <c r="AI785" s="233">
        <f t="shared" si="209"/>
        <v>1.0529999999999999</v>
      </c>
      <c r="AJ785" s="233">
        <f t="shared" si="209"/>
        <v>1.0529999999999999</v>
      </c>
      <c r="AK785" s="233">
        <f t="shared" si="209"/>
        <v>1.0529999999999999</v>
      </c>
      <c r="AL785" s="233">
        <f t="shared" si="209"/>
        <v>1.0529999999999999</v>
      </c>
      <c r="AM785" s="233">
        <f t="shared" si="209"/>
        <v>1.0529999999999999</v>
      </c>
      <c r="AN785" s="233">
        <f t="shared" si="209"/>
        <v>1.0529999999999999</v>
      </c>
      <c r="AO785" s="233">
        <f t="shared" si="209"/>
        <v>1.0529999999999999</v>
      </c>
      <c r="AP785" s="233">
        <f t="shared" si="209"/>
        <v>1.0529999999999999</v>
      </c>
      <c r="AQ785" s="233">
        <f t="shared" si="209"/>
        <v>1.0529999999999999</v>
      </c>
      <c r="AR785" s="233">
        <f t="shared" si="209"/>
        <v>1.0529999999999999</v>
      </c>
      <c r="AS785" s="233">
        <f t="shared" si="209"/>
        <v>1.0529999999999999</v>
      </c>
      <c r="AT785" s="233">
        <f t="shared" si="209"/>
        <v>1.0529999999999999</v>
      </c>
      <c r="AU785" s="233">
        <f t="shared" si="209"/>
        <v>1.0529999999999999</v>
      </c>
      <c r="AV785" s="233">
        <f t="shared" si="209"/>
        <v>1.0529999999999999</v>
      </c>
      <c r="AW785" s="233">
        <f t="shared" si="209"/>
        <v>1.0529999999999999</v>
      </c>
      <c r="AX785" s="233">
        <f t="shared" si="209"/>
        <v>1.0529999999999999</v>
      </c>
      <c r="AY785" s="233">
        <f t="shared" si="209"/>
        <v>1.0529999999999999</v>
      </c>
      <c r="AZ785" s="233">
        <f t="shared" si="209"/>
        <v>1.0529999999999999</v>
      </c>
      <c r="BA785" s="233">
        <f t="shared" si="209"/>
        <v>1.0529999999999999</v>
      </c>
      <c r="BB785" s="233">
        <f t="shared" si="209"/>
        <v>1.0529999999999999</v>
      </c>
      <c r="BC785" s="233">
        <f t="shared" si="209"/>
        <v>1.0529999999999999</v>
      </c>
      <c r="BD785" s="233">
        <f t="shared" si="209"/>
        <v>1.0529999999999999</v>
      </c>
      <c r="BE785" s="233">
        <f t="shared" si="209"/>
        <v>1.0529999999999999</v>
      </c>
    </row>
    <row r="786" spans="5:57" s="4" customFormat="1" ht="15" customHeight="1" x14ac:dyDescent="0.35">
      <c r="E786" s="4" t="s">
        <v>709</v>
      </c>
      <c r="G786" s="43" t="s">
        <v>241</v>
      </c>
      <c r="I786" s="233">
        <f t="shared" ref="I786:AX788" si="210">I779*$H$749</f>
        <v>12.004199999999999</v>
      </c>
      <c r="J786" s="233">
        <f t="shared" si="210"/>
        <v>11.0565</v>
      </c>
      <c r="K786" s="233">
        <f t="shared" si="210"/>
        <v>10.9512</v>
      </c>
      <c r="L786" s="233">
        <f t="shared" si="210"/>
        <v>10.3194</v>
      </c>
      <c r="M786" s="233">
        <f t="shared" si="210"/>
        <v>10.003499999999999</v>
      </c>
      <c r="N786" s="233">
        <f t="shared" si="210"/>
        <v>9.3717000000000006</v>
      </c>
      <c r="O786" s="233">
        <f t="shared" si="210"/>
        <v>8.4239999999999995</v>
      </c>
      <c r="P786" s="233">
        <f t="shared" si="210"/>
        <v>8.0027999999999988</v>
      </c>
      <c r="Q786" s="233">
        <f t="shared" si="210"/>
        <v>7.6868999999999996</v>
      </c>
      <c r="R786" s="233">
        <f t="shared" si="210"/>
        <v>7.2656999999999998</v>
      </c>
      <c r="S786" s="233">
        <f t="shared" si="210"/>
        <v>6.8445</v>
      </c>
      <c r="T786" s="233">
        <f t="shared" si="210"/>
        <v>6.5286</v>
      </c>
      <c r="U786" s="233">
        <f t="shared" si="210"/>
        <v>6.1073999999999993</v>
      </c>
      <c r="V786" s="233">
        <f t="shared" si="210"/>
        <v>5.7914999999999992</v>
      </c>
      <c r="W786" s="233">
        <f t="shared" si="210"/>
        <v>5.3702999999999994</v>
      </c>
      <c r="X786" s="233">
        <f t="shared" si="210"/>
        <v>4.9490999999999996</v>
      </c>
      <c r="Y786" s="233">
        <f t="shared" si="210"/>
        <v>4.6332000000000004</v>
      </c>
      <c r="Z786" s="233">
        <f t="shared" si="210"/>
        <v>4.2119999999999997</v>
      </c>
      <c r="AA786" s="233">
        <f t="shared" si="210"/>
        <v>3.8961000000000001</v>
      </c>
      <c r="AB786" s="233">
        <f t="shared" si="210"/>
        <v>3.7907999999999999</v>
      </c>
      <c r="AC786" s="233">
        <f t="shared" si="210"/>
        <v>3.5801999999999996</v>
      </c>
      <c r="AD786" s="233">
        <f t="shared" si="210"/>
        <v>3.3696000000000002</v>
      </c>
      <c r="AE786" s="233">
        <f t="shared" si="210"/>
        <v>3.3696000000000002</v>
      </c>
      <c r="AF786" s="233">
        <f t="shared" si="210"/>
        <v>3.3696000000000002</v>
      </c>
      <c r="AG786" s="233">
        <f t="shared" si="210"/>
        <v>3.3696000000000002</v>
      </c>
      <c r="AH786" s="233">
        <f t="shared" si="210"/>
        <v>3.3696000000000002</v>
      </c>
      <c r="AI786" s="233">
        <f t="shared" si="210"/>
        <v>3.3696000000000002</v>
      </c>
      <c r="AJ786" s="233">
        <f t="shared" si="210"/>
        <v>3.3696000000000002</v>
      </c>
      <c r="AK786" s="233">
        <f t="shared" si="210"/>
        <v>3.3696000000000002</v>
      </c>
      <c r="AL786" s="233">
        <f t="shared" si="210"/>
        <v>3.3696000000000002</v>
      </c>
      <c r="AM786" s="233">
        <f t="shared" si="210"/>
        <v>3.3696000000000002</v>
      </c>
      <c r="AN786" s="233">
        <f t="shared" si="210"/>
        <v>3.3696000000000002</v>
      </c>
      <c r="AO786" s="233">
        <f t="shared" si="210"/>
        <v>3.3696000000000002</v>
      </c>
      <c r="AP786" s="233">
        <f t="shared" si="210"/>
        <v>3.3696000000000002</v>
      </c>
      <c r="AQ786" s="233">
        <f t="shared" si="210"/>
        <v>3.3696000000000002</v>
      </c>
      <c r="AR786" s="233">
        <f t="shared" si="210"/>
        <v>3.3696000000000002</v>
      </c>
      <c r="AS786" s="233">
        <f t="shared" si="210"/>
        <v>3.3696000000000002</v>
      </c>
      <c r="AT786" s="233">
        <f t="shared" si="210"/>
        <v>3.3696000000000002</v>
      </c>
      <c r="AU786" s="233">
        <f t="shared" si="210"/>
        <v>3.3696000000000002</v>
      </c>
      <c r="AV786" s="233">
        <f t="shared" si="210"/>
        <v>3.3696000000000002</v>
      </c>
      <c r="AW786" s="233">
        <f t="shared" si="210"/>
        <v>3.3696000000000002</v>
      </c>
      <c r="AX786" s="233">
        <f t="shared" si="210"/>
        <v>3.3696000000000002</v>
      </c>
      <c r="AY786" s="233">
        <f t="shared" si="209"/>
        <v>3.3696000000000002</v>
      </c>
      <c r="AZ786" s="233">
        <f t="shared" si="209"/>
        <v>3.3696000000000002</v>
      </c>
      <c r="BA786" s="233">
        <f t="shared" si="209"/>
        <v>3.3696000000000002</v>
      </c>
      <c r="BB786" s="233">
        <f t="shared" si="209"/>
        <v>3.3696000000000002</v>
      </c>
      <c r="BC786" s="233">
        <f t="shared" si="209"/>
        <v>3.3696000000000002</v>
      </c>
      <c r="BD786" s="233">
        <f t="shared" si="209"/>
        <v>3.3696000000000002</v>
      </c>
      <c r="BE786" s="233">
        <f t="shared" si="209"/>
        <v>3.3696000000000002</v>
      </c>
    </row>
    <row r="787" spans="5:57" s="4" customFormat="1" ht="15" customHeight="1" x14ac:dyDescent="0.35">
      <c r="E787" s="4" t="s">
        <v>710</v>
      </c>
      <c r="G787" s="43" t="s">
        <v>241</v>
      </c>
      <c r="I787" s="233">
        <f t="shared" si="210"/>
        <v>12.320099999999998</v>
      </c>
      <c r="J787" s="233">
        <f t="shared" si="210"/>
        <v>12.320099999999998</v>
      </c>
      <c r="K787" s="233">
        <f t="shared" si="210"/>
        <v>12.320099999999998</v>
      </c>
      <c r="L787" s="233">
        <f t="shared" si="210"/>
        <v>12.320099999999998</v>
      </c>
      <c r="M787" s="233">
        <f t="shared" si="210"/>
        <v>12.320099999999998</v>
      </c>
      <c r="N787" s="233">
        <f t="shared" si="210"/>
        <v>12.320099999999998</v>
      </c>
      <c r="O787" s="233">
        <f t="shared" si="210"/>
        <v>12.320099999999998</v>
      </c>
      <c r="P787" s="233">
        <f t="shared" si="210"/>
        <v>12.320099999999998</v>
      </c>
      <c r="Q787" s="233">
        <f t="shared" si="210"/>
        <v>12.320099999999998</v>
      </c>
      <c r="R787" s="233">
        <f t="shared" si="210"/>
        <v>12.320099999999998</v>
      </c>
      <c r="S787" s="233">
        <f t="shared" si="210"/>
        <v>12.320099999999998</v>
      </c>
      <c r="T787" s="233">
        <f t="shared" si="210"/>
        <v>12.320099999999998</v>
      </c>
      <c r="U787" s="233">
        <f t="shared" si="210"/>
        <v>12.320099999999998</v>
      </c>
      <c r="V787" s="233">
        <f t="shared" si="210"/>
        <v>12.320099999999998</v>
      </c>
      <c r="W787" s="233">
        <f t="shared" si="210"/>
        <v>12.320099999999998</v>
      </c>
      <c r="X787" s="233">
        <f t="shared" si="210"/>
        <v>12.320099999999998</v>
      </c>
      <c r="Y787" s="233">
        <f t="shared" si="210"/>
        <v>12.320099999999998</v>
      </c>
      <c r="Z787" s="233">
        <f t="shared" si="210"/>
        <v>12.320099999999998</v>
      </c>
      <c r="AA787" s="233">
        <f t="shared" si="210"/>
        <v>12.320099999999998</v>
      </c>
      <c r="AB787" s="233">
        <f t="shared" si="210"/>
        <v>12.320099999999998</v>
      </c>
      <c r="AC787" s="233">
        <f t="shared" si="210"/>
        <v>12.320099999999998</v>
      </c>
      <c r="AD787" s="233">
        <f t="shared" si="210"/>
        <v>12.320099999999998</v>
      </c>
      <c r="AE787" s="233">
        <f t="shared" si="210"/>
        <v>12.320099999999998</v>
      </c>
      <c r="AF787" s="233">
        <f t="shared" si="210"/>
        <v>12.320099999999998</v>
      </c>
      <c r="AG787" s="233">
        <f t="shared" si="210"/>
        <v>12.320099999999998</v>
      </c>
      <c r="AH787" s="233">
        <f t="shared" si="210"/>
        <v>12.320099999999998</v>
      </c>
      <c r="AI787" s="233">
        <f t="shared" si="210"/>
        <v>12.320099999999998</v>
      </c>
      <c r="AJ787" s="233">
        <f t="shared" si="210"/>
        <v>12.320099999999998</v>
      </c>
      <c r="AK787" s="233">
        <f t="shared" si="210"/>
        <v>12.320099999999998</v>
      </c>
      <c r="AL787" s="233">
        <f t="shared" si="210"/>
        <v>12.320099999999998</v>
      </c>
      <c r="AM787" s="233">
        <f t="shared" si="210"/>
        <v>12.320099999999998</v>
      </c>
      <c r="AN787" s="233">
        <f t="shared" si="210"/>
        <v>12.320099999999998</v>
      </c>
      <c r="AO787" s="233">
        <f t="shared" si="210"/>
        <v>12.320099999999998</v>
      </c>
      <c r="AP787" s="233">
        <f t="shared" si="210"/>
        <v>12.320099999999998</v>
      </c>
      <c r="AQ787" s="233">
        <f t="shared" si="210"/>
        <v>12.320099999999998</v>
      </c>
      <c r="AR787" s="233">
        <f t="shared" si="210"/>
        <v>12.320099999999998</v>
      </c>
      <c r="AS787" s="233">
        <f t="shared" si="210"/>
        <v>12.320099999999998</v>
      </c>
      <c r="AT787" s="233">
        <f t="shared" si="210"/>
        <v>12.320099999999998</v>
      </c>
      <c r="AU787" s="233">
        <f t="shared" si="210"/>
        <v>12.320099999999998</v>
      </c>
      <c r="AV787" s="233">
        <f t="shared" si="210"/>
        <v>12.320099999999998</v>
      </c>
      <c r="AW787" s="233">
        <f t="shared" si="210"/>
        <v>12.320099999999998</v>
      </c>
      <c r="AX787" s="233">
        <f t="shared" si="210"/>
        <v>12.320099999999998</v>
      </c>
      <c r="AY787" s="233">
        <f t="shared" si="209"/>
        <v>12.320099999999998</v>
      </c>
      <c r="AZ787" s="233">
        <f t="shared" si="209"/>
        <v>12.320099999999998</v>
      </c>
      <c r="BA787" s="233">
        <f t="shared" si="209"/>
        <v>12.320099999999998</v>
      </c>
      <c r="BB787" s="233">
        <f t="shared" si="209"/>
        <v>12.320099999999998</v>
      </c>
      <c r="BC787" s="233">
        <f t="shared" si="209"/>
        <v>12.320099999999998</v>
      </c>
      <c r="BD787" s="233">
        <f t="shared" si="209"/>
        <v>12.320099999999998</v>
      </c>
      <c r="BE787" s="233">
        <f t="shared" si="209"/>
        <v>12.320099999999998</v>
      </c>
    </row>
    <row r="788" spans="5:57" s="4" customFormat="1" ht="15" customHeight="1" x14ac:dyDescent="0.35">
      <c r="E788" s="4" t="s">
        <v>711</v>
      </c>
      <c r="G788" s="43" t="s">
        <v>241</v>
      </c>
      <c r="I788" s="233">
        <f t="shared" si="210"/>
        <v>4.8459711340206182</v>
      </c>
      <c r="J788" s="233">
        <f t="shared" si="210"/>
        <v>4.4909907216494842</v>
      </c>
      <c r="K788" s="233">
        <f t="shared" si="210"/>
        <v>4.2923319587628859</v>
      </c>
      <c r="L788" s="233">
        <f t="shared" si="210"/>
        <v>4.0556783505154641</v>
      </c>
      <c r="M788" s="233">
        <f t="shared" si="210"/>
        <v>3.8418216494845363</v>
      </c>
      <c r="N788" s="233">
        <f t="shared" si="210"/>
        <v>3.6051680412371132</v>
      </c>
      <c r="O788" s="233">
        <f t="shared" si="210"/>
        <v>3.3457175257731961</v>
      </c>
      <c r="P788" s="233">
        <f t="shared" si="210"/>
        <v>3.219791752577319</v>
      </c>
      <c r="Q788" s="233">
        <f t="shared" si="210"/>
        <v>3.0059350515463912</v>
      </c>
      <c r="R788" s="233">
        <f t="shared" si="210"/>
        <v>2.7844793814432993</v>
      </c>
      <c r="S788" s="233">
        <f t="shared" si="210"/>
        <v>2.6585536082474226</v>
      </c>
      <c r="T788" s="233">
        <f t="shared" si="210"/>
        <v>2.5402268041237108</v>
      </c>
      <c r="U788" s="233">
        <f t="shared" si="210"/>
        <v>2.3187711340206181</v>
      </c>
      <c r="V788" s="233">
        <f t="shared" si="210"/>
        <v>2.2004443298969072</v>
      </c>
      <c r="W788" s="233">
        <f t="shared" si="210"/>
        <v>2.0745185567010309</v>
      </c>
      <c r="X788" s="233">
        <f t="shared" si="210"/>
        <v>1.9485927835051546</v>
      </c>
      <c r="Y788" s="233">
        <f t="shared" si="210"/>
        <v>1.8302659793814433</v>
      </c>
      <c r="Z788" s="233">
        <f t="shared" si="210"/>
        <v>1.704340206185567</v>
      </c>
      <c r="AA788" s="233">
        <f t="shared" si="210"/>
        <v>1.6815432989690722</v>
      </c>
      <c r="AB788" s="233">
        <f t="shared" si="210"/>
        <v>1.578414432989691</v>
      </c>
      <c r="AC788" s="233">
        <f t="shared" si="210"/>
        <v>1.5632164948453608</v>
      </c>
      <c r="AD788" s="233">
        <f t="shared" si="210"/>
        <v>1.4524886597938143</v>
      </c>
      <c r="AE788" s="233">
        <f t="shared" si="210"/>
        <v>1.4524886597938143</v>
      </c>
      <c r="AF788" s="233">
        <f t="shared" si="210"/>
        <v>1.4524886597938143</v>
      </c>
      <c r="AG788" s="233">
        <f t="shared" si="210"/>
        <v>1.4524886597938143</v>
      </c>
      <c r="AH788" s="233">
        <f t="shared" si="210"/>
        <v>1.4524886597938143</v>
      </c>
      <c r="AI788" s="233">
        <f t="shared" si="210"/>
        <v>1.4524886597938143</v>
      </c>
      <c r="AJ788" s="233">
        <f t="shared" si="210"/>
        <v>1.4524886597938143</v>
      </c>
      <c r="AK788" s="233">
        <f t="shared" si="210"/>
        <v>1.4524886597938143</v>
      </c>
      <c r="AL788" s="233">
        <f t="shared" si="210"/>
        <v>1.4524886597938143</v>
      </c>
      <c r="AM788" s="233">
        <f t="shared" si="210"/>
        <v>1.4524886597938143</v>
      </c>
      <c r="AN788" s="233">
        <f t="shared" si="210"/>
        <v>1.4524886597938143</v>
      </c>
      <c r="AO788" s="233">
        <f t="shared" si="210"/>
        <v>1.4524886597938143</v>
      </c>
      <c r="AP788" s="233">
        <f t="shared" si="210"/>
        <v>1.4524886597938143</v>
      </c>
      <c r="AQ788" s="233">
        <f t="shared" si="210"/>
        <v>1.4524886597938143</v>
      </c>
      <c r="AR788" s="233">
        <f t="shared" si="210"/>
        <v>1.4524886597938143</v>
      </c>
      <c r="AS788" s="233">
        <f t="shared" si="210"/>
        <v>1.4524886597938143</v>
      </c>
      <c r="AT788" s="233">
        <f t="shared" si="210"/>
        <v>1.4524886597938143</v>
      </c>
      <c r="AU788" s="233">
        <f t="shared" si="210"/>
        <v>1.4524886597938143</v>
      </c>
      <c r="AV788" s="233">
        <f t="shared" si="210"/>
        <v>1.4524886597938143</v>
      </c>
      <c r="AW788" s="233">
        <f t="shared" si="210"/>
        <v>1.4524886597938143</v>
      </c>
      <c r="AX788" s="233">
        <f t="shared" si="210"/>
        <v>1.4524886597938143</v>
      </c>
      <c r="AY788" s="233">
        <f t="shared" si="209"/>
        <v>1.4524886597938143</v>
      </c>
      <c r="AZ788" s="233">
        <f t="shared" si="209"/>
        <v>1.4524886597938143</v>
      </c>
      <c r="BA788" s="233">
        <f t="shared" si="209"/>
        <v>1.4524886597938143</v>
      </c>
      <c r="BB788" s="233">
        <f t="shared" si="209"/>
        <v>1.4524886597938143</v>
      </c>
      <c r="BC788" s="233">
        <f t="shared" si="209"/>
        <v>1.4524886597938143</v>
      </c>
      <c r="BD788" s="233">
        <f t="shared" si="209"/>
        <v>1.4524886597938143</v>
      </c>
      <c r="BE788" s="233">
        <f t="shared" si="209"/>
        <v>1.4524886597938143</v>
      </c>
    </row>
    <row r="789" spans="5:57" s="4" customFormat="1" ht="5.25" customHeight="1" x14ac:dyDescent="0.35">
      <c r="E789" s="26"/>
      <c r="G789" s="43"/>
      <c r="I789" s="119"/>
      <c r="J789" s="119"/>
      <c r="K789" s="119"/>
      <c r="L789" s="119"/>
      <c r="M789" s="119"/>
      <c r="N789" s="119"/>
      <c r="O789" s="119"/>
      <c r="P789" s="119"/>
      <c r="Q789" s="119"/>
      <c r="R789" s="119"/>
      <c r="S789" s="119"/>
      <c r="T789" s="119"/>
      <c r="U789" s="119"/>
      <c r="V789" s="119"/>
      <c r="W789" s="119"/>
      <c r="X789" s="119"/>
      <c r="Y789" s="119"/>
      <c r="Z789" s="119"/>
      <c r="AA789" s="119"/>
      <c r="AB789" s="119"/>
      <c r="AC789" s="119"/>
      <c r="AD789" s="119"/>
      <c r="AE789" s="119"/>
      <c r="AF789" s="119"/>
      <c r="AG789" s="119"/>
      <c r="AH789" s="119"/>
      <c r="AI789" s="119"/>
      <c r="AJ789" s="119"/>
      <c r="AK789" s="119"/>
      <c r="AL789" s="119"/>
      <c r="AM789" s="119"/>
      <c r="AN789" s="119"/>
      <c r="AO789" s="21"/>
      <c r="AP789" s="21"/>
      <c r="AQ789" s="21"/>
      <c r="AR789" s="21"/>
      <c r="AS789" s="21"/>
      <c r="AT789" s="21"/>
      <c r="AU789" s="21"/>
      <c r="AV789" s="21"/>
      <c r="AW789" s="21"/>
      <c r="AX789" s="21"/>
      <c r="AY789" s="21"/>
      <c r="AZ789" s="21"/>
      <c r="BA789" s="21"/>
      <c r="BB789" s="21"/>
      <c r="BC789" s="21"/>
      <c r="BD789" s="21"/>
      <c r="BE789" s="21"/>
    </row>
    <row r="790" spans="5:57" s="4" customFormat="1" ht="5.25" customHeight="1" x14ac:dyDescent="0.35">
      <c r="E790" s="26"/>
      <c r="G790" s="43"/>
      <c r="I790" s="119"/>
      <c r="J790" s="119"/>
      <c r="K790" s="119"/>
      <c r="L790" s="119"/>
      <c r="M790" s="119"/>
      <c r="N790" s="119"/>
      <c r="O790" s="119"/>
      <c r="P790" s="119"/>
      <c r="Q790" s="119"/>
      <c r="R790" s="119"/>
      <c r="S790" s="119"/>
      <c r="T790" s="119"/>
      <c r="U790" s="119"/>
      <c r="V790" s="119"/>
      <c r="W790" s="119"/>
      <c r="X790" s="119"/>
      <c r="Y790" s="119"/>
      <c r="Z790" s="119"/>
      <c r="AA790" s="119"/>
      <c r="AB790" s="119"/>
      <c r="AC790" s="119"/>
      <c r="AD790" s="119"/>
      <c r="AE790" s="119"/>
      <c r="AF790" s="119"/>
      <c r="AG790" s="119"/>
      <c r="AH790" s="119"/>
      <c r="AI790" s="119"/>
      <c r="AJ790" s="119"/>
      <c r="AK790" s="119"/>
      <c r="AL790" s="119"/>
      <c r="AM790" s="119"/>
      <c r="AN790" s="119"/>
      <c r="AO790" s="21"/>
      <c r="AP790" s="21"/>
      <c r="AQ790" s="21"/>
      <c r="AR790" s="21"/>
      <c r="AS790" s="21"/>
      <c r="AT790" s="21"/>
      <c r="AU790" s="21"/>
      <c r="AV790" s="21"/>
      <c r="AW790" s="21"/>
      <c r="AX790" s="21"/>
      <c r="AY790" s="21"/>
      <c r="AZ790" s="21"/>
      <c r="BA790" s="21"/>
      <c r="BB790" s="21"/>
      <c r="BC790" s="21"/>
      <c r="BD790" s="21"/>
      <c r="BE790" s="21"/>
    </row>
  </sheetData>
  <mergeCells count="5">
    <mergeCell ref="E510:G510"/>
    <mergeCell ref="A10:BF10"/>
    <mergeCell ref="A54:BF54"/>
    <mergeCell ref="E82:G82"/>
    <mergeCell ref="E296:G296"/>
  </mergeCells>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9" ma:contentTypeDescription="Create a new document." ma:contentTypeScope="" ma:versionID="662a84c7a56141ec884b8b7fe9f70fd6">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fc9e3812ddfe74ed9fd50283a366aee8"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060e13-48ab-4f65-89d9-584b8a076273">
      <Terms xmlns="http://schemas.microsoft.com/office/infopath/2007/PartnerControls"/>
    </lcf76f155ced4ddcb4097134ff3c332f>
    <TaxCatchAll xmlns="10195425-0631-417d-9576-672d1304af43" xsi:nil="true"/>
  </documentManagement>
</p:properties>
</file>

<file path=customXml/itemProps1.xml><?xml version="1.0" encoding="utf-8"?>
<ds:datastoreItem xmlns:ds="http://schemas.openxmlformats.org/officeDocument/2006/customXml" ds:itemID="{D847A09F-3279-4ACF-B2AA-A1931D5C9BB1}">
  <ds:schemaRefs>
    <ds:schemaRef ds:uri="http://schemas.microsoft.com/sharepoint/v3/contenttype/forms"/>
  </ds:schemaRefs>
</ds:datastoreItem>
</file>

<file path=customXml/itemProps2.xml><?xml version="1.0" encoding="utf-8"?>
<ds:datastoreItem xmlns:ds="http://schemas.openxmlformats.org/officeDocument/2006/customXml" ds:itemID="{5C1FC1ED-BEF0-4607-81C0-0465DD4126A9}"/>
</file>

<file path=customXml/itemProps3.xml><?xml version="1.0" encoding="utf-8"?>
<ds:datastoreItem xmlns:ds="http://schemas.openxmlformats.org/officeDocument/2006/customXml" ds:itemID="{BE115009-88EB-420B-8C2C-94F827324C0E}">
  <ds:schemaRefs>
    <ds:schemaRef ds:uri="http://purl.org/dc/elements/1.1/"/>
    <ds:schemaRef ds:uri="77699704-4eb5-4c24-a3b7-0bdc0b470c4d"/>
    <ds:schemaRef ds:uri="http://schemas.microsoft.com/office/2006/metadata/properties"/>
    <ds:schemaRef ds:uri="http://purl.org/dc/terms/"/>
    <ds:schemaRef ds:uri="http://schemas.openxmlformats.org/package/2006/metadata/core-properties"/>
    <ds:schemaRef ds:uri="http://purl.org/dc/dcmitype/"/>
    <ds:schemaRef ds:uri="dc8dd320-0e68-420c-9c58-92c3261bb592"/>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Sheet</vt:lpstr>
      <vt:lpstr>Guide for Reviewers</vt:lpstr>
      <vt:lpstr>Model Flow Diagram</vt:lpstr>
      <vt:lpstr>Dashboard</vt:lpstr>
      <vt:lpstr>Dashboard_Data</vt:lpstr>
      <vt:lpstr>Quick Summary</vt:lpstr>
      <vt:lpstr>Inflation Adjustment Chart</vt:lpstr>
      <vt:lpstr>StockValueC</vt:lpstr>
      <vt:lpstr>StockValueR</vt:lpstr>
      <vt:lpstr>Project InputsC</vt:lpstr>
      <vt:lpstr>Project Costs</vt:lpstr>
      <vt:lpstr>Safety Inputs</vt:lpstr>
      <vt:lpstr>Validation List</vt:lpstr>
      <vt:lpstr>SegmentTraffic Inputs</vt:lpstr>
      <vt:lpstr>INTERMEDIATE CALCS</vt:lpstr>
      <vt:lpstr>Summarized Quantified Calcs</vt:lpstr>
      <vt:lpstr>Values</vt:lpstr>
      <vt:lpstr>UnDisc Results</vt:lpstr>
      <vt:lpstr>Disc Results</vt:lpstr>
      <vt:lpstr>Undiscounted Summary</vt:lpstr>
      <vt:lpstr>Discounted Summary</vt:lpstr>
      <vt:lpstr>Calculations &amp; Source Data--&gt;</vt:lpstr>
      <vt:lpstr>Discount Calc</vt:lpstr>
      <vt:lpstr>Resid Value Calc</vt:lpstr>
      <vt:lpstr>Crash Data ODOT</vt:lpstr>
      <vt:lpstr>Crash Data OHSO</vt:lpstr>
      <vt:lpstr>Costs Calc</vt:lpstr>
      <vt:lpstr>Traffic Analysis_Segments</vt:lpstr>
      <vt:lpstr>Daily Traffic Profile</vt:lpstr>
      <vt:lpstr>AADT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Christopher.Wilhelm@jacobs.com</dc:creator>
  <cp:keywords/>
  <dc:description/>
  <cp:lastModifiedBy>Taylor, Christian</cp:lastModifiedBy>
  <cp:revision/>
  <dcterms:created xsi:type="dcterms:W3CDTF">2014-04-07T15:45:07Z</dcterms:created>
  <dcterms:modified xsi:type="dcterms:W3CDTF">2026-02-19T17:09:03Z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0x01010022EC2B4E5301104E93F4699810BBBBF9</vt:lpwstr>
  </property>
  <property fmtid="{D5CDD505-2E9C-101B-9397-08002B2CF9AE}" pid="3" name="MSIP_Label_fbc029f1-7b6e-4e10-8282-fc5331153e31_Enabled">
    <vt:lpwstr>true</vt:lpwstr>
  </property>
  <property fmtid="{D5CDD505-2E9C-101B-9397-08002B2CF9AE}" pid="4" name="MSIP_Label_fbc029f1-7b6e-4e10-8282-fc5331153e31_SetDate">
    <vt:lpwstr>2024-04-30T01:34:53Z</vt:lpwstr>
  </property>
  <property fmtid="{D5CDD505-2E9C-101B-9397-08002B2CF9AE}" pid="5" name="MSIP_Label_fbc029f1-7b6e-4e10-8282-fc5331153e31_Method">
    <vt:lpwstr>Privileged</vt:lpwstr>
  </property>
  <property fmtid="{D5CDD505-2E9C-101B-9397-08002B2CF9AE}" pid="6" name="MSIP_Label_fbc029f1-7b6e-4e10-8282-fc5331153e31_Name">
    <vt:lpwstr>fbc029f1-7b6e-4e10-8282-fc5331153e31</vt:lpwstr>
  </property>
  <property fmtid="{D5CDD505-2E9C-101B-9397-08002B2CF9AE}" pid="7" name="MSIP_Label_fbc029f1-7b6e-4e10-8282-fc5331153e31_SiteId">
    <vt:lpwstr>37247798-f42c-42fd-8a37-d49c7128d36b</vt:lpwstr>
  </property>
  <property fmtid="{D5CDD505-2E9C-101B-9397-08002B2CF9AE}" pid="8" name="MSIP_Label_fbc029f1-7b6e-4e10-8282-fc5331153e31_ActionId">
    <vt:lpwstr>6a71e32d-db92-4bc6-9337-0c4370a6b11e</vt:lpwstr>
  </property>
  <property fmtid="{D5CDD505-2E9C-101B-9397-08002B2CF9AE}" pid="9" name="MSIP_Label_fbc029f1-7b6e-4e10-8282-fc5331153e31_ContentBits">
    <vt:lpwstr>0</vt:lpwstr>
  </property>
  <property fmtid="{D5CDD505-2E9C-101B-9397-08002B2CF9AE}" pid="10" name="MediaServiceImageTags">
    <vt:lpwstr/>
  </property>
</Properties>
</file>