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ning\Grants\INFRA\FY 2019\US 81 Realignment - HNTB\Docs for Website\Benefit Cost Analysis\"/>
    </mc:Choice>
  </mc:AlternateContent>
  <bookViews>
    <workbookView xWindow="0" yWindow="0" windowWidth="28800" windowHeight="12885" tabRatio="896" activeTab="4"/>
  </bookViews>
  <sheets>
    <sheet name="Summary" sheetId="12" r:id="rId1"/>
    <sheet name="Summary Table" sheetId="22" r:id="rId2"/>
    <sheet name="NPV" sheetId="5" r:id="rId3"/>
    <sheet name="Costs" sheetId="27" r:id="rId4"/>
    <sheet name="Safety" sheetId="21" r:id="rId5"/>
    <sheet name="State of Good Repair" sheetId="23" state="hidden" r:id="rId6"/>
    <sheet name="EC - Travel Time - Intersection" sheetId="25" state="hidden" r:id="rId7"/>
    <sheet name="EC - Travel Time - Roadway" sheetId="32" r:id="rId8"/>
    <sheet name="Segment AADTs" sheetId="31" r:id="rId9"/>
    <sheet name="QOL - Fuel Savings" sheetId="28" state="hidden" r:id="rId10"/>
    <sheet name="Environmental Protection" sheetId="26" r:id="rId11"/>
    <sheet name="Delay_Calcs" sheetId="33" r:id="rId12"/>
    <sheet name="Maintenance Costs" sheetId="34" r:id="rId13"/>
    <sheet name="Green House Gases" sheetId="30" state="hidden" r:id="rId14"/>
  </sheets>
  <externalReferences>
    <externalReference r:id="rId15"/>
    <externalReference r:id="rId16"/>
    <externalReference r:id="rId17"/>
  </externalReferences>
  <definedNames>
    <definedName name="CIP" localSheetId="11">#REF!</definedName>
    <definedName name="CIP" localSheetId="7">#REF!</definedName>
    <definedName name="CIP">#REF!</definedName>
    <definedName name="dblStack">'[1]Tunnel Capacity'!$C$6</definedName>
    <definedName name="domstackRate">'[1]Tunnel Capacity'!$C$4</definedName>
    <definedName name="intlstackRate">'[1]Tunnel Capacity'!$C$3</definedName>
    <definedName name="List">'[2]NEW ROAD'!$A$2:$A$19</definedName>
    <definedName name="maxLength">'[1]Tunnel Capacity'!$C$2</definedName>
    <definedName name="NEW">'[2]NEW ROAD'!$A$4:$A$5</definedName>
    <definedName name="_xlnm.Print_Area" localSheetId="3">Costs!#REF!</definedName>
    <definedName name="_xlnm.Print_Area" localSheetId="12">'Maintenance Costs'!$J$2:$AG$36</definedName>
    <definedName name="_xlnm.Print_Area" localSheetId="2">NPV!$A$2:$C$41</definedName>
    <definedName name="_xlnm.Print_Area" localSheetId="4">Safety!$A$1:$J$67</definedName>
    <definedName name="_xlnm.Print_Area" localSheetId="5">'State of Good Repair'!$A$1:$B$17</definedName>
    <definedName name="_xlnm.Print_Area" localSheetId="1">'Summary Table'!$A$2:$H$36</definedName>
    <definedName name="printa" localSheetId="11">#REF!</definedName>
    <definedName name="printa" localSheetId="7">#REF!</definedName>
    <definedName name="printa">#REF!</definedName>
    <definedName name="singleStack">'[1]Tunnel Capacity'!$C$5</definedName>
    <definedName name="Version2" localSheetId="11">#REF!</definedName>
    <definedName name="Version2">#REF!</definedName>
  </definedNames>
  <calcPr calcId="171027"/>
</workbook>
</file>

<file path=xl/calcChain.xml><?xml version="1.0" encoding="utf-8"?>
<calcChain xmlns="http://schemas.openxmlformats.org/spreadsheetml/2006/main">
  <c r="J112" i="26" l="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72" i="21"/>
  <c r="H50" i="22"/>
  <c r="T75" i="32"/>
  <c r="T37" i="32"/>
  <c r="AC103" i="21" l="1"/>
  <c r="I45" i="27"/>
  <c r="G45" i="27"/>
  <c r="D8" i="12" l="1"/>
  <c r="E7" i="22"/>
  <c r="G50" i="22"/>
  <c r="F93" i="22"/>
  <c r="E93" i="22"/>
  <c r="H45" i="27"/>
  <c r="H44" i="27"/>
  <c r="D83" i="22" l="1"/>
  <c r="D84" i="22"/>
  <c r="D85" i="22"/>
  <c r="D86" i="22"/>
  <c r="D87" i="22"/>
  <c r="D88" i="22"/>
  <c r="D89" i="22"/>
  <c r="D90" i="22"/>
  <c r="D91" i="22"/>
  <c r="D92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10" i="27"/>
  <c r="AP76" i="34"/>
  <c r="O34" i="34"/>
  <c r="O23" i="34"/>
  <c r="O22" i="34"/>
  <c r="AF33" i="34"/>
  <c r="I34" i="27" l="1"/>
  <c r="B3" i="31" l="1"/>
  <c r="B4" i="31"/>
  <c r="F79" i="33" l="1"/>
  <c r="F80" i="33" s="1"/>
  <c r="F56" i="33"/>
  <c r="F57" i="33" s="1"/>
  <c r="F55" i="33"/>
  <c r="E55" i="33" s="1"/>
  <c r="E56" i="33"/>
  <c r="E54" i="33"/>
  <c r="F54" i="33"/>
  <c r="Y30" i="33"/>
  <c r="X30" i="33" s="1"/>
  <c r="F30" i="33"/>
  <c r="F31" i="33" s="1"/>
  <c r="F32" i="33" s="1"/>
  <c r="F33" i="33" s="1"/>
  <c r="F34" i="33" s="1"/>
  <c r="F35" i="33" s="1"/>
  <c r="F36" i="33" s="1"/>
  <c r="F37" i="33" s="1"/>
  <c r="F38" i="33" s="1"/>
  <c r="F39" i="33" s="1"/>
  <c r="F40" i="33" s="1"/>
  <c r="F41" i="33" s="1"/>
  <c r="F42" i="33" s="1"/>
  <c r="F43" i="33" s="1"/>
  <c r="F29" i="33"/>
  <c r="Y7" i="33"/>
  <c r="Y8" i="33" s="1"/>
  <c r="Y6" i="33"/>
  <c r="X6" i="33" s="1"/>
  <c r="X5" i="33"/>
  <c r="Y5" i="33"/>
  <c r="D6" i="33"/>
  <c r="E7" i="33"/>
  <c r="E8" i="33"/>
  <c r="E9" i="33"/>
  <c r="E10" i="33"/>
  <c r="E11" i="33"/>
  <c r="E12" i="33"/>
  <c r="E13" i="33"/>
  <c r="E6" i="33"/>
  <c r="F9" i="33"/>
  <c r="F10" i="33" s="1"/>
  <c r="F11" i="33" s="1"/>
  <c r="F12" i="33" s="1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8" i="33"/>
  <c r="F7" i="33"/>
  <c r="F6" i="33"/>
  <c r="F5" i="33"/>
  <c r="C3" i="27"/>
  <c r="F81" i="33" l="1"/>
  <c r="E80" i="33"/>
  <c r="E79" i="33"/>
  <c r="E57" i="33"/>
  <c r="F58" i="33"/>
  <c r="Y31" i="33"/>
  <c r="E43" i="33"/>
  <c r="Y9" i="33"/>
  <c r="X8" i="33"/>
  <c r="X7" i="33"/>
  <c r="E28" i="33"/>
  <c r="E27" i="33"/>
  <c r="E17" i="33"/>
  <c r="E19" i="33"/>
  <c r="E26" i="33"/>
  <c r="E25" i="33"/>
  <c r="E24" i="33"/>
  <c r="E16" i="33"/>
  <c r="E29" i="33"/>
  <c r="E20" i="33"/>
  <c r="E18" i="33"/>
  <c r="E23" i="33"/>
  <c r="E15" i="33"/>
  <c r="E21" i="33"/>
  <c r="E22" i="33"/>
  <c r="E14" i="33"/>
  <c r="O30" i="34"/>
  <c r="F82" i="33" l="1"/>
  <c r="E81" i="33"/>
  <c r="E58" i="33"/>
  <c r="F59" i="33"/>
  <c r="Y32" i="33"/>
  <c r="X31" i="33"/>
  <c r="E36" i="33"/>
  <c r="E41" i="33"/>
  <c r="E31" i="33"/>
  <c r="E33" i="33"/>
  <c r="E40" i="33"/>
  <c r="E42" i="33"/>
  <c r="E30" i="33"/>
  <c r="E38" i="33"/>
  <c r="E32" i="33"/>
  <c r="E39" i="33"/>
  <c r="E37" i="33"/>
  <c r="E35" i="33"/>
  <c r="E34" i="33"/>
  <c r="X9" i="33"/>
  <c r="Y10" i="33"/>
  <c r="F83" i="33" l="1"/>
  <c r="E82" i="33"/>
  <c r="E59" i="33"/>
  <c r="F60" i="33"/>
  <c r="Y33" i="33"/>
  <c r="X32" i="33"/>
  <c r="X10" i="33"/>
  <c r="Y11" i="33"/>
  <c r="AL75" i="34"/>
  <c r="AM75" i="34" s="1"/>
  <c r="AN75" i="34" s="1"/>
  <c r="AO75" i="34" s="1"/>
  <c r="AP75" i="34" s="1"/>
  <c r="AQ75" i="34" s="1"/>
  <c r="AR75" i="34" s="1"/>
  <c r="AS75" i="34" s="1"/>
  <c r="AT75" i="34" s="1"/>
  <c r="AU75" i="34" s="1"/>
  <c r="AV75" i="34" s="1"/>
  <c r="AW75" i="34" s="1"/>
  <c r="AX75" i="34" s="1"/>
  <c r="AY75" i="34" s="1"/>
  <c r="AZ75" i="34" s="1"/>
  <c r="BA75" i="34" s="1"/>
  <c r="BB75" i="34" s="1"/>
  <c r="BC75" i="34" s="1"/>
  <c r="BD75" i="34" s="1"/>
  <c r="BE75" i="34" s="1"/>
  <c r="BF75" i="34" s="1"/>
  <c r="BG75" i="34" s="1"/>
  <c r="BH75" i="34" s="1"/>
  <c r="BI75" i="34" s="1"/>
  <c r="BJ75" i="34" s="1"/>
  <c r="BK75" i="34" s="1"/>
  <c r="BL75" i="34" s="1"/>
  <c r="BM75" i="34" s="1"/>
  <c r="BN75" i="34" s="1"/>
  <c r="BO75" i="34" s="1"/>
  <c r="BP75" i="34" s="1"/>
  <c r="BQ75" i="34" s="1"/>
  <c r="BR75" i="34" s="1"/>
  <c r="BS75" i="34" s="1"/>
  <c r="BT75" i="34" s="1"/>
  <c r="BU75" i="34" s="1"/>
  <c r="BV75" i="34" s="1"/>
  <c r="BW75" i="34" s="1"/>
  <c r="BX75" i="34" s="1"/>
  <c r="BY75" i="34" s="1"/>
  <c r="BZ75" i="34" s="1"/>
  <c r="CA75" i="34" s="1"/>
  <c r="CB75" i="34" s="1"/>
  <c r="CC75" i="34" s="1"/>
  <c r="AL70" i="34"/>
  <c r="AM70" i="34" s="1"/>
  <c r="AN70" i="34" s="1"/>
  <c r="AO70" i="34" s="1"/>
  <c r="AP70" i="34" s="1"/>
  <c r="AQ70" i="34" s="1"/>
  <c r="AR70" i="34" s="1"/>
  <c r="AS70" i="34" s="1"/>
  <c r="AT70" i="34" s="1"/>
  <c r="AU70" i="34" s="1"/>
  <c r="AV70" i="34" s="1"/>
  <c r="AW70" i="34" s="1"/>
  <c r="AX70" i="34" s="1"/>
  <c r="AY70" i="34" s="1"/>
  <c r="AZ70" i="34" s="1"/>
  <c r="BA70" i="34" s="1"/>
  <c r="BB70" i="34" s="1"/>
  <c r="BC70" i="34" s="1"/>
  <c r="BD70" i="34" s="1"/>
  <c r="BE70" i="34" s="1"/>
  <c r="BF70" i="34" s="1"/>
  <c r="BG70" i="34" s="1"/>
  <c r="BH70" i="34" s="1"/>
  <c r="BI70" i="34" s="1"/>
  <c r="BJ70" i="34" s="1"/>
  <c r="BK70" i="34" s="1"/>
  <c r="BL70" i="34" s="1"/>
  <c r="BM70" i="34" s="1"/>
  <c r="BN70" i="34" s="1"/>
  <c r="BO70" i="34" s="1"/>
  <c r="BP70" i="34" s="1"/>
  <c r="BQ70" i="34" s="1"/>
  <c r="BR70" i="34" s="1"/>
  <c r="BS70" i="34" s="1"/>
  <c r="BT70" i="34" s="1"/>
  <c r="BU70" i="34" s="1"/>
  <c r="BV70" i="34" s="1"/>
  <c r="BW70" i="34" s="1"/>
  <c r="BX70" i="34" s="1"/>
  <c r="BY70" i="34" s="1"/>
  <c r="BZ70" i="34" s="1"/>
  <c r="CA70" i="34" s="1"/>
  <c r="CB70" i="34" s="1"/>
  <c r="CC70" i="34" s="1"/>
  <c r="AO68" i="34"/>
  <c r="AN68" i="34"/>
  <c r="AM68" i="34"/>
  <c r="AL68" i="34"/>
  <c r="AK68" i="34"/>
  <c r="AL65" i="34"/>
  <c r="AM65" i="34" s="1"/>
  <c r="AN65" i="34" s="1"/>
  <c r="AO65" i="34" s="1"/>
  <c r="AP65" i="34" s="1"/>
  <c r="AQ65" i="34" s="1"/>
  <c r="AR65" i="34" s="1"/>
  <c r="AS65" i="34" s="1"/>
  <c r="AT65" i="34" s="1"/>
  <c r="AU65" i="34" s="1"/>
  <c r="AV65" i="34" s="1"/>
  <c r="AW65" i="34" s="1"/>
  <c r="AX65" i="34" s="1"/>
  <c r="AY65" i="34" s="1"/>
  <c r="AZ65" i="34" s="1"/>
  <c r="BA65" i="34" s="1"/>
  <c r="BB65" i="34" s="1"/>
  <c r="BC65" i="34" s="1"/>
  <c r="BD65" i="34" s="1"/>
  <c r="BE65" i="34" s="1"/>
  <c r="BF65" i="34" s="1"/>
  <c r="BG65" i="34" s="1"/>
  <c r="BH65" i="34" s="1"/>
  <c r="BI65" i="34" s="1"/>
  <c r="BJ65" i="34" s="1"/>
  <c r="BK65" i="34" s="1"/>
  <c r="BL65" i="34" s="1"/>
  <c r="BM65" i="34" s="1"/>
  <c r="BN65" i="34" s="1"/>
  <c r="BO65" i="34" s="1"/>
  <c r="BP65" i="34" s="1"/>
  <c r="BQ65" i="34" s="1"/>
  <c r="BR65" i="34" s="1"/>
  <c r="BS65" i="34" s="1"/>
  <c r="BT65" i="34" s="1"/>
  <c r="BU65" i="34" s="1"/>
  <c r="BV65" i="34" s="1"/>
  <c r="BW65" i="34" s="1"/>
  <c r="BX65" i="34" s="1"/>
  <c r="BY65" i="34" s="1"/>
  <c r="BZ65" i="34" s="1"/>
  <c r="CA65" i="34" s="1"/>
  <c r="CB65" i="34" s="1"/>
  <c r="CC65" i="34" s="1"/>
  <c r="CB60" i="34"/>
  <c r="BY60" i="34"/>
  <c r="BU60" i="34"/>
  <c r="AP60" i="34"/>
  <c r="AL59" i="34"/>
  <c r="AM59" i="34" s="1"/>
  <c r="AN59" i="34" s="1"/>
  <c r="AO59" i="34" s="1"/>
  <c r="AP59" i="34" s="1"/>
  <c r="AQ59" i="34" s="1"/>
  <c r="AR59" i="34" s="1"/>
  <c r="AS59" i="34" s="1"/>
  <c r="AT59" i="34" s="1"/>
  <c r="AU59" i="34" s="1"/>
  <c r="AV59" i="34" s="1"/>
  <c r="AW59" i="34" s="1"/>
  <c r="AX59" i="34" s="1"/>
  <c r="AY59" i="34" s="1"/>
  <c r="AZ59" i="34" s="1"/>
  <c r="BA59" i="34" s="1"/>
  <c r="BB59" i="34" s="1"/>
  <c r="BC59" i="34" s="1"/>
  <c r="BD59" i="34" s="1"/>
  <c r="BE59" i="34" s="1"/>
  <c r="BF59" i="34" s="1"/>
  <c r="BG59" i="34" s="1"/>
  <c r="BH59" i="34" s="1"/>
  <c r="BI59" i="34" s="1"/>
  <c r="BJ59" i="34" s="1"/>
  <c r="BK59" i="34" s="1"/>
  <c r="BL59" i="34" s="1"/>
  <c r="BM59" i="34" s="1"/>
  <c r="BN59" i="34" s="1"/>
  <c r="BO59" i="34" s="1"/>
  <c r="BP59" i="34" s="1"/>
  <c r="BQ59" i="34" s="1"/>
  <c r="BR59" i="34" s="1"/>
  <c r="BS59" i="34" s="1"/>
  <c r="BT59" i="34" s="1"/>
  <c r="BU59" i="34" s="1"/>
  <c r="BV59" i="34" s="1"/>
  <c r="BW59" i="34" s="1"/>
  <c r="BX59" i="34" s="1"/>
  <c r="BY59" i="34" s="1"/>
  <c r="BZ59" i="34" s="1"/>
  <c r="CA59" i="34" s="1"/>
  <c r="CB59" i="34" s="1"/>
  <c r="CC59" i="34" s="1"/>
  <c r="BL52" i="34"/>
  <c r="BJ52" i="34"/>
  <c r="BD52" i="34"/>
  <c r="AL51" i="34"/>
  <c r="AM51" i="34" s="1"/>
  <c r="AN51" i="34" s="1"/>
  <c r="AO51" i="34" s="1"/>
  <c r="AP51" i="34" s="1"/>
  <c r="AQ51" i="34" s="1"/>
  <c r="AR51" i="34" s="1"/>
  <c r="AS51" i="34" s="1"/>
  <c r="AT51" i="34" s="1"/>
  <c r="AU51" i="34" s="1"/>
  <c r="AV51" i="34" s="1"/>
  <c r="AW51" i="34" s="1"/>
  <c r="AX51" i="34" s="1"/>
  <c r="AY51" i="34" s="1"/>
  <c r="AZ51" i="34" s="1"/>
  <c r="BA51" i="34" s="1"/>
  <c r="BB51" i="34" s="1"/>
  <c r="BC51" i="34" s="1"/>
  <c r="BD51" i="34" s="1"/>
  <c r="BE51" i="34" s="1"/>
  <c r="BF51" i="34" s="1"/>
  <c r="BG51" i="34" s="1"/>
  <c r="BH51" i="34" s="1"/>
  <c r="BI51" i="34" s="1"/>
  <c r="BJ51" i="34" s="1"/>
  <c r="BK51" i="34" s="1"/>
  <c r="BL51" i="34" s="1"/>
  <c r="BM51" i="34" s="1"/>
  <c r="BN51" i="34" s="1"/>
  <c r="BO51" i="34" s="1"/>
  <c r="BP51" i="34" s="1"/>
  <c r="BQ51" i="34" s="1"/>
  <c r="BR51" i="34" s="1"/>
  <c r="BS51" i="34" s="1"/>
  <c r="BT51" i="34" s="1"/>
  <c r="BU51" i="34" s="1"/>
  <c r="BV51" i="34" s="1"/>
  <c r="BW51" i="34" s="1"/>
  <c r="BX51" i="34" s="1"/>
  <c r="BY51" i="34" s="1"/>
  <c r="BZ51" i="34" s="1"/>
  <c r="CA51" i="34" s="1"/>
  <c r="CB51" i="34" s="1"/>
  <c r="CC51" i="34" s="1"/>
  <c r="AF35" i="34"/>
  <c r="K35" i="34"/>
  <c r="AG35" i="34" s="1"/>
  <c r="I35" i="34"/>
  <c r="H35" i="34"/>
  <c r="AG33" i="34"/>
  <c r="U33" i="34"/>
  <c r="CC66" i="34" s="1"/>
  <c r="R33" i="34"/>
  <c r="BI66" i="34" s="1"/>
  <c r="O33" i="34"/>
  <c r="AP66" i="34" s="1"/>
  <c r="I33" i="34"/>
  <c r="H33" i="34"/>
  <c r="I32" i="34"/>
  <c r="H32" i="34"/>
  <c r="I31" i="34"/>
  <c r="H31" i="34"/>
  <c r="AF30" i="34"/>
  <c r="AG30" i="34" s="1"/>
  <c r="AA30" i="34"/>
  <c r="BX66" i="34" s="1"/>
  <c r="X30" i="34"/>
  <c r="X34" i="34" s="1"/>
  <c r="U30" i="34"/>
  <c r="R30" i="34"/>
  <c r="BC66" i="34" s="1"/>
  <c r="I30" i="34"/>
  <c r="H30" i="34"/>
  <c r="I29" i="34"/>
  <c r="H29" i="34"/>
  <c r="I28" i="34"/>
  <c r="H28" i="34"/>
  <c r="I27" i="34"/>
  <c r="H27" i="34"/>
  <c r="I26" i="34"/>
  <c r="H26" i="34"/>
  <c r="AF23" i="34"/>
  <c r="K23" i="34"/>
  <c r="AG23" i="34" s="1"/>
  <c r="X22" i="34"/>
  <c r="AF21" i="34"/>
  <c r="AG21" i="34" s="1"/>
  <c r="AD21" i="34"/>
  <c r="AA21" i="34"/>
  <c r="X21" i="34"/>
  <c r="U21" i="34"/>
  <c r="R21" i="34"/>
  <c r="AX52" i="34" s="1"/>
  <c r="O21" i="34"/>
  <c r="D20" i="34"/>
  <c r="D19" i="34"/>
  <c r="AF18" i="34"/>
  <c r="AG18" i="34" s="1"/>
  <c r="AD18" i="34"/>
  <c r="AA18" i="34"/>
  <c r="X18" i="34"/>
  <c r="U18" i="34"/>
  <c r="R18" i="34"/>
  <c r="O18" i="34"/>
  <c r="D18" i="34"/>
  <c r="D17" i="34"/>
  <c r="D16" i="34"/>
  <c r="AF15" i="34"/>
  <c r="AG15" i="34" s="1"/>
  <c r="AD15" i="34"/>
  <c r="AA15" i="34"/>
  <c r="X15" i="34"/>
  <c r="U15" i="34"/>
  <c r="BC60" i="34" s="1"/>
  <c r="R15" i="34"/>
  <c r="O15" i="34"/>
  <c r="D15" i="34"/>
  <c r="D14" i="34"/>
  <c r="D13" i="34"/>
  <c r="AG12" i="34"/>
  <c r="AF12" i="34"/>
  <c r="AD12" i="34"/>
  <c r="CB52" i="34" s="1"/>
  <c r="AA12" i="34"/>
  <c r="BU52" i="34" s="1"/>
  <c r="X12" i="34"/>
  <c r="BN60" i="34" s="1"/>
  <c r="U12" i="34"/>
  <c r="R12" i="34"/>
  <c r="AZ60" i="34" s="1"/>
  <c r="O12" i="34"/>
  <c r="AS52" i="34" s="1"/>
  <c r="D11" i="34"/>
  <c r="H10" i="34"/>
  <c r="D10" i="34"/>
  <c r="I10" i="34" s="1"/>
  <c r="AF9" i="34"/>
  <c r="AG9" i="34" s="1"/>
  <c r="AD9" i="34"/>
  <c r="BY52" i="34" s="1"/>
  <c r="AA9" i="34"/>
  <c r="BR60" i="34" s="1"/>
  <c r="X9" i="34"/>
  <c r="BK52" i="34" s="1"/>
  <c r="U9" i="34"/>
  <c r="BD60" i="34" s="1"/>
  <c r="R9" i="34"/>
  <c r="AW60" i="34" s="1"/>
  <c r="O9" i="34"/>
  <c r="AP52" i="34" s="1"/>
  <c r="D9" i="34"/>
  <c r="H9" i="34" s="1"/>
  <c r="D8" i="34"/>
  <c r="H8" i="34" s="1"/>
  <c r="D7" i="34"/>
  <c r="AF6" i="34"/>
  <c r="AG6" i="34" s="1"/>
  <c r="AD6" i="34"/>
  <c r="BZ60" i="34" s="1"/>
  <c r="AA6" i="34"/>
  <c r="X6" i="34"/>
  <c r="BL60" i="34" s="1"/>
  <c r="U6" i="34"/>
  <c r="R6" i="34"/>
  <c r="AX60" i="34" s="1"/>
  <c r="O6" i="34"/>
  <c r="D6" i="34"/>
  <c r="I6" i="34" s="1"/>
  <c r="D5" i="34"/>
  <c r="D4" i="34"/>
  <c r="H4" i="34" s="1"/>
  <c r="F84" i="33" l="1"/>
  <c r="E83" i="33"/>
  <c r="E60" i="33"/>
  <c r="F61" i="33"/>
  <c r="Y34" i="33"/>
  <c r="X33" i="33"/>
  <c r="Y12" i="33"/>
  <c r="X11" i="33"/>
  <c r="R22" i="34"/>
  <c r="BQ66" i="34"/>
  <c r="AG36" i="34"/>
  <c r="BX52" i="34"/>
  <c r="I8" i="34"/>
  <c r="AV60" i="34"/>
  <c r="R34" i="34"/>
  <c r="AV52" i="34"/>
  <c r="BK60" i="34"/>
  <c r="BC52" i="34"/>
  <c r="AW52" i="34"/>
  <c r="AS60" i="34"/>
  <c r="BJ60" i="34"/>
  <c r="AZ52" i="34"/>
  <c r="AG24" i="34"/>
  <c r="AD22" i="34"/>
  <c r="H6" i="34"/>
  <c r="I9" i="34"/>
  <c r="BJ66" i="34"/>
  <c r="U34" i="34"/>
  <c r="BN52" i="34"/>
  <c r="BG60" i="34"/>
  <c r="BG52" i="34"/>
  <c r="AV66" i="34"/>
  <c r="AO52" i="34"/>
  <c r="AO60" i="34"/>
  <c r="AQ52" i="34"/>
  <c r="AQ60" i="34"/>
  <c r="H7" i="34"/>
  <c r="I7" i="34"/>
  <c r="BQ52" i="34"/>
  <c r="BQ60" i="34"/>
  <c r="BE52" i="34"/>
  <c r="BE60" i="34"/>
  <c r="U22" i="34"/>
  <c r="BX60" i="34"/>
  <c r="O35" i="34"/>
  <c r="BZ52" i="34"/>
  <c r="BR52" i="34"/>
  <c r="BS52" i="34"/>
  <c r="AA22" i="34"/>
  <c r="BS60" i="34"/>
  <c r="AA34" i="34"/>
  <c r="E84" i="33" l="1"/>
  <c r="F85" i="33"/>
  <c r="E61" i="33"/>
  <c r="F62" i="33"/>
  <c r="Y35" i="33"/>
  <c r="X34" i="33"/>
  <c r="X12" i="33"/>
  <c r="Y13" i="33"/>
  <c r="I21" i="34"/>
  <c r="AE22" i="34"/>
  <c r="H21" i="34"/>
  <c r="CC61" i="34"/>
  <c r="CC62" i="34" s="1"/>
  <c r="BU61" i="34"/>
  <c r="BU62" i="34" s="1"/>
  <c r="BM61" i="34"/>
  <c r="BM62" i="34" s="1"/>
  <c r="BM71" i="34" s="1"/>
  <c r="BE61" i="34"/>
  <c r="BE62" i="34" s="1"/>
  <c r="AW61" i="34"/>
  <c r="AW62" i="34" s="1"/>
  <c r="AO61" i="34"/>
  <c r="AO62" i="34" s="1"/>
  <c r="AO71" i="34" s="1"/>
  <c r="CA53" i="34"/>
  <c r="CA54" i="34" s="1"/>
  <c r="BS53" i="34"/>
  <c r="BS54" i="34" s="1"/>
  <c r="BK53" i="34"/>
  <c r="BK54" i="34" s="1"/>
  <c r="BC53" i="34"/>
  <c r="BC54" i="34" s="1"/>
  <c r="AU53" i="34"/>
  <c r="AU54" i="34" s="1"/>
  <c r="AM53" i="34"/>
  <c r="AM54" i="34" s="1"/>
  <c r="CA61" i="34"/>
  <c r="CA62" i="34" s="1"/>
  <c r="BS61" i="34"/>
  <c r="BS62" i="34" s="1"/>
  <c r="BK61" i="34"/>
  <c r="BK62" i="34" s="1"/>
  <c r="BC61" i="34"/>
  <c r="BC62" i="34" s="1"/>
  <c r="AU61" i="34"/>
  <c r="AU62" i="34" s="1"/>
  <c r="AM61" i="34"/>
  <c r="AM62" i="34" s="1"/>
  <c r="AM71" i="34" s="1"/>
  <c r="BY53" i="34"/>
  <c r="BY54" i="34" s="1"/>
  <c r="BQ53" i="34"/>
  <c r="BQ54" i="34" s="1"/>
  <c r="BI53" i="34"/>
  <c r="BI54" i="34" s="1"/>
  <c r="BA53" i="34"/>
  <c r="BA54" i="34" s="1"/>
  <c r="AS53" i="34"/>
  <c r="AS54" i="34" s="1"/>
  <c r="AK53" i="34"/>
  <c r="AK54" i="34" s="1"/>
  <c r="BY61" i="34"/>
  <c r="BY62" i="34" s="1"/>
  <c r="BO61" i="34"/>
  <c r="BO62" i="34" s="1"/>
  <c r="BD61" i="34"/>
  <c r="BD62" i="34" s="1"/>
  <c r="AS61" i="34"/>
  <c r="AS62" i="34" s="1"/>
  <c r="BX53" i="34"/>
  <c r="BX54" i="34" s="1"/>
  <c r="BN53" i="34"/>
  <c r="BN54" i="34" s="1"/>
  <c r="BD53" i="34"/>
  <c r="BD54" i="34" s="1"/>
  <c r="AR53" i="34"/>
  <c r="AR54" i="34" s="1"/>
  <c r="BV61" i="34"/>
  <c r="BV62" i="34" s="1"/>
  <c r="BJ61" i="34"/>
  <c r="BJ62" i="34" s="1"/>
  <c r="AZ61" i="34"/>
  <c r="AZ62" i="34" s="1"/>
  <c r="AP61" i="34"/>
  <c r="AP62" i="34" s="1"/>
  <c r="BU53" i="34"/>
  <c r="BU54" i="34" s="1"/>
  <c r="BJ53" i="34"/>
  <c r="BJ54" i="34" s="1"/>
  <c r="AY53" i="34"/>
  <c r="AY54" i="34" s="1"/>
  <c r="AO53" i="34"/>
  <c r="AO54" i="34" s="1"/>
  <c r="BW61" i="34"/>
  <c r="BW62" i="34" s="1"/>
  <c r="BH61" i="34"/>
  <c r="BH62" i="34" s="1"/>
  <c r="AT61" i="34"/>
  <c r="AT62" i="34" s="1"/>
  <c r="BZ53" i="34"/>
  <c r="BL53" i="34"/>
  <c r="BL54" i="34" s="1"/>
  <c r="BL76" i="34" s="1"/>
  <c r="AW53" i="34"/>
  <c r="AW54" i="34" s="1"/>
  <c r="BT61" i="34"/>
  <c r="BT62" i="34" s="1"/>
  <c r="BG61" i="34"/>
  <c r="BG62" i="34" s="1"/>
  <c r="AR61" i="34"/>
  <c r="AR62" i="34" s="1"/>
  <c r="BW53" i="34"/>
  <c r="BW54" i="34" s="1"/>
  <c r="BH53" i="34"/>
  <c r="BH54" i="34" s="1"/>
  <c r="AV53" i="34"/>
  <c r="AV54" i="34" s="1"/>
  <c r="BR61" i="34"/>
  <c r="BR62" i="34" s="1"/>
  <c r="BF61" i="34"/>
  <c r="BF62" i="34" s="1"/>
  <c r="AQ61" i="34"/>
  <c r="AQ62" i="34" s="1"/>
  <c r="BV53" i="34"/>
  <c r="BV54" i="34" s="1"/>
  <c r="BG53" i="34"/>
  <c r="BG54" i="34" s="1"/>
  <c r="AT53" i="34"/>
  <c r="AT54" i="34" s="1"/>
  <c r="BZ61" i="34"/>
  <c r="BZ62" i="34" s="1"/>
  <c r="AX61" i="34"/>
  <c r="AX62" i="34" s="1"/>
  <c r="CC53" i="34"/>
  <c r="CC54" i="34" s="1"/>
  <c r="AZ53" i="34"/>
  <c r="AZ54" i="34" s="1"/>
  <c r="BI61" i="34"/>
  <c r="BI62" i="34" s="1"/>
  <c r="BM53" i="34"/>
  <c r="BM54" i="34" s="1"/>
  <c r="BQ61" i="34"/>
  <c r="BB61" i="34"/>
  <c r="BB62" i="34" s="1"/>
  <c r="AN61" i="34"/>
  <c r="AN62" i="34" s="1"/>
  <c r="AN71" i="34" s="1"/>
  <c r="BT53" i="34"/>
  <c r="BT54" i="34" s="1"/>
  <c r="BF53" i="34"/>
  <c r="BF54" i="34" s="1"/>
  <c r="AQ53" i="34"/>
  <c r="AQ54" i="34" s="1"/>
  <c r="BP61" i="34"/>
  <c r="BP62" i="34" s="1"/>
  <c r="BA61" i="34"/>
  <c r="BA62" i="34" s="1"/>
  <c r="AL61" i="34"/>
  <c r="AL62" i="34" s="1"/>
  <c r="AL71" i="34" s="1"/>
  <c r="BR53" i="34"/>
  <c r="BE53" i="34"/>
  <c r="BE54" i="34" s="1"/>
  <c r="AP53" i="34"/>
  <c r="AP54" i="34" s="1"/>
  <c r="CB61" i="34"/>
  <c r="CB62" i="34" s="1"/>
  <c r="CB71" i="34" s="1"/>
  <c r="BN61" i="34"/>
  <c r="BN62" i="34" s="1"/>
  <c r="AY61" i="34"/>
  <c r="AY62" i="34" s="1"/>
  <c r="AK61" i="34"/>
  <c r="AK62" i="34" s="1"/>
  <c r="AK71" i="34" s="1"/>
  <c r="BP53" i="34"/>
  <c r="BP54" i="34" s="1"/>
  <c r="BB53" i="34"/>
  <c r="BB54" i="34" s="1"/>
  <c r="AN53" i="34"/>
  <c r="AN54" i="34" s="1"/>
  <c r="AN76" i="34" s="1"/>
  <c r="BL61" i="34"/>
  <c r="BL62" i="34" s="1"/>
  <c r="BL71" i="34" s="1"/>
  <c r="BO53" i="34"/>
  <c r="BO54" i="34" s="1"/>
  <c r="AL53" i="34"/>
  <c r="AL54" i="34" s="1"/>
  <c r="BX61" i="34"/>
  <c r="BX62" i="34" s="1"/>
  <c r="AV61" i="34"/>
  <c r="AV62" i="34" s="1"/>
  <c r="CB53" i="34"/>
  <c r="CB54" i="34" s="1"/>
  <c r="AX53" i="34"/>
  <c r="AX54" i="34" s="1"/>
  <c r="BR54" i="34"/>
  <c r="AC34" i="34"/>
  <c r="BZ54" i="34"/>
  <c r="CB67" i="34"/>
  <c r="CB68" i="34" s="1"/>
  <c r="BT67" i="34"/>
  <c r="BT68" i="34" s="1"/>
  <c r="BL67" i="34"/>
  <c r="BL68" i="34" s="1"/>
  <c r="BD67" i="34"/>
  <c r="BD68" i="34" s="1"/>
  <c r="AV67" i="34"/>
  <c r="AV68" i="34" s="1"/>
  <c r="BZ67" i="34"/>
  <c r="BZ68" i="34" s="1"/>
  <c r="BR67" i="34"/>
  <c r="BR68" i="34" s="1"/>
  <c r="BJ67" i="34"/>
  <c r="BB67" i="34"/>
  <c r="BB68" i="34" s="1"/>
  <c r="AT67" i="34"/>
  <c r="AT68" i="34" s="1"/>
  <c r="AC35" i="34"/>
  <c r="BY67" i="34"/>
  <c r="BY68" i="34" s="1"/>
  <c r="BO67" i="34"/>
  <c r="BO68" i="34" s="1"/>
  <c r="BE67" i="34"/>
  <c r="BE68" i="34" s="1"/>
  <c r="AS67" i="34"/>
  <c r="AS68" i="34" s="1"/>
  <c r="BX67" i="34"/>
  <c r="BX68" i="34" s="1"/>
  <c r="BN67" i="34"/>
  <c r="BN68" i="34" s="1"/>
  <c r="BV67" i="34"/>
  <c r="BV68" i="34" s="1"/>
  <c r="BK67" i="34"/>
  <c r="BK68" i="34" s="1"/>
  <c r="AZ67" i="34"/>
  <c r="AZ68" i="34" s="1"/>
  <c r="AP67" i="34"/>
  <c r="AP68" i="34" s="1"/>
  <c r="BU67" i="34"/>
  <c r="BU68" i="34" s="1"/>
  <c r="BI67" i="34"/>
  <c r="BI68" i="34" s="1"/>
  <c r="AY67" i="34"/>
  <c r="AY68" i="34" s="1"/>
  <c r="BS67" i="34"/>
  <c r="BS68" i="34" s="1"/>
  <c r="BA67" i="34"/>
  <c r="BA68" i="34" s="1"/>
  <c r="BQ67" i="34"/>
  <c r="BQ68" i="34" s="1"/>
  <c r="AX67" i="34"/>
  <c r="AX68" i="34" s="1"/>
  <c r="BP67" i="34"/>
  <c r="BP68" i="34" s="1"/>
  <c r="AW67" i="34"/>
  <c r="AW68" i="34" s="1"/>
  <c r="BC67" i="34"/>
  <c r="BC68" i="34" s="1"/>
  <c r="BM67" i="34"/>
  <c r="BM68" i="34" s="1"/>
  <c r="AU67" i="34"/>
  <c r="AU68" i="34" s="1"/>
  <c r="BH67" i="34"/>
  <c r="BH68" i="34" s="1"/>
  <c r="AR67" i="34"/>
  <c r="AR68" i="34" s="1"/>
  <c r="CC67" i="34"/>
  <c r="CC68" i="34" s="1"/>
  <c r="BG67" i="34"/>
  <c r="BG68" i="34" s="1"/>
  <c r="AQ67" i="34"/>
  <c r="AQ68" i="34" s="1"/>
  <c r="CA67" i="34"/>
  <c r="CA68" i="34" s="1"/>
  <c r="BF67" i="34"/>
  <c r="BF68" i="34" s="1"/>
  <c r="BW67" i="34"/>
  <c r="BW68" i="34" s="1"/>
  <c r="BQ62" i="34"/>
  <c r="BJ68" i="34"/>
  <c r="D57" i="22"/>
  <c r="D58" i="22"/>
  <c r="D59" i="22"/>
  <c r="D60" i="22"/>
  <c r="D61" i="22"/>
  <c r="C82" i="22"/>
  <c r="D56" i="22"/>
  <c r="B37" i="22"/>
  <c r="B80" i="22" s="1"/>
  <c r="B122" i="22" s="1"/>
  <c r="B38" i="22"/>
  <c r="B81" i="22" s="1"/>
  <c r="B123" i="22" s="1"/>
  <c r="B39" i="22"/>
  <c r="B82" i="22" s="1"/>
  <c r="B124" i="22" s="1"/>
  <c r="B40" i="22"/>
  <c r="B83" i="22" s="1"/>
  <c r="B125" i="22" s="1"/>
  <c r="B41" i="22"/>
  <c r="B84" i="22" s="1"/>
  <c r="B126" i="22" s="1"/>
  <c r="B42" i="22"/>
  <c r="B85" i="22" s="1"/>
  <c r="B127" i="22" s="1"/>
  <c r="B43" i="22"/>
  <c r="B86" i="22" s="1"/>
  <c r="B128" i="22" s="1"/>
  <c r="B44" i="22"/>
  <c r="B87" i="22" s="1"/>
  <c r="B129" i="22" s="1"/>
  <c r="B45" i="22"/>
  <c r="B88" i="22" s="1"/>
  <c r="B130" i="22" s="1"/>
  <c r="B46" i="22"/>
  <c r="B89" i="22" s="1"/>
  <c r="B131" i="22" s="1"/>
  <c r="B47" i="22"/>
  <c r="B90" i="22" s="1"/>
  <c r="B132" i="22" s="1"/>
  <c r="B48" i="22"/>
  <c r="B91" i="22" s="1"/>
  <c r="B133" i="22" s="1"/>
  <c r="B49" i="22"/>
  <c r="B92" i="22" s="1"/>
  <c r="B134" i="22" s="1"/>
  <c r="B13" i="22"/>
  <c r="B56" i="22" s="1"/>
  <c r="B98" i="22" s="1"/>
  <c r="E18" i="22"/>
  <c r="G18" i="22" s="1"/>
  <c r="H18" i="22" s="1"/>
  <c r="D103" i="22" s="1"/>
  <c r="G17" i="22"/>
  <c r="H17" i="22" s="1"/>
  <c r="D102" i="22" s="1"/>
  <c r="G16" i="22"/>
  <c r="H16" i="22" s="1"/>
  <c r="D101" i="22" s="1"/>
  <c r="G15" i="22"/>
  <c r="H15" i="22" s="1"/>
  <c r="D100" i="22" s="1"/>
  <c r="G14" i="22"/>
  <c r="H14" i="22" s="1"/>
  <c r="D99" i="22" s="1"/>
  <c r="G13" i="22"/>
  <c r="G44" i="27"/>
  <c r="F45" i="27"/>
  <c r="G43" i="27"/>
  <c r="G42" i="27"/>
  <c r="G41" i="27"/>
  <c r="G40" i="27"/>
  <c r="G39" i="27"/>
  <c r="G38" i="27"/>
  <c r="I38" i="27" s="1"/>
  <c r="G37" i="27"/>
  <c r="G36" i="27"/>
  <c r="G35" i="27"/>
  <c r="I35" i="27" s="1"/>
  <c r="G33" i="27"/>
  <c r="G32" i="27"/>
  <c r="G31" i="27"/>
  <c r="I31" i="27" s="1"/>
  <c r="G30" i="27"/>
  <c r="I30" i="27" s="1"/>
  <c r="G29" i="27"/>
  <c r="G28" i="27"/>
  <c r="G27" i="27"/>
  <c r="I27" i="27" s="1"/>
  <c r="G26" i="27"/>
  <c r="G25" i="27"/>
  <c r="G24" i="27"/>
  <c r="G23" i="27"/>
  <c r="I23" i="27" s="1"/>
  <c r="G22" i="27"/>
  <c r="G21" i="27"/>
  <c r="G20" i="27"/>
  <c r="G19" i="27"/>
  <c r="I19" i="27" s="1"/>
  <c r="G18" i="27"/>
  <c r="I18" i="27" s="1"/>
  <c r="G17" i="27"/>
  <c r="G16" i="27"/>
  <c r="G15" i="27"/>
  <c r="G14" i="27"/>
  <c r="G13" i="27"/>
  <c r="G12" i="27"/>
  <c r="C60" i="22" s="1"/>
  <c r="G11" i="27"/>
  <c r="C59" i="22" s="1"/>
  <c r="G10" i="27"/>
  <c r="C58" i="22" s="1"/>
  <c r="G9" i="27"/>
  <c r="C57" i="22" s="1"/>
  <c r="E9" i="27"/>
  <c r="E10" i="27" s="1"/>
  <c r="E11" i="27" s="1"/>
  <c r="G8" i="27"/>
  <c r="C56" i="22" s="1"/>
  <c r="A39" i="26"/>
  <c r="A57" i="21"/>
  <c r="A56" i="21"/>
  <c r="A55" i="21"/>
  <c r="A54" i="21"/>
  <c r="AM76" i="34" l="1"/>
  <c r="C64" i="22"/>
  <c r="I16" i="27"/>
  <c r="C72" i="22"/>
  <c r="I24" i="27"/>
  <c r="C80" i="22"/>
  <c r="E80" i="22" s="1"/>
  <c r="I32" i="27"/>
  <c r="C89" i="22"/>
  <c r="I41" i="27"/>
  <c r="C65" i="22"/>
  <c r="E65" i="22" s="1"/>
  <c r="I17" i="27"/>
  <c r="C73" i="22"/>
  <c r="E73" i="22" s="1"/>
  <c r="I25" i="27"/>
  <c r="C81" i="22"/>
  <c r="E81" i="22" s="1"/>
  <c r="I33" i="27"/>
  <c r="C90" i="22"/>
  <c r="I42" i="27"/>
  <c r="C74" i="22"/>
  <c r="E74" i="22" s="1"/>
  <c r="I26" i="27"/>
  <c r="C91" i="22"/>
  <c r="I43" i="27"/>
  <c r="C84" i="22"/>
  <c r="I36" i="27"/>
  <c r="C68" i="22"/>
  <c r="E68" i="22" s="1"/>
  <c r="I20" i="27"/>
  <c r="C76" i="22"/>
  <c r="E76" i="22" s="1"/>
  <c r="I28" i="27"/>
  <c r="C85" i="22"/>
  <c r="I37" i="27"/>
  <c r="C61" i="22"/>
  <c r="E61" i="22" s="1"/>
  <c r="I13" i="27"/>
  <c r="C69" i="22"/>
  <c r="E69" i="22" s="1"/>
  <c r="I21" i="27"/>
  <c r="C77" i="22"/>
  <c r="E77" i="22" s="1"/>
  <c r="I29" i="27"/>
  <c r="C62" i="22"/>
  <c r="E62" i="22" s="1"/>
  <c r="I14" i="27"/>
  <c r="C70" i="22"/>
  <c r="E70" i="22" s="1"/>
  <c r="I22" i="27"/>
  <c r="C87" i="22"/>
  <c r="I39" i="27"/>
  <c r="C63" i="22"/>
  <c r="E63" i="22" s="1"/>
  <c r="I15" i="27"/>
  <c r="C88" i="22"/>
  <c r="I40" i="27"/>
  <c r="B15" i="22"/>
  <c r="B58" i="22" s="1"/>
  <c r="B100" i="22" s="1"/>
  <c r="E58" i="22"/>
  <c r="E59" i="22"/>
  <c r="E82" i="22"/>
  <c r="E60" i="22"/>
  <c r="E85" i="33"/>
  <c r="F86" i="33"/>
  <c r="E62" i="33"/>
  <c r="F63" i="33"/>
  <c r="X35" i="33"/>
  <c r="Y36" i="33"/>
  <c r="X13" i="33"/>
  <c r="Y14" i="33"/>
  <c r="E12" i="27"/>
  <c r="B16" i="22"/>
  <c r="B59" i="22" s="1"/>
  <c r="B101" i="22" s="1"/>
  <c r="B14" i="22"/>
  <c r="B57" i="22" s="1"/>
  <c r="B99" i="22" s="1"/>
  <c r="AX71" i="34"/>
  <c r="AX76" i="34" s="1"/>
  <c r="BE71" i="34"/>
  <c r="BE76" i="34" s="1"/>
  <c r="AR71" i="34"/>
  <c r="BW71" i="34"/>
  <c r="BW76" i="34" s="1"/>
  <c r="BY71" i="34"/>
  <c r="AU71" i="34"/>
  <c r="CC71" i="34"/>
  <c r="CC76" i="34" s="1"/>
  <c r="E91" i="22"/>
  <c r="E88" i="22"/>
  <c r="C79" i="22"/>
  <c r="E79" i="22" s="1"/>
  <c r="BQ71" i="34"/>
  <c r="BQ76" i="34" s="1"/>
  <c r="BM76" i="34"/>
  <c r="BX71" i="34"/>
  <c r="C78" i="22"/>
  <c r="E78" i="22" s="1"/>
  <c r="C71" i="22"/>
  <c r="E71" i="22" s="1"/>
  <c r="AQ71" i="34"/>
  <c r="AQ76" i="34" s="1"/>
  <c r="AL76" i="34"/>
  <c r="BN71" i="34"/>
  <c r="BN76" i="34" s="1"/>
  <c r="BF71" i="34"/>
  <c r="BS71" i="34"/>
  <c r="BS76" i="34" s="1"/>
  <c r="BR71" i="34"/>
  <c r="BR76" i="34" s="1"/>
  <c r="BX76" i="34"/>
  <c r="AW71" i="34"/>
  <c r="AW76" i="34" s="1"/>
  <c r="AP71" i="34"/>
  <c r="AS71" i="34"/>
  <c r="AS76" i="34" s="1"/>
  <c r="BG71" i="34"/>
  <c r="BG76" i="34" s="1"/>
  <c r="BZ71" i="34"/>
  <c r="BZ76" i="34" s="1"/>
  <c r="AT71" i="34"/>
  <c r="AZ71" i="34"/>
  <c r="AZ76" i="34" s="1"/>
  <c r="BD71" i="34"/>
  <c r="BD76" i="34" s="1"/>
  <c r="BY76" i="34"/>
  <c r="AU76" i="34"/>
  <c r="BB71" i="34"/>
  <c r="BB76" i="34" s="1"/>
  <c r="AT76" i="34"/>
  <c r="BH71" i="34"/>
  <c r="BH76" i="34" s="1"/>
  <c r="BJ71" i="34"/>
  <c r="BJ76" i="34" s="1"/>
  <c r="BO71" i="34"/>
  <c r="BO76" i="34" s="1"/>
  <c r="BU71" i="34"/>
  <c r="BU76" i="34" s="1"/>
  <c r="BF76" i="34"/>
  <c r="CA71" i="34"/>
  <c r="CA76" i="34" s="1"/>
  <c r="CB76" i="34"/>
  <c r="BV71" i="34"/>
  <c r="BV76" i="34" s="1"/>
  <c r="AO76" i="34"/>
  <c r="AV71" i="34"/>
  <c r="AV76" i="34" s="1"/>
  <c r="BA71" i="34"/>
  <c r="BA76" i="34" s="1"/>
  <c r="AR76" i="34"/>
  <c r="AK76" i="34"/>
  <c r="BC71" i="34"/>
  <c r="BC76" i="34" s="1"/>
  <c r="AY71" i="34"/>
  <c r="BP71" i="34"/>
  <c r="BP76" i="34" s="1"/>
  <c r="BI71" i="34"/>
  <c r="BI76" i="34" s="1"/>
  <c r="BT71" i="34"/>
  <c r="BT76" i="34" s="1"/>
  <c r="AY76" i="34"/>
  <c r="BK71" i="34"/>
  <c r="BK76" i="34" s="1"/>
  <c r="C75" i="22"/>
  <c r="E75" i="22" s="1"/>
  <c r="C86" i="22"/>
  <c r="C66" i="22"/>
  <c r="E66" i="22" s="1"/>
  <c r="E57" i="22"/>
  <c r="E56" i="22"/>
  <c r="E72" i="22"/>
  <c r="E64" i="22"/>
  <c r="C83" i="22"/>
  <c r="C67" i="22"/>
  <c r="E67" i="22" s="1"/>
  <c r="C92" i="22"/>
  <c r="H13" i="22"/>
  <c r="E89" i="22" l="1"/>
  <c r="E85" i="22"/>
  <c r="E84" i="22"/>
  <c r="E87" i="22"/>
  <c r="E92" i="22"/>
  <c r="E83" i="22"/>
  <c r="F87" i="33"/>
  <c r="E86" i="33"/>
  <c r="F64" i="33"/>
  <c r="E63" i="33"/>
  <c r="Y37" i="33"/>
  <c r="X36" i="33"/>
  <c r="Y15" i="33"/>
  <c r="X14" i="33"/>
  <c r="E90" i="22"/>
  <c r="E13" i="27"/>
  <c r="B17" i="22"/>
  <c r="B60" i="22" s="1"/>
  <c r="B102" i="22" s="1"/>
  <c r="E86" i="22"/>
  <c r="D98" i="22"/>
  <c r="E87" i="33" l="1"/>
  <c r="F88" i="33"/>
  <c r="E64" i="33"/>
  <c r="F65" i="33"/>
  <c r="Y38" i="33"/>
  <c r="X37" i="33"/>
  <c r="Y16" i="33"/>
  <c r="X15" i="33"/>
  <c r="E14" i="27"/>
  <c r="B18" i="22"/>
  <c r="B61" i="22" s="1"/>
  <c r="B103" i="22" s="1"/>
  <c r="J92" i="33"/>
  <c r="I92" i="33"/>
  <c r="J91" i="33"/>
  <c r="I91" i="33"/>
  <c r="J90" i="33"/>
  <c r="I90" i="33"/>
  <c r="J89" i="33"/>
  <c r="I89" i="33"/>
  <c r="J88" i="33"/>
  <c r="I88" i="33"/>
  <c r="J87" i="33"/>
  <c r="I87" i="33"/>
  <c r="J86" i="33"/>
  <c r="I86" i="33"/>
  <c r="J85" i="33"/>
  <c r="I85" i="33"/>
  <c r="J84" i="33"/>
  <c r="I84" i="33"/>
  <c r="J83" i="33"/>
  <c r="I83" i="33"/>
  <c r="J82" i="33"/>
  <c r="I82" i="33"/>
  <c r="J81" i="33"/>
  <c r="I81" i="33"/>
  <c r="J80" i="33"/>
  <c r="I80" i="33"/>
  <c r="J79" i="33"/>
  <c r="I79" i="33"/>
  <c r="J78" i="33"/>
  <c r="I78" i="33"/>
  <c r="J77" i="33"/>
  <c r="I77" i="33"/>
  <c r="J76" i="33"/>
  <c r="I76" i="33"/>
  <c r="J75" i="33"/>
  <c r="I75" i="33"/>
  <c r="J74" i="33"/>
  <c r="I74" i="33"/>
  <c r="J73" i="33"/>
  <c r="I73" i="33"/>
  <c r="J72" i="33"/>
  <c r="I72" i="33"/>
  <c r="J71" i="33"/>
  <c r="I71" i="33"/>
  <c r="J70" i="33"/>
  <c r="I70" i="33"/>
  <c r="J69" i="33"/>
  <c r="I69" i="33"/>
  <c r="J68" i="33"/>
  <c r="I68" i="33"/>
  <c r="J67" i="33"/>
  <c r="I67" i="33"/>
  <c r="J66" i="33"/>
  <c r="I66" i="33"/>
  <c r="J65" i="33"/>
  <c r="I65" i="33"/>
  <c r="J64" i="33"/>
  <c r="I64" i="33"/>
  <c r="J63" i="33"/>
  <c r="I63" i="33"/>
  <c r="J62" i="33"/>
  <c r="I62" i="33"/>
  <c r="J61" i="33"/>
  <c r="I61" i="33"/>
  <c r="J60" i="33"/>
  <c r="I60" i="33"/>
  <c r="J59" i="33"/>
  <c r="I59" i="33"/>
  <c r="J58" i="33"/>
  <c r="I58" i="33"/>
  <c r="J57" i="33"/>
  <c r="I57" i="33"/>
  <c r="J56" i="33"/>
  <c r="I56" i="33"/>
  <c r="J55" i="33"/>
  <c r="I55" i="33"/>
  <c r="J54" i="33"/>
  <c r="I54" i="33"/>
  <c r="D54" i="33"/>
  <c r="D55" i="33" s="1"/>
  <c r="F89" i="33" l="1"/>
  <c r="E88" i="33"/>
  <c r="E65" i="33"/>
  <c r="F66" i="33"/>
  <c r="X38" i="33"/>
  <c r="Y39" i="33"/>
  <c r="Y17" i="33"/>
  <c r="X16" i="33"/>
  <c r="E15" i="27"/>
  <c r="B19" i="22"/>
  <c r="B62" i="22" s="1"/>
  <c r="B104" i="22" s="1"/>
  <c r="D56" i="33"/>
  <c r="D57" i="33" s="1"/>
  <c r="AC43" i="33"/>
  <c r="AB43" i="33"/>
  <c r="AC42" i="33"/>
  <c r="AB42" i="33"/>
  <c r="AC41" i="33"/>
  <c r="AB41" i="33"/>
  <c r="AC40" i="33"/>
  <c r="AB40" i="33"/>
  <c r="AC39" i="33"/>
  <c r="AB39" i="33"/>
  <c r="AC38" i="33"/>
  <c r="AB38" i="33"/>
  <c r="AC37" i="33"/>
  <c r="AB37" i="33"/>
  <c r="AC36" i="33"/>
  <c r="AB36" i="33"/>
  <c r="AC35" i="33"/>
  <c r="AB35" i="33"/>
  <c r="AC34" i="33"/>
  <c r="AB34" i="33"/>
  <c r="AC33" i="33"/>
  <c r="AB33" i="33"/>
  <c r="AC32" i="33"/>
  <c r="AB32" i="33"/>
  <c r="AC31" i="33"/>
  <c r="AB31" i="33"/>
  <c r="AC30" i="33"/>
  <c r="AB30" i="33"/>
  <c r="AC29" i="33"/>
  <c r="AB29" i="33"/>
  <c r="AC28" i="33"/>
  <c r="AB28" i="33"/>
  <c r="AC27" i="33"/>
  <c r="AB27" i="33"/>
  <c r="AC26" i="33"/>
  <c r="AB26" i="33"/>
  <c r="AC25" i="33"/>
  <c r="AB25" i="33"/>
  <c r="AC24" i="33"/>
  <c r="AB24" i="33"/>
  <c r="AC23" i="33"/>
  <c r="AB23" i="33"/>
  <c r="AC22" i="33"/>
  <c r="AB22" i="33"/>
  <c r="AC21" i="33"/>
  <c r="AB21" i="33"/>
  <c r="AC20" i="33"/>
  <c r="AB20" i="33"/>
  <c r="AC19" i="33"/>
  <c r="AB19" i="33"/>
  <c r="AC18" i="33"/>
  <c r="AB18" i="33"/>
  <c r="AC17" i="33"/>
  <c r="AB17" i="33"/>
  <c r="AC16" i="33"/>
  <c r="AB16" i="33"/>
  <c r="AC15" i="33"/>
  <c r="AB15" i="33"/>
  <c r="AC14" i="33"/>
  <c r="AB14" i="33"/>
  <c r="AC13" i="33"/>
  <c r="AB13" i="33"/>
  <c r="AC12" i="33"/>
  <c r="AB12" i="33"/>
  <c r="AC11" i="33"/>
  <c r="AB11" i="33"/>
  <c r="AC10" i="33"/>
  <c r="AB10" i="33"/>
  <c r="AC9" i="33"/>
  <c r="AB9" i="33"/>
  <c r="AC8" i="33"/>
  <c r="AB8" i="33"/>
  <c r="AC7" i="33"/>
  <c r="AB7" i="33"/>
  <c r="AC6" i="33"/>
  <c r="AB6" i="33"/>
  <c r="AC5" i="33"/>
  <c r="AB5" i="33"/>
  <c r="J43" i="33"/>
  <c r="I43" i="33"/>
  <c r="J42" i="33"/>
  <c r="I42" i="33"/>
  <c r="J41" i="33"/>
  <c r="I41" i="33"/>
  <c r="J40" i="33"/>
  <c r="I40" i="33"/>
  <c r="J39" i="33"/>
  <c r="I39" i="33"/>
  <c r="J38" i="33"/>
  <c r="I38" i="33"/>
  <c r="J37" i="33"/>
  <c r="I37" i="33"/>
  <c r="J36" i="33"/>
  <c r="I36" i="33"/>
  <c r="J35" i="33"/>
  <c r="I35" i="33"/>
  <c r="J34" i="33"/>
  <c r="I34" i="33"/>
  <c r="J33" i="33"/>
  <c r="I33" i="33"/>
  <c r="J32" i="33"/>
  <c r="I32" i="33"/>
  <c r="J31" i="33"/>
  <c r="I31" i="33"/>
  <c r="J30" i="33"/>
  <c r="I30" i="33"/>
  <c r="J29" i="33"/>
  <c r="I29" i="33"/>
  <c r="J28" i="33"/>
  <c r="I28" i="33"/>
  <c r="J27" i="33"/>
  <c r="I27" i="33"/>
  <c r="J26" i="33"/>
  <c r="I26" i="33"/>
  <c r="J25" i="33"/>
  <c r="I25" i="33"/>
  <c r="J24" i="33"/>
  <c r="I24" i="33"/>
  <c r="J23" i="33"/>
  <c r="I23" i="33"/>
  <c r="J22" i="33"/>
  <c r="I22" i="33"/>
  <c r="J21" i="33"/>
  <c r="I21" i="33"/>
  <c r="J20" i="33"/>
  <c r="I20" i="33"/>
  <c r="J19" i="33"/>
  <c r="I19" i="33"/>
  <c r="J18" i="33"/>
  <c r="I18" i="33"/>
  <c r="J17" i="33"/>
  <c r="I17" i="33"/>
  <c r="J16" i="33"/>
  <c r="I16" i="33"/>
  <c r="J15" i="33"/>
  <c r="I15" i="33"/>
  <c r="J14" i="33"/>
  <c r="I14" i="33"/>
  <c r="J13" i="33"/>
  <c r="I13" i="33"/>
  <c r="J12" i="33"/>
  <c r="I12" i="33"/>
  <c r="J11" i="33"/>
  <c r="I11" i="33"/>
  <c r="J10" i="33"/>
  <c r="I10" i="33"/>
  <c r="J9" i="33"/>
  <c r="I9" i="33"/>
  <c r="J8" i="33"/>
  <c r="I8" i="33"/>
  <c r="J7" i="33"/>
  <c r="I7" i="33"/>
  <c r="J6" i="33"/>
  <c r="I6" i="33"/>
  <c r="J5" i="33"/>
  <c r="I5" i="33"/>
  <c r="W5" i="33"/>
  <c r="W6" i="33" s="1"/>
  <c r="D5" i="33"/>
  <c r="F90" i="33" l="1"/>
  <c r="E89" i="33"/>
  <c r="F67" i="33"/>
  <c r="E66" i="33"/>
  <c r="Y40" i="33"/>
  <c r="X39" i="33"/>
  <c r="Y18" i="33"/>
  <c r="X17" i="33"/>
  <c r="E16" i="27"/>
  <c r="B20" i="22"/>
  <c r="B63" i="22" s="1"/>
  <c r="B105" i="22" s="1"/>
  <c r="D58" i="33"/>
  <c r="W7" i="33"/>
  <c r="B73" i="32"/>
  <c r="B76" i="32" s="1"/>
  <c r="F91" i="33" l="1"/>
  <c r="E90" i="33"/>
  <c r="E67" i="33"/>
  <c r="F68" i="33"/>
  <c r="Y41" i="33"/>
  <c r="X40" i="33"/>
  <c r="X18" i="33"/>
  <c r="Y19" i="33"/>
  <c r="E17" i="27"/>
  <c r="B21" i="22"/>
  <c r="B64" i="22" s="1"/>
  <c r="B106" i="22" s="1"/>
  <c r="D59" i="33"/>
  <c r="W8" i="33"/>
  <c r="D7" i="33"/>
  <c r="F92" i="33" l="1"/>
  <c r="E92" i="33" s="1"/>
  <c r="E91" i="33"/>
  <c r="E68" i="33"/>
  <c r="F69" i="33"/>
  <c r="Y42" i="33"/>
  <c r="X41" i="33"/>
  <c r="X19" i="33"/>
  <c r="Y20" i="33"/>
  <c r="E18" i="27"/>
  <c r="B22" i="22"/>
  <c r="B65" i="22" s="1"/>
  <c r="B107" i="22" s="1"/>
  <c r="D60" i="33"/>
  <c r="W9" i="33"/>
  <c r="D8" i="33"/>
  <c r="B8" i="12"/>
  <c r="E69" i="33" l="1"/>
  <c r="F70" i="33"/>
  <c r="X42" i="33"/>
  <c r="Y43" i="33"/>
  <c r="X43" i="33" s="1"/>
  <c r="X20" i="33"/>
  <c r="Y21" i="33"/>
  <c r="E19" i="27"/>
  <c r="B23" i="22"/>
  <c r="B66" i="22" s="1"/>
  <c r="B108" i="22" s="1"/>
  <c r="D61" i="33"/>
  <c r="W10" i="33"/>
  <c r="D9" i="33"/>
  <c r="E70" i="33" l="1"/>
  <c r="F71" i="33"/>
  <c r="X21" i="33"/>
  <c r="Y22" i="33"/>
  <c r="E20" i="27"/>
  <c r="B24" i="22"/>
  <c r="B67" i="22" s="1"/>
  <c r="B109" i="22" s="1"/>
  <c r="D62" i="33"/>
  <c r="W11" i="33"/>
  <c r="D10" i="33"/>
  <c r="B42" i="32"/>
  <c r="B44" i="32" s="1"/>
  <c r="B46" i="32" s="1"/>
  <c r="D41" i="32" s="1"/>
  <c r="F72" i="33" l="1"/>
  <c r="E71" i="33"/>
  <c r="Y23" i="33"/>
  <c r="X22" i="33"/>
  <c r="E21" i="27"/>
  <c r="B25" i="22"/>
  <c r="B68" i="22" s="1"/>
  <c r="B110" i="22" s="1"/>
  <c r="D63" i="33"/>
  <c r="W12" i="33"/>
  <c r="D11" i="33"/>
  <c r="C4" i="32"/>
  <c r="E72" i="33" l="1"/>
  <c r="F73" i="33"/>
  <c r="X23" i="33"/>
  <c r="Y24" i="33"/>
  <c r="E22" i="27"/>
  <c r="B26" i="22"/>
  <c r="B69" i="22" s="1"/>
  <c r="B111" i="22" s="1"/>
  <c r="D64" i="33"/>
  <c r="W13" i="33"/>
  <c r="D12" i="33"/>
  <c r="A40" i="26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E73" i="33" l="1"/>
  <c r="F74" i="33"/>
  <c r="Y25" i="33"/>
  <c r="X24" i="33"/>
  <c r="E23" i="27"/>
  <c r="B27" i="22"/>
  <c r="B70" i="22" s="1"/>
  <c r="B112" i="22" s="1"/>
  <c r="D65" i="33"/>
  <c r="W14" i="33"/>
  <c r="D13" i="33"/>
  <c r="C14" i="26"/>
  <c r="B14" i="26"/>
  <c r="B18" i="26"/>
  <c r="E74" i="33" l="1"/>
  <c r="F75" i="33"/>
  <c r="Y26" i="33"/>
  <c r="X25" i="33"/>
  <c r="E24" i="27"/>
  <c r="B28" i="22"/>
  <c r="B71" i="22" s="1"/>
  <c r="B113" i="22" s="1"/>
  <c r="D66" i="33"/>
  <c r="W15" i="33"/>
  <c r="D14" i="33"/>
  <c r="Q6" i="21"/>
  <c r="Q5" i="21"/>
  <c r="Q4" i="21"/>
  <c r="Q3" i="21"/>
  <c r="F76" i="33" l="1"/>
  <c r="E75" i="33"/>
  <c r="X26" i="33"/>
  <c r="Y27" i="33"/>
  <c r="E25" i="27"/>
  <c r="B29" i="22"/>
  <c r="B72" i="22" s="1"/>
  <c r="B114" i="22" s="1"/>
  <c r="D67" i="33"/>
  <c r="W16" i="33"/>
  <c r="D15" i="33"/>
  <c r="Q7" i="21"/>
  <c r="A82" i="26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B16" i="26"/>
  <c r="B27" i="26"/>
  <c r="C4" i="26"/>
  <c r="Q15" i="31"/>
  <c r="Q16" i="31" s="1"/>
  <c r="K15" i="31"/>
  <c r="K16" i="31" s="1"/>
  <c r="H15" i="31"/>
  <c r="H16" i="31" s="1"/>
  <c r="E15" i="31"/>
  <c r="E16" i="31" s="1"/>
  <c r="C15" i="31"/>
  <c r="B15" i="31"/>
  <c r="E12" i="31"/>
  <c r="E11" i="31" s="1"/>
  <c r="H12" i="31"/>
  <c r="H11" i="31" s="1"/>
  <c r="K12" i="31"/>
  <c r="K11" i="31" s="1"/>
  <c r="Q12" i="31"/>
  <c r="Q11" i="31" s="1"/>
  <c r="F77" i="33" l="1"/>
  <c r="F78" i="33" s="1"/>
  <c r="E76" i="33"/>
  <c r="Y28" i="33"/>
  <c r="X27" i="33"/>
  <c r="E26" i="27"/>
  <c r="B30" i="22"/>
  <c r="B73" i="22" s="1"/>
  <c r="B115" i="22" s="1"/>
  <c r="B19" i="26"/>
  <c r="D68" i="33"/>
  <c r="W17" i="33"/>
  <c r="D16" i="33"/>
  <c r="E77" i="33" l="1"/>
  <c r="E78" i="33"/>
  <c r="X28" i="33"/>
  <c r="Y29" i="33"/>
  <c r="X29" i="33" s="1"/>
  <c r="E27" i="27"/>
  <c r="B31" i="22"/>
  <c r="B74" i="22" s="1"/>
  <c r="B116" i="22" s="1"/>
  <c r="D69" i="33"/>
  <c r="W18" i="33"/>
  <c r="D17" i="33"/>
  <c r="N175" i="32"/>
  <c r="B223" i="32" s="1"/>
  <c r="I175" i="32"/>
  <c r="F77" i="26" s="1"/>
  <c r="C175" i="32"/>
  <c r="L44" i="32"/>
  <c r="C126" i="32"/>
  <c r="E77" i="26" s="1"/>
  <c r="E28" i="27" l="1"/>
  <c r="B32" i="22"/>
  <c r="B75" i="22" s="1"/>
  <c r="B117" i="22" s="1"/>
  <c r="D70" i="33"/>
  <c r="W19" i="33"/>
  <c r="D18" i="33"/>
  <c r="D126" i="32"/>
  <c r="E126" i="32" s="1"/>
  <c r="D175" i="32"/>
  <c r="E175" i="32" s="1"/>
  <c r="Q102" i="21"/>
  <c r="G77" i="26"/>
  <c r="O175" i="32"/>
  <c r="C223" i="32" s="1"/>
  <c r="J175" i="32"/>
  <c r="E29" i="27" l="1"/>
  <c r="B33" i="22"/>
  <c r="B76" i="22" s="1"/>
  <c r="B118" i="22" s="1"/>
  <c r="N74" i="32"/>
  <c r="P36" i="32"/>
  <c r="D71" i="33"/>
  <c r="W20" i="33"/>
  <c r="D19" i="33"/>
  <c r="K175" i="32"/>
  <c r="Q175" i="32" s="1"/>
  <c r="E223" i="32" s="1"/>
  <c r="L223" i="32" s="1"/>
  <c r="P175" i="32"/>
  <c r="M74" i="32"/>
  <c r="L7" i="32"/>
  <c r="C125" i="32"/>
  <c r="E76" i="26" s="1"/>
  <c r="C124" i="32"/>
  <c r="E75" i="26" s="1"/>
  <c r="C123" i="32"/>
  <c r="E74" i="26" s="1"/>
  <c r="C122" i="32"/>
  <c r="E73" i="26" s="1"/>
  <c r="C121" i="32"/>
  <c r="E72" i="26" s="1"/>
  <c r="C120" i="32"/>
  <c r="E71" i="26" s="1"/>
  <c r="C119" i="32"/>
  <c r="E70" i="26" s="1"/>
  <c r="C118" i="32"/>
  <c r="E69" i="26" s="1"/>
  <c r="C117" i="32"/>
  <c r="E68" i="26" s="1"/>
  <c r="C116" i="32"/>
  <c r="E67" i="26" s="1"/>
  <c r="C115" i="32"/>
  <c r="E66" i="26" s="1"/>
  <c r="C114" i="32"/>
  <c r="E65" i="26" s="1"/>
  <c r="C113" i="32"/>
  <c r="E64" i="26" s="1"/>
  <c r="C112" i="32"/>
  <c r="E63" i="26" s="1"/>
  <c r="C111" i="32"/>
  <c r="E62" i="26" s="1"/>
  <c r="C110" i="32"/>
  <c r="E61" i="26" s="1"/>
  <c r="C109" i="32"/>
  <c r="E60" i="26" s="1"/>
  <c r="C108" i="32"/>
  <c r="E59" i="26" s="1"/>
  <c r="C107" i="32"/>
  <c r="E58" i="26" s="1"/>
  <c r="C106" i="32"/>
  <c r="E57" i="26" s="1"/>
  <c r="C105" i="32"/>
  <c r="E56" i="26" s="1"/>
  <c r="C104" i="32"/>
  <c r="E55" i="26" s="1"/>
  <c r="C103" i="32"/>
  <c r="E54" i="26" s="1"/>
  <c r="C102" i="32"/>
  <c r="E53" i="26" s="1"/>
  <c r="C101" i="32"/>
  <c r="E52" i="26" s="1"/>
  <c r="C100" i="32"/>
  <c r="E51" i="26" s="1"/>
  <c r="C99" i="32"/>
  <c r="E50" i="26" s="1"/>
  <c r="C98" i="32"/>
  <c r="E49" i="26" s="1"/>
  <c r="C97" i="32"/>
  <c r="E48" i="26" s="1"/>
  <c r="C96" i="32"/>
  <c r="E47" i="26" s="1"/>
  <c r="C95" i="32"/>
  <c r="E46" i="26" s="1"/>
  <c r="C94" i="32"/>
  <c r="E45" i="26" s="1"/>
  <c r="C93" i="32"/>
  <c r="E44" i="26" s="1"/>
  <c r="C92" i="32"/>
  <c r="E43" i="26" s="1"/>
  <c r="C91" i="32"/>
  <c r="E42" i="26" s="1"/>
  <c r="C90" i="32"/>
  <c r="E41" i="26" s="1"/>
  <c r="C89" i="32"/>
  <c r="E40" i="26" s="1"/>
  <c r="C88" i="32"/>
  <c r="E39" i="26" s="1"/>
  <c r="N174" i="32"/>
  <c r="B222" i="32" s="1"/>
  <c r="I174" i="32"/>
  <c r="F76" i="26" s="1"/>
  <c r="C174" i="32"/>
  <c r="N173" i="32"/>
  <c r="B221" i="32" s="1"/>
  <c r="I173" i="32"/>
  <c r="F75" i="26" s="1"/>
  <c r="C173" i="32"/>
  <c r="N172" i="32"/>
  <c r="B220" i="32" s="1"/>
  <c r="I172" i="32"/>
  <c r="F74" i="26" s="1"/>
  <c r="C172" i="32"/>
  <c r="N171" i="32"/>
  <c r="B219" i="32" s="1"/>
  <c r="I171" i="32"/>
  <c r="F73" i="26" s="1"/>
  <c r="C171" i="32"/>
  <c r="N170" i="32"/>
  <c r="B218" i="32" s="1"/>
  <c r="I170" i="32"/>
  <c r="F72" i="26" s="1"/>
  <c r="C170" i="32"/>
  <c r="N169" i="32"/>
  <c r="B217" i="32" s="1"/>
  <c r="I169" i="32"/>
  <c r="F71" i="26" s="1"/>
  <c r="C169" i="32"/>
  <c r="N168" i="32"/>
  <c r="B216" i="32" s="1"/>
  <c r="I168" i="32"/>
  <c r="F70" i="26" s="1"/>
  <c r="C168" i="32"/>
  <c r="N167" i="32"/>
  <c r="B215" i="32" s="1"/>
  <c r="I167" i="32"/>
  <c r="F69" i="26" s="1"/>
  <c r="C167" i="32"/>
  <c r="N166" i="32"/>
  <c r="B214" i="32" s="1"/>
  <c r="I166" i="32"/>
  <c r="F68" i="26" s="1"/>
  <c r="C166" i="32"/>
  <c r="N165" i="32"/>
  <c r="B213" i="32" s="1"/>
  <c r="I165" i="32"/>
  <c r="F67" i="26" s="1"/>
  <c r="C165" i="32"/>
  <c r="N164" i="32"/>
  <c r="B212" i="32" s="1"/>
  <c r="I164" i="32"/>
  <c r="F66" i="26" s="1"/>
  <c r="C164" i="32"/>
  <c r="N163" i="32"/>
  <c r="B211" i="32" s="1"/>
  <c r="I163" i="32"/>
  <c r="F65" i="26" s="1"/>
  <c r="C163" i="32"/>
  <c r="N162" i="32"/>
  <c r="B210" i="32" s="1"/>
  <c r="I162" i="32"/>
  <c r="F64" i="26" s="1"/>
  <c r="C162" i="32"/>
  <c r="N161" i="32"/>
  <c r="B209" i="32" s="1"/>
  <c r="I161" i="32"/>
  <c r="F63" i="26" s="1"/>
  <c r="C161" i="32"/>
  <c r="N160" i="32"/>
  <c r="B208" i="32" s="1"/>
  <c r="I160" i="32"/>
  <c r="F62" i="26" s="1"/>
  <c r="C160" i="32"/>
  <c r="N159" i="32"/>
  <c r="B207" i="32" s="1"/>
  <c r="I159" i="32"/>
  <c r="F61" i="26" s="1"/>
  <c r="C159" i="32"/>
  <c r="N158" i="32"/>
  <c r="B206" i="32" s="1"/>
  <c r="I158" i="32"/>
  <c r="F60" i="26" s="1"/>
  <c r="C158" i="32"/>
  <c r="N157" i="32"/>
  <c r="B205" i="32" s="1"/>
  <c r="I157" i="32"/>
  <c r="F59" i="26" s="1"/>
  <c r="C157" i="32"/>
  <c r="N156" i="32"/>
  <c r="B204" i="32" s="1"/>
  <c r="I156" i="32"/>
  <c r="F58" i="26" s="1"/>
  <c r="C156" i="32"/>
  <c r="N155" i="32"/>
  <c r="B203" i="32" s="1"/>
  <c r="I155" i="32"/>
  <c r="F57" i="26" s="1"/>
  <c r="C155" i="32"/>
  <c r="N154" i="32"/>
  <c r="B202" i="32" s="1"/>
  <c r="I154" i="32"/>
  <c r="F56" i="26" s="1"/>
  <c r="C154" i="32"/>
  <c r="N153" i="32"/>
  <c r="B201" i="32" s="1"/>
  <c r="I153" i="32"/>
  <c r="F55" i="26" s="1"/>
  <c r="C153" i="32"/>
  <c r="N152" i="32"/>
  <c r="B200" i="32" s="1"/>
  <c r="I152" i="32"/>
  <c r="F54" i="26" s="1"/>
  <c r="C152" i="32"/>
  <c r="N151" i="32"/>
  <c r="B199" i="32" s="1"/>
  <c r="I151" i="32"/>
  <c r="F53" i="26" s="1"/>
  <c r="C151" i="32"/>
  <c r="N150" i="32"/>
  <c r="B198" i="32" s="1"/>
  <c r="I150" i="32"/>
  <c r="F52" i="26" s="1"/>
  <c r="C150" i="32"/>
  <c r="N149" i="32"/>
  <c r="B197" i="32" s="1"/>
  <c r="I149" i="32"/>
  <c r="F51" i="26" s="1"/>
  <c r="C149" i="32"/>
  <c r="N148" i="32"/>
  <c r="B196" i="32" s="1"/>
  <c r="I148" i="32"/>
  <c r="F50" i="26" s="1"/>
  <c r="C148" i="32"/>
  <c r="N147" i="32"/>
  <c r="B195" i="32" s="1"/>
  <c r="I147" i="32"/>
  <c r="F49" i="26" s="1"/>
  <c r="C147" i="32"/>
  <c r="N146" i="32"/>
  <c r="B194" i="32" s="1"/>
  <c r="I146" i="32"/>
  <c r="F48" i="26" s="1"/>
  <c r="C146" i="32"/>
  <c r="N145" i="32"/>
  <c r="B193" i="32" s="1"/>
  <c r="I145" i="32"/>
  <c r="F47" i="26" s="1"/>
  <c r="C145" i="32"/>
  <c r="N144" i="32"/>
  <c r="B192" i="32" s="1"/>
  <c r="I144" i="32"/>
  <c r="F46" i="26" s="1"/>
  <c r="C144" i="32"/>
  <c r="G46" i="26" s="1"/>
  <c r="N143" i="32"/>
  <c r="B191" i="32" s="1"/>
  <c r="I143" i="32"/>
  <c r="F45" i="26" s="1"/>
  <c r="C143" i="32"/>
  <c r="N142" i="32"/>
  <c r="B190" i="32" s="1"/>
  <c r="I142" i="32"/>
  <c r="F44" i="26" s="1"/>
  <c r="C142" i="32"/>
  <c r="G44" i="26" s="1"/>
  <c r="N141" i="32"/>
  <c r="B189" i="32" s="1"/>
  <c r="I141" i="32"/>
  <c r="F43" i="26" s="1"/>
  <c r="C141" i="32"/>
  <c r="G43" i="26" s="1"/>
  <c r="N140" i="32"/>
  <c r="B188" i="32" s="1"/>
  <c r="I140" i="32"/>
  <c r="F42" i="26" s="1"/>
  <c r="C140" i="32"/>
  <c r="G42" i="26" s="1"/>
  <c r="N139" i="32"/>
  <c r="B187" i="32" s="1"/>
  <c r="I139" i="32"/>
  <c r="F41" i="26" s="1"/>
  <c r="C139" i="32"/>
  <c r="AF138" i="32"/>
  <c r="AE138" i="32"/>
  <c r="AE139" i="32" s="1"/>
  <c r="AG139" i="32" s="1"/>
  <c r="Z138" i="32"/>
  <c r="AB138" i="32" s="1"/>
  <c r="Y138" i="32"/>
  <c r="T138" i="32"/>
  <c r="S138" i="32"/>
  <c r="U138" i="32" s="1"/>
  <c r="N138" i="32"/>
  <c r="B186" i="32" s="1"/>
  <c r="I138" i="32"/>
  <c r="C138" i="32"/>
  <c r="G40" i="26" s="1"/>
  <c r="AL137" i="32"/>
  <c r="AK137" i="32"/>
  <c r="AH137" i="32"/>
  <c r="AG137" i="32"/>
  <c r="AB137" i="32"/>
  <c r="AA137" i="32"/>
  <c r="V137" i="32"/>
  <c r="U137" i="32"/>
  <c r="N137" i="32"/>
  <c r="B185" i="32" s="1"/>
  <c r="I137" i="32"/>
  <c r="C137" i="32"/>
  <c r="G39" i="26" s="1"/>
  <c r="D74" i="32"/>
  <c r="L5" i="33" s="1"/>
  <c r="B58" i="32"/>
  <c r="B60" i="32" s="1"/>
  <c r="D55" i="32" s="1"/>
  <c r="A34" i="32"/>
  <c r="P7" i="21"/>
  <c r="R7" i="21" s="1"/>
  <c r="B41" i="21" s="1"/>
  <c r="D18" i="26"/>
  <c r="D16" i="26"/>
  <c r="B11" i="23"/>
  <c r="D19" i="26" l="1"/>
  <c r="E30" i="27"/>
  <c r="B34" i="22"/>
  <c r="B77" i="22" s="1"/>
  <c r="B119" i="22" s="1"/>
  <c r="AE41" i="33"/>
  <c r="AE37" i="33"/>
  <c r="AE33" i="33"/>
  <c r="AE29" i="33"/>
  <c r="AE25" i="33"/>
  <c r="AE21" i="33"/>
  <c r="AE17" i="33"/>
  <c r="AE13" i="33"/>
  <c r="AE9" i="33"/>
  <c r="AE5" i="33"/>
  <c r="L39" i="33"/>
  <c r="L31" i="33"/>
  <c r="L23" i="33"/>
  <c r="L15" i="33"/>
  <c r="L7" i="33"/>
  <c r="K38" i="33"/>
  <c r="K30" i="33"/>
  <c r="K22" i="33"/>
  <c r="K14" i="33"/>
  <c r="K6" i="33"/>
  <c r="L37" i="33"/>
  <c r="L13" i="33"/>
  <c r="K36" i="33"/>
  <c r="K20" i="33"/>
  <c r="K26" i="33"/>
  <c r="AD35" i="33"/>
  <c r="AD23" i="33"/>
  <c r="AD11" i="33"/>
  <c r="L26" i="33"/>
  <c r="K41" i="33"/>
  <c r="K17" i="33"/>
  <c r="AE34" i="33"/>
  <c r="AE22" i="33"/>
  <c r="AE14" i="33"/>
  <c r="L41" i="33"/>
  <c r="L25" i="33"/>
  <c r="K40" i="33"/>
  <c r="K16" i="33"/>
  <c r="AD38" i="33"/>
  <c r="AD26" i="33"/>
  <c r="AD14" i="33"/>
  <c r="L40" i="33"/>
  <c r="L16" i="33"/>
  <c r="K31" i="33"/>
  <c r="K7" i="33"/>
  <c r="AD41" i="33"/>
  <c r="AD37" i="33"/>
  <c r="AD33" i="33"/>
  <c r="AD29" i="33"/>
  <c r="AD25" i="33"/>
  <c r="AD21" i="33"/>
  <c r="AD17" i="33"/>
  <c r="AD13" i="33"/>
  <c r="AD9" i="33"/>
  <c r="AD5" i="33"/>
  <c r="L38" i="33"/>
  <c r="L30" i="33"/>
  <c r="L22" i="33"/>
  <c r="L14" i="33"/>
  <c r="L6" i="33"/>
  <c r="K37" i="33"/>
  <c r="K29" i="33"/>
  <c r="K21" i="33"/>
  <c r="K13" i="33"/>
  <c r="K5" i="33"/>
  <c r="AE40" i="33"/>
  <c r="AE36" i="33"/>
  <c r="AE32" i="33"/>
  <c r="AE28" i="33"/>
  <c r="AE24" i="33"/>
  <c r="AE20" i="33"/>
  <c r="AE16" i="33"/>
  <c r="AE12" i="33"/>
  <c r="AE8" i="33"/>
  <c r="L29" i="33"/>
  <c r="L21" i="33"/>
  <c r="K28" i="33"/>
  <c r="K12" i="33"/>
  <c r="K18" i="33"/>
  <c r="AD43" i="33"/>
  <c r="AD27" i="33"/>
  <c r="AD15" i="33"/>
  <c r="L42" i="33"/>
  <c r="L18" i="33"/>
  <c r="K33" i="33"/>
  <c r="K9" i="33"/>
  <c r="AE38" i="33"/>
  <c r="AE26" i="33"/>
  <c r="AE10" i="33"/>
  <c r="L33" i="33"/>
  <c r="L17" i="33"/>
  <c r="K32" i="33"/>
  <c r="K8" i="33"/>
  <c r="AD34" i="33"/>
  <c r="AD22" i="33"/>
  <c r="AD10" i="33"/>
  <c r="L32" i="33"/>
  <c r="L8" i="33"/>
  <c r="K23" i="33"/>
  <c r="AD40" i="33"/>
  <c r="AD36" i="33"/>
  <c r="AD32" i="33"/>
  <c r="AD28" i="33"/>
  <c r="AD24" i="33"/>
  <c r="AD20" i="33"/>
  <c r="AD16" i="33"/>
  <c r="AD12" i="33"/>
  <c r="AD8" i="33"/>
  <c r="L36" i="33"/>
  <c r="L28" i="33"/>
  <c r="L20" i="33"/>
  <c r="L12" i="33"/>
  <c r="K43" i="33"/>
  <c r="K35" i="33"/>
  <c r="K27" i="33"/>
  <c r="K19" i="33"/>
  <c r="K11" i="33"/>
  <c r="AE43" i="33"/>
  <c r="AE39" i="33"/>
  <c r="AE35" i="33"/>
  <c r="AE31" i="33"/>
  <c r="AE27" i="33"/>
  <c r="AE23" i="33"/>
  <c r="AE19" i="33"/>
  <c r="AE15" i="33"/>
  <c r="AE11" i="33"/>
  <c r="AE7" i="33"/>
  <c r="L43" i="33"/>
  <c r="L35" i="33"/>
  <c r="L27" i="33"/>
  <c r="L19" i="33"/>
  <c r="L11" i="33"/>
  <c r="K42" i="33"/>
  <c r="K34" i="33"/>
  <c r="K10" i="33"/>
  <c r="AD39" i="33"/>
  <c r="AD31" i="33"/>
  <c r="AD19" i="33"/>
  <c r="AD7" i="33"/>
  <c r="L34" i="33"/>
  <c r="L10" i="33"/>
  <c r="K25" i="33"/>
  <c r="AE42" i="33"/>
  <c r="AE30" i="33"/>
  <c r="AE18" i="33"/>
  <c r="AE6" i="33"/>
  <c r="L9" i="33"/>
  <c r="K24" i="33"/>
  <c r="AD42" i="33"/>
  <c r="AD30" i="33"/>
  <c r="AD18" i="33"/>
  <c r="AD6" i="33"/>
  <c r="L24" i="33"/>
  <c r="K39" i="33"/>
  <c r="K15" i="33"/>
  <c r="O36" i="32"/>
  <c r="D72" i="33"/>
  <c r="W21" i="33"/>
  <c r="D20" i="33"/>
  <c r="Q95" i="21"/>
  <c r="G70" i="26"/>
  <c r="J138" i="32"/>
  <c r="K138" i="32" s="1"/>
  <c r="F40" i="26"/>
  <c r="O147" i="32"/>
  <c r="C195" i="32" s="1"/>
  <c r="Q74" i="21"/>
  <c r="G49" i="26"/>
  <c r="J152" i="32"/>
  <c r="K152" i="32" s="1"/>
  <c r="D155" i="32"/>
  <c r="Q82" i="21"/>
  <c r="G57" i="26"/>
  <c r="D163" i="32"/>
  <c r="Q90" i="21"/>
  <c r="G65" i="26"/>
  <c r="J168" i="32"/>
  <c r="K168" i="32" s="1"/>
  <c r="D171" i="32"/>
  <c r="Q98" i="21"/>
  <c r="G73" i="26"/>
  <c r="Q77" i="21"/>
  <c r="G52" i="26"/>
  <c r="J155" i="32"/>
  <c r="K155" i="32" s="1"/>
  <c r="Q85" i="21"/>
  <c r="G60" i="26"/>
  <c r="Q93" i="21"/>
  <c r="G68" i="26"/>
  <c r="Q101" i="21"/>
  <c r="G76" i="26"/>
  <c r="J141" i="32"/>
  <c r="K141" i="32" s="1"/>
  <c r="Q79" i="21"/>
  <c r="G54" i="26"/>
  <c r="J142" i="32"/>
  <c r="K142" i="32" s="1"/>
  <c r="D153" i="32"/>
  <c r="Q80" i="21"/>
  <c r="G55" i="26"/>
  <c r="D161" i="32"/>
  <c r="Q88" i="21"/>
  <c r="G63" i="26"/>
  <c r="J166" i="32"/>
  <c r="K166" i="32" s="1"/>
  <c r="Q96" i="21"/>
  <c r="G71" i="26"/>
  <c r="J174" i="32"/>
  <c r="K174" i="32" s="1"/>
  <c r="Q72" i="21"/>
  <c r="G47" i="26"/>
  <c r="J150" i="32"/>
  <c r="K150" i="32" s="1"/>
  <c r="J145" i="32"/>
  <c r="K145" i="32" s="1"/>
  <c r="Q75" i="21"/>
  <c r="G50" i="26"/>
  <c r="Q83" i="21"/>
  <c r="G58" i="26"/>
  <c r="Q91" i="21"/>
  <c r="G66" i="26"/>
  <c r="Q99" i="21"/>
  <c r="G74" i="26"/>
  <c r="J149" i="32"/>
  <c r="K149" i="32" s="1"/>
  <c r="J139" i="32"/>
  <c r="K139" i="32" s="1"/>
  <c r="J140" i="32"/>
  <c r="K140" i="32" s="1"/>
  <c r="D151" i="32"/>
  <c r="E151" i="32" s="1"/>
  <c r="Q78" i="21"/>
  <c r="G53" i="26"/>
  <c r="J156" i="32"/>
  <c r="K156" i="32" s="1"/>
  <c r="Q86" i="21"/>
  <c r="G61" i="26"/>
  <c r="J164" i="32"/>
  <c r="K164" i="32" s="1"/>
  <c r="D167" i="32"/>
  <c r="E167" i="32" s="1"/>
  <c r="Q94" i="21"/>
  <c r="G69" i="26"/>
  <c r="J172" i="32"/>
  <c r="K172" i="32" s="1"/>
  <c r="D88" i="32"/>
  <c r="E88" i="32" s="1"/>
  <c r="O74" i="32"/>
  <c r="Q74" i="32" s="1"/>
  <c r="O139" i="32"/>
  <c r="C187" i="32" s="1"/>
  <c r="G41" i="26"/>
  <c r="J137" i="32"/>
  <c r="K137" i="32" s="1"/>
  <c r="F39" i="26"/>
  <c r="J143" i="32"/>
  <c r="K143" i="32" s="1"/>
  <c r="D146" i="32"/>
  <c r="Q73" i="21"/>
  <c r="G48" i="26"/>
  <c r="J151" i="32"/>
  <c r="D154" i="32"/>
  <c r="Q81" i="21"/>
  <c r="G56" i="26"/>
  <c r="J159" i="32"/>
  <c r="K159" i="32" s="1"/>
  <c r="Q89" i="21"/>
  <c r="G64" i="26"/>
  <c r="J167" i="32"/>
  <c r="K167" i="32" s="1"/>
  <c r="Q97" i="21"/>
  <c r="G72" i="26"/>
  <c r="D160" i="32"/>
  <c r="Q87" i="21"/>
  <c r="G62" i="26"/>
  <c r="D143" i="32"/>
  <c r="E143" i="32" s="1"/>
  <c r="G45" i="26"/>
  <c r="J146" i="32"/>
  <c r="K146" i="32" s="1"/>
  <c r="Q76" i="21"/>
  <c r="G51" i="26"/>
  <c r="J154" i="32"/>
  <c r="K154" i="32" s="1"/>
  <c r="Q84" i="21"/>
  <c r="G59" i="26"/>
  <c r="J162" i="32"/>
  <c r="K162" i="32" s="1"/>
  <c r="Q92" i="21"/>
  <c r="G67" i="26"/>
  <c r="J170" i="32"/>
  <c r="K170" i="32" s="1"/>
  <c r="D173" i="32"/>
  <c r="Q100" i="21"/>
  <c r="G75" i="26"/>
  <c r="A41" i="32"/>
  <c r="E41" i="32" s="1"/>
  <c r="E44" i="32" s="1"/>
  <c r="E45" i="32" s="1"/>
  <c r="D49" i="32" s="1"/>
  <c r="P74" i="32"/>
  <c r="R74" i="32" s="1"/>
  <c r="D223" i="32"/>
  <c r="M223" i="32" s="1"/>
  <c r="N223" i="32" s="1"/>
  <c r="O144" i="32"/>
  <c r="C192" i="32" s="1"/>
  <c r="D110" i="32"/>
  <c r="D103" i="32"/>
  <c r="D102" i="32"/>
  <c r="E102" i="32" s="1"/>
  <c r="D104" i="32"/>
  <c r="D112" i="32"/>
  <c r="D120" i="32"/>
  <c r="D95" i="32"/>
  <c r="E95" i="32" s="1"/>
  <c r="D96" i="32"/>
  <c r="D90" i="32"/>
  <c r="D106" i="32"/>
  <c r="D118" i="32"/>
  <c r="D89" i="32"/>
  <c r="D99" i="32"/>
  <c r="D107" i="32"/>
  <c r="D114" i="32"/>
  <c r="D92" i="32"/>
  <c r="D100" i="32"/>
  <c r="D119" i="32"/>
  <c r="D93" i="32"/>
  <c r="L45" i="32"/>
  <c r="L8" i="32"/>
  <c r="O159" i="32"/>
  <c r="C207" i="32" s="1"/>
  <c r="O153" i="32"/>
  <c r="C201" i="32" s="1"/>
  <c r="AG138" i="32"/>
  <c r="O150" i="32"/>
  <c r="C198" i="32" s="1"/>
  <c r="W137" i="32"/>
  <c r="D111" i="32"/>
  <c r="D116" i="32"/>
  <c r="O170" i="32"/>
  <c r="C218" i="32" s="1"/>
  <c r="D98" i="32"/>
  <c r="D108" i="32"/>
  <c r="D91" i="32"/>
  <c r="D117" i="32"/>
  <c r="D94" i="32"/>
  <c r="D97" i="32"/>
  <c r="D101" i="32"/>
  <c r="D109" i="32"/>
  <c r="D125" i="32"/>
  <c r="D124" i="32"/>
  <c r="D115" i="32"/>
  <c r="D123" i="32"/>
  <c r="D122" i="32"/>
  <c r="D105" i="32"/>
  <c r="D113" i="32"/>
  <c r="D121" i="32"/>
  <c r="J153" i="32"/>
  <c r="K153" i="32" s="1"/>
  <c r="A55" i="32"/>
  <c r="E55" i="32" s="1"/>
  <c r="E58" i="32" s="1"/>
  <c r="E59" i="32" s="1"/>
  <c r="D63" i="32" s="1"/>
  <c r="O152" i="32"/>
  <c r="C200" i="32" s="1"/>
  <c r="AK138" i="32"/>
  <c r="O141" i="32"/>
  <c r="C189" i="32" s="1"/>
  <c r="D159" i="32"/>
  <c r="O171" i="32"/>
  <c r="C219" i="32" s="1"/>
  <c r="AI137" i="32"/>
  <c r="D141" i="32"/>
  <c r="P146" i="32"/>
  <c r="O172" i="32"/>
  <c r="C220" i="32" s="1"/>
  <c r="D139" i="32"/>
  <c r="Z139" i="32"/>
  <c r="Z140" i="32" s="1"/>
  <c r="O149" i="32"/>
  <c r="C197" i="32" s="1"/>
  <c r="AN137" i="32"/>
  <c r="D140" i="32"/>
  <c r="O143" i="32"/>
  <c r="C191" i="32" s="1"/>
  <c r="J144" i="32"/>
  <c r="K144" i="32" s="1"/>
  <c r="J147" i="32"/>
  <c r="K147" i="32" s="1"/>
  <c r="D149" i="32"/>
  <c r="D150" i="32"/>
  <c r="J158" i="32"/>
  <c r="K158" i="32" s="1"/>
  <c r="O161" i="32"/>
  <c r="C209" i="32" s="1"/>
  <c r="D172" i="32"/>
  <c r="O142" i="32"/>
  <c r="C190" i="32" s="1"/>
  <c r="O166" i="32"/>
  <c r="C214" i="32" s="1"/>
  <c r="S139" i="32"/>
  <c r="S140" i="32" s="1"/>
  <c r="S141" i="32" s="1"/>
  <c r="AE140" i="32"/>
  <c r="AE141" i="32" s="1"/>
  <c r="D147" i="32"/>
  <c r="D170" i="32"/>
  <c r="AM137" i="32"/>
  <c r="AC137" i="32"/>
  <c r="D137" i="32"/>
  <c r="O137" i="32"/>
  <c r="C185" i="32" s="1"/>
  <c r="J148" i="32"/>
  <c r="K148" i="32" s="1"/>
  <c r="O140" i="32"/>
  <c r="C188" i="32" s="1"/>
  <c r="O148" i="32"/>
  <c r="C196" i="32" s="1"/>
  <c r="A36" i="32"/>
  <c r="O164" i="32"/>
  <c r="C212" i="32" s="1"/>
  <c r="D164" i="32"/>
  <c r="O145" i="32"/>
  <c r="C193" i="32" s="1"/>
  <c r="D145" i="32"/>
  <c r="D158" i="32"/>
  <c r="P19" i="32" s="1"/>
  <c r="O158" i="32"/>
  <c r="C206" i="32" s="1"/>
  <c r="O168" i="32"/>
  <c r="C216" i="32" s="1"/>
  <c r="D168" i="32"/>
  <c r="AF139" i="32"/>
  <c r="AH138" i="32"/>
  <c r="O162" i="32"/>
  <c r="C210" i="32" s="1"/>
  <c r="D162" i="32"/>
  <c r="AL138" i="32"/>
  <c r="T139" i="32"/>
  <c r="V138" i="32"/>
  <c r="O154" i="32"/>
  <c r="C202" i="32" s="1"/>
  <c r="D169" i="32"/>
  <c r="D165" i="32"/>
  <c r="O165" i="32"/>
  <c r="C213" i="32" s="1"/>
  <c r="D138" i="32"/>
  <c r="O138" i="32"/>
  <c r="C186" i="32" s="1"/>
  <c r="AA138" i="32"/>
  <c r="Y139" i="32"/>
  <c r="O146" i="32"/>
  <c r="C194" i="32" s="1"/>
  <c r="E146" i="32"/>
  <c r="O163" i="32"/>
  <c r="C211" i="32" s="1"/>
  <c r="J163" i="32"/>
  <c r="O169" i="32"/>
  <c r="C217" i="32" s="1"/>
  <c r="D157" i="32"/>
  <c r="O157" i="32"/>
  <c r="C205" i="32" s="1"/>
  <c r="D142" i="32"/>
  <c r="O156" i="32"/>
  <c r="C204" i="32" s="1"/>
  <c r="J171" i="32"/>
  <c r="K171" i="32" s="1"/>
  <c r="D148" i="32"/>
  <c r="J161" i="32"/>
  <c r="D166" i="32"/>
  <c r="J173" i="32"/>
  <c r="K173" i="32" s="1"/>
  <c r="D144" i="32"/>
  <c r="J169" i="32"/>
  <c r="K169" i="32" s="1"/>
  <c r="O155" i="32"/>
  <c r="C203" i="32" s="1"/>
  <c r="D156" i="32"/>
  <c r="J157" i="32"/>
  <c r="K157" i="32" s="1"/>
  <c r="E160" i="32"/>
  <c r="O160" i="32"/>
  <c r="C208" i="32" s="1"/>
  <c r="E161" i="32"/>
  <c r="J165" i="32"/>
  <c r="K165" i="32" s="1"/>
  <c r="O167" i="32"/>
  <c r="C215" i="32" s="1"/>
  <c r="O151" i="32"/>
  <c r="C199" i="32" s="1"/>
  <c r="D152" i="32"/>
  <c r="J160" i="32"/>
  <c r="O173" i="32"/>
  <c r="C221" i="32" s="1"/>
  <c r="O174" i="32"/>
  <c r="C222" i="32" s="1"/>
  <c r="D174" i="32"/>
  <c r="A65" i="21"/>
  <c r="B7" i="31"/>
  <c r="B8" i="31" s="1"/>
  <c r="P141" i="32" l="1"/>
  <c r="E31" i="27"/>
  <c r="B36" i="22" s="1"/>
  <c r="B79" i="22" s="1"/>
  <c r="B121" i="22" s="1"/>
  <c r="B35" i="22"/>
  <c r="B78" i="22" s="1"/>
  <c r="B120" i="22" s="1"/>
  <c r="P144" i="32"/>
  <c r="P16" i="32"/>
  <c r="P160" i="32"/>
  <c r="P34" i="32"/>
  <c r="P15" i="32"/>
  <c r="P20" i="32"/>
  <c r="P151" i="32"/>
  <c r="P50" i="32" s="1"/>
  <c r="P167" i="32"/>
  <c r="P66" i="32" s="1"/>
  <c r="P159" i="32"/>
  <c r="P58" i="32" s="1"/>
  <c r="P163" i="32"/>
  <c r="P62" i="32" s="1"/>
  <c r="E159" i="32"/>
  <c r="O20" i="32" s="1"/>
  <c r="P30" i="32"/>
  <c r="Q143" i="32"/>
  <c r="P6" i="32"/>
  <c r="P22" i="32"/>
  <c r="P18" i="32"/>
  <c r="N63" i="32"/>
  <c r="N72" i="32"/>
  <c r="N73" i="32"/>
  <c r="N62" i="32"/>
  <c r="P32" i="32"/>
  <c r="P137" i="32"/>
  <c r="D185" i="32" s="1"/>
  <c r="M185" i="32" s="1"/>
  <c r="N69" i="32"/>
  <c r="N68" i="32"/>
  <c r="P174" i="32"/>
  <c r="P73" i="32" s="1"/>
  <c r="P35" i="32"/>
  <c r="P156" i="32"/>
  <c r="P55" i="32" s="1"/>
  <c r="P17" i="32"/>
  <c r="P27" i="32"/>
  <c r="P154" i="32"/>
  <c r="D202" i="32" s="1"/>
  <c r="P138" i="32"/>
  <c r="D186" i="32" s="1"/>
  <c r="M186" i="32" s="1"/>
  <c r="P168" i="32"/>
  <c r="D216" i="32" s="1"/>
  <c r="P29" i="32"/>
  <c r="P143" i="32"/>
  <c r="D191" i="32" s="1"/>
  <c r="N53" i="32"/>
  <c r="N45" i="32"/>
  <c r="N56" i="32"/>
  <c r="N59" i="32"/>
  <c r="N60" i="32"/>
  <c r="P28" i="32"/>
  <c r="N51" i="32"/>
  <c r="P150" i="32"/>
  <c r="P49" i="32" s="1"/>
  <c r="P11" i="32"/>
  <c r="P164" i="32"/>
  <c r="P63" i="32" s="1"/>
  <c r="P25" i="32"/>
  <c r="N55" i="32"/>
  <c r="P152" i="32"/>
  <c r="D200" i="32" s="1"/>
  <c r="P13" i="32"/>
  <c r="P155" i="32"/>
  <c r="D203" i="32" s="1"/>
  <c r="N61" i="32"/>
  <c r="N64" i="32"/>
  <c r="N47" i="32"/>
  <c r="P161" i="32"/>
  <c r="P60" i="32" s="1"/>
  <c r="R60" i="32" s="1"/>
  <c r="E154" i="32"/>
  <c r="O15" i="32" s="1"/>
  <c r="E171" i="32"/>
  <c r="O32" i="32" s="1"/>
  <c r="P170" i="32"/>
  <c r="D218" i="32" s="1"/>
  <c r="P31" i="32"/>
  <c r="N70" i="32"/>
  <c r="N46" i="32"/>
  <c r="M50" i="32"/>
  <c r="N66" i="32"/>
  <c r="N52" i="32"/>
  <c r="P21" i="32"/>
  <c r="P7" i="32"/>
  <c r="P12" i="32"/>
  <c r="M54" i="33"/>
  <c r="N54" i="33"/>
  <c r="N65" i="32"/>
  <c r="P142" i="32"/>
  <c r="D190" i="32" s="1"/>
  <c r="N44" i="32"/>
  <c r="E155" i="32"/>
  <c r="O16" i="32" s="1"/>
  <c r="P149" i="32"/>
  <c r="D197" i="32" s="1"/>
  <c r="P10" i="32"/>
  <c r="N57" i="32"/>
  <c r="N49" i="32"/>
  <c r="E114" i="32"/>
  <c r="E173" i="32"/>
  <c r="O34" i="32" s="1"/>
  <c r="P9" i="32"/>
  <c r="O7" i="32"/>
  <c r="E165" i="32"/>
  <c r="O26" i="32" s="1"/>
  <c r="P26" i="32"/>
  <c r="P162" i="32"/>
  <c r="P61" i="32" s="1"/>
  <c r="P23" i="32"/>
  <c r="P8" i="32"/>
  <c r="E172" i="32"/>
  <c r="O33" i="32" s="1"/>
  <c r="P33" i="32"/>
  <c r="O28" i="32"/>
  <c r="N71" i="32"/>
  <c r="E110" i="32"/>
  <c r="N67" i="32"/>
  <c r="N54" i="32"/>
  <c r="N50" i="32"/>
  <c r="E153" i="32"/>
  <c r="O14" i="32" s="1"/>
  <c r="P14" i="32"/>
  <c r="E163" i="32"/>
  <c r="P24" i="32"/>
  <c r="D73" i="33"/>
  <c r="W22" i="33"/>
  <c r="D21" i="33"/>
  <c r="K151" i="32"/>
  <c r="Q151" i="32" s="1"/>
  <c r="P153" i="32"/>
  <c r="D201" i="32" s="1"/>
  <c r="P45" i="32"/>
  <c r="P67" i="32"/>
  <c r="P48" i="32"/>
  <c r="E100" i="32"/>
  <c r="N48" i="32"/>
  <c r="P59" i="32"/>
  <c r="N58" i="32"/>
  <c r="P54" i="32"/>
  <c r="E118" i="32"/>
  <c r="P145" i="32"/>
  <c r="P140" i="32"/>
  <c r="D188" i="32" s="1"/>
  <c r="D192" i="32"/>
  <c r="AI138" i="32"/>
  <c r="E105" i="32"/>
  <c r="E113" i="32"/>
  <c r="D210" i="32"/>
  <c r="E101" i="32"/>
  <c r="E104" i="32"/>
  <c r="E123" i="32"/>
  <c r="E98" i="32"/>
  <c r="E93" i="32"/>
  <c r="D211" i="32"/>
  <c r="D215" i="32"/>
  <c r="E97" i="32"/>
  <c r="D194" i="32"/>
  <c r="E89" i="32"/>
  <c r="E122" i="32"/>
  <c r="E116" i="32"/>
  <c r="E94" i="32"/>
  <c r="E91" i="32"/>
  <c r="E111" i="32"/>
  <c r="D208" i="32"/>
  <c r="E119" i="32"/>
  <c r="E107" i="32"/>
  <c r="E120" i="32"/>
  <c r="E115" i="32"/>
  <c r="E96" i="32"/>
  <c r="E125" i="32"/>
  <c r="E117" i="32"/>
  <c r="E106" i="32"/>
  <c r="E92" i="32"/>
  <c r="D189" i="32"/>
  <c r="E108" i="32"/>
  <c r="E124" i="32"/>
  <c r="E121" i="32"/>
  <c r="E109" i="32"/>
  <c r="E99" i="32"/>
  <c r="E90" i="32"/>
  <c r="E112" i="32"/>
  <c r="E103" i="32"/>
  <c r="L9" i="32"/>
  <c r="L10" i="32" s="1"/>
  <c r="U139" i="32"/>
  <c r="L46" i="32"/>
  <c r="AO137" i="32"/>
  <c r="AB139" i="32"/>
  <c r="AG140" i="32"/>
  <c r="E141" i="32"/>
  <c r="Q141" i="32" s="1"/>
  <c r="P171" i="32"/>
  <c r="P173" i="32"/>
  <c r="Q167" i="32"/>
  <c r="P172" i="32"/>
  <c r="P169" i="32"/>
  <c r="P147" i="32"/>
  <c r="P148" i="32"/>
  <c r="E174" i="32"/>
  <c r="K163" i="32"/>
  <c r="Q155" i="32"/>
  <c r="E140" i="32"/>
  <c r="Q140" i="32" s="1"/>
  <c r="E150" i="32"/>
  <c r="E147" i="32"/>
  <c r="U140" i="32"/>
  <c r="E145" i="32"/>
  <c r="O6" i="32" s="1"/>
  <c r="E144" i="32"/>
  <c r="Q144" i="32" s="1"/>
  <c r="E192" i="32" s="1"/>
  <c r="P139" i="32"/>
  <c r="D187" i="32" s="1"/>
  <c r="E139" i="32"/>
  <c r="Q139" i="32" s="1"/>
  <c r="E168" i="32"/>
  <c r="E164" i="32"/>
  <c r="E149" i="32"/>
  <c r="P157" i="32"/>
  <c r="E169" i="32"/>
  <c r="P158" i="32"/>
  <c r="E170" i="32"/>
  <c r="E156" i="32"/>
  <c r="E138" i="32"/>
  <c r="Q138" i="32" s="1"/>
  <c r="Q146" i="32"/>
  <c r="E158" i="32"/>
  <c r="K160" i="32"/>
  <c r="Q160" i="32" s="1"/>
  <c r="E148" i="32"/>
  <c r="E157" i="32"/>
  <c r="AE142" i="32"/>
  <c r="AG141" i="32"/>
  <c r="AF140" i="32"/>
  <c r="AH139" i="32"/>
  <c r="AI139" i="32" s="1"/>
  <c r="K161" i="32"/>
  <c r="Q161" i="32" s="1"/>
  <c r="E142" i="32"/>
  <c r="Q142" i="32" s="1"/>
  <c r="E152" i="32"/>
  <c r="Y140" i="32"/>
  <c r="AA139" i="32"/>
  <c r="T140" i="32"/>
  <c r="AL139" i="32"/>
  <c r="V139" i="32"/>
  <c r="AK139" i="32"/>
  <c r="S142" i="32"/>
  <c r="U141" i="32"/>
  <c r="AC138" i="32"/>
  <c r="AM138" i="32"/>
  <c r="E162" i="32"/>
  <c r="E137" i="32"/>
  <c r="Q137" i="32" s="1"/>
  <c r="AN138" i="32"/>
  <c r="W138" i="32"/>
  <c r="P166" i="32"/>
  <c r="E166" i="32"/>
  <c r="P165" i="32"/>
  <c r="Z141" i="32"/>
  <c r="AB140" i="32"/>
  <c r="F35" i="28"/>
  <c r="G35" i="28" s="1"/>
  <c r="F36" i="28"/>
  <c r="G36" i="28" s="1"/>
  <c r="E32" i="28"/>
  <c r="F32" i="28" s="1"/>
  <c r="G32" i="28" s="1"/>
  <c r="E33" i="28"/>
  <c r="F33" i="28" s="1"/>
  <c r="G33" i="28" s="1"/>
  <c r="E34" i="28"/>
  <c r="F34" i="28" s="1"/>
  <c r="G34" i="28" s="1"/>
  <c r="E35" i="28"/>
  <c r="E36" i="28"/>
  <c r="E37" i="28"/>
  <c r="F37" i="28" s="1"/>
  <c r="G37" i="28" s="1"/>
  <c r="E38" i="28"/>
  <c r="F38" i="28" s="1"/>
  <c r="G38" i="28" s="1"/>
  <c r="E39" i="28"/>
  <c r="F39" i="28" s="1"/>
  <c r="G39" i="28" s="1"/>
  <c r="E40" i="28"/>
  <c r="F40" i="28" s="1"/>
  <c r="G40" i="28" s="1"/>
  <c r="E41" i="28"/>
  <c r="F41" i="28" s="1"/>
  <c r="G41" i="28" s="1"/>
  <c r="Q159" i="32" l="1"/>
  <c r="D199" i="32"/>
  <c r="D207" i="32"/>
  <c r="Q173" i="32"/>
  <c r="E221" i="32" s="1"/>
  <c r="Q172" i="32"/>
  <c r="E220" i="32" s="1"/>
  <c r="E191" i="32"/>
  <c r="R73" i="32"/>
  <c r="R63" i="32"/>
  <c r="R62" i="32"/>
  <c r="D212" i="32"/>
  <c r="R54" i="32"/>
  <c r="P51" i="32"/>
  <c r="R51" i="32" s="1"/>
  <c r="R67" i="32"/>
  <c r="E215" i="32"/>
  <c r="R59" i="32"/>
  <c r="R45" i="32"/>
  <c r="R55" i="32"/>
  <c r="Q153" i="32"/>
  <c r="R48" i="32"/>
  <c r="D204" i="32"/>
  <c r="R50" i="32"/>
  <c r="O24" i="32"/>
  <c r="Q154" i="32"/>
  <c r="O53" i="32" s="1"/>
  <c r="R61" i="32"/>
  <c r="R49" i="32"/>
  <c r="Q168" i="32"/>
  <c r="O29" i="32"/>
  <c r="M51" i="32"/>
  <c r="M69" i="32"/>
  <c r="M45" i="32"/>
  <c r="M52" i="32"/>
  <c r="M48" i="32"/>
  <c r="M62" i="32"/>
  <c r="O21" i="32"/>
  <c r="Q152" i="32"/>
  <c r="O51" i="32" s="1"/>
  <c r="O13" i="32"/>
  <c r="Q157" i="32"/>
  <c r="E205" i="32" s="1"/>
  <c r="O18" i="32"/>
  <c r="Q156" i="32"/>
  <c r="O55" i="32" s="1"/>
  <c r="O17" i="32"/>
  <c r="D209" i="32"/>
  <c r="M72" i="32"/>
  <c r="M55" i="32"/>
  <c r="D198" i="32"/>
  <c r="P69" i="32"/>
  <c r="R69" i="32" s="1"/>
  <c r="R66" i="32"/>
  <c r="M58" i="32"/>
  <c r="Q165" i="32"/>
  <c r="E213" i="32" s="1"/>
  <c r="Q171" i="32"/>
  <c r="E219" i="32" s="1"/>
  <c r="Q148" i="32"/>
  <c r="O9" i="32"/>
  <c r="Q170" i="32"/>
  <c r="E218" i="32" s="1"/>
  <c r="O31" i="32"/>
  <c r="Q163" i="32"/>
  <c r="O62" i="32" s="1"/>
  <c r="M60" i="32"/>
  <c r="M56" i="32"/>
  <c r="M66" i="32"/>
  <c r="M64" i="32"/>
  <c r="Q169" i="32"/>
  <c r="E217" i="32" s="1"/>
  <c r="O30" i="32"/>
  <c r="O12" i="32"/>
  <c r="M46" i="32"/>
  <c r="P53" i="32"/>
  <c r="R53" i="32" s="1"/>
  <c r="O22" i="32"/>
  <c r="Q162" i="32"/>
  <c r="O61" i="32" s="1"/>
  <c r="O23" i="32"/>
  <c r="Q158" i="32"/>
  <c r="E206" i="32" s="1"/>
  <c r="O19" i="32"/>
  <c r="Q149" i="32"/>
  <c r="O48" i="32" s="1"/>
  <c r="O10" i="32"/>
  <c r="Q147" i="32"/>
  <c r="O46" i="32" s="1"/>
  <c r="O8" i="32"/>
  <c r="M65" i="32"/>
  <c r="M68" i="32"/>
  <c r="M71" i="32"/>
  <c r="M53" i="32"/>
  <c r="Q174" i="32"/>
  <c r="E222" i="32" s="1"/>
  <c r="O35" i="32"/>
  <c r="M67" i="32"/>
  <c r="Q145" i="32"/>
  <c r="E193" i="32" s="1"/>
  <c r="M61" i="32"/>
  <c r="M54" i="32"/>
  <c r="M59" i="32"/>
  <c r="Q166" i="32"/>
  <c r="E214" i="32" s="1"/>
  <c r="O27" i="32"/>
  <c r="Q164" i="32"/>
  <c r="E212" i="32" s="1"/>
  <c r="O25" i="32"/>
  <c r="Q150" i="32"/>
  <c r="E198" i="32" s="1"/>
  <c r="O11" i="32"/>
  <c r="D222" i="32"/>
  <c r="D74" i="33"/>
  <c r="W23" i="33"/>
  <c r="D22" i="33"/>
  <c r="D213" i="32"/>
  <c r="P64" i="32"/>
  <c r="R64" i="32" s="1"/>
  <c r="P46" i="32"/>
  <c r="R46" i="32" s="1"/>
  <c r="D221" i="32"/>
  <c r="P72" i="32"/>
  <c r="R72" i="32" s="1"/>
  <c r="E196" i="32"/>
  <c r="M47" i="32"/>
  <c r="M63" i="32"/>
  <c r="O45" i="32"/>
  <c r="O50" i="32"/>
  <c r="Q50" i="32" s="1"/>
  <c r="E189" i="32"/>
  <c r="M49" i="32"/>
  <c r="P56" i="32"/>
  <c r="R56" i="32" s="1"/>
  <c r="P44" i="32"/>
  <c r="R44" i="32" s="1"/>
  <c r="D217" i="32"/>
  <c r="P68" i="32"/>
  <c r="R68" i="32" s="1"/>
  <c r="I39" i="26"/>
  <c r="J39" i="26"/>
  <c r="M39" i="26" s="1"/>
  <c r="M57" i="32"/>
  <c r="M70" i="32"/>
  <c r="E190" i="32"/>
  <c r="P52" i="32"/>
  <c r="R52" i="32" s="1"/>
  <c r="O66" i="32"/>
  <c r="D214" i="32"/>
  <c r="P65" i="32"/>
  <c r="R65" i="32" s="1"/>
  <c r="O67" i="32"/>
  <c r="O58" i="32"/>
  <c r="O54" i="32"/>
  <c r="D195" i="32"/>
  <c r="R58" i="32"/>
  <c r="O47" i="32"/>
  <c r="D219" i="32"/>
  <c r="P70" i="32"/>
  <c r="R70" i="32" s="1"/>
  <c r="D193" i="32"/>
  <c r="O69" i="32"/>
  <c r="O59" i="32"/>
  <c r="D206" i="32"/>
  <c r="P57" i="32"/>
  <c r="R57" i="32" s="1"/>
  <c r="D220" i="32"/>
  <c r="P71" i="32"/>
  <c r="R71" i="32" s="1"/>
  <c r="M73" i="32"/>
  <c r="O60" i="32"/>
  <c r="O72" i="32"/>
  <c r="O68" i="32"/>
  <c r="Q68" i="32" s="1"/>
  <c r="D196" i="32"/>
  <c r="P47" i="32"/>
  <c r="R47" i="32" s="1"/>
  <c r="O52" i="32"/>
  <c r="D205" i="32"/>
  <c r="M44" i="32"/>
  <c r="E188" i="32"/>
  <c r="L188" i="32" s="1"/>
  <c r="E200" i="32"/>
  <c r="E186" i="32"/>
  <c r="L186" i="32" s="1"/>
  <c r="N186" i="32" s="1"/>
  <c r="E209" i="32"/>
  <c r="E203" i="32"/>
  <c r="E216" i="32"/>
  <c r="E194" i="32"/>
  <c r="E185" i="32"/>
  <c r="L185" i="32" s="1"/>
  <c r="N185" i="32" s="1"/>
  <c r="E187" i="32"/>
  <c r="L187" i="32" s="1"/>
  <c r="E208" i="32"/>
  <c r="E201" i="32"/>
  <c r="E199" i="32"/>
  <c r="E207" i="32"/>
  <c r="AC139" i="32"/>
  <c r="L47" i="32"/>
  <c r="L11" i="32"/>
  <c r="AM139" i="32"/>
  <c r="M188" i="32"/>
  <c r="M189" i="32"/>
  <c r="AN139" i="32"/>
  <c r="M187" i="32"/>
  <c r="AO138" i="32"/>
  <c r="AB141" i="32"/>
  <c r="Z142" i="32"/>
  <c r="W139" i="32"/>
  <c r="V140" i="32"/>
  <c r="AL140" i="32"/>
  <c r="T141" i="32"/>
  <c r="AF141" i="32"/>
  <c r="AH140" i="32"/>
  <c r="AI140" i="32" s="1"/>
  <c r="U142" i="32"/>
  <c r="S143" i="32"/>
  <c r="Y141" i="32"/>
  <c r="AA140" i="32"/>
  <c r="AK140" i="32"/>
  <c r="AE143" i="32"/>
  <c r="AG142" i="32"/>
  <c r="Q45" i="32" l="1"/>
  <c r="Q55" i="32"/>
  <c r="O71" i="32"/>
  <c r="Q66" i="32"/>
  <c r="E210" i="32"/>
  <c r="Q62" i="32"/>
  <c r="O70" i="32"/>
  <c r="Q70" i="32" s="1"/>
  <c r="Q67" i="32"/>
  <c r="Q59" i="32"/>
  <c r="Q51" i="32"/>
  <c r="E202" i="32"/>
  <c r="Q46" i="32"/>
  <c r="S46" i="32" s="1"/>
  <c r="Q53" i="32"/>
  <c r="E195" i="32"/>
  <c r="O64" i="32"/>
  <c r="Q64" i="32" s="1"/>
  <c r="Q48" i="32"/>
  <c r="E197" i="32"/>
  <c r="O56" i="32"/>
  <c r="Q56" i="32" s="1"/>
  <c r="O65" i="32"/>
  <c r="Q65" i="32" s="1"/>
  <c r="Q52" i="32"/>
  <c r="O63" i="32"/>
  <c r="Q63" i="32" s="1"/>
  <c r="O73" i="32"/>
  <c r="Q73" i="32" s="1"/>
  <c r="Q60" i="32"/>
  <c r="Q61" i="32"/>
  <c r="O49" i="32"/>
  <c r="Q49" i="32" s="1"/>
  <c r="E211" i="32"/>
  <c r="O44" i="32"/>
  <c r="Q44" i="32" s="1"/>
  <c r="S44" i="32" s="1"/>
  <c r="Q58" i="32"/>
  <c r="E204" i="32"/>
  <c r="Q72" i="32"/>
  <c r="Q71" i="32"/>
  <c r="Q54" i="32"/>
  <c r="O57" i="32"/>
  <c r="Q57" i="32" s="1"/>
  <c r="Q69" i="32"/>
  <c r="D75" i="33"/>
  <c r="W24" i="33"/>
  <c r="D23" i="33"/>
  <c r="I40" i="26"/>
  <c r="J40" i="26"/>
  <c r="M40" i="26" s="1"/>
  <c r="Q47" i="32"/>
  <c r="S47" i="32" s="1"/>
  <c r="AO139" i="32"/>
  <c r="L48" i="32"/>
  <c r="L12" i="32"/>
  <c r="N188" i="32"/>
  <c r="N187" i="32"/>
  <c r="L189" i="32"/>
  <c r="N189" i="32" s="1"/>
  <c r="M190" i="32"/>
  <c r="AC140" i="32"/>
  <c r="AM140" i="32"/>
  <c r="Y142" i="32"/>
  <c r="AA141" i="32"/>
  <c r="AK141" i="32"/>
  <c r="AE144" i="32"/>
  <c r="AG143" i="32"/>
  <c r="AL141" i="32"/>
  <c r="V141" i="32"/>
  <c r="T142" i="32"/>
  <c r="S144" i="32"/>
  <c r="U143" i="32"/>
  <c r="AN140" i="32"/>
  <c r="W140" i="32"/>
  <c r="AH141" i="32"/>
  <c r="AI141" i="32" s="1"/>
  <c r="AF142" i="32"/>
  <c r="AB142" i="32"/>
  <c r="Z143" i="32"/>
  <c r="H4" i="21"/>
  <c r="A64" i="21"/>
  <c r="A66" i="21"/>
  <c r="A63" i="21"/>
  <c r="A62" i="21"/>
  <c r="A61" i="21"/>
  <c r="A60" i="21"/>
  <c r="A59" i="21"/>
  <c r="D22" i="22" l="1"/>
  <c r="D19" i="22"/>
  <c r="D21" i="22"/>
  <c r="D76" i="33"/>
  <c r="W25" i="33"/>
  <c r="D24" i="33"/>
  <c r="I41" i="26"/>
  <c r="J41" i="26"/>
  <c r="M41" i="26" s="1"/>
  <c r="L49" i="32"/>
  <c r="S48" i="32"/>
  <c r="L13" i="32"/>
  <c r="L190" i="32"/>
  <c r="N190" i="32" s="1"/>
  <c r="M191" i="32"/>
  <c r="AE145" i="32"/>
  <c r="AG144" i="32"/>
  <c r="AB143" i="32"/>
  <c r="Z144" i="32"/>
  <c r="AL142" i="32"/>
  <c r="T143" i="32"/>
  <c r="V142" i="32"/>
  <c r="AC141" i="32"/>
  <c r="AM141" i="32"/>
  <c r="AO140" i="32"/>
  <c r="AN141" i="32"/>
  <c r="W141" i="32"/>
  <c r="Y143" i="32"/>
  <c r="AA142" i="32"/>
  <c r="AK142" i="32"/>
  <c r="AF143" i="32"/>
  <c r="AH142" i="32"/>
  <c r="AI142" i="32" s="1"/>
  <c r="U144" i="32"/>
  <c r="S145" i="32"/>
  <c r="I24" i="31"/>
  <c r="C23" i="31"/>
  <c r="C24" i="31" s="1"/>
  <c r="D23" i="31"/>
  <c r="D24" i="31" s="1"/>
  <c r="E23" i="31"/>
  <c r="E24" i="31" s="1"/>
  <c r="F23" i="31"/>
  <c r="F24" i="31" s="1"/>
  <c r="G23" i="31"/>
  <c r="G24" i="31" s="1"/>
  <c r="H23" i="31"/>
  <c r="H24" i="31" s="1"/>
  <c r="I23" i="31"/>
  <c r="J23" i="31"/>
  <c r="J24" i="31" s="1"/>
  <c r="K23" i="31"/>
  <c r="K24" i="31" s="1"/>
  <c r="L23" i="31"/>
  <c r="L24" i="31" s="1"/>
  <c r="M23" i="31"/>
  <c r="M24" i="31" s="1"/>
  <c r="N23" i="31"/>
  <c r="N24" i="31" s="1"/>
  <c r="O23" i="31"/>
  <c r="O24" i="31" s="1"/>
  <c r="P23" i="31"/>
  <c r="P24" i="31" s="1"/>
  <c r="B23" i="31"/>
  <c r="B24" i="31" s="1"/>
  <c r="C16" i="31"/>
  <c r="B16" i="31"/>
  <c r="C7" i="31"/>
  <c r="C8" i="31" s="1"/>
  <c r="D7" i="31"/>
  <c r="D8" i="31" s="1"/>
  <c r="E7" i="31"/>
  <c r="E8" i="31" s="1"/>
  <c r="F7" i="31"/>
  <c r="F8" i="31" s="1"/>
  <c r="G7" i="31"/>
  <c r="G8" i="31" s="1"/>
  <c r="H7" i="31"/>
  <c r="H8" i="31" s="1"/>
  <c r="I7" i="31"/>
  <c r="I8" i="31" s="1"/>
  <c r="J7" i="31"/>
  <c r="J8" i="31" s="1"/>
  <c r="K7" i="31"/>
  <c r="K8" i="31" s="1"/>
  <c r="L7" i="31"/>
  <c r="L8" i="31" s="1"/>
  <c r="M7" i="31"/>
  <c r="M8" i="31" s="1"/>
  <c r="N7" i="31"/>
  <c r="N8" i="31" s="1"/>
  <c r="O7" i="31"/>
  <c r="O8" i="31" s="1"/>
  <c r="P7" i="31"/>
  <c r="P8" i="31" s="1"/>
  <c r="Q7" i="31"/>
  <c r="Q8" i="31" s="1"/>
  <c r="D23" i="22" l="1"/>
  <c r="D77" i="33"/>
  <c r="W26" i="33"/>
  <c r="D25" i="33"/>
  <c r="I42" i="26"/>
  <c r="J42" i="26"/>
  <c r="M42" i="26" s="1"/>
  <c r="R16" i="31"/>
  <c r="F30" i="31" s="1"/>
  <c r="L50" i="32"/>
  <c r="S49" i="32"/>
  <c r="L14" i="32"/>
  <c r="L191" i="32"/>
  <c r="N191" i="32" s="1"/>
  <c r="AO141" i="32"/>
  <c r="AN142" i="32"/>
  <c r="W142" i="32"/>
  <c r="T144" i="32"/>
  <c r="V143" i="32"/>
  <c r="AL143" i="32"/>
  <c r="AB144" i="32"/>
  <c r="Z145" i="32"/>
  <c r="Y144" i="32"/>
  <c r="AA143" i="32"/>
  <c r="AK143" i="32"/>
  <c r="AC142" i="32"/>
  <c r="AM142" i="32"/>
  <c r="AH143" i="32"/>
  <c r="AI143" i="32" s="1"/>
  <c r="AF144" i="32"/>
  <c r="U145" i="32"/>
  <c r="S146" i="32"/>
  <c r="AE146" i="32"/>
  <c r="AG145" i="32"/>
  <c r="R8" i="31"/>
  <c r="D30" i="31" s="1"/>
  <c r="R24" i="31"/>
  <c r="E30" i="31" s="1"/>
  <c r="C39" i="26" l="1"/>
  <c r="C54" i="21"/>
  <c r="E31" i="31"/>
  <c r="B54" i="21"/>
  <c r="B64" i="21" s="1"/>
  <c r="B39" i="26"/>
  <c r="D31" i="31"/>
  <c r="D24" i="22"/>
  <c r="D39" i="26"/>
  <c r="D54" i="21"/>
  <c r="F31" i="31"/>
  <c r="D78" i="33"/>
  <c r="W27" i="33"/>
  <c r="D26" i="33"/>
  <c r="J43" i="26"/>
  <c r="M43" i="26" s="1"/>
  <c r="I43" i="26"/>
  <c r="L51" i="32"/>
  <c r="S50" i="32"/>
  <c r="L15" i="32"/>
  <c r="M192" i="32"/>
  <c r="L192" i="32"/>
  <c r="AB145" i="32"/>
  <c r="Z146" i="32"/>
  <c r="AG146" i="32"/>
  <c r="AE147" i="32"/>
  <c r="AO142" i="32"/>
  <c r="AN143" i="32"/>
  <c r="W143" i="32"/>
  <c r="U146" i="32"/>
  <c r="S147" i="32"/>
  <c r="AC143" i="32"/>
  <c r="AM143" i="32"/>
  <c r="AA144" i="32"/>
  <c r="Y145" i="32"/>
  <c r="AK144" i="32"/>
  <c r="AH144" i="32"/>
  <c r="AI144" i="32" s="1"/>
  <c r="AF145" i="32"/>
  <c r="AL144" i="32"/>
  <c r="T145" i="32"/>
  <c r="V144" i="32"/>
  <c r="E32" i="31" l="1"/>
  <c r="C40" i="26"/>
  <c r="B40" i="26"/>
  <c r="D32" i="31"/>
  <c r="D25" i="22"/>
  <c r="F32" i="31"/>
  <c r="D40" i="26"/>
  <c r="D79" i="33"/>
  <c r="W28" i="33"/>
  <c r="W29" i="33" s="1"/>
  <c r="D27" i="33"/>
  <c r="D62" i="21"/>
  <c r="D60" i="21"/>
  <c r="D61" i="21"/>
  <c r="D63" i="21"/>
  <c r="D59" i="21"/>
  <c r="D64" i="21"/>
  <c r="I44" i="26"/>
  <c r="J44" i="26"/>
  <c r="M44" i="26" s="1"/>
  <c r="C64" i="21"/>
  <c r="C59" i="21"/>
  <c r="C63" i="21"/>
  <c r="C60" i="21"/>
  <c r="C62" i="21"/>
  <c r="C61" i="21"/>
  <c r="L52" i="32"/>
  <c r="S51" i="32"/>
  <c r="L16" i="32"/>
  <c r="M193" i="32"/>
  <c r="N192" i="32"/>
  <c r="L193" i="32"/>
  <c r="Y146" i="32"/>
  <c r="AA145" i="32"/>
  <c r="AK145" i="32"/>
  <c r="AN144" i="32"/>
  <c r="W144" i="32"/>
  <c r="AL145" i="32"/>
  <c r="V145" i="32"/>
  <c r="T146" i="32"/>
  <c r="Z147" i="32"/>
  <c r="AB146" i="32"/>
  <c r="AO143" i="32"/>
  <c r="S148" i="32"/>
  <c r="U147" i="32"/>
  <c r="AC144" i="32"/>
  <c r="AM144" i="32"/>
  <c r="AF146" i="32"/>
  <c r="AH145" i="32"/>
  <c r="AI145" i="32" s="1"/>
  <c r="AE148" i="32"/>
  <c r="AG147" i="32"/>
  <c r="B60" i="21"/>
  <c r="B2" i="23"/>
  <c r="B63" i="21"/>
  <c r="B61" i="21"/>
  <c r="B59" i="21"/>
  <c r="B62" i="21"/>
  <c r="F33" i="31" l="1"/>
  <c r="D41" i="26"/>
  <c r="D26" i="22"/>
  <c r="D33" i="31"/>
  <c r="B41" i="26"/>
  <c r="E33" i="31"/>
  <c r="C41" i="26"/>
  <c r="D80" i="33"/>
  <c r="D28" i="33"/>
  <c r="I45" i="26"/>
  <c r="J45" i="26"/>
  <c r="M45" i="26" s="1"/>
  <c r="N193" i="32"/>
  <c r="L53" i="32"/>
  <c r="S52" i="32"/>
  <c r="L17" i="32"/>
  <c r="M194" i="32"/>
  <c r="L194" i="32"/>
  <c r="AO144" i="32"/>
  <c r="S149" i="32"/>
  <c r="U148" i="32"/>
  <c r="V146" i="32"/>
  <c r="T147" i="32"/>
  <c r="AL146" i="32"/>
  <c r="AN145" i="32"/>
  <c r="W145" i="32"/>
  <c r="AF147" i="32"/>
  <c r="AH146" i="32"/>
  <c r="AI146" i="32" s="1"/>
  <c r="AC145" i="32"/>
  <c r="AM145" i="32"/>
  <c r="Y147" i="32"/>
  <c r="AA146" i="32"/>
  <c r="AK146" i="32"/>
  <c r="AB147" i="32"/>
  <c r="Z148" i="32"/>
  <c r="AE149" i="32"/>
  <c r="AG148" i="32"/>
  <c r="C4" i="31"/>
  <c r="C3" i="31" s="1"/>
  <c r="D4" i="31"/>
  <c r="D3" i="31" s="1"/>
  <c r="E4" i="31"/>
  <c r="E3" i="31" s="1"/>
  <c r="F4" i="31"/>
  <c r="F3" i="31" s="1"/>
  <c r="G4" i="31"/>
  <c r="G3" i="31" s="1"/>
  <c r="H4" i="31"/>
  <c r="H3" i="31" s="1"/>
  <c r="I4" i="31"/>
  <c r="I3" i="31" s="1"/>
  <c r="J4" i="31"/>
  <c r="J3" i="31" s="1"/>
  <c r="K4" i="31"/>
  <c r="K3" i="31" s="1"/>
  <c r="L4" i="31"/>
  <c r="L3" i="31" s="1"/>
  <c r="M4" i="31"/>
  <c r="M3" i="31" s="1"/>
  <c r="N4" i="31"/>
  <c r="N3" i="31" s="1"/>
  <c r="O4" i="31"/>
  <c r="O3" i="31" s="1"/>
  <c r="P4" i="31"/>
  <c r="P3" i="31" s="1"/>
  <c r="Q4" i="31"/>
  <c r="Q3" i="31" s="1"/>
  <c r="C12" i="31"/>
  <c r="C11" i="31" s="1"/>
  <c r="B12" i="31"/>
  <c r="B11" i="31" s="1"/>
  <c r="C20" i="31"/>
  <c r="C19" i="31" s="1"/>
  <c r="D20" i="31"/>
  <c r="D19" i="31" s="1"/>
  <c r="E20" i="31"/>
  <c r="E19" i="31" s="1"/>
  <c r="F20" i="31"/>
  <c r="F19" i="31" s="1"/>
  <c r="G20" i="31"/>
  <c r="G19" i="31" s="1"/>
  <c r="H20" i="31"/>
  <c r="H19" i="31" s="1"/>
  <c r="I20" i="31"/>
  <c r="I19" i="31" s="1"/>
  <c r="J20" i="31"/>
  <c r="J19" i="31" s="1"/>
  <c r="K20" i="31"/>
  <c r="K19" i="31" s="1"/>
  <c r="L20" i="31"/>
  <c r="L19" i="31" s="1"/>
  <c r="M20" i="31"/>
  <c r="M19" i="31" s="1"/>
  <c r="N20" i="31"/>
  <c r="N19" i="31" s="1"/>
  <c r="O20" i="31"/>
  <c r="O19" i="31" s="1"/>
  <c r="P20" i="31"/>
  <c r="P19" i="31" s="1"/>
  <c r="B20" i="31"/>
  <c r="D34" i="31" l="1"/>
  <c r="B42" i="26"/>
  <c r="G54" i="33"/>
  <c r="O54" i="33" s="1"/>
  <c r="H54" i="33"/>
  <c r="P54" i="33" s="1"/>
  <c r="E34" i="31"/>
  <c r="C42" i="26"/>
  <c r="D27" i="22"/>
  <c r="Z5" i="33"/>
  <c r="AA5" i="33"/>
  <c r="AG5" i="33" s="1"/>
  <c r="AI5" i="33" s="1"/>
  <c r="AK5" i="33" s="1"/>
  <c r="AM5" i="33" s="1"/>
  <c r="F34" i="31"/>
  <c r="D42" i="26"/>
  <c r="D81" i="33"/>
  <c r="W30" i="33"/>
  <c r="D29" i="33"/>
  <c r="J46" i="26"/>
  <c r="M46" i="26" s="1"/>
  <c r="I46" i="26"/>
  <c r="L54" i="32"/>
  <c r="S53" i="32"/>
  <c r="L18" i="32"/>
  <c r="N194" i="32"/>
  <c r="M195" i="32"/>
  <c r="L195" i="32"/>
  <c r="AB148" i="32"/>
  <c r="Z149" i="32"/>
  <c r="AG149" i="32"/>
  <c r="AE150" i="32"/>
  <c r="U149" i="32"/>
  <c r="S150" i="32"/>
  <c r="AC146" i="32"/>
  <c r="AM146" i="32"/>
  <c r="AH147" i="32"/>
  <c r="AI147" i="32" s="1"/>
  <c r="AF148" i="32"/>
  <c r="Y148" i="32"/>
  <c r="AA147" i="32"/>
  <c r="AK147" i="32"/>
  <c r="AL147" i="32"/>
  <c r="V147" i="32"/>
  <c r="T148" i="32"/>
  <c r="AO145" i="32"/>
  <c r="AN146" i="32"/>
  <c r="W146" i="32"/>
  <c r="R54" i="33" l="1"/>
  <c r="T54" i="33" s="1"/>
  <c r="V54" i="33" s="1"/>
  <c r="H88" i="32" s="1"/>
  <c r="Q54" i="33"/>
  <c r="S54" i="33" s="1"/>
  <c r="U54" i="33" s="1"/>
  <c r="G88" i="32" s="1"/>
  <c r="F35" i="31"/>
  <c r="D43" i="26"/>
  <c r="H55" i="33"/>
  <c r="P55" i="33" s="1"/>
  <c r="R55" i="33" s="1"/>
  <c r="T55" i="33" s="1"/>
  <c r="V55" i="33" s="1"/>
  <c r="H89" i="32" s="1"/>
  <c r="G55" i="33"/>
  <c r="O55" i="33" s="1"/>
  <c r="Q55" i="33" s="1"/>
  <c r="S55" i="33" s="1"/>
  <c r="U55" i="33" s="1"/>
  <c r="G89" i="32" s="1"/>
  <c r="E35" i="31"/>
  <c r="C43" i="26"/>
  <c r="D28" i="22"/>
  <c r="Z6" i="33"/>
  <c r="AA6" i="33"/>
  <c r="AG6" i="33" s="1"/>
  <c r="AI6" i="33" s="1"/>
  <c r="AK6" i="33" s="1"/>
  <c r="AM6" i="33" s="1"/>
  <c r="AF5" i="33"/>
  <c r="AH5" i="33" s="1"/>
  <c r="AJ5" i="33" s="1"/>
  <c r="AL5" i="33" s="1"/>
  <c r="D35" i="31"/>
  <c r="B43" i="26"/>
  <c r="D82" i="33"/>
  <c r="W31" i="33"/>
  <c r="D30" i="33"/>
  <c r="I47" i="26"/>
  <c r="J47" i="26"/>
  <c r="M47" i="26" s="1"/>
  <c r="S54" i="32"/>
  <c r="L55" i="32"/>
  <c r="L19" i="32"/>
  <c r="AO146" i="32"/>
  <c r="N195" i="32"/>
  <c r="M196" i="32"/>
  <c r="L196" i="32"/>
  <c r="AG150" i="32"/>
  <c r="AE151" i="32"/>
  <c r="AC147" i="32"/>
  <c r="AM147" i="32"/>
  <c r="S151" i="32"/>
  <c r="U150" i="32"/>
  <c r="AB149" i="32"/>
  <c r="Z150" i="32"/>
  <c r="AL148" i="32"/>
  <c r="T149" i="32"/>
  <c r="V148" i="32"/>
  <c r="AA148" i="32"/>
  <c r="Y149" i="32"/>
  <c r="AK148" i="32"/>
  <c r="AF149" i="32"/>
  <c r="AH148" i="32"/>
  <c r="AI148" i="32" s="1"/>
  <c r="AN147" i="32"/>
  <c r="W147" i="32"/>
  <c r="I88" i="32" l="1"/>
  <c r="D29" i="22"/>
  <c r="E36" i="31"/>
  <c r="C44" i="26"/>
  <c r="G56" i="33"/>
  <c r="O56" i="33" s="1"/>
  <c r="Q56" i="33" s="1"/>
  <c r="S56" i="33" s="1"/>
  <c r="U56" i="33" s="1"/>
  <c r="G90" i="32" s="1"/>
  <c r="H56" i="33"/>
  <c r="AF6" i="33"/>
  <c r="AH6" i="33" s="1"/>
  <c r="AJ6" i="33" s="1"/>
  <c r="AL6" i="33" s="1"/>
  <c r="I89" i="32"/>
  <c r="D36" i="31"/>
  <c r="B44" i="26"/>
  <c r="Z7" i="33"/>
  <c r="AF7" i="33" s="1"/>
  <c r="AH7" i="33" s="1"/>
  <c r="AJ7" i="33" s="1"/>
  <c r="AL7" i="33" s="1"/>
  <c r="AA7" i="33"/>
  <c r="AG7" i="33" s="1"/>
  <c r="AI7" i="33" s="1"/>
  <c r="AK7" i="33" s="1"/>
  <c r="AM7" i="33" s="1"/>
  <c r="F36" i="31"/>
  <c r="D44" i="26"/>
  <c r="D83" i="33"/>
  <c r="W32" i="33"/>
  <c r="D31" i="33"/>
  <c r="I48" i="26"/>
  <c r="J48" i="26"/>
  <c r="M48" i="26" s="1"/>
  <c r="L56" i="32"/>
  <c r="S55" i="32"/>
  <c r="L20" i="32"/>
  <c r="N196" i="32"/>
  <c r="M197" i="32"/>
  <c r="L197" i="32"/>
  <c r="AF150" i="32"/>
  <c r="AH149" i="32"/>
  <c r="AI149" i="32" s="1"/>
  <c r="AA149" i="32"/>
  <c r="Y150" i="32"/>
  <c r="AK149" i="32"/>
  <c r="AC148" i="32"/>
  <c r="AM148" i="32"/>
  <c r="AN148" i="32"/>
  <c r="W148" i="32"/>
  <c r="S152" i="32"/>
  <c r="U151" i="32"/>
  <c r="AL149" i="32"/>
  <c r="T150" i="32"/>
  <c r="V149" i="32"/>
  <c r="AO147" i="32"/>
  <c r="AE152" i="32"/>
  <c r="AG151" i="32"/>
  <c r="Z151" i="32"/>
  <c r="AB150" i="32"/>
  <c r="C39" i="30"/>
  <c r="C38" i="30"/>
  <c r="C37" i="30"/>
  <c r="C36" i="30"/>
  <c r="C25" i="30"/>
  <c r="D25" i="30" s="1"/>
  <c r="C24" i="30"/>
  <c r="D24" i="30" s="1"/>
  <c r="D20" i="30"/>
  <c r="C20" i="30"/>
  <c r="D19" i="30"/>
  <c r="C19" i="30"/>
  <c r="E19" i="30" s="1"/>
  <c r="D18" i="30"/>
  <c r="C18" i="30"/>
  <c r="D17" i="30"/>
  <c r="C17" i="30"/>
  <c r="D13" i="30"/>
  <c r="D12" i="30"/>
  <c r="D11" i="30"/>
  <c r="D10" i="30"/>
  <c r="C6" i="30"/>
  <c r="Z8" i="33" l="1"/>
  <c r="AF8" i="33" s="1"/>
  <c r="AH8" i="33" s="1"/>
  <c r="AJ8" i="33" s="1"/>
  <c r="AL8" i="33" s="1"/>
  <c r="AA8" i="33"/>
  <c r="AG8" i="33" s="1"/>
  <c r="AI8" i="33" s="1"/>
  <c r="AK8" i="33" s="1"/>
  <c r="AM8" i="33" s="1"/>
  <c r="E18" i="30"/>
  <c r="C31" i="30" s="1"/>
  <c r="P56" i="33"/>
  <c r="R56" i="33" s="1"/>
  <c r="T56" i="33" s="1"/>
  <c r="V56" i="33" s="1"/>
  <c r="H90" i="32" s="1"/>
  <c r="D37" i="31"/>
  <c r="B45" i="26"/>
  <c r="D30" i="22"/>
  <c r="H57" i="33"/>
  <c r="G57" i="33"/>
  <c r="O57" i="33" s="1"/>
  <c r="Q57" i="33" s="1"/>
  <c r="S57" i="33" s="1"/>
  <c r="U57" i="33" s="1"/>
  <c r="G91" i="32" s="1"/>
  <c r="F37" i="31"/>
  <c r="D45" i="26"/>
  <c r="E37" i="31"/>
  <c r="C45" i="26"/>
  <c r="D84" i="33"/>
  <c r="W33" i="33"/>
  <c r="D32" i="33"/>
  <c r="J49" i="26"/>
  <c r="M49" i="26" s="1"/>
  <c r="I49" i="26"/>
  <c r="E20" i="30"/>
  <c r="C33" i="30" s="1"/>
  <c r="L57" i="32"/>
  <c r="S56" i="32"/>
  <c r="L21" i="32"/>
  <c r="N197" i="32"/>
  <c r="M198" i="32"/>
  <c r="AO148" i="32"/>
  <c r="AE153" i="32"/>
  <c r="AG152" i="32"/>
  <c r="V150" i="32"/>
  <c r="AL150" i="32"/>
  <c r="T151" i="32"/>
  <c r="AN149" i="32"/>
  <c r="W149" i="32"/>
  <c r="AF151" i="32"/>
  <c r="AH150" i="32"/>
  <c r="AI150" i="32" s="1"/>
  <c r="S153" i="32"/>
  <c r="U152" i="32"/>
  <c r="AB151" i="32"/>
  <c r="Z152" i="32"/>
  <c r="Y151" i="32"/>
  <c r="AA150" i="32"/>
  <c r="AK150" i="32"/>
  <c r="AC149" i="32"/>
  <c r="AM149" i="32"/>
  <c r="C32" i="30"/>
  <c r="C26" i="30"/>
  <c r="D26" i="30" s="1"/>
  <c r="D45" i="30" s="1"/>
  <c r="E17" i="30"/>
  <c r="C30" i="30" s="1"/>
  <c r="C27" i="30"/>
  <c r="D27" i="30" s="1"/>
  <c r="C46" i="30" s="1"/>
  <c r="C44" i="30"/>
  <c r="D44" i="30"/>
  <c r="C43" i="30"/>
  <c r="D43" i="30"/>
  <c r="I90" i="32" l="1"/>
  <c r="D31" i="22"/>
  <c r="F38" i="31"/>
  <c r="D46" i="26"/>
  <c r="D38" i="31"/>
  <c r="B46" i="26"/>
  <c r="P57" i="33"/>
  <c r="R57" i="33" s="1"/>
  <c r="T57" i="33" s="1"/>
  <c r="V57" i="33" s="1"/>
  <c r="H91" i="32" s="1"/>
  <c r="G58" i="33"/>
  <c r="O58" i="33" s="1"/>
  <c r="Q58" i="33" s="1"/>
  <c r="S58" i="33" s="1"/>
  <c r="U58" i="33" s="1"/>
  <c r="G92" i="32" s="1"/>
  <c r="H58" i="33"/>
  <c r="Z9" i="33"/>
  <c r="AF9" i="33" s="1"/>
  <c r="AH9" i="33" s="1"/>
  <c r="AJ9" i="33" s="1"/>
  <c r="AL9" i="33" s="1"/>
  <c r="AA9" i="33"/>
  <c r="AG9" i="33" s="1"/>
  <c r="AI9" i="33" s="1"/>
  <c r="AK9" i="33" s="1"/>
  <c r="AM9" i="33" s="1"/>
  <c r="E38" i="31"/>
  <c r="C46" i="26"/>
  <c r="D85" i="33"/>
  <c r="W34" i="33"/>
  <c r="D33" i="33"/>
  <c r="I50" i="26"/>
  <c r="J50" i="26"/>
  <c r="M50" i="26" s="1"/>
  <c r="E33" i="30"/>
  <c r="S57" i="32"/>
  <c r="L58" i="32"/>
  <c r="L22" i="32"/>
  <c r="M199" i="32"/>
  <c r="L198" i="32"/>
  <c r="N198" i="32" s="1"/>
  <c r="L199" i="32"/>
  <c r="AO149" i="32"/>
  <c r="AC150" i="32"/>
  <c r="AM150" i="32"/>
  <c r="T152" i="32"/>
  <c r="AL151" i="32"/>
  <c r="V151" i="32"/>
  <c r="AB152" i="32"/>
  <c r="Z153" i="32"/>
  <c r="AN150" i="32"/>
  <c r="W150" i="32"/>
  <c r="AA151" i="32"/>
  <c r="Y152" i="32"/>
  <c r="AK151" i="32"/>
  <c r="AH151" i="32"/>
  <c r="AI151" i="32" s="1"/>
  <c r="AF152" i="32"/>
  <c r="U153" i="32"/>
  <c r="S154" i="32"/>
  <c r="AG153" i="32"/>
  <c r="AE154" i="32"/>
  <c r="D32" i="30"/>
  <c r="C45" i="30"/>
  <c r="E45" i="30" s="1"/>
  <c r="C51" i="30" s="1"/>
  <c r="C57" i="30" s="1"/>
  <c r="D33" i="30"/>
  <c r="D46" i="30"/>
  <c r="E46" i="30" s="1"/>
  <c r="C52" i="30" s="1"/>
  <c r="E43" i="30"/>
  <c r="C49" i="30" s="1"/>
  <c r="C55" i="30" s="1"/>
  <c r="B61" i="30" s="1"/>
  <c r="E44" i="30"/>
  <c r="C50" i="30" s="1"/>
  <c r="C56" i="30" s="1"/>
  <c r="B62" i="30" s="1"/>
  <c r="I91" i="32" l="1"/>
  <c r="Z10" i="33"/>
  <c r="AF10" i="33" s="1"/>
  <c r="AH10" i="33" s="1"/>
  <c r="AJ10" i="33" s="1"/>
  <c r="AL10" i="33" s="1"/>
  <c r="AA10" i="33"/>
  <c r="AG10" i="33" s="1"/>
  <c r="AI10" i="33" s="1"/>
  <c r="AK10" i="33" s="1"/>
  <c r="AM10" i="33" s="1"/>
  <c r="D39" i="31"/>
  <c r="D72" i="21"/>
  <c r="B47" i="26"/>
  <c r="B55" i="21"/>
  <c r="P58" i="33"/>
  <c r="R58" i="33" s="1"/>
  <c r="T58" i="33" s="1"/>
  <c r="V58" i="33" s="1"/>
  <c r="H92" i="32" s="1"/>
  <c r="D32" i="22"/>
  <c r="H59" i="33"/>
  <c r="P59" i="33" s="1"/>
  <c r="R59" i="33" s="1"/>
  <c r="T59" i="33" s="1"/>
  <c r="V59" i="33" s="1"/>
  <c r="H93" i="32" s="1"/>
  <c r="G59" i="33"/>
  <c r="O59" i="33" s="1"/>
  <c r="Q59" i="33" s="1"/>
  <c r="S59" i="33" s="1"/>
  <c r="U59" i="33" s="1"/>
  <c r="G93" i="32" s="1"/>
  <c r="F39" i="31"/>
  <c r="D55" i="21"/>
  <c r="D47" i="26"/>
  <c r="E39" i="31"/>
  <c r="P72" i="21"/>
  <c r="C47" i="26"/>
  <c r="C55" i="21"/>
  <c r="D86" i="33"/>
  <c r="W35" i="33"/>
  <c r="D34" i="33"/>
  <c r="J51" i="26"/>
  <c r="M51" i="26" s="1"/>
  <c r="I51" i="26"/>
  <c r="S58" i="32"/>
  <c r="L59" i="32"/>
  <c r="L23" i="32"/>
  <c r="N199" i="32"/>
  <c r="M200" i="32"/>
  <c r="L200" i="32"/>
  <c r="AF153" i="32"/>
  <c r="AH152" i="32"/>
  <c r="AI152" i="32" s="1"/>
  <c r="AA152" i="32"/>
  <c r="Y153" i="32"/>
  <c r="AK152" i="32"/>
  <c r="AG154" i="32"/>
  <c r="AE155" i="32"/>
  <c r="AC151" i="32"/>
  <c r="AM151" i="32"/>
  <c r="AN151" i="32"/>
  <c r="W151" i="32"/>
  <c r="AB153" i="32"/>
  <c r="Z154" i="32"/>
  <c r="AO150" i="32"/>
  <c r="S155" i="32"/>
  <c r="U154" i="32"/>
  <c r="AL152" i="32"/>
  <c r="T153" i="32"/>
  <c r="V152" i="32"/>
  <c r="C58" i="30"/>
  <c r="B64" i="30" s="1"/>
  <c r="E52" i="30"/>
  <c r="D51" i="30"/>
  <c r="D52" i="30"/>
  <c r="D57" i="30"/>
  <c r="B63" i="30"/>
  <c r="D63" i="30" s="1"/>
  <c r="I93" i="32" l="1"/>
  <c r="I92" i="32"/>
  <c r="E40" i="31"/>
  <c r="P73" i="21"/>
  <c r="C48" i="26"/>
  <c r="H60" i="33"/>
  <c r="G60" i="33"/>
  <c r="O60" i="33" s="1"/>
  <c r="Q60" i="33" s="1"/>
  <c r="S60" i="33" s="1"/>
  <c r="U60" i="33" s="1"/>
  <c r="G94" i="32" s="1"/>
  <c r="D40" i="31"/>
  <c r="D73" i="21"/>
  <c r="B48" i="26"/>
  <c r="F40" i="31"/>
  <c r="D48" i="26"/>
  <c r="D33" i="22"/>
  <c r="Z11" i="33"/>
  <c r="AF11" i="33" s="1"/>
  <c r="AH11" i="33" s="1"/>
  <c r="AJ11" i="33" s="1"/>
  <c r="AL11" i="33" s="1"/>
  <c r="AA11" i="33"/>
  <c r="AG11" i="33" s="1"/>
  <c r="AI11" i="33" s="1"/>
  <c r="AK11" i="33" s="1"/>
  <c r="AM11" i="33" s="1"/>
  <c r="D87" i="33"/>
  <c r="W36" i="33"/>
  <c r="D35" i="33"/>
  <c r="I52" i="26"/>
  <c r="J52" i="26"/>
  <c r="M52" i="26" s="1"/>
  <c r="L60" i="32"/>
  <c r="S59" i="32"/>
  <c r="L24" i="32"/>
  <c r="N200" i="32"/>
  <c r="M201" i="32"/>
  <c r="L201" i="32"/>
  <c r="AG155" i="32"/>
  <c r="AE156" i="32"/>
  <c r="AF154" i="32"/>
  <c r="AH153" i="32"/>
  <c r="AI153" i="32" s="1"/>
  <c r="AN152" i="32"/>
  <c r="W152" i="32"/>
  <c r="AA153" i="32"/>
  <c r="Y154" i="32"/>
  <c r="AK153" i="32"/>
  <c r="S156" i="32"/>
  <c r="U155" i="32"/>
  <c r="T154" i="32"/>
  <c r="V153" i="32"/>
  <c r="AL153" i="32"/>
  <c r="Z155" i="32"/>
  <c r="AB154" i="32"/>
  <c r="AO151" i="32"/>
  <c r="AC152" i="32"/>
  <c r="AM152" i="32"/>
  <c r="D58" i="30"/>
  <c r="E58" i="30"/>
  <c r="E64" i="30"/>
  <c r="D64" i="30"/>
  <c r="P60" i="33" l="1"/>
  <c r="R60" i="33" s="1"/>
  <c r="T60" i="33"/>
  <c r="V60" i="33" s="1"/>
  <c r="H94" i="32" s="1"/>
  <c r="D41" i="31"/>
  <c r="B49" i="26"/>
  <c r="D74" i="21"/>
  <c r="G61" i="33"/>
  <c r="H61" i="33"/>
  <c r="P61" i="33" s="1"/>
  <c r="R61" i="33" s="1"/>
  <c r="T61" i="33" s="1"/>
  <c r="V61" i="33" s="1"/>
  <c r="H95" i="32" s="1"/>
  <c r="D34" i="22"/>
  <c r="F41" i="31"/>
  <c r="D49" i="26"/>
  <c r="Z12" i="33"/>
  <c r="AF12" i="33" s="1"/>
  <c r="AH12" i="33" s="1"/>
  <c r="AJ12" i="33" s="1"/>
  <c r="AL12" i="33" s="1"/>
  <c r="AA12" i="33"/>
  <c r="AG12" i="33" s="1"/>
  <c r="AI12" i="33" s="1"/>
  <c r="AK12" i="33" s="1"/>
  <c r="AM12" i="33" s="1"/>
  <c r="E41" i="31"/>
  <c r="C49" i="26"/>
  <c r="P74" i="21"/>
  <c r="D88" i="33"/>
  <c r="W37" i="33"/>
  <c r="D36" i="33"/>
  <c r="I53" i="26"/>
  <c r="J53" i="26"/>
  <c r="M53" i="26" s="1"/>
  <c r="S60" i="32"/>
  <c r="L61" i="32"/>
  <c r="L25" i="32"/>
  <c r="N201" i="32"/>
  <c r="M202" i="32"/>
  <c r="AH154" i="32"/>
  <c r="AI154" i="32" s="1"/>
  <c r="AF155" i="32"/>
  <c r="AG156" i="32"/>
  <c r="AE157" i="32"/>
  <c r="U156" i="32"/>
  <c r="S157" i="32"/>
  <c r="Y155" i="32"/>
  <c r="AA154" i="32"/>
  <c r="AK154" i="32"/>
  <c r="AN153" i="32"/>
  <c r="W153" i="32"/>
  <c r="Z156" i="32"/>
  <c r="AB155" i="32"/>
  <c r="AC153" i="32"/>
  <c r="AM153" i="32"/>
  <c r="AO152" i="32"/>
  <c r="V154" i="32"/>
  <c r="T155" i="32"/>
  <c r="AL154" i="32"/>
  <c r="I94" i="32" l="1"/>
  <c r="Z13" i="33"/>
  <c r="AF13" i="33" s="1"/>
  <c r="AH13" i="33" s="1"/>
  <c r="AJ13" i="33" s="1"/>
  <c r="AL13" i="33" s="1"/>
  <c r="AA13" i="33"/>
  <c r="AG13" i="33" s="1"/>
  <c r="AI13" i="33" s="1"/>
  <c r="AK13" i="33" s="1"/>
  <c r="AM13" i="33" s="1"/>
  <c r="F42" i="31"/>
  <c r="D50" i="26"/>
  <c r="D42" i="31"/>
  <c r="B50" i="26"/>
  <c r="D75" i="21"/>
  <c r="G62" i="33"/>
  <c r="O62" i="33" s="1"/>
  <c r="Q62" i="33" s="1"/>
  <c r="S62" i="33" s="1"/>
  <c r="U62" i="33" s="1"/>
  <c r="G96" i="32" s="1"/>
  <c r="H62" i="33"/>
  <c r="E42" i="31"/>
  <c r="C50" i="26"/>
  <c r="P75" i="21"/>
  <c r="D35" i="22"/>
  <c r="O61" i="33"/>
  <c r="Q61" i="33" s="1"/>
  <c r="S61" i="33" s="1"/>
  <c r="U61" i="33" s="1"/>
  <c r="G95" i="32" s="1"/>
  <c r="D89" i="33"/>
  <c r="W38" i="33"/>
  <c r="D37" i="33"/>
  <c r="J54" i="26"/>
  <c r="M54" i="26" s="1"/>
  <c r="I54" i="26"/>
  <c r="S61" i="32"/>
  <c r="L62" i="32"/>
  <c r="L26" i="32"/>
  <c r="L202" i="32"/>
  <c r="N202" i="32" s="1"/>
  <c r="M203" i="32"/>
  <c r="L203" i="32"/>
  <c r="AO153" i="32"/>
  <c r="AN154" i="32"/>
  <c r="W154" i="32"/>
  <c r="AE158" i="32"/>
  <c r="AG157" i="32"/>
  <c r="AB156" i="32"/>
  <c r="Z157" i="32"/>
  <c r="AC154" i="32"/>
  <c r="AM154" i="32"/>
  <c r="T156" i="32"/>
  <c r="AL155" i="32"/>
  <c r="V155" i="32"/>
  <c r="AA155" i="32"/>
  <c r="Y156" i="32"/>
  <c r="AK155" i="32"/>
  <c r="AH155" i="32"/>
  <c r="AI155" i="32" s="1"/>
  <c r="AF156" i="32"/>
  <c r="U157" i="32"/>
  <c r="S158" i="32"/>
  <c r="I95" i="32" l="1"/>
  <c r="D43" i="31"/>
  <c r="D76" i="21"/>
  <c r="B51" i="26"/>
  <c r="E43" i="31"/>
  <c r="P76" i="21"/>
  <c r="C51" i="26"/>
  <c r="F43" i="31"/>
  <c r="D51" i="26"/>
  <c r="P62" i="33"/>
  <c r="R62" i="33" s="1"/>
  <c r="T62" i="33" s="1"/>
  <c r="V62" i="33" s="1"/>
  <c r="H96" i="32" s="1"/>
  <c r="D36" i="22"/>
  <c r="H63" i="33"/>
  <c r="P63" i="33" s="1"/>
  <c r="R63" i="33" s="1"/>
  <c r="T63" i="33" s="1"/>
  <c r="V63" i="33" s="1"/>
  <c r="H97" i="32" s="1"/>
  <c r="G63" i="33"/>
  <c r="O63" i="33" s="1"/>
  <c r="Q63" i="33" s="1"/>
  <c r="S63" i="33" s="1"/>
  <c r="U63" i="33" s="1"/>
  <c r="G97" i="32" s="1"/>
  <c r="Z14" i="33"/>
  <c r="AF14" i="33" s="1"/>
  <c r="AH14" i="33" s="1"/>
  <c r="AJ14" i="33" s="1"/>
  <c r="AL14" i="33" s="1"/>
  <c r="AA14" i="33"/>
  <c r="AG14" i="33" s="1"/>
  <c r="AI14" i="33" s="1"/>
  <c r="AK14" i="33" s="1"/>
  <c r="AM14" i="33" s="1"/>
  <c r="D90" i="33"/>
  <c r="W39" i="33"/>
  <c r="D38" i="33"/>
  <c r="I55" i="26"/>
  <c r="J55" i="26"/>
  <c r="M55" i="26" s="1"/>
  <c r="S62" i="32"/>
  <c r="L63" i="32"/>
  <c r="L27" i="32"/>
  <c r="N203" i="32"/>
  <c r="M204" i="32"/>
  <c r="L204" i="32"/>
  <c r="AO154" i="32"/>
  <c r="AC155" i="32"/>
  <c r="AM155" i="32"/>
  <c r="AH156" i="32"/>
  <c r="AI156" i="32" s="1"/>
  <c r="AF157" i="32"/>
  <c r="AG158" i="32"/>
  <c r="AE159" i="32"/>
  <c r="AN155" i="32"/>
  <c r="W155" i="32"/>
  <c r="AL156" i="32"/>
  <c r="T157" i="32"/>
  <c r="V156" i="32"/>
  <c r="Z158" i="32"/>
  <c r="AB157" i="32"/>
  <c r="U158" i="32"/>
  <c r="S159" i="32"/>
  <c r="Y157" i="32"/>
  <c r="AA156" i="32"/>
  <c r="AK156" i="32"/>
  <c r="I96" i="32" l="1"/>
  <c r="I97" i="32"/>
  <c r="F44" i="31"/>
  <c r="D52" i="26"/>
  <c r="E44" i="31"/>
  <c r="C52" i="26"/>
  <c r="P77" i="21"/>
  <c r="Z15" i="33"/>
  <c r="AA15" i="33"/>
  <c r="D37" i="22"/>
  <c r="G64" i="33"/>
  <c r="H64" i="33"/>
  <c r="P64" i="33" s="1"/>
  <c r="R64" i="33" s="1"/>
  <c r="T64" i="33" s="1"/>
  <c r="V64" i="33" s="1"/>
  <c r="H98" i="32" s="1"/>
  <c r="D44" i="31"/>
  <c r="B52" i="26"/>
  <c r="D77" i="21"/>
  <c r="D91" i="33"/>
  <c r="W40" i="33"/>
  <c r="D39" i="33"/>
  <c r="I56" i="26"/>
  <c r="J56" i="26"/>
  <c r="M56" i="26" s="1"/>
  <c r="L64" i="32"/>
  <c r="S63" i="32"/>
  <c r="L28" i="32"/>
  <c r="N204" i="32"/>
  <c r="M205" i="32"/>
  <c r="L205" i="32"/>
  <c r="AC156" i="32"/>
  <c r="AM156" i="32"/>
  <c r="S160" i="32"/>
  <c r="U159" i="32"/>
  <c r="AE160" i="32"/>
  <c r="AG159" i="32"/>
  <c r="AH157" i="32"/>
  <c r="AI157" i="32" s="1"/>
  <c r="AF158" i="32"/>
  <c r="AA157" i="32"/>
  <c r="Y158" i="32"/>
  <c r="AK157" i="32"/>
  <c r="AN156" i="32"/>
  <c r="W156" i="32"/>
  <c r="AO155" i="32"/>
  <c r="Z159" i="32"/>
  <c r="AB158" i="32"/>
  <c r="T158" i="32"/>
  <c r="V157" i="32"/>
  <c r="AL157" i="32"/>
  <c r="D45" i="31" l="1"/>
  <c r="D78" i="21"/>
  <c r="B53" i="26"/>
  <c r="Z16" i="33"/>
  <c r="AF16" i="33" s="1"/>
  <c r="AH16" i="33" s="1"/>
  <c r="AJ16" i="33" s="1"/>
  <c r="AL16" i="33" s="1"/>
  <c r="AA16" i="33"/>
  <c r="AG16" i="33" s="1"/>
  <c r="AI16" i="33" s="1"/>
  <c r="AK16" i="33" s="1"/>
  <c r="AM16" i="33" s="1"/>
  <c r="D38" i="22"/>
  <c r="AF15" i="33"/>
  <c r="AH15" i="33" s="1"/>
  <c r="AJ15" i="33" s="1"/>
  <c r="AL15" i="33" s="1"/>
  <c r="O64" i="33"/>
  <c r="Q64" i="33" s="1"/>
  <c r="S64" i="33" s="1"/>
  <c r="U64" i="33" s="1"/>
  <c r="G98" i="32" s="1"/>
  <c r="E45" i="31"/>
  <c r="C53" i="26"/>
  <c r="P78" i="21"/>
  <c r="G65" i="33"/>
  <c r="O65" i="33" s="1"/>
  <c r="Q65" i="33" s="1"/>
  <c r="S65" i="33" s="1"/>
  <c r="U65" i="33" s="1"/>
  <c r="G99" i="32" s="1"/>
  <c r="H65" i="33"/>
  <c r="P65" i="33" s="1"/>
  <c r="R65" i="33" s="1"/>
  <c r="T65" i="33" s="1"/>
  <c r="V65" i="33" s="1"/>
  <c r="H99" i="32" s="1"/>
  <c r="AG15" i="33"/>
  <c r="AI15" i="33" s="1"/>
  <c r="AK15" i="33" s="1"/>
  <c r="AM15" i="33" s="1"/>
  <c r="F45" i="31"/>
  <c r="D53" i="26"/>
  <c r="D92" i="33"/>
  <c r="W41" i="33"/>
  <c r="D40" i="33"/>
  <c r="I57" i="26"/>
  <c r="J57" i="26"/>
  <c r="M57" i="26" s="1"/>
  <c r="L65" i="32"/>
  <c r="S64" i="32"/>
  <c r="L29" i="32"/>
  <c r="N205" i="32"/>
  <c r="M206" i="32"/>
  <c r="L206" i="32"/>
  <c r="AE161" i="32"/>
  <c r="AG160" i="32"/>
  <c r="AF159" i="32"/>
  <c r="AH158" i="32"/>
  <c r="AI158" i="32" s="1"/>
  <c r="Z160" i="32"/>
  <c r="AB159" i="32"/>
  <c r="Y159" i="32"/>
  <c r="AA158" i="32"/>
  <c r="AK158" i="32"/>
  <c r="S161" i="32"/>
  <c r="U160" i="32"/>
  <c r="AO156" i="32"/>
  <c r="V158" i="32"/>
  <c r="T159" i="32"/>
  <c r="AL158" i="32"/>
  <c r="AN157" i="32"/>
  <c r="W157" i="32"/>
  <c r="AC157" i="32"/>
  <c r="AM157" i="32"/>
  <c r="I98" i="32" l="1"/>
  <c r="I99" i="32"/>
  <c r="D39" i="22"/>
  <c r="Z17" i="33"/>
  <c r="AF17" i="33" s="1"/>
  <c r="AH17" i="33" s="1"/>
  <c r="AJ17" i="33" s="1"/>
  <c r="AL17" i="33" s="1"/>
  <c r="AA17" i="33"/>
  <c r="AG17" i="33" s="1"/>
  <c r="AI17" i="33" s="1"/>
  <c r="AK17" i="33" s="1"/>
  <c r="AM17" i="33" s="1"/>
  <c r="E46" i="31"/>
  <c r="C54" i="26"/>
  <c r="P79" i="21"/>
  <c r="G66" i="33"/>
  <c r="H66" i="33"/>
  <c r="P66" i="33" s="1"/>
  <c r="R66" i="33" s="1"/>
  <c r="T66" i="33" s="1"/>
  <c r="V66" i="33" s="1"/>
  <c r="H100" i="32" s="1"/>
  <c r="F46" i="31"/>
  <c r="D54" i="26"/>
  <c r="D46" i="31"/>
  <c r="D79" i="21"/>
  <c r="B54" i="26"/>
  <c r="W42" i="33"/>
  <c r="D41" i="33"/>
  <c r="I58" i="26"/>
  <c r="J58" i="26"/>
  <c r="M58" i="26" s="1"/>
  <c r="L66" i="32"/>
  <c r="S65" i="32"/>
  <c r="D40" i="22" s="1"/>
  <c r="L30" i="32"/>
  <c r="N206" i="32"/>
  <c r="M207" i="32"/>
  <c r="L207" i="32"/>
  <c r="AO157" i="32"/>
  <c r="AB160" i="32"/>
  <c r="Z161" i="32"/>
  <c r="AG161" i="32"/>
  <c r="AE162" i="32"/>
  <c r="AH159" i="32"/>
  <c r="AI159" i="32" s="1"/>
  <c r="AF160" i="32"/>
  <c r="U161" i="32"/>
  <c r="S162" i="32"/>
  <c r="AC158" i="32"/>
  <c r="AM158" i="32"/>
  <c r="AN158" i="32"/>
  <c r="W158" i="32"/>
  <c r="V159" i="32"/>
  <c r="AL159" i="32"/>
  <c r="T160" i="32"/>
  <c r="Y160" i="32"/>
  <c r="AA159" i="32"/>
  <c r="AK159" i="32"/>
  <c r="D47" i="31" l="1"/>
  <c r="D80" i="21"/>
  <c r="B55" i="26"/>
  <c r="E47" i="31"/>
  <c r="P80" i="21"/>
  <c r="C55" i="26"/>
  <c r="H67" i="33"/>
  <c r="P67" i="33" s="1"/>
  <c r="R67" i="33" s="1"/>
  <c r="T67" i="33" s="1"/>
  <c r="V67" i="33" s="1"/>
  <c r="H101" i="32" s="1"/>
  <c r="G67" i="33"/>
  <c r="O67" i="33" s="1"/>
  <c r="Q67" i="33" s="1"/>
  <c r="S67" i="33" s="1"/>
  <c r="U67" i="33" s="1"/>
  <c r="G101" i="32" s="1"/>
  <c r="Z18" i="33"/>
  <c r="AF18" i="33" s="1"/>
  <c r="AH18" i="33" s="1"/>
  <c r="AJ18" i="33" s="1"/>
  <c r="AL18" i="33" s="1"/>
  <c r="AA18" i="33"/>
  <c r="AG18" i="33" s="1"/>
  <c r="AI18" i="33" s="1"/>
  <c r="AK18" i="33" s="1"/>
  <c r="AM18" i="33" s="1"/>
  <c r="O66" i="33"/>
  <c r="Q66" i="33" s="1"/>
  <c r="S66" i="33" s="1"/>
  <c r="U66" i="33" s="1"/>
  <c r="G100" i="32" s="1"/>
  <c r="F47" i="31"/>
  <c r="D55" i="26"/>
  <c r="W43" i="33"/>
  <c r="D42" i="33"/>
  <c r="J59" i="26"/>
  <c r="M59" i="26" s="1"/>
  <c r="I59" i="26"/>
  <c r="L67" i="32"/>
  <c r="S66" i="32"/>
  <c r="D41" i="22" s="1"/>
  <c r="L31" i="32"/>
  <c r="N207" i="32"/>
  <c r="AO158" i="32"/>
  <c r="M208" i="32"/>
  <c r="L208" i="32"/>
  <c r="S163" i="32"/>
  <c r="U162" i="32"/>
  <c r="AC159" i="32"/>
  <c r="AM159" i="32"/>
  <c r="Z162" i="32"/>
  <c r="AB161" i="32"/>
  <c r="AL160" i="32"/>
  <c r="T161" i="32"/>
  <c r="V160" i="32"/>
  <c r="AF161" i="32"/>
  <c r="AH160" i="32"/>
  <c r="AI160" i="32" s="1"/>
  <c r="AG162" i="32"/>
  <c r="AE163" i="32"/>
  <c r="Y161" i="32"/>
  <c r="AA160" i="32"/>
  <c r="AK160" i="32"/>
  <c r="AN159" i="32"/>
  <c r="W159" i="32"/>
  <c r="I100" i="32" l="1"/>
  <c r="I101" i="32"/>
  <c r="E48" i="31"/>
  <c r="P81" i="21"/>
  <c r="C56" i="26"/>
  <c r="Z19" i="33"/>
  <c r="AF19" i="33" s="1"/>
  <c r="AH19" i="33" s="1"/>
  <c r="AJ19" i="33" s="1"/>
  <c r="AL19" i="33" s="1"/>
  <c r="AA19" i="33"/>
  <c r="AG19" i="33" s="1"/>
  <c r="AI19" i="33" s="1"/>
  <c r="AK19" i="33" s="1"/>
  <c r="AM19" i="33" s="1"/>
  <c r="F48" i="31"/>
  <c r="D56" i="26"/>
  <c r="G68" i="33"/>
  <c r="O68" i="33" s="1"/>
  <c r="Q68" i="33" s="1"/>
  <c r="S68" i="33" s="1"/>
  <c r="U68" i="33" s="1"/>
  <c r="G102" i="32" s="1"/>
  <c r="H68" i="33"/>
  <c r="D48" i="31"/>
  <c r="B56" i="26"/>
  <c r="D81" i="21"/>
  <c r="D43" i="33"/>
  <c r="I60" i="26"/>
  <c r="J60" i="26"/>
  <c r="M60" i="26" s="1"/>
  <c r="N208" i="32"/>
  <c r="S67" i="32"/>
  <c r="D42" i="22" s="1"/>
  <c r="L68" i="32"/>
  <c r="L32" i="32"/>
  <c r="M209" i="32"/>
  <c r="L209" i="32"/>
  <c r="V161" i="32"/>
  <c r="T162" i="32"/>
  <c r="AL161" i="32"/>
  <c r="AG163" i="32"/>
  <c r="AE164" i="32"/>
  <c r="S164" i="32"/>
  <c r="U163" i="32"/>
  <c r="Z163" i="32"/>
  <c r="AB162" i="32"/>
  <c r="AH161" i="32"/>
  <c r="AI161" i="32" s="1"/>
  <c r="AF162" i="32"/>
  <c r="AC160" i="32"/>
  <c r="AM160" i="32"/>
  <c r="Y162" i="32"/>
  <c r="AA161" i="32"/>
  <c r="AK161" i="32"/>
  <c r="AO159" i="32"/>
  <c r="AN160" i="32"/>
  <c r="W160" i="32"/>
  <c r="D49" i="31" l="1"/>
  <c r="B57" i="26"/>
  <c r="D82" i="21"/>
  <c r="Z20" i="33"/>
  <c r="AF20" i="33" s="1"/>
  <c r="AH20" i="33" s="1"/>
  <c r="AJ20" i="33" s="1"/>
  <c r="AL20" i="33" s="1"/>
  <c r="AA20" i="33"/>
  <c r="AG20" i="33" s="1"/>
  <c r="AI20" i="33" s="1"/>
  <c r="AK20" i="33" s="1"/>
  <c r="AM20" i="33" s="1"/>
  <c r="G69" i="33"/>
  <c r="O69" i="33" s="1"/>
  <c r="Q69" i="33" s="1"/>
  <c r="S69" i="33" s="1"/>
  <c r="U69" i="33" s="1"/>
  <c r="G103" i="32" s="1"/>
  <c r="H69" i="33"/>
  <c r="P69" i="33" s="1"/>
  <c r="R69" i="33" s="1"/>
  <c r="T69" i="33" s="1"/>
  <c r="V69" i="33" s="1"/>
  <c r="H103" i="32" s="1"/>
  <c r="F49" i="31"/>
  <c r="D57" i="26"/>
  <c r="P68" i="33"/>
  <c r="R68" i="33" s="1"/>
  <c r="T68" i="33" s="1"/>
  <c r="V68" i="33" s="1"/>
  <c r="H102" i="32" s="1"/>
  <c r="E49" i="31"/>
  <c r="C57" i="26"/>
  <c r="P82" i="21"/>
  <c r="I61" i="26"/>
  <c r="J61" i="26"/>
  <c r="M61" i="26" s="1"/>
  <c r="L69" i="32"/>
  <c r="S68" i="32"/>
  <c r="D43" i="22" s="1"/>
  <c r="L33" i="32"/>
  <c r="N209" i="32"/>
  <c r="M210" i="32"/>
  <c r="L210" i="32"/>
  <c r="AE165" i="32"/>
  <c r="AG164" i="32"/>
  <c r="S165" i="32"/>
  <c r="U164" i="32"/>
  <c r="AC161" i="32"/>
  <c r="AM161" i="32"/>
  <c r="V162" i="32"/>
  <c r="AL162" i="32"/>
  <c r="T163" i="32"/>
  <c r="AO160" i="32"/>
  <c r="AA162" i="32"/>
  <c r="Y163" i="32"/>
  <c r="AK162" i="32"/>
  <c r="AH162" i="32"/>
  <c r="AI162" i="32" s="1"/>
  <c r="AF163" i="32"/>
  <c r="Z164" i="32"/>
  <c r="AB163" i="32"/>
  <c r="AN161" i="32"/>
  <c r="W161" i="32"/>
  <c r="B72" i="21"/>
  <c r="I102" i="32" l="1"/>
  <c r="I103" i="32"/>
  <c r="Z21" i="33"/>
  <c r="AF21" i="33" s="1"/>
  <c r="AH21" i="33" s="1"/>
  <c r="AJ21" i="33" s="1"/>
  <c r="AL21" i="33" s="1"/>
  <c r="AA21" i="33"/>
  <c r="AG21" i="33" s="1"/>
  <c r="AI21" i="33" s="1"/>
  <c r="AK21" i="33" s="1"/>
  <c r="AM21" i="33" s="1"/>
  <c r="F50" i="31"/>
  <c r="D58" i="26"/>
  <c r="E50" i="31"/>
  <c r="C58" i="26"/>
  <c r="P83" i="21"/>
  <c r="G70" i="33"/>
  <c r="O70" i="33" s="1"/>
  <c r="Q70" i="33" s="1"/>
  <c r="S70" i="33" s="1"/>
  <c r="U70" i="33" s="1"/>
  <c r="G104" i="32" s="1"/>
  <c r="H70" i="33"/>
  <c r="P70" i="33" s="1"/>
  <c r="R70" i="33" s="1"/>
  <c r="T70" i="33" s="1"/>
  <c r="V70" i="33" s="1"/>
  <c r="H104" i="32" s="1"/>
  <c r="D50" i="31"/>
  <c r="B58" i="26"/>
  <c r="D83" i="21"/>
  <c r="J62" i="26"/>
  <c r="M62" i="26" s="1"/>
  <c r="I62" i="26"/>
  <c r="S69" i="32"/>
  <c r="D44" i="22" s="1"/>
  <c r="L70" i="32"/>
  <c r="L34" i="32"/>
  <c r="N210" i="32"/>
  <c r="M211" i="32"/>
  <c r="L211" i="32"/>
  <c r="AO161" i="32"/>
  <c r="AF164" i="32"/>
  <c r="AH163" i="32"/>
  <c r="AI163" i="32" s="1"/>
  <c r="AB164" i="32"/>
  <c r="Z165" i="32"/>
  <c r="U165" i="32"/>
  <c r="S166" i="32"/>
  <c r="AN162" i="32"/>
  <c r="W162" i="32"/>
  <c r="AC162" i="32"/>
  <c r="AM162" i="32"/>
  <c r="AA163" i="32"/>
  <c r="Y164" i="32"/>
  <c r="AK163" i="32"/>
  <c r="AE166" i="32"/>
  <c r="AG165" i="32"/>
  <c r="T164" i="32"/>
  <c r="V163" i="32"/>
  <c r="AL163" i="32"/>
  <c r="C18" i="26"/>
  <c r="E20" i="23"/>
  <c r="D51" i="31" l="1"/>
  <c r="D84" i="21"/>
  <c r="B59" i="26"/>
  <c r="I104" i="32"/>
  <c r="H71" i="33"/>
  <c r="P71" i="33" s="1"/>
  <c r="R71" i="33" s="1"/>
  <c r="T71" i="33" s="1"/>
  <c r="V71" i="33" s="1"/>
  <c r="H105" i="32" s="1"/>
  <c r="G71" i="33"/>
  <c r="O71" i="33" s="1"/>
  <c r="Q71" i="33" s="1"/>
  <c r="S71" i="33" s="1"/>
  <c r="U71" i="33" s="1"/>
  <c r="G105" i="32" s="1"/>
  <c r="F51" i="31"/>
  <c r="D59" i="26"/>
  <c r="E51" i="31"/>
  <c r="P84" i="21"/>
  <c r="C59" i="26"/>
  <c r="Z22" i="33"/>
  <c r="AF22" i="33" s="1"/>
  <c r="AH22" i="33" s="1"/>
  <c r="AJ22" i="33" s="1"/>
  <c r="AL22" i="33" s="1"/>
  <c r="AA22" i="33"/>
  <c r="AG22" i="33" s="1"/>
  <c r="AI22" i="33" s="1"/>
  <c r="AK22" i="33" s="1"/>
  <c r="AM22" i="33" s="1"/>
  <c r="I63" i="26"/>
  <c r="J63" i="26"/>
  <c r="M63" i="26" s="1"/>
  <c r="S70" i="32"/>
  <c r="D45" i="22" s="1"/>
  <c r="L71" i="32"/>
  <c r="L35" i="32"/>
  <c r="N211" i="32"/>
  <c r="M212" i="32"/>
  <c r="L212" i="32"/>
  <c r="S167" i="32"/>
  <c r="U166" i="32"/>
  <c r="Z166" i="32"/>
  <c r="AB165" i="32"/>
  <c r="AA164" i="32"/>
  <c r="Y165" i="32"/>
  <c r="AK164" i="32"/>
  <c r="AO162" i="32"/>
  <c r="AC163" i="32"/>
  <c r="AM163" i="32"/>
  <c r="AL164" i="32"/>
  <c r="T165" i="32"/>
  <c r="V164" i="32"/>
  <c r="AF165" i="32"/>
  <c r="AH164" i="32"/>
  <c r="AI164" i="32" s="1"/>
  <c r="AG166" i="32"/>
  <c r="AE167" i="32"/>
  <c r="AN163" i="32"/>
  <c r="W163" i="32"/>
  <c r="O72" i="21"/>
  <c r="I105" i="32" l="1"/>
  <c r="G72" i="33"/>
  <c r="O72" i="33" s="1"/>
  <c r="Q72" i="33" s="1"/>
  <c r="S72" i="33" s="1"/>
  <c r="U72" i="33" s="1"/>
  <c r="G106" i="32" s="1"/>
  <c r="H72" i="33"/>
  <c r="P72" i="33" s="1"/>
  <c r="R72" i="33" s="1"/>
  <c r="T72" i="33" s="1"/>
  <c r="V72" i="33" s="1"/>
  <c r="H106" i="32" s="1"/>
  <c r="E52" i="31"/>
  <c r="C60" i="26"/>
  <c r="P85" i="21"/>
  <c r="Z23" i="33"/>
  <c r="AF23" i="33" s="1"/>
  <c r="AH23" i="33" s="1"/>
  <c r="AJ23" i="33" s="1"/>
  <c r="AL23" i="33" s="1"/>
  <c r="AA23" i="33"/>
  <c r="AG23" i="33" s="1"/>
  <c r="AI23" i="33" s="1"/>
  <c r="AK23" i="33" s="1"/>
  <c r="AM23" i="33" s="1"/>
  <c r="F52" i="31"/>
  <c r="D60" i="26"/>
  <c r="D52" i="31"/>
  <c r="B60" i="26"/>
  <c r="D85" i="21"/>
  <c r="I64" i="26"/>
  <c r="J64" i="26"/>
  <c r="M64" i="26" s="1"/>
  <c r="L72" i="32"/>
  <c r="S71" i="32"/>
  <c r="D46" i="22" s="1"/>
  <c r="L36" i="32"/>
  <c r="N212" i="32"/>
  <c r="M213" i="32"/>
  <c r="AO163" i="32"/>
  <c r="Z167" i="32"/>
  <c r="AB166" i="32"/>
  <c r="S168" i="32"/>
  <c r="U167" i="32"/>
  <c r="AH165" i="32"/>
  <c r="AI165" i="32" s="1"/>
  <c r="AF166" i="32"/>
  <c r="AC164" i="32"/>
  <c r="AM164" i="32"/>
  <c r="V165" i="32"/>
  <c r="T166" i="32"/>
  <c r="AL165" i="32"/>
  <c r="Y166" i="32"/>
  <c r="AA165" i="32"/>
  <c r="AK165" i="32"/>
  <c r="AG167" i="32"/>
  <c r="AE168" i="32"/>
  <c r="AN164" i="32"/>
  <c r="W164" i="32"/>
  <c r="Q5" i="25"/>
  <c r="Q4" i="25"/>
  <c r="Q3" i="25"/>
  <c r="O5" i="25"/>
  <c r="O4" i="25"/>
  <c r="O3" i="25"/>
  <c r="M5" i="25"/>
  <c r="M4" i="25"/>
  <c r="M3" i="25"/>
  <c r="K5" i="25"/>
  <c r="K3" i="25"/>
  <c r="I5" i="25"/>
  <c r="I3" i="25"/>
  <c r="G5" i="25"/>
  <c r="G4" i="25"/>
  <c r="E5" i="25"/>
  <c r="E4" i="25"/>
  <c r="E3" i="25"/>
  <c r="C5" i="25"/>
  <c r="C4" i="25"/>
  <c r="C3" i="25"/>
  <c r="F21" i="23"/>
  <c r="F53" i="31" l="1"/>
  <c r="D61" i="26"/>
  <c r="E53" i="31"/>
  <c r="P86" i="21"/>
  <c r="C61" i="26"/>
  <c r="I106" i="32"/>
  <c r="Z24" i="33"/>
  <c r="AA24" i="33"/>
  <c r="AG24" i="33" s="1"/>
  <c r="AI24" i="33" s="1"/>
  <c r="AK24" i="33" s="1"/>
  <c r="AM24" i="33" s="1"/>
  <c r="D53" i="31"/>
  <c r="D86" i="21"/>
  <c r="B61" i="26"/>
  <c r="H73" i="33"/>
  <c r="P73" i="33" s="1"/>
  <c r="R73" i="33" s="1"/>
  <c r="T73" i="33" s="1"/>
  <c r="V73" i="33" s="1"/>
  <c r="H107" i="32" s="1"/>
  <c r="G73" i="33"/>
  <c r="O73" i="33" s="1"/>
  <c r="Q73" i="33" s="1"/>
  <c r="S73" i="33" s="1"/>
  <c r="U73" i="33" s="1"/>
  <c r="G107" i="32" s="1"/>
  <c r="I65" i="26"/>
  <c r="J65" i="26"/>
  <c r="M65" i="26" s="1"/>
  <c r="S72" i="32"/>
  <c r="D47" i="22" s="1"/>
  <c r="L73" i="32"/>
  <c r="L213" i="32"/>
  <c r="N213" i="32" s="1"/>
  <c r="M214" i="32"/>
  <c r="V166" i="32"/>
  <c r="AL166" i="32"/>
  <c r="T167" i="32"/>
  <c r="S169" i="32"/>
  <c r="U168" i="32"/>
  <c r="AO164" i="32"/>
  <c r="AN165" i="32"/>
  <c r="W165" i="32"/>
  <c r="Z168" i="32"/>
  <c r="AB167" i="32"/>
  <c r="AE169" i="32"/>
  <c r="AG168" i="32"/>
  <c r="AH166" i="32"/>
  <c r="AI166" i="32" s="1"/>
  <c r="AF167" i="32"/>
  <c r="AC165" i="32"/>
  <c r="AM165" i="32"/>
  <c r="AA166" i="32"/>
  <c r="Y167" i="32"/>
  <c r="AK166" i="32"/>
  <c r="F22" i="23"/>
  <c r="E21" i="23"/>
  <c r="G19" i="25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D19" i="25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J9" i="25"/>
  <c r="H9" i="25"/>
  <c r="G9" i="25"/>
  <c r="H17" i="25" s="1"/>
  <c r="F9" i="25"/>
  <c r="D9" i="25"/>
  <c r="I9" i="25"/>
  <c r="I17" i="25" s="1"/>
  <c r="E9" i="25"/>
  <c r="F17" i="25" s="1"/>
  <c r="C9" i="25"/>
  <c r="E17" i="25" s="1"/>
  <c r="I4" i="25"/>
  <c r="G3" i="25"/>
  <c r="Q9" i="25"/>
  <c r="I39" i="25" s="1"/>
  <c r="O9" i="25"/>
  <c r="H39" i="25" s="1"/>
  <c r="M9" i="25"/>
  <c r="F39" i="25" s="1"/>
  <c r="K9" i="25"/>
  <c r="E39" i="25" s="1"/>
  <c r="T5" i="25"/>
  <c r="S5" i="25"/>
  <c r="T4" i="25"/>
  <c r="S4" i="25"/>
  <c r="K4" i="25"/>
  <c r="Z25" i="33" l="1"/>
  <c r="AF25" i="33" s="1"/>
  <c r="AH25" i="33" s="1"/>
  <c r="AJ25" i="33" s="1"/>
  <c r="AL25" i="33" s="1"/>
  <c r="AA25" i="33"/>
  <c r="AG25" i="33" s="1"/>
  <c r="AI25" i="33" s="1"/>
  <c r="AK25" i="33" s="1"/>
  <c r="AM25" i="33" s="1"/>
  <c r="I107" i="32"/>
  <c r="AF24" i="33"/>
  <c r="AH24" i="33" s="1"/>
  <c r="AJ24" i="33" s="1"/>
  <c r="AL24" i="33" s="1"/>
  <c r="G74" i="33"/>
  <c r="O74" i="33" s="1"/>
  <c r="Q74" i="33" s="1"/>
  <c r="S74" i="33" s="1"/>
  <c r="U74" i="33" s="1"/>
  <c r="G108" i="32" s="1"/>
  <c r="H74" i="33"/>
  <c r="P74" i="33" s="1"/>
  <c r="R74" i="33" s="1"/>
  <c r="T74" i="33" s="1"/>
  <c r="V74" i="33" s="1"/>
  <c r="H108" i="32" s="1"/>
  <c r="E54" i="31"/>
  <c r="C62" i="26"/>
  <c r="P87" i="21"/>
  <c r="D87" i="21"/>
  <c r="B62" i="26"/>
  <c r="D54" i="31"/>
  <c r="F54" i="31"/>
  <c r="D62" i="26"/>
  <c r="I66" i="26"/>
  <c r="J66" i="26"/>
  <c r="M66" i="26" s="1"/>
  <c r="L74" i="32"/>
  <c r="S74" i="32" s="1"/>
  <c r="D49" i="22" s="1"/>
  <c r="S73" i="32"/>
  <c r="D48" i="22" s="1"/>
  <c r="M215" i="32"/>
  <c r="L214" i="32"/>
  <c r="N214" i="32" s="1"/>
  <c r="L215" i="32"/>
  <c r="AO165" i="32"/>
  <c r="AH167" i="32"/>
  <c r="AI167" i="32" s="1"/>
  <c r="AF168" i="32"/>
  <c r="U169" i="32"/>
  <c r="S170" i="32"/>
  <c r="T168" i="32"/>
  <c r="V167" i="32"/>
  <c r="AL167" i="32"/>
  <c r="AA167" i="32"/>
  <c r="Y168" i="32"/>
  <c r="AK167" i="32"/>
  <c r="AN166" i="32"/>
  <c r="W166" i="32"/>
  <c r="AC166" i="32"/>
  <c r="AM166" i="32"/>
  <c r="AG169" i="32"/>
  <c r="AE170" i="32"/>
  <c r="AB168" i="32"/>
  <c r="Z169" i="32"/>
  <c r="E13" i="25"/>
  <c r="E18" i="25" s="1"/>
  <c r="F13" i="25"/>
  <c r="F31" i="25" s="1"/>
  <c r="F23" i="23"/>
  <c r="E22" i="23"/>
  <c r="I13" i="25"/>
  <c r="R57" i="25"/>
  <c r="H13" i="25"/>
  <c r="H18" i="25" s="1"/>
  <c r="N57" i="25"/>
  <c r="F38" i="25"/>
  <c r="F23" i="25"/>
  <c r="F18" i="25"/>
  <c r="F33" i="25"/>
  <c r="F19" i="25"/>
  <c r="T7" i="25"/>
  <c r="K17" i="25" s="1"/>
  <c r="S7" i="25"/>
  <c r="J17" i="25" s="1"/>
  <c r="E41" i="25"/>
  <c r="E20" i="25"/>
  <c r="I108" i="32" l="1"/>
  <c r="G75" i="33"/>
  <c r="O75" i="33" s="1"/>
  <c r="Q75" i="33" s="1"/>
  <c r="S75" i="33" s="1"/>
  <c r="U75" i="33" s="1"/>
  <c r="G109" i="32" s="1"/>
  <c r="H75" i="33"/>
  <c r="P75" i="33" s="1"/>
  <c r="R75" i="33" s="1"/>
  <c r="T75" i="33" s="1"/>
  <c r="V75" i="33" s="1"/>
  <c r="H109" i="32" s="1"/>
  <c r="P88" i="21"/>
  <c r="C63" i="26"/>
  <c r="E55" i="31"/>
  <c r="F30" i="25"/>
  <c r="F55" i="31"/>
  <c r="D63" i="26"/>
  <c r="F20" i="25"/>
  <c r="Z26" i="33"/>
  <c r="AF26" i="33" s="1"/>
  <c r="AH26" i="33" s="1"/>
  <c r="AJ26" i="33" s="1"/>
  <c r="AL26" i="33" s="1"/>
  <c r="AA26" i="33"/>
  <c r="AG26" i="33" s="1"/>
  <c r="AI26" i="33" s="1"/>
  <c r="AK26" i="33" s="1"/>
  <c r="AM26" i="33" s="1"/>
  <c r="F27" i="25"/>
  <c r="D88" i="21"/>
  <c r="B63" i="26"/>
  <c r="D55" i="31"/>
  <c r="F34" i="25"/>
  <c r="F25" i="25"/>
  <c r="F22" i="25"/>
  <c r="J67" i="26"/>
  <c r="M67" i="26" s="1"/>
  <c r="I67" i="26"/>
  <c r="F32" i="25"/>
  <c r="F42" i="25"/>
  <c r="F29" i="25"/>
  <c r="F36" i="25"/>
  <c r="F26" i="25"/>
  <c r="F21" i="25"/>
  <c r="E43" i="25"/>
  <c r="F28" i="25"/>
  <c r="F41" i="25"/>
  <c r="N215" i="32"/>
  <c r="M216" i="32"/>
  <c r="L216" i="32"/>
  <c r="Z170" i="32"/>
  <c r="AB169" i="32"/>
  <c r="AF169" i="32"/>
  <c r="AH168" i="32"/>
  <c r="AI168" i="32" s="1"/>
  <c r="AN167" i="32"/>
  <c r="W167" i="32"/>
  <c r="AO166" i="32"/>
  <c r="AL168" i="32"/>
  <c r="T169" i="32"/>
  <c r="V168" i="32"/>
  <c r="AG170" i="32"/>
  <c r="AE171" i="32"/>
  <c r="AA168" i="32"/>
  <c r="Y169" i="32"/>
  <c r="AK168" i="32"/>
  <c r="S171" i="32"/>
  <c r="U170" i="32"/>
  <c r="AC167" i="32"/>
  <c r="AM167" i="32"/>
  <c r="H19" i="25"/>
  <c r="H36" i="25"/>
  <c r="N54" i="25" s="1"/>
  <c r="H27" i="25"/>
  <c r="N45" i="25" s="1"/>
  <c r="H31" i="25"/>
  <c r="N49" i="25" s="1"/>
  <c r="H30" i="25"/>
  <c r="N48" i="25" s="1"/>
  <c r="H40" i="25"/>
  <c r="N58" i="25" s="1"/>
  <c r="H35" i="25"/>
  <c r="N53" i="25" s="1"/>
  <c r="H38" i="25"/>
  <c r="N56" i="25" s="1"/>
  <c r="H26" i="25"/>
  <c r="N44" i="25" s="1"/>
  <c r="H22" i="25"/>
  <c r="H21" i="25"/>
  <c r="H32" i="25"/>
  <c r="N50" i="25" s="1"/>
  <c r="H34" i="25"/>
  <c r="N52" i="25" s="1"/>
  <c r="H43" i="25"/>
  <c r="N61" i="25" s="1"/>
  <c r="H29" i="25"/>
  <c r="N47" i="25" s="1"/>
  <c r="E23" i="25"/>
  <c r="F35" i="25"/>
  <c r="F24" i="25"/>
  <c r="F37" i="25"/>
  <c r="H24" i="25"/>
  <c r="N42" i="25" s="1"/>
  <c r="H37" i="25"/>
  <c r="N55" i="25" s="1"/>
  <c r="H25" i="25"/>
  <c r="N43" i="25" s="1"/>
  <c r="H20" i="25"/>
  <c r="H42" i="25"/>
  <c r="N60" i="25" s="1"/>
  <c r="H33" i="25"/>
  <c r="N51" i="25" s="1"/>
  <c r="E33" i="25"/>
  <c r="H28" i="25"/>
  <c r="N46" i="25" s="1"/>
  <c r="H41" i="25"/>
  <c r="N59" i="25" s="1"/>
  <c r="H23" i="25"/>
  <c r="N41" i="25" s="1"/>
  <c r="F43" i="25"/>
  <c r="F40" i="25"/>
  <c r="E25" i="25"/>
  <c r="E35" i="25"/>
  <c r="E40" i="25"/>
  <c r="E30" i="25"/>
  <c r="E26" i="25"/>
  <c r="E28" i="25"/>
  <c r="E19" i="25"/>
  <c r="E31" i="25"/>
  <c r="E22" i="25"/>
  <c r="F24" i="23"/>
  <c r="E23" i="23"/>
  <c r="C14" i="21"/>
  <c r="I42" i="25"/>
  <c r="R60" i="25" s="1"/>
  <c r="I24" i="25"/>
  <c r="R42" i="25" s="1"/>
  <c r="I32" i="25"/>
  <c r="R50" i="25" s="1"/>
  <c r="I20" i="25"/>
  <c r="I28" i="25"/>
  <c r="R46" i="25" s="1"/>
  <c r="I36" i="25"/>
  <c r="R54" i="25" s="1"/>
  <c r="I34" i="25"/>
  <c r="R52" i="25" s="1"/>
  <c r="I35" i="25"/>
  <c r="R53" i="25" s="1"/>
  <c r="I21" i="25"/>
  <c r="I29" i="25"/>
  <c r="R47" i="25" s="1"/>
  <c r="I37" i="25"/>
  <c r="R55" i="25" s="1"/>
  <c r="I22" i="25"/>
  <c r="I30" i="25"/>
  <c r="R48" i="25" s="1"/>
  <c r="I38" i="25"/>
  <c r="R56" i="25" s="1"/>
  <c r="I33" i="25"/>
  <c r="R51" i="25" s="1"/>
  <c r="I26" i="25"/>
  <c r="R44" i="25" s="1"/>
  <c r="I27" i="25"/>
  <c r="R45" i="25" s="1"/>
  <c r="I41" i="25"/>
  <c r="R59" i="25" s="1"/>
  <c r="I23" i="25"/>
  <c r="R41" i="25" s="1"/>
  <c r="I31" i="25"/>
  <c r="R49" i="25" s="1"/>
  <c r="I18" i="25"/>
  <c r="I43" i="25"/>
  <c r="R61" i="25" s="1"/>
  <c r="I25" i="25"/>
  <c r="R43" i="25" s="1"/>
  <c r="I40" i="25"/>
  <c r="R58" i="25" s="1"/>
  <c r="I19" i="25"/>
  <c r="E21" i="25"/>
  <c r="E36" i="25"/>
  <c r="E37" i="25"/>
  <c r="E42" i="25"/>
  <c r="E32" i="25"/>
  <c r="E27" i="25"/>
  <c r="E34" i="25"/>
  <c r="E38" i="25"/>
  <c r="E24" i="25"/>
  <c r="E29" i="25"/>
  <c r="E56" i="31" l="1"/>
  <c r="P89" i="21"/>
  <c r="C64" i="26"/>
  <c r="Z27" i="33"/>
  <c r="AA27" i="33"/>
  <c r="AG27" i="33" s="1"/>
  <c r="AI27" i="33" s="1"/>
  <c r="AK27" i="33" s="1"/>
  <c r="AM27" i="33" s="1"/>
  <c r="H76" i="33"/>
  <c r="P76" i="33" s="1"/>
  <c r="R76" i="33" s="1"/>
  <c r="T76" i="33" s="1"/>
  <c r="V76" i="33" s="1"/>
  <c r="H110" i="32" s="1"/>
  <c r="G76" i="33"/>
  <c r="D56" i="31"/>
  <c r="B64" i="26"/>
  <c r="D89" i="21"/>
  <c r="F56" i="31"/>
  <c r="D64" i="26"/>
  <c r="I109" i="32"/>
  <c r="I68" i="26"/>
  <c r="J68" i="26"/>
  <c r="M68" i="26" s="1"/>
  <c r="AO167" i="32"/>
  <c r="N216" i="32"/>
  <c r="M217" i="32"/>
  <c r="L217" i="32"/>
  <c r="AE172" i="32"/>
  <c r="AG171" i="32"/>
  <c r="AC168" i="32"/>
  <c r="AM168" i="32"/>
  <c r="Y170" i="32"/>
  <c r="AA169" i="32"/>
  <c r="AK169" i="32"/>
  <c r="AH169" i="32"/>
  <c r="AI169" i="32" s="1"/>
  <c r="AF170" i="32"/>
  <c r="AN168" i="32"/>
  <c r="W168" i="32"/>
  <c r="S172" i="32"/>
  <c r="U171" i="32"/>
  <c r="V169" i="32"/>
  <c r="T170" i="32"/>
  <c r="AL169" i="32"/>
  <c r="Z171" i="32"/>
  <c r="AB170" i="32"/>
  <c r="F25" i="23"/>
  <c r="E24" i="23"/>
  <c r="Z28" i="33" l="1"/>
  <c r="AF28" i="33" s="1"/>
  <c r="AH28" i="33" s="1"/>
  <c r="AJ28" i="33" s="1"/>
  <c r="AL28" i="33" s="1"/>
  <c r="AA28" i="33"/>
  <c r="AG28" i="33" s="1"/>
  <c r="AI28" i="33" s="1"/>
  <c r="AK28" i="33" s="1"/>
  <c r="AM28" i="33" s="1"/>
  <c r="AF27" i="33"/>
  <c r="AH27" i="33" s="1"/>
  <c r="AJ27" i="33" s="1"/>
  <c r="AL27" i="33" s="1"/>
  <c r="D57" i="31"/>
  <c r="B65" i="26"/>
  <c r="D90" i="21"/>
  <c r="O76" i="33"/>
  <c r="Q76" i="33" s="1"/>
  <c r="S76" i="33" s="1"/>
  <c r="U76" i="33" s="1"/>
  <c r="G110" i="32" s="1"/>
  <c r="G77" i="33"/>
  <c r="O77" i="33" s="1"/>
  <c r="Q77" i="33" s="1"/>
  <c r="S77" i="33" s="1"/>
  <c r="U77" i="33" s="1"/>
  <c r="G111" i="32" s="1"/>
  <c r="H77" i="33"/>
  <c r="P77" i="33" s="1"/>
  <c r="R77" i="33" s="1"/>
  <c r="T77" i="33" s="1"/>
  <c r="V77" i="33" s="1"/>
  <c r="H111" i="32" s="1"/>
  <c r="F57" i="31"/>
  <c r="D65" i="26"/>
  <c r="E57" i="31"/>
  <c r="C65" i="26"/>
  <c r="P90" i="21"/>
  <c r="I69" i="26"/>
  <c r="J69" i="26"/>
  <c r="M69" i="26" s="1"/>
  <c r="N217" i="32"/>
  <c r="M218" i="32"/>
  <c r="L218" i="32"/>
  <c r="AO168" i="32"/>
  <c r="T171" i="32"/>
  <c r="AL170" i="32"/>
  <c r="V170" i="32"/>
  <c r="AH170" i="32"/>
  <c r="AI170" i="32" s="1"/>
  <c r="AF171" i="32"/>
  <c r="AA170" i="32"/>
  <c r="Y171" i="32"/>
  <c r="AK170" i="32"/>
  <c r="AC169" i="32"/>
  <c r="AM169" i="32"/>
  <c r="AN169" i="32"/>
  <c r="W169" i="32"/>
  <c r="AB171" i="32"/>
  <c r="Z172" i="32"/>
  <c r="S173" i="32"/>
  <c r="U172" i="32"/>
  <c r="AE173" i="32"/>
  <c r="AG172" i="32"/>
  <c r="F26" i="23"/>
  <c r="E25" i="23"/>
  <c r="A4" i="25"/>
  <c r="A5" i="25" s="1"/>
  <c r="I110" i="32" l="1"/>
  <c r="I111" i="32"/>
  <c r="G78" i="33"/>
  <c r="O78" i="33" s="1"/>
  <c r="Q78" i="33" s="1"/>
  <c r="S78" i="33" s="1"/>
  <c r="U78" i="33" s="1"/>
  <c r="G112" i="32" s="1"/>
  <c r="H78" i="33"/>
  <c r="P78" i="33" s="1"/>
  <c r="R78" i="33" s="1"/>
  <c r="T78" i="33" s="1"/>
  <c r="V78" i="33" s="1"/>
  <c r="H112" i="32" s="1"/>
  <c r="D58" i="31"/>
  <c r="B66" i="26"/>
  <c r="D91" i="21"/>
  <c r="E58" i="31"/>
  <c r="C66" i="26"/>
  <c r="P91" i="21"/>
  <c r="F58" i="31"/>
  <c r="D66" i="26"/>
  <c r="Z29" i="33"/>
  <c r="AF29" i="33" s="1"/>
  <c r="AH29" i="33" s="1"/>
  <c r="AJ29" i="33" s="1"/>
  <c r="AL29" i="33" s="1"/>
  <c r="AA29" i="33"/>
  <c r="AG29" i="33" s="1"/>
  <c r="AI29" i="33" s="1"/>
  <c r="AK29" i="33" s="1"/>
  <c r="AM29" i="33" s="1"/>
  <c r="J70" i="26"/>
  <c r="M70" i="26" s="1"/>
  <c r="I70" i="26"/>
  <c r="N218" i="32"/>
  <c r="M219" i="32"/>
  <c r="L219" i="32"/>
  <c r="AF172" i="32"/>
  <c r="AH171" i="32"/>
  <c r="AI171" i="32" s="1"/>
  <c r="AN170" i="32"/>
  <c r="W170" i="32"/>
  <c r="AO169" i="32"/>
  <c r="T172" i="32"/>
  <c r="AL171" i="32"/>
  <c r="V171" i="32"/>
  <c r="Z173" i="32"/>
  <c r="AB172" i="32"/>
  <c r="AG173" i="32"/>
  <c r="AE174" i="32"/>
  <c r="AA171" i="32"/>
  <c r="Y172" i="32"/>
  <c r="AK171" i="32"/>
  <c r="U173" i="32"/>
  <c r="S174" i="32"/>
  <c r="S175" i="32" s="1"/>
  <c r="AC170" i="32"/>
  <c r="AM170" i="32"/>
  <c r="F27" i="23"/>
  <c r="E26" i="23"/>
  <c r="D12" i="28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D29" i="28" s="1"/>
  <c r="D30" i="28" s="1"/>
  <c r="D31" i="28" s="1"/>
  <c r="D32" i="28" s="1"/>
  <c r="D33" i="28" s="1"/>
  <c r="D34" i="28" s="1"/>
  <c r="D35" i="28" s="1"/>
  <c r="D36" i="28" s="1"/>
  <c r="D37" i="28" s="1"/>
  <c r="D38" i="28" s="1"/>
  <c r="D39" i="28" s="1"/>
  <c r="D40" i="28" s="1"/>
  <c r="D41" i="28" s="1"/>
  <c r="I112" i="32" l="1"/>
  <c r="F59" i="31"/>
  <c r="D67" i="26"/>
  <c r="D56" i="21"/>
  <c r="D65" i="21" s="1"/>
  <c r="H79" i="33"/>
  <c r="P79" i="33" s="1"/>
  <c r="R79" i="33" s="1"/>
  <c r="T79" i="33" s="1"/>
  <c r="V79" i="33" s="1"/>
  <c r="H113" i="32" s="1"/>
  <c r="G79" i="33"/>
  <c r="E59" i="31"/>
  <c r="P92" i="21"/>
  <c r="C56" i="21"/>
  <c r="C65" i="21" s="1"/>
  <c r="C67" i="26"/>
  <c r="D59" i="31"/>
  <c r="B56" i="21"/>
  <c r="B65" i="21" s="1"/>
  <c r="D92" i="21"/>
  <c r="B67" i="26"/>
  <c r="Z30" i="33"/>
  <c r="AA30" i="33"/>
  <c r="AG30" i="33" s="1"/>
  <c r="AI30" i="33" s="1"/>
  <c r="AK30" i="33" s="1"/>
  <c r="AM30" i="33" s="1"/>
  <c r="J71" i="26"/>
  <c r="M71" i="26" s="1"/>
  <c r="I71" i="26"/>
  <c r="AG174" i="32"/>
  <c r="AE175" i="32"/>
  <c r="AG175" i="32" s="1"/>
  <c r="U175" i="32"/>
  <c r="AO170" i="32"/>
  <c r="M220" i="32"/>
  <c r="N219" i="32"/>
  <c r="L220" i="32"/>
  <c r="AF173" i="32"/>
  <c r="AH172" i="32"/>
  <c r="AI172" i="32" s="1"/>
  <c r="AN171" i="32"/>
  <c r="W171" i="32"/>
  <c r="V172" i="32"/>
  <c r="AL172" i="32"/>
  <c r="T173" i="32"/>
  <c r="Z174" i="32"/>
  <c r="AB173" i="32"/>
  <c r="Y173" i="32"/>
  <c r="AA172" i="32"/>
  <c r="AK172" i="32"/>
  <c r="U174" i="32"/>
  <c r="AC171" i="32"/>
  <c r="AM171" i="32"/>
  <c r="F28" i="23"/>
  <c r="E27" i="23"/>
  <c r="O79" i="33" l="1"/>
  <c r="Q79" i="33" s="1"/>
  <c r="S79" i="33" s="1"/>
  <c r="U79" i="33" s="1"/>
  <c r="G113" i="32" s="1"/>
  <c r="G80" i="33"/>
  <c r="H80" i="33"/>
  <c r="P80" i="33" s="1"/>
  <c r="R80" i="33" s="1"/>
  <c r="T80" i="33" s="1"/>
  <c r="V80" i="33" s="1"/>
  <c r="H114" i="32" s="1"/>
  <c r="Z31" i="33"/>
  <c r="AF31" i="33" s="1"/>
  <c r="AH31" i="33" s="1"/>
  <c r="AJ31" i="33" s="1"/>
  <c r="AL31" i="33" s="1"/>
  <c r="AA31" i="33"/>
  <c r="AG31" i="33" s="1"/>
  <c r="AI31" i="33" s="1"/>
  <c r="AK31" i="33" s="1"/>
  <c r="AM31" i="33" s="1"/>
  <c r="AF30" i="33"/>
  <c r="AH30" i="33" s="1"/>
  <c r="AJ30" i="33" s="1"/>
  <c r="AL30" i="33" s="1"/>
  <c r="D60" i="31"/>
  <c r="B68" i="26"/>
  <c r="D93" i="21"/>
  <c r="E60" i="31"/>
  <c r="C68" i="26"/>
  <c r="P93" i="21"/>
  <c r="F60" i="31"/>
  <c r="D68" i="26"/>
  <c r="I72" i="26"/>
  <c r="J72" i="26"/>
  <c r="M72" i="26" s="1"/>
  <c r="AB174" i="32"/>
  <c r="Z175" i="32"/>
  <c r="AB175" i="32" s="1"/>
  <c r="M221" i="32"/>
  <c r="N220" i="32"/>
  <c r="L221" i="32"/>
  <c r="AH173" i="32"/>
  <c r="AI173" i="32" s="1"/>
  <c r="AF174" i="32"/>
  <c r="AC172" i="32"/>
  <c r="AM172" i="32"/>
  <c r="Y174" i="32"/>
  <c r="Y175" i="32" s="1"/>
  <c r="AA173" i="32"/>
  <c r="AK173" i="32"/>
  <c r="AN172" i="32"/>
  <c r="W172" i="32"/>
  <c r="AO171" i="32"/>
  <c r="V173" i="32"/>
  <c r="AL173" i="32"/>
  <c r="T174" i="32"/>
  <c r="T175" i="32" s="1"/>
  <c r="F29" i="23"/>
  <c r="E28" i="23"/>
  <c r="I113" i="32" l="1"/>
  <c r="G81" i="33"/>
  <c r="H81" i="33"/>
  <c r="P81" i="33" s="1"/>
  <c r="R81" i="33" s="1"/>
  <c r="T81" i="33" s="1"/>
  <c r="V81" i="33" s="1"/>
  <c r="H115" i="32" s="1"/>
  <c r="F61" i="31"/>
  <c r="D69" i="26"/>
  <c r="O80" i="33"/>
  <c r="Q80" i="33" s="1"/>
  <c r="S80" i="33" s="1"/>
  <c r="U80" i="33" s="1"/>
  <c r="G114" i="32" s="1"/>
  <c r="D61" i="31"/>
  <c r="D94" i="21"/>
  <c r="B69" i="26"/>
  <c r="E61" i="31"/>
  <c r="P94" i="21"/>
  <c r="C69" i="26"/>
  <c r="Z32" i="33"/>
  <c r="AF32" i="33" s="1"/>
  <c r="AH32" i="33" s="1"/>
  <c r="AJ32" i="33" s="1"/>
  <c r="AL32" i="33" s="1"/>
  <c r="AA32" i="33"/>
  <c r="AG32" i="33" s="1"/>
  <c r="AI32" i="33" s="1"/>
  <c r="AK32" i="33" s="1"/>
  <c r="AM32" i="33" s="1"/>
  <c r="J73" i="26"/>
  <c r="M73" i="26" s="1"/>
  <c r="I73" i="26"/>
  <c r="AA175" i="32"/>
  <c r="AK175" i="32"/>
  <c r="AH174" i="32"/>
  <c r="AI174" i="32" s="1"/>
  <c r="AF175" i="32"/>
  <c r="AH175" i="32" s="1"/>
  <c r="AI175" i="32" s="1"/>
  <c r="V175" i="32"/>
  <c r="AL175" i="32"/>
  <c r="S45" i="32"/>
  <c r="N221" i="32"/>
  <c r="M222" i="32"/>
  <c r="AO172" i="32"/>
  <c r="AN173" i="32"/>
  <c r="W173" i="32"/>
  <c r="AL174" i="32"/>
  <c r="V174" i="32"/>
  <c r="AC173" i="32"/>
  <c r="AM173" i="32"/>
  <c r="AA174" i="32"/>
  <c r="AK174" i="32"/>
  <c r="F30" i="23"/>
  <c r="E29" i="23"/>
  <c r="B27" i="25"/>
  <c r="I114" i="32" l="1"/>
  <c r="E62" i="31"/>
  <c r="C70" i="26"/>
  <c r="P95" i="21"/>
  <c r="F62" i="31"/>
  <c r="D70" i="26"/>
  <c r="D20" i="22"/>
  <c r="Z33" i="33"/>
  <c r="AF33" i="33" s="1"/>
  <c r="AH33" i="33" s="1"/>
  <c r="AJ33" i="33" s="1"/>
  <c r="AL33" i="33" s="1"/>
  <c r="AA33" i="33"/>
  <c r="AG33" i="33" s="1"/>
  <c r="AI33" i="33" s="1"/>
  <c r="AK33" i="33" s="1"/>
  <c r="AM33" i="33" s="1"/>
  <c r="D62" i="31"/>
  <c r="D95" i="21"/>
  <c r="B70" i="26"/>
  <c r="H82" i="33"/>
  <c r="P82" i="33" s="1"/>
  <c r="R82" i="33" s="1"/>
  <c r="T82" i="33" s="1"/>
  <c r="V82" i="33" s="1"/>
  <c r="H116" i="32" s="1"/>
  <c r="G82" i="33"/>
  <c r="O82" i="33" s="1"/>
  <c r="Q82" i="33" s="1"/>
  <c r="S82" i="33" s="1"/>
  <c r="U82" i="33" s="1"/>
  <c r="G116" i="32" s="1"/>
  <c r="O81" i="33"/>
  <c r="Q81" i="33" s="1"/>
  <c r="S81" i="33" s="1"/>
  <c r="U81" i="33" s="1"/>
  <c r="G115" i="32" s="1"/>
  <c r="AC175" i="32"/>
  <c r="AM175" i="32"/>
  <c r="I74" i="26"/>
  <c r="J74" i="26"/>
  <c r="M74" i="26" s="1"/>
  <c r="AN175" i="32"/>
  <c r="W175" i="32"/>
  <c r="S75" i="32"/>
  <c r="L222" i="32"/>
  <c r="N222" i="32" s="1"/>
  <c r="AC174" i="32"/>
  <c r="AM174" i="32"/>
  <c r="AO173" i="32"/>
  <c r="AN174" i="32"/>
  <c r="W174" i="32"/>
  <c r="F31" i="23"/>
  <c r="E31" i="23" s="1"/>
  <c r="E30" i="23"/>
  <c r="M42" i="25"/>
  <c r="M43" i="25" s="1"/>
  <c r="M44" i="25" s="1"/>
  <c r="M45" i="25" s="1"/>
  <c r="M46" i="25" s="1"/>
  <c r="M47" i="25" s="1"/>
  <c r="M48" i="25" s="1"/>
  <c r="M49" i="25" s="1"/>
  <c r="M50" i="25" s="1"/>
  <c r="M51" i="25" s="1"/>
  <c r="M52" i="25" s="1"/>
  <c r="M53" i="25" s="1"/>
  <c r="M54" i="25" s="1"/>
  <c r="M55" i="25" s="1"/>
  <c r="M56" i="25" s="1"/>
  <c r="M57" i="25" s="1"/>
  <c r="M58" i="25" s="1"/>
  <c r="M59" i="25" s="1"/>
  <c r="M60" i="25" s="1"/>
  <c r="M61" i="25" s="1"/>
  <c r="C73" i="21"/>
  <c r="I115" i="32" l="1"/>
  <c r="D63" i="31"/>
  <c r="D96" i="21"/>
  <c r="B71" i="26"/>
  <c r="F63" i="31"/>
  <c r="D71" i="26"/>
  <c r="H83" i="33"/>
  <c r="G83" i="33"/>
  <c r="I116" i="32"/>
  <c r="Z34" i="33"/>
  <c r="AF34" i="33" s="1"/>
  <c r="AH34" i="33" s="1"/>
  <c r="AJ34" i="33" s="1"/>
  <c r="AL34" i="33" s="1"/>
  <c r="AA34" i="33"/>
  <c r="AG34" i="33" s="1"/>
  <c r="AI34" i="33" s="1"/>
  <c r="AK34" i="33" s="1"/>
  <c r="AM34" i="33" s="1"/>
  <c r="E63" i="31"/>
  <c r="P96" i="21"/>
  <c r="C71" i="26"/>
  <c r="AO175" i="32"/>
  <c r="I77" i="26" s="1"/>
  <c r="F32" i="23"/>
  <c r="F33" i="23" s="1"/>
  <c r="J75" i="26"/>
  <c r="M75" i="26" s="1"/>
  <c r="I75" i="26"/>
  <c r="AO174" i="32"/>
  <c r="C74" i="21"/>
  <c r="O73" i="21"/>
  <c r="Z35" i="33" l="1"/>
  <c r="AA35" i="33"/>
  <c r="AG35" i="33" s="1"/>
  <c r="AI35" i="33" s="1"/>
  <c r="AK35" i="33" s="1"/>
  <c r="AM35" i="33" s="1"/>
  <c r="F64" i="31"/>
  <c r="D72" i="26"/>
  <c r="E64" i="31"/>
  <c r="P97" i="21"/>
  <c r="C72" i="26"/>
  <c r="D64" i="31"/>
  <c r="D97" i="21"/>
  <c r="B72" i="26"/>
  <c r="O83" i="33"/>
  <c r="Q83" i="33" s="1"/>
  <c r="S83" i="33" s="1"/>
  <c r="U83" i="33" s="1"/>
  <c r="G117" i="32" s="1"/>
  <c r="P83" i="33"/>
  <c r="R83" i="33" s="1"/>
  <c r="T83" i="33" s="1"/>
  <c r="V83" i="33" s="1"/>
  <c r="H117" i="32" s="1"/>
  <c r="H84" i="33"/>
  <c r="P84" i="33" s="1"/>
  <c r="R84" i="33" s="1"/>
  <c r="T84" i="33" s="1"/>
  <c r="V84" i="33" s="1"/>
  <c r="H118" i="32" s="1"/>
  <c r="G84" i="33"/>
  <c r="O84" i="33" s="1"/>
  <c r="Q84" i="33" s="1"/>
  <c r="S84" i="33" s="1"/>
  <c r="U84" i="33" s="1"/>
  <c r="G118" i="32" s="1"/>
  <c r="J77" i="26"/>
  <c r="M77" i="26" s="1"/>
  <c r="I76" i="26"/>
  <c r="J76" i="26"/>
  <c r="M76" i="26" s="1"/>
  <c r="E32" i="23"/>
  <c r="C75" i="21"/>
  <c r="B75" i="21" s="1"/>
  <c r="O74" i="21"/>
  <c r="F34" i="23"/>
  <c r="E33" i="23"/>
  <c r="C6" i="26"/>
  <c r="C7" i="26"/>
  <c r="C8" i="26"/>
  <c r="C5" i="26"/>
  <c r="C16" i="26"/>
  <c r="L39" i="26" s="1"/>
  <c r="L9" i="25"/>
  <c r="N9" i="25"/>
  <c r="P9" i="25"/>
  <c r="R9" i="25"/>
  <c r="T3" i="25"/>
  <c r="S3" i="25"/>
  <c r="B73" i="21"/>
  <c r="B74" i="21"/>
  <c r="G15" i="21"/>
  <c r="F15" i="21"/>
  <c r="E15" i="21"/>
  <c r="D15" i="21"/>
  <c r="C15" i="21"/>
  <c r="G14" i="21"/>
  <c r="F14" i="21"/>
  <c r="E14" i="21"/>
  <c r="D14" i="21"/>
  <c r="H12" i="21"/>
  <c r="H10" i="21"/>
  <c r="H8" i="21"/>
  <c r="H6" i="21"/>
  <c r="I117" i="32" l="1"/>
  <c r="I118" i="32"/>
  <c r="E65" i="31"/>
  <c r="C73" i="26"/>
  <c r="P98" i="21"/>
  <c r="G85" i="33"/>
  <c r="O85" i="33" s="1"/>
  <c r="Q85" i="33" s="1"/>
  <c r="S85" i="33" s="1"/>
  <c r="U85" i="33" s="1"/>
  <c r="G119" i="32" s="1"/>
  <c r="H85" i="33"/>
  <c r="P85" i="33" s="1"/>
  <c r="R85" i="33" s="1"/>
  <c r="T85" i="33" s="1"/>
  <c r="V85" i="33" s="1"/>
  <c r="H119" i="32" s="1"/>
  <c r="Z36" i="33"/>
  <c r="AF36" i="33" s="1"/>
  <c r="AH36" i="33" s="1"/>
  <c r="AJ36" i="33" s="1"/>
  <c r="AL36" i="33" s="1"/>
  <c r="AA36" i="33"/>
  <c r="AG36" i="33" s="1"/>
  <c r="AI36" i="33" s="1"/>
  <c r="AK36" i="33" s="1"/>
  <c r="AM36" i="33" s="1"/>
  <c r="D65" i="31"/>
  <c r="B73" i="26"/>
  <c r="D98" i="21"/>
  <c r="AF35" i="33"/>
  <c r="AH35" i="33" s="1"/>
  <c r="AJ35" i="33" s="1"/>
  <c r="AL35" i="33" s="1"/>
  <c r="F65" i="31"/>
  <c r="D73" i="26"/>
  <c r="B45" i="21"/>
  <c r="R97" i="21" s="1"/>
  <c r="C19" i="26"/>
  <c r="C20" i="26" s="1"/>
  <c r="L77" i="26"/>
  <c r="L62" i="26"/>
  <c r="L67" i="26"/>
  <c r="L73" i="26"/>
  <c r="L71" i="26"/>
  <c r="L50" i="26"/>
  <c r="L60" i="26"/>
  <c r="L55" i="26"/>
  <c r="L59" i="26"/>
  <c r="L49" i="26"/>
  <c r="L75" i="26"/>
  <c r="L46" i="26"/>
  <c r="L65" i="26"/>
  <c r="L63" i="26"/>
  <c r="L44" i="26"/>
  <c r="L70" i="26"/>
  <c r="L76" i="26"/>
  <c r="L69" i="26"/>
  <c r="L47" i="26"/>
  <c r="L40" i="26"/>
  <c r="L61" i="26"/>
  <c r="L54" i="26"/>
  <c r="L68" i="26"/>
  <c r="L41" i="26"/>
  <c r="L57" i="26"/>
  <c r="L64" i="26"/>
  <c r="L72" i="26"/>
  <c r="L45" i="26"/>
  <c r="L48" i="26"/>
  <c r="L43" i="26"/>
  <c r="L53" i="26"/>
  <c r="L58" i="26"/>
  <c r="L66" i="26"/>
  <c r="L56" i="26"/>
  <c r="L52" i="26"/>
  <c r="L51" i="26"/>
  <c r="L74" i="26"/>
  <c r="L42" i="26"/>
  <c r="C76" i="21"/>
  <c r="O75" i="21"/>
  <c r="F35" i="23"/>
  <c r="E34" i="23"/>
  <c r="T9" i="25"/>
  <c r="S9" i="25"/>
  <c r="H14" i="21"/>
  <c r="I4" i="21" s="1"/>
  <c r="Z37" i="33" l="1"/>
  <c r="AF37" i="33" s="1"/>
  <c r="AH37" i="33" s="1"/>
  <c r="AJ37" i="33" s="1"/>
  <c r="AL37" i="33" s="1"/>
  <c r="AA37" i="33"/>
  <c r="AG37" i="33" s="1"/>
  <c r="AI37" i="33" s="1"/>
  <c r="AK37" i="33" s="1"/>
  <c r="AM37" i="33" s="1"/>
  <c r="I119" i="32"/>
  <c r="D66" i="31"/>
  <c r="B74" i="26"/>
  <c r="D99" i="21"/>
  <c r="G86" i="33"/>
  <c r="O86" i="33" s="1"/>
  <c r="Q86" i="33" s="1"/>
  <c r="S86" i="33" s="1"/>
  <c r="U86" i="33" s="1"/>
  <c r="G120" i="32" s="1"/>
  <c r="H86" i="33"/>
  <c r="P86" i="33" s="1"/>
  <c r="R86" i="33" s="1"/>
  <c r="T86" i="33" s="1"/>
  <c r="V86" i="33" s="1"/>
  <c r="H120" i="32" s="1"/>
  <c r="F66" i="31"/>
  <c r="D74" i="26"/>
  <c r="E66" i="31"/>
  <c r="C74" i="26"/>
  <c r="P99" i="21"/>
  <c r="E72" i="21"/>
  <c r="F72" i="21" s="1"/>
  <c r="G72" i="21" s="1"/>
  <c r="R98" i="21"/>
  <c r="R99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D26" i="26"/>
  <c r="C77" i="21"/>
  <c r="O76" i="21"/>
  <c r="B76" i="21"/>
  <c r="D28" i="26"/>
  <c r="D25" i="26"/>
  <c r="D24" i="26"/>
  <c r="D27" i="26"/>
  <c r="J39" i="25"/>
  <c r="P57" i="25" s="1"/>
  <c r="S12" i="25"/>
  <c r="S13" i="25" s="1"/>
  <c r="K39" i="25"/>
  <c r="K13" i="25" s="1"/>
  <c r="T12" i="25"/>
  <c r="T13" i="25" s="1"/>
  <c r="F36" i="23"/>
  <c r="E35" i="23"/>
  <c r="B29" i="25"/>
  <c r="I14" i="21"/>
  <c r="I6" i="21"/>
  <c r="I10" i="21"/>
  <c r="I8" i="21"/>
  <c r="I12" i="21"/>
  <c r="I120" i="32" l="1"/>
  <c r="E67" i="31"/>
  <c r="C75" i="26"/>
  <c r="P100" i="21"/>
  <c r="F67" i="31"/>
  <c r="D75" i="26"/>
  <c r="D67" i="31"/>
  <c r="D100" i="21"/>
  <c r="B75" i="26"/>
  <c r="J13" i="25"/>
  <c r="J72" i="21"/>
  <c r="H87" i="33"/>
  <c r="P87" i="33" s="1"/>
  <c r="R87" i="33" s="1"/>
  <c r="T87" i="33" s="1"/>
  <c r="V87" i="33" s="1"/>
  <c r="H121" i="32" s="1"/>
  <c r="G87" i="33"/>
  <c r="O87" i="33" s="1"/>
  <c r="Q87" i="33" s="1"/>
  <c r="S87" i="33" s="1"/>
  <c r="U87" i="33" s="1"/>
  <c r="G121" i="32" s="1"/>
  <c r="Z38" i="33"/>
  <c r="AF38" i="33" s="1"/>
  <c r="AH38" i="33" s="1"/>
  <c r="AJ38" i="33" s="1"/>
  <c r="AL38" i="33" s="1"/>
  <c r="AA38" i="33"/>
  <c r="AG38" i="33" s="1"/>
  <c r="AI38" i="33" s="1"/>
  <c r="AK38" i="33" s="1"/>
  <c r="AM38" i="33" s="1"/>
  <c r="M72" i="21"/>
  <c r="H72" i="21"/>
  <c r="K72" i="21"/>
  <c r="U73" i="21"/>
  <c r="L72" i="21"/>
  <c r="R100" i="21"/>
  <c r="I72" i="21"/>
  <c r="T57" i="25"/>
  <c r="C78" i="21"/>
  <c r="O77" i="21"/>
  <c r="B77" i="21"/>
  <c r="U13" i="25"/>
  <c r="F37" i="23"/>
  <c r="E36" i="23"/>
  <c r="G36" i="23" s="1"/>
  <c r="K30" i="25"/>
  <c r="T48" i="25" s="1"/>
  <c r="K31" i="25"/>
  <c r="T49" i="25" s="1"/>
  <c r="K37" i="25"/>
  <c r="T55" i="25" s="1"/>
  <c r="K19" i="25"/>
  <c r="K26" i="25"/>
  <c r="T44" i="25" s="1"/>
  <c r="K21" i="25"/>
  <c r="K40" i="25"/>
  <c r="T58" i="25" s="1"/>
  <c r="K36" i="25"/>
  <c r="T54" i="25" s="1"/>
  <c r="K27" i="25"/>
  <c r="T45" i="25" s="1"/>
  <c r="K28" i="25"/>
  <c r="T46" i="25" s="1"/>
  <c r="K32" i="25"/>
  <c r="T50" i="25" s="1"/>
  <c r="K42" i="25"/>
  <c r="T60" i="25" s="1"/>
  <c r="K41" i="25"/>
  <c r="T59" i="25" s="1"/>
  <c r="K18" i="25"/>
  <c r="K43" i="25"/>
  <c r="T61" i="25" s="1"/>
  <c r="K20" i="25"/>
  <c r="K38" i="25"/>
  <c r="T56" i="25" s="1"/>
  <c r="K25" i="25"/>
  <c r="T43" i="25" s="1"/>
  <c r="K33" i="25"/>
  <c r="T51" i="25" s="1"/>
  <c r="K23" i="25"/>
  <c r="T41" i="25" s="1"/>
  <c r="K29" i="25"/>
  <c r="T47" i="25" s="1"/>
  <c r="K35" i="25"/>
  <c r="T53" i="25" s="1"/>
  <c r="K34" i="25"/>
  <c r="T52" i="25" s="1"/>
  <c r="K22" i="25"/>
  <c r="K24" i="25"/>
  <c r="T42" i="25" s="1"/>
  <c r="J18" i="25"/>
  <c r="J34" i="25"/>
  <c r="P52" i="25" s="1"/>
  <c r="J28" i="25"/>
  <c r="P46" i="25" s="1"/>
  <c r="J42" i="25"/>
  <c r="P60" i="25" s="1"/>
  <c r="J38" i="25"/>
  <c r="P56" i="25" s="1"/>
  <c r="J20" i="25"/>
  <c r="J30" i="25"/>
  <c r="P48" i="25" s="1"/>
  <c r="J35" i="25"/>
  <c r="P53" i="25" s="1"/>
  <c r="J33" i="25"/>
  <c r="P51" i="25" s="1"/>
  <c r="J23" i="25"/>
  <c r="P41" i="25" s="1"/>
  <c r="J24" i="25"/>
  <c r="P42" i="25" s="1"/>
  <c r="J21" i="25"/>
  <c r="J22" i="25"/>
  <c r="J27" i="25"/>
  <c r="P45" i="25" s="1"/>
  <c r="J25" i="25"/>
  <c r="P43" i="25" s="1"/>
  <c r="J43" i="25"/>
  <c r="P61" i="25" s="1"/>
  <c r="J36" i="25"/>
  <c r="P54" i="25" s="1"/>
  <c r="J26" i="25"/>
  <c r="P44" i="25" s="1"/>
  <c r="J19" i="25"/>
  <c r="J40" i="25"/>
  <c r="P58" i="25" s="1"/>
  <c r="J29" i="25"/>
  <c r="P47" i="25" s="1"/>
  <c r="J32" i="25"/>
  <c r="P50" i="25" s="1"/>
  <c r="J31" i="25"/>
  <c r="P49" i="25" s="1"/>
  <c r="J37" i="25"/>
  <c r="P55" i="25" s="1"/>
  <c r="J41" i="25"/>
  <c r="P59" i="25" s="1"/>
  <c r="O46" i="25"/>
  <c r="O56" i="25"/>
  <c r="O58" i="25"/>
  <c r="Q58" i="25" s="1"/>
  <c r="S48" i="25"/>
  <c r="S60" i="25"/>
  <c r="S43" i="25"/>
  <c r="O45" i="25"/>
  <c r="S59" i="25"/>
  <c r="O53" i="25"/>
  <c r="O42" i="25"/>
  <c r="Q42" i="25" s="1"/>
  <c r="S53" i="25"/>
  <c r="O54" i="25"/>
  <c r="O57" i="25"/>
  <c r="Q57" i="25" s="1"/>
  <c r="O59" i="25"/>
  <c r="S46" i="25"/>
  <c r="S49" i="25"/>
  <c r="U49" i="25" s="1"/>
  <c r="S61" i="25"/>
  <c r="S54" i="25"/>
  <c r="S41" i="25"/>
  <c r="S45" i="25"/>
  <c r="O47" i="25"/>
  <c r="O43" i="25"/>
  <c r="O51" i="25"/>
  <c r="O44" i="25"/>
  <c r="S57" i="25"/>
  <c r="U57" i="25" s="1"/>
  <c r="S51" i="25"/>
  <c r="O60" i="25"/>
  <c r="Q60" i="25" s="1"/>
  <c r="O52" i="25"/>
  <c r="S44" i="25"/>
  <c r="S42" i="25"/>
  <c r="S55" i="25"/>
  <c r="O48" i="25"/>
  <c r="S58" i="25"/>
  <c r="O61" i="25"/>
  <c r="O49" i="25"/>
  <c r="S56" i="25"/>
  <c r="S52" i="25"/>
  <c r="U52" i="25" s="1"/>
  <c r="S50" i="25"/>
  <c r="O41" i="25"/>
  <c r="S47" i="25"/>
  <c r="O50" i="25"/>
  <c r="O55" i="25"/>
  <c r="I121" i="32" l="1"/>
  <c r="Z39" i="33"/>
  <c r="AF39" i="33" s="1"/>
  <c r="AH39" i="33" s="1"/>
  <c r="AJ39" i="33" s="1"/>
  <c r="AL39" i="33" s="1"/>
  <c r="AA39" i="33"/>
  <c r="AG39" i="33" s="1"/>
  <c r="AI39" i="33" s="1"/>
  <c r="AK39" i="33" s="1"/>
  <c r="AM39" i="33" s="1"/>
  <c r="G88" i="33"/>
  <c r="O88" i="33" s="1"/>
  <c r="Q88" i="33" s="1"/>
  <c r="S88" i="33" s="1"/>
  <c r="U88" i="33" s="1"/>
  <c r="G122" i="32" s="1"/>
  <c r="H88" i="33"/>
  <c r="P88" i="33" s="1"/>
  <c r="R88" i="33" s="1"/>
  <c r="T88" i="33" s="1"/>
  <c r="V88" i="33" s="1"/>
  <c r="H122" i="32" s="1"/>
  <c r="D68" i="31"/>
  <c r="B76" i="26"/>
  <c r="D101" i="21"/>
  <c r="F68" i="31"/>
  <c r="D76" i="26"/>
  <c r="E68" i="31"/>
  <c r="C76" i="26"/>
  <c r="P101" i="21"/>
  <c r="R101" i="21"/>
  <c r="U101" i="21" s="1"/>
  <c r="G37" i="23"/>
  <c r="N72" i="21"/>
  <c r="U72" i="21"/>
  <c r="S72" i="21"/>
  <c r="T72" i="21" s="1"/>
  <c r="U95" i="21"/>
  <c r="S95" i="21"/>
  <c r="T95" i="21" s="1"/>
  <c r="U83" i="21"/>
  <c r="S83" i="21"/>
  <c r="T83" i="21" s="1"/>
  <c r="U87" i="21"/>
  <c r="S87" i="21"/>
  <c r="T87" i="21" s="1"/>
  <c r="S94" i="21"/>
  <c r="T94" i="21" s="1"/>
  <c r="U94" i="21"/>
  <c r="U91" i="21"/>
  <c r="S91" i="21"/>
  <c r="T91" i="21" s="1"/>
  <c r="S86" i="21"/>
  <c r="T86" i="21" s="1"/>
  <c r="U86" i="21"/>
  <c r="U79" i="21"/>
  <c r="S79" i="21"/>
  <c r="T79" i="21" s="1"/>
  <c r="U75" i="21"/>
  <c r="S75" i="21"/>
  <c r="T75" i="21" s="1"/>
  <c r="S92" i="21"/>
  <c r="T92" i="21" s="1"/>
  <c r="U92" i="21"/>
  <c r="S81" i="21"/>
  <c r="T81" i="21" s="1"/>
  <c r="U81" i="21"/>
  <c r="S98" i="21"/>
  <c r="T98" i="21" s="1"/>
  <c r="U98" i="21"/>
  <c r="S78" i="21"/>
  <c r="T78" i="21" s="1"/>
  <c r="U78" i="21"/>
  <c r="U96" i="21"/>
  <c r="S96" i="21"/>
  <c r="T96" i="21" s="1"/>
  <c r="S90" i="21"/>
  <c r="T90" i="21" s="1"/>
  <c r="U90" i="21"/>
  <c r="U99" i="21"/>
  <c r="S99" i="21"/>
  <c r="T99" i="21" s="1"/>
  <c r="S100" i="21"/>
  <c r="T100" i="21" s="1"/>
  <c r="U100" i="21"/>
  <c r="S76" i="21"/>
  <c r="T76" i="21" s="1"/>
  <c r="U76" i="21"/>
  <c r="S89" i="21"/>
  <c r="T89" i="21" s="1"/>
  <c r="U89" i="21"/>
  <c r="U80" i="21"/>
  <c r="S80" i="21"/>
  <c r="T80" i="21" s="1"/>
  <c r="S85" i="21"/>
  <c r="T85" i="21" s="1"/>
  <c r="U85" i="21"/>
  <c r="S82" i="21"/>
  <c r="T82" i="21" s="1"/>
  <c r="U82" i="21"/>
  <c r="S84" i="21"/>
  <c r="T84" i="21" s="1"/>
  <c r="U84" i="21"/>
  <c r="S73" i="21"/>
  <c r="T73" i="21" s="1"/>
  <c r="V73" i="21" s="1"/>
  <c r="S93" i="21"/>
  <c r="T93" i="21" s="1"/>
  <c r="U93" i="21"/>
  <c r="U88" i="21"/>
  <c r="S88" i="21"/>
  <c r="T88" i="21" s="1"/>
  <c r="S97" i="21"/>
  <c r="T97" i="21" s="1"/>
  <c r="U97" i="21"/>
  <c r="S77" i="21"/>
  <c r="T77" i="21" s="1"/>
  <c r="U77" i="21"/>
  <c r="S74" i="21"/>
  <c r="T74" i="21" s="1"/>
  <c r="U74" i="21"/>
  <c r="U55" i="25"/>
  <c r="U46" i="25"/>
  <c r="U50" i="25"/>
  <c r="Q59" i="25"/>
  <c r="U43" i="25"/>
  <c r="Q54" i="25"/>
  <c r="G20" i="23"/>
  <c r="H20" i="23" s="1"/>
  <c r="G21" i="23"/>
  <c r="H21" i="23" s="1"/>
  <c r="U51" i="25"/>
  <c r="C79" i="21"/>
  <c r="O78" i="21"/>
  <c r="B78" i="21"/>
  <c r="U60" i="25"/>
  <c r="V60" i="25" s="1"/>
  <c r="W60" i="25" s="1"/>
  <c r="Q46" i="25"/>
  <c r="U44" i="25"/>
  <c r="U56" i="25"/>
  <c r="U45" i="25"/>
  <c r="U48" i="25"/>
  <c r="F38" i="23"/>
  <c r="G38" i="23" s="1"/>
  <c r="E37" i="23"/>
  <c r="B14" i="23"/>
  <c r="B15" i="23" s="1"/>
  <c r="G29" i="23"/>
  <c r="H29" i="23" s="1"/>
  <c r="G30" i="23"/>
  <c r="H30" i="23" s="1"/>
  <c r="G25" i="23"/>
  <c r="H25" i="23" s="1"/>
  <c r="G31" i="23"/>
  <c r="H31" i="23" s="1"/>
  <c r="G26" i="23"/>
  <c r="H26" i="23" s="1"/>
  <c r="G28" i="23"/>
  <c r="H28" i="23" s="1"/>
  <c r="G27" i="23"/>
  <c r="H27" i="23" s="1"/>
  <c r="G24" i="23"/>
  <c r="H24" i="23" s="1"/>
  <c r="G22" i="23"/>
  <c r="H22" i="23" s="1"/>
  <c r="G23" i="23"/>
  <c r="H23" i="23" s="1"/>
  <c r="U42" i="25"/>
  <c r="V42" i="25" s="1"/>
  <c r="W42" i="25" s="1"/>
  <c r="X42" i="25" s="1"/>
  <c r="U41" i="25"/>
  <c r="U58" i="25"/>
  <c r="V58" i="25" s="1"/>
  <c r="W58" i="25" s="1"/>
  <c r="X58" i="25" s="1"/>
  <c r="U47" i="25"/>
  <c r="Q43" i="25"/>
  <c r="V43" i="25" s="1"/>
  <c r="W43" i="25" s="1"/>
  <c r="Q47" i="25"/>
  <c r="Q56" i="25"/>
  <c r="Q51" i="25"/>
  <c r="U59" i="25"/>
  <c r="V59" i="25" s="1"/>
  <c r="W59" i="25" s="1"/>
  <c r="X59" i="25" s="1"/>
  <c r="U53" i="25"/>
  <c r="U54" i="25"/>
  <c r="V54" i="25" s="1"/>
  <c r="W54" i="25" s="1"/>
  <c r="U61" i="25"/>
  <c r="Q55" i="25"/>
  <c r="Q61" i="25"/>
  <c r="Q50" i="25"/>
  <c r="Q53" i="25"/>
  <c r="Q41" i="25"/>
  <c r="Q45" i="25"/>
  <c r="Q52" i="25"/>
  <c r="V52" i="25" s="1"/>
  <c r="W52" i="25" s="1"/>
  <c r="Q49" i="25"/>
  <c r="V49" i="25" s="1"/>
  <c r="W49" i="25" s="1"/>
  <c r="Q48" i="25"/>
  <c r="Q44" i="25"/>
  <c r="V57" i="25"/>
  <c r="W57" i="25" s="1"/>
  <c r="G35" i="23"/>
  <c r="H35" i="23" s="1"/>
  <c r="G34" i="23"/>
  <c r="H34" i="23" s="1"/>
  <c r="G33" i="23"/>
  <c r="H33" i="23" s="1"/>
  <c r="H36" i="23"/>
  <c r="G32" i="23"/>
  <c r="H32" i="23" s="1"/>
  <c r="E73" i="21"/>
  <c r="H73" i="21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C41" i="5"/>
  <c r="Z40" i="33" l="1"/>
  <c r="AF40" i="33" s="1"/>
  <c r="AH40" i="33" s="1"/>
  <c r="AJ40" i="33" s="1"/>
  <c r="AL40" i="33" s="1"/>
  <c r="AA40" i="33"/>
  <c r="AG40" i="33" s="1"/>
  <c r="AI40" i="33" s="1"/>
  <c r="AK40" i="33" s="1"/>
  <c r="AM40" i="33" s="1"/>
  <c r="P102" i="21"/>
  <c r="C57" i="21"/>
  <c r="C66" i="21" s="1"/>
  <c r="C77" i="26"/>
  <c r="D57" i="21"/>
  <c r="D66" i="21" s="1"/>
  <c r="D77" i="26"/>
  <c r="B57" i="21"/>
  <c r="B66" i="21" s="1"/>
  <c r="D102" i="21"/>
  <c r="B77" i="26"/>
  <c r="G89" i="33"/>
  <c r="H89" i="33"/>
  <c r="P89" i="33" s="1"/>
  <c r="R89" i="33" s="1"/>
  <c r="T89" i="33" s="1"/>
  <c r="V89" i="33" s="1"/>
  <c r="H123" i="32" s="1"/>
  <c r="C14" i="5"/>
  <c r="C3" i="5"/>
  <c r="C4" i="5"/>
  <c r="I122" i="32"/>
  <c r="S101" i="21"/>
  <c r="T101" i="21" s="1"/>
  <c r="H37" i="23"/>
  <c r="R102" i="21"/>
  <c r="C40" i="5"/>
  <c r="C39" i="5"/>
  <c r="C38" i="5"/>
  <c r="C32" i="5"/>
  <c r="C35" i="5"/>
  <c r="C37" i="5"/>
  <c r="C34" i="5"/>
  <c r="C36" i="5"/>
  <c r="C33" i="5"/>
  <c r="C30" i="5"/>
  <c r="C31" i="5"/>
  <c r="C29" i="5"/>
  <c r="V44" i="25"/>
  <c r="W44" i="25" s="1"/>
  <c r="V46" i="25"/>
  <c r="W46" i="25" s="1"/>
  <c r="V50" i="25"/>
  <c r="W50" i="25" s="1"/>
  <c r="E20" i="28" s="1"/>
  <c r="F20" i="28" s="1"/>
  <c r="V82" i="21"/>
  <c r="Z82" i="21"/>
  <c r="W82" i="21"/>
  <c r="X82" i="21"/>
  <c r="Y82" i="21"/>
  <c r="X76" i="21"/>
  <c r="Y76" i="21"/>
  <c r="W76" i="21"/>
  <c r="V76" i="21"/>
  <c r="Z76" i="21"/>
  <c r="W81" i="21"/>
  <c r="V81" i="21"/>
  <c r="Y81" i="21"/>
  <c r="X81" i="21"/>
  <c r="Z81" i="21"/>
  <c r="Z86" i="21"/>
  <c r="V86" i="21"/>
  <c r="W86" i="21"/>
  <c r="Y86" i="21"/>
  <c r="X86" i="21"/>
  <c r="W93" i="21"/>
  <c r="X93" i="21"/>
  <c r="Z93" i="21"/>
  <c r="V93" i="21"/>
  <c r="Y93" i="21"/>
  <c r="W85" i="21"/>
  <c r="X85" i="21"/>
  <c r="Z85" i="21"/>
  <c r="V85" i="21"/>
  <c r="Y85" i="21"/>
  <c r="X100" i="21"/>
  <c r="Y100" i="21"/>
  <c r="V100" i="21"/>
  <c r="W100" i="21"/>
  <c r="Z100" i="21"/>
  <c r="Z78" i="21"/>
  <c r="V78" i="21"/>
  <c r="W78" i="21"/>
  <c r="Y78" i="21"/>
  <c r="X78" i="21"/>
  <c r="X92" i="21"/>
  <c r="Y92" i="21"/>
  <c r="W92" i="21"/>
  <c r="V92" i="21"/>
  <c r="Z92" i="21"/>
  <c r="X80" i="21"/>
  <c r="W80" i="21"/>
  <c r="Z80" i="21"/>
  <c r="V80" i="21"/>
  <c r="Y80" i="21"/>
  <c r="Y99" i="21"/>
  <c r="Z99" i="21"/>
  <c r="W99" i="21"/>
  <c r="V99" i="21"/>
  <c r="X99" i="21"/>
  <c r="Y75" i="21"/>
  <c r="Z75" i="21"/>
  <c r="V75" i="21"/>
  <c r="X75" i="21"/>
  <c r="W75" i="21"/>
  <c r="Y95" i="21"/>
  <c r="V95" i="21"/>
  <c r="X95" i="21"/>
  <c r="W95" i="21"/>
  <c r="Z95" i="21"/>
  <c r="Y83" i="21"/>
  <c r="Z83" i="21"/>
  <c r="V83" i="21"/>
  <c r="W83" i="21"/>
  <c r="X83" i="21"/>
  <c r="W77" i="21"/>
  <c r="X77" i="21"/>
  <c r="Z77" i="21"/>
  <c r="V77" i="21"/>
  <c r="Y77" i="21"/>
  <c r="W73" i="21"/>
  <c r="X73" i="21"/>
  <c r="Y73" i="21"/>
  <c r="Z73" i="21"/>
  <c r="V98" i="21"/>
  <c r="Z98" i="21"/>
  <c r="X98" i="21"/>
  <c r="W98" i="21"/>
  <c r="Y98" i="21"/>
  <c r="Z94" i="21"/>
  <c r="V94" i="21"/>
  <c r="W94" i="21"/>
  <c r="Y94" i="21"/>
  <c r="X94" i="21"/>
  <c r="Y91" i="21"/>
  <c r="Z91" i="21"/>
  <c r="V91" i="21"/>
  <c r="X91" i="21"/>
  <c r="W91" i="21"/>
  <c r="Y79" i="21"/>
  <c r="V79" i="21"/>
  <c r="X79" i="21"/>
  <c r="W79" i="21"/>
  <c r="Z79" i="21"/>
  <c r="Y87" i="21"/>
  <c r="V87" i="21"/>
  <c r="X87" i="21"/>
  <c r="Z87" i="21"/>
  <c r="W87" i="21"/>
  <c r="Y72" i="21"/>
  <c r="V72" i="21"/>
  <c r="X72" i="21"/>
  <c r="Z72" i="21"/>
  <c r="W72" i="21"/>
  <c r="W97" i="21"/>
  <c r="V97" i="21"/>
  <c r="Y97" i="21"/>
  <c r="X97" i="21"/>
  <c r="Z97" i="21"/>
  <c r="X84" i="21"/>
  <c r="Y84" i="21"/>
  <c r="V84" i="21"/>
  <c r="Z84" i="21"/>
  <c r="W84" i="21"/>
  <c r="W89" i="21"/>
  <c r="V89" i="21"/>
  <c r="X89" i="21"/>
  <c r="Z89" i="21"/>
  <c r="Y89" i="21"/>
  <c r="V90" i="21"/>
  <c r="Z90" i="21"/>
  <c r="W90" i="21"/>
  <c r="Y90" i="21"/>
  <c r="X90" i="21"/>
  <c r="W101" i="21"/>
  <c r="X101" i="21"/>
  <c r="Z101" i="21"/>
  <c r="V101" i="21"/>
  <c r="Y101" i="21"/>
  <c r="V74" i="21"/>
  <c r="Z74" i="21"/>
  <c r="W74" i="21"/>
  <c r="Y74" i="21"/>
  <c r="X74" i="21"/>
  <c r="X88" i="21"/>
  <c r="W88" i="21"/>
  <c r="Y88" i="21"/>
  <c r="Z88" i="21"/>
  <c r="V88" i="21"/>
  <c r="W96" i="21"/>
  <c r="X96" i="21"/>
  <c r="V96" i="21"/>
  <c r="Y96" i="21"/>
  <c r="Z96" i="21"/>
  <c r="V55" i="25"/>
  <c r="W55" i="25" s="1"/>
  <c r="E25" i="28" s="1"/>
  <c r="F25" i="28" s="1"/>
  <c r="G25" i="28" s="1"/>
  <c r="V51" i="25"/>
  <c r="W51" i="25" s="1"/>
  <c r="X51" i="25" s="1"/>
  <c r="B29" i="5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C13" i="5"/>
  <c r="C19" i="5"/>
  <c r="V45" i="25"/>
  <c r="W45" i="25" s="1"/>
  <c r="X45" i="25" s="1"/>
  <c r="C80" i="21"/>
  <c r="O79" i="21"/>
  <c r="B79" i="21"/>
  <c r="V56" i="25"/>
  <c r="W56" i="25" s="1"/>
  <c r="X56" i="25" s="1"/>
  <c r="V48" i="25"/>
  <c r="W48" i="25" s="1"/>
  <c r="X48" i="25" s="1"/>
  <c r="V47" i="25"/>
  <c r="W47" i="25" s="1"/>
  <c r="E17" i="28" s="1"/>
  <c r="F17" i="28" s="1"/>
  <c r="G17" i="28" s="1"/>
  <c r="U62" i="25"/>
  <c r="F39" i="23"/>
  <c r="E38" i="23"/>
  <c r="H38" i="23" s="1"/>
  <c r="V41" i="25"/>
  <c r="W41" i="25" s="1"/>
  <c r="X41" i="25" s="1"/>
  <c r="V53" i="25"/>
  <c r="W53" i="25" s="1"/>
  <c r="X53" i="25" s="1"/>
  <c r="V61" i="25"/>
  <c r="W61" i="25" s="1"/>
  <c r="E31" i="28" s="1"/>
  <c r="F31" i="28" s="1"/>
  <c r="G31" i="28" s="1"/>
  <c r="C22" i="5"/>
  <c r="C23" i="5"/>
  <c r="C6" i="5"/>
  <c r="C28" i="5"/>
  <c r="C27" i="5"/>
  <c r="C26" i="5"/>
  <c r="C25" i="5"/>
  <c r="C8" i="5"/>
  <c r="C18" i="5"/>
  <c r="C16" i="5"/>
  <c r="C7" i="5"/>
  <c r="C10" i="5"/>
  <c r="C21" i="5"/>
  <c r="C12" i="5"/>
  <c r="X60" i="25"/>
  <c r="E30" i="28"/>
  <c r="F30" i="28" s="1"/>
  <c r="G30" i="28" s="1"/>
  <c r="X57" i="25"/>
  <c r="E16" i="28"/>
  <c r="F16" i="28" s="1"/>
  <c r="X46" i="25"/>
  <c r="E28" i="28"/>
  <c r="F28" i="28" s="1"/>
  <c r="X44" i="25"/>
  <c r="E14" i="28"/>
  <c r="F14" i="28" s="1"/>
  <c r="E27" i="28"/>
  <c r="F27" i="28" s="1"/>
  <c r="X43" i="25"/>
  <c r="E29" i="28"/>
  <c r="F29" i="28" s="1"/>
  <c r="X50" i="25"/>
  <c r="E12" i="28"/>
  <c r="F12" i="28" s="1"/>
  <c r="G12" i="28" s="1"/>
  <c r="E24" i="28"/>
  <c r="F24" i="28" s="1"/>
  <c r="G24" i="28" s="1"/>
  <c r="X49" i="25"/>
  <c r="Y49" i="25" s="1"/>
  <c r="E19" i="28"/>
  <c r="F19" i="28" s="1"/>
  <c r="G19" i="28" s="1"/>
  <c r="E13" i="28"/>
  <c r="F13" i="28" s="1"/>
  <c r="G13" i="28" s="1"/>
  <c r="E22" i="28"/>
  <c r="F22" i="28" s="1"/>
  <c r="G22" i="28" s="1"/>
  <c r="X52" i="25"/>
  <c r="X54" i="25"/>
  <c r="C24" i="5"/>
  <c r="C15" i="5"/>
  <c r="C5" i="5"/>
  <c r="C20" i="5"/>
  <c r="C11" i="5"/>
  <c r="C9" i="5"/>
  <c r="C17" i="5"/>
  <c r="F70" i="22" l="1"/>
  <c r="C112" i="22" s="1"/>
  <c r="F82" i="22"/>
  <c r="C124" i="22" s="1"/>
  <c r="F91" i="22"/>
  <c r="C133" i="22" s="1"/>
  <c r="F66" i="22"/>
  <c r="C108" i="22" s="1"/>
  <c r="F72" i="22"/>
  <c r="C114" i="22" s="1"/>
  <c r="F60" i="22"/>
  <c r="C102" i="22" s="1"/>
  <c r="E102" i="22" s="1"/>
  <c r="I12" i="27"/>
  <c r="F71" i="22"/>
  <c r="C113" i="22" s="1"/>
  <c r="F85" i="22"/>
  <c r="C127" i="22" s="1"/>
  <c r="I44" i="27"/>
  <c r="F92" i="22"/>
  <c r="C134" i="22" s="1"/>
  <c r="F86" i="22"/>
  <c r="C128" i="22" s="1"/>
  <c r="O89" i="33"/>
  <c r="Q89" i="33" s="1"/>
  <c r="S89" i="33" s="1"/>
  <c r="U89" i="33" s="1"/>
  <c r="G123" i="32" s="1"/>
  <c r="F63" i="22"/>
  <c r="C105" i="22" s="1"/>
  <c r="F74" i="22"/>
  <c r="C116" i="22" s="1"/>
  <c r="F65" i="22"/>
  <c r="C107" i="22" s="1"/>
  <c r="F88" i="22"/>
  <c r="C130" i="22" s="1"/>
  <c r="F73" i="22"/>
  <c r="C115" i="22" s="1"/>
  <c r="F76" i="22"/>
  <c r="C118" i="22" s="1"/>
  <c r="F79" i="22"/>
  <c r="C121" i="22" s="1"/>
  <c r="F89" i="22"/>
  <c r="C131" i="22" s="1"/>
  <c r="G90" i="33"/>
  <c r="O90" i="33" s="1"/>
  <c r="Q90" i="33" s="1"/>
  <c r="S90" i="33" s="1"/>
  <c r="U90" i="33" s="1"/>
  <c r="G124" i="32" s="1"/>
  <c r="H90" i="33"/>
  <c r="P90" i="33" s="1"/>
  <c r="R90" i="33" s="1"/>
  <c r="T90" i="33" s="1"/>
  <c r="V90" i="33" s="1"/>
  <c r="H124" i="32" s="1"/>
  <c r="I9" i="27"/>
  <c r="F57" i="22"/>
  <c r="C99" i="22" s="1"/>
  <c r="E99" i="22" s="1"/>
  <c r="F64" i="22"/>
  <c r="C106" i="22" s="1"/>
  <c r="F67" i="22"/>
  <c r="C109" i="22" s="1"/>
  <c r="F78" i="22"/>
  <c r="C120" i="22" s="1"/>
  <c r="F62" i="22"/>
  <c r="C104" i="22" s="1"/>
  <c r="F87" i="22"/>
  <c r="C129" i="22" s="1"/>
  <c r="Z41" i="33"/>
  <c r="AF41" i="33" s="1"/>
  <c r="AH41" i="33" s="1"/>
  <c r="AJ41" i="33" s="1"/>
  <c r="AL41" i="33" s="1"/>
  <c r="AA41" i="33"/>
  <c r="AG41" i="33" s="1"/>
  <c r="AI41" i="33" s="1"/>
  <c r="AK41" i="33" s="1"/>
  <c r="AM41" i="33" s="1"/>
  <c r="F77" i="22"/>
  <c r="C119" i="22" s="1"/>
  <c r="F80" i="22"/>
  <c r="C122" i="22" s="1"/>
  <c r="F69" i="22"/>
  <c r="C111" i="22" s="1"/>
  <c r="F59" i="22"/>
  <c r="C101" i="22" s="1"/>
  <c r="E101" i="22" s="1"/>
  <c r="I11" i="27"/>
  <c r="I10" i="27"/>
  <c r="F58" i="22"/>
  <c r="C100" i="22" s="1"/>
  <c r="E100" i="22" s="1"/>
  <c r="I25" i="23"/>
  <c r="F81" i="22"/>
  <c r="C123" i="22" s="1"/>
  <c r="F84" i="22"/>
  <c r="C126" i="22" s="1"/>
  <c r="I8" i="27"/>
  <c r="F56" i="22"/>
  <c r="F61" i="22"/>
  <c r="C103" i="22" s="1"/>
  <c r="E103" i="22" s="1"/>
  <c r="F68" i="22"/>
  <c r="C110" i="22" s="1"/>
  <c r="F75" i="22"/>
  <c r="C117" i="22" s="1"/>
  <c r="F83" i="22"/>
  <c r="C125" i="22" s="1"/>
  <c r="F90" i="22"/>
  <c r="C132" i="22" s="1"/>
  <c r="T48" i="32"/>
  <c r="H31" i="28"/>
  <c r="T57" i="32"/>
  <c r="T45" i="32"/>
  <c r="T52" i="32"/>
  <c r="T56" i="32"/>
  <c r="H38" i="28"/>
  <c r="T70" i="32"/>
  <c r="H35" i="28"/>
  <c r="T67" i="32"/>
  <c r="H36" i="28"/>
  <c r="T68" i="32"/>
  <c r="S102" i="21"/>
  <c r="T102" i="21" s="1"/>
  <c r="U102" i="21"/>
  <c r="T50" i="32"/>
  <c r="T53" i="32"/>
  <c r="H39" i="28"/>
  <c r="T71" i="32"/>
  <c r="T46" i="32"/>
  <c r="T59" i="32"/>
  <c r="T49" i="32"/>
  <c r="T55" i="32"/>
  <c r="T60" i="32"/>
  <c r="T47" i="32"/>
  <c r="H37" i="28"/>
  <c r="T69" i="32"/>
  <c r="T63" i="32"/>
  <c r="H34" i="28"/>
  <c r="T66" i="32"/>
  <c r="T74" i="32"/>
  <c r="T58" i="32"/>
  <c r="T61" i="32"/>
  <c r="Y54" i="25"/>
  <c r="T44" i="32"/>
  <c r="T62" i="32"/>
  <c r="H33" i="28"/>
  <c r="T65" i="32"/>
  <c r="H40" i="28"/>
  <c r="T72" i="32"/>
  <c r="T54" i="32"/>
  <c r="T51" i="32"/>
  <c r="E39" i="23"/>
  <c r="F40" i="23"/>
  <c r="G39" i="23"/>
  <c r="H39" i="23" s="1"/>
  <c r="H32" i="28"/>
  <c r="T64" i="32"/>
  <c r="T73" i="32"/>
  <c r="AA78" i="21"/>
  <c r="X55" i="25"/>
  <c r="Y55" i="25" s="1"/>
  <c r="E21" i="28"/>
  <c r="F21" i="28" s="1"/>
  <c r="G21" i="28" s="1"/>
  <c r="H41" i="28"/>
  <c r="Y42" i="25"/>
  <c r="Y59" i="25"/>
  <c r="Y58" i="25"/>
  <c r="I29" i="23"/>
  <c r="I33" i="23"/>
  <c r="I20" i="23"/>
  <c r="I31" i="23"/>
  <c r="Y45" i="25"/>
  <c r="I28" i="23"/>
  <c r="I23" i="23"/>
  <c r="I30" i="23"/>
  <c r="AA84" i="21"/>
  <c r="AA88" i="21"/>
  <c r="AA87" i="21"/>
  <c r="AA98" i="21"/>
  <c r="AA80" i="21"/>
  <c r="AA100" i="21"/>
  <c r="AA91" i="21"/>
  <c r="AA82" i="21"/>
  <c r="AA97" i="21"/>
  <c r="AA93" i="21"/>
  <c r="AA94" i="21"/>
  <c r="AA81" i="21"/>
  <c r="AA95" i="21"/>
  <c r="AA99" i="21"/>
  <c r="AA73" i="21"/>
  <c r="AA85" i="21"/>
  <c r="AA74" i="21"/>
  <c r="AA96" i="21"/>
  <c r="AA86" i="21"/>
  <c r="AA101" i="21"/>
  <c r="AA72" i="21"/>
  <c r="AB72" i="21" s="1"/>
  <c r="F19" i="22" s="1"/>
  <c r="AA92" i="21"/>
  <c r="AA76" i="21"/>
  <c r="AA90" i="21"/>
  <c r="AA89" i="21"/>
  <c r="AA79" i="21"/>
  <c r="AA77" i="21"/>
  <c r="AA83" i="21"/>
  <c r="AA75" i="21"/>
  <c r="H25" i="28"/>
  <c r="Y48" i="25"/>
  <c r="Y43" i="25"/>
  <c r="Y53" i="25"/>
  <c r="Y56" i="25"/>
  <c r="I36" i="23"/>
  <c r="I38" i="23"/>
  <c r="I37" i="23"/>
  <c r="Y41" i="25"/>
  <c r="Y52" i="25"/>
  <c r="I35" i="23"/>
  <c r="I34" i="23"/>
  <c r="I32" i="23"/>
  <c r="I24" i="23"/>
  <c r="I22" i="23"/>
  <c r="I27" i="23"/>
  <c r="I26" i="23"/>
  <c r="I21" i="23"/>
  <c r="E18" i="28"/>
  <c r="F18" i="28" s="1"/>
  <c r="G18" i="28" s="1"/>
  <c r="H18" i="28" s="1"/>
  <c r="E26" i="28"/>
  <c r="F26" i="28" s="1"/>
  <c r="G26" i="28" s="1"/>
  <c r="E15" i="28"/>
  <c r="F15" i="28" s="1"/>
  <c r="G15" i="28" s="1"/>
  <c r="C81" i="21"/>
  <c r="O80" i="21"/>
  <c r="B80" i="21"/>
  <c r="X47" i="25"/>
  <c r="Y47" i="25" s="1"/>
  <c r="E23" i="28"/>
  <c r="F23" i="28" s="1"/>
  <c r="G23" i="28" s="1"/>
  <c r="H23" i="28" s="1"/>
  <c r="H22" i="28"/>
  <c r="H13" i="28"/>
  <c r="H12" i="28"/>
  <c r="H19" i="28"/>
  <c r="H24" i="28"/>
  <c r="H21" i="28"/>
  <c r="H30" i="28"/>
  <c r="H17" i="28"/>
  <c r="X61" i="25"/>
  <c r="Y61" i="25" s="1"/>
  <c r="G27" i="28"/>
  <c r="G29" i="28"/>
  <c r="G28" i="28"/>
  <c r="G20" i="28"/>
  <c r="G14" i="28"/>
  <c r="G16" i="28"/>
  <c r="E11" i="28"/>
  <c r="F11" i="28" s="1"/>
  <c r="Y57" i="25"/>
  <c r="Y60" i="25"/>
  <c r="Y50" i="25"/>
  <c r="Y51" i="25"/>
  <c r="Y46" i="25"/>
  <c r="Y44" i="25"/>
  <c r="I123" i="32" l="1"/>
  <c r="I124" i="32"/>
  <c r="Z42" i="33"/>
  <c r="AF42" i="33" s="1"/>
  <c r="AH42" i="33" s="1"/>
  <c r="AJ42" i="33" s="1"/>
  <c r="AL42" i="33" s="1"/>
  <c r="AA42" i="33"/>
  <c r="AG42" i="33" s="1"/>
  <c r="AI42" i="33" s="1"/>
  <c r="AK42" i="33" s="1"/>
  <c r="AM42" i="33" s="1"/>
  <c r="G91" i="33"/>
  <c r="O91" i="33" s="1"/>
  <c r="Q91" i="33" s="1"/>
  <c r="S91" i="33" s="1"/>
  <c r="U91" i="33" s="1"/>
  <c r="G125" i="32" s="1"/>
  <c r="H91" i="33"/>
  <c r="P91" i="33" s="1"/>
  <c r="R91" i="33" s="1"/>
  <c r="T91" i="33" s="1"/>
  <c r="V91" i="33" s="1"/>
  <c r="H125" i="32" s="1"/>
  <c r="C98" i="22"/>
  <c r="E98" i="22" s="1"/>
  <c r="Z102" i="21"/>
  <c r="V102" i="21"/>
  <c r="W102" i="21"/>
  <c r="Y102" i="21"/>
  <c r="X102" i="21"/>
  <c r="E40" i="23"/>
  <c r="F41" i="23"/>
  <c r="G40" i="23"/>
  <c r="H40" i="23" s="1"/>
  <c r="I40" i="23" s="1"/>
  <c r="C82" i="21"/>
  <c r="O81" i="21"/>
  <c r="B81" i="21"/>
  <c r="H20" i="28"/>
  <c r="H26" i="28"/>
  <c r="H28" i="28"/>
  <c r="I39" i="23"/>
  <c r="H16" i="28"/>
  <c r="H15" i="28"/>
  <c r="H29" i="28"/>
  <c r="H14" i="28"/>
  <c r="H27" i="28"/>
  <c r="G11" i="28"/>
  <c r="H11" i="28" s="1"/>
  <c r="Y62" i="25"/>
  <c r="E78" i="21"/>
  <c r="H78" i="21" s="1"/>
  <c r="E77" i="21"/>
  <c r="H77" i="21" s="1"/>
  <c r="E74" i="21"/>
  <c r="H74" i="21" s="1"/>
  <c r="E8" i="12" l="1"/>
  <c r="E5" i="22"/>
  <c r="I125" i="32"/>
  <c r="Z43" i="33"/>
  <c r="AF43" i="33" s="1"/>
  <c r="AH43" i="33" s="1"/>
  <c r="AJ43" i="33" s="1"/>
  <c r="AL43" i="33" s="1"/>
  <c r="AA43" i="33"/>
  <c r="AG43" i="33" s="1"/>
  <c r="AI43" i="33" s="1"/>
  <c r="AK43" i="33" s="1"/>
  <c r="AM43" i="33" s="1"/>
  <c r="H92" i="33"/>
  <c r="G92" i="33"/>
  <c r="O92" i="33" s="1"/>
  <c r="Q92" i="33" s="1"/>
  <c r="S92" i="33" s="1"/>
  <c r="U92" i="33" s="1"/>
  <c r="G126" i="32" s="1"/>
  <c r="F42" i="23"/>
  <c r="E41" i="23"/>
  <c r="G41" i="23"/>
  <c r="H41" i="23" s="1"/>
  <c r="I41" i="23" s="1"/>
  <c r="AA102" i="21"/>
  <c r="C83" i="21"/>
  <c r="O82" i="21"/>
  <c r="B82" i="21"/>
  <c r="G42" i="28"/>
  <c r="E76" i="21"/>
  <c r="H76" i="21" s="1"/>
  <c r="E80" i="21"/>
  <c r="E79" i="21"/>
  <c r="H79" i="21" s="1"/>
  <c r="F74" i="21"/>
  <c r="G74" i="21" s="1"/>
  <c r="F73" i="21"/>
  <c r="G73" i="21" s="1"/>
  <c r="F77" i="21"/>
  <c r="G77" i="21" s="1"/>
  <c r="F78" i="21"/>
  <c r="G78" i="21" s="1"/>
  <c r="E81" i="21"/>
  <c r="H81" i="21" s="1"/>
  <c r="E75" i="21"/>
  <c r="H75" i="21" s="1"/>
  <c r="P92" i="33" l="1"/>
  <c r="R92" i="33" s="1"/>
  <c r="T92" i="33" s="1"/>
  <c r="V92" i="33" s="1"/>
  <c r="H126" i="32" s="1"/>
  <c r="F43" i="23"/>
  <c r="E42" i="23"/>
  <c r="G42" i="23"/>
  <c r="H42" i="23" s="1"/>
  <c r="I42" i="23" s="1"/>
  <c r="K78" i="21"/>
  <c r="L78" i="21"/>
  <c r="I78" i="21"/>
  <c r="J78" i="21"/>
  <c r="M78" i="21"/>
  <c r="K74" i="21"/>
  <c r="J74" i="21"/>
  <c r="M74" i="21"/>
  <c r="L74" i="21"/>
  <c r="I74" i="21"/>
  <c r="K73" i="21"/>
  <c r="L73" i="21"/>
  <c r="M73" i="21"/>
  <c r="I73" i="21"/>
  <c r="J73" i="21"/>
  <c r="F80" i="21"/>
  <c r="G80" i="21" s="1"/>
  <c r="H80" i="21"/>
  <c r="L77" i="21"/>
  <c r="M77" i="21"/>
  <c r="I77" i="21"/>
  <c r="J77" i="21"/>
  <c r="K77" i="21"/>
  <c r="E82" i="21"/>
  <c r="H82" i="21" s="1"/>
  <c r="C84" i="21"/>
  <c r="O83" i="21"/>
  <c r="B83" i="21"/>
  <c r="H42" i="28"/>
  <c r="F76" i="21"/>
  <c r="G76" i="21" s="1"/>
  <c r="F79" i="21"/>
  <c r="G79" i="21" s="1"/>
  <c r="F81" i="21"/>
  <c r="G81" i="21" s="1"/>
  <c r="F75" i="21"/>
  <c r="G75" i="21" s="1"/>
  <c r="I126" i="32" l="1"/>
  <c r="F44" i="23"/>
  <c r="E43" i="23"/>
  <c r="G43" i="23"/>
  <c r="H43" i="23" s="1"/>
  <c r="I43" i="23" s="1"/>
  <c r="N77" i="21"/>
  <c r="AB77" i="21" s="1"/>
  <c r="F24" i="22" s="1"/>
  <c r="N74" i="21"/>
  <c r="AB74" i="21" s="1"/>
  <c r="F21" i="22" s="1"/>
  <c r="N78" i="21"/>
  <c r="AB78" i="21" s="1"/>
  <c r="F25" i="22" s="1"/>
  <c r="N73" i="21"/>
  <c r="J79" i="21"/>
  <c r="K79" i="21"/>
  <c r="M79" i="21"/>
  <c r="I79" i="21"/>
  <c r="L79" i="21"/>
  <c r="M76" i="21"/>
  <c r="J76" i="21"/>
  <c r="K76" i="21"/>
  <c r="L76" i="21"/>
  <c r="I76" i="21"/>
  <c r="I80" i="21"/>
  <c r="L80" i="21"/>
  <c r="M80" i="21"/>
  <c r="J80" i="21"/>
  <c r="K80" i="21"/>
  <c r="L81" i="21"/>
  <c r="K81" i="21"/>
  <c r="M81" i="21"/>
  <c r="I81" i="21"/>
  <c r="J81" i="21"/>
  <c r="I75" i="21"/>
  <c r="K75" i="21"/>
  <c r="L75" i="21"/>
  <c r="J75" i="21"/>
  <c r="M75" i="21"/>
  <c r="C85" i="21"/>
  <c r="O84" i="21"/>
  <c r="B84" i="21"/>
  <c r="F82" i="21"/>
  <c r="G82" i="21" s="1"/>
  <c r="E83" i="21"/>
  <c r="H83" i="21" s="1"/>
  <c r="F45" i="23" l="1"/>
  <c r="E44" i="23"/>
  <c r="G44" i="23"/>
  <c r="H44" i="23" s="1"/>
  <c r="I44" i="23" s="1"/>
  <c r="N79" i="21"/>
  <c r="AB79" i="21" s="1"/>
  <c r="F26" i="22" s="1"/>
  <c r="N80" i="21"/>
  <c r="AB80" i="21" s="1"/>
  <c r="F27" i="22" s="1"/>
  <c r="N81" i="21"/>
  <c r="AB81" i="21" s="1"/>
  <c r="F28" i="22" s="1"/>
  <c r="N76" i="21"/>
  <c r="AB76" i="21" s="1"/>
  <c r="F23" i="22" s="1"/>
  <c r="AB73" i="21"/>
  <c r="F20" i="22" s="1"/>
  <c r="N75" i="21"/>
  <c r="AB75" i="21" s="1"/>
  <c r="F22" i="22" s="1"/>
  <c r="J82" i="21"/>
  <c r="K82" i="21"/>
  <c r="L82" i="21"/>
  <c r="M82" i="21"/>
  <c r="I82" i="21"/>
  <c r="F83" i="21"/>
  <c r="G83" i="21" s="1"/>
  <c r="E84" i="21"/>
  <c r="H84" i="21" s="1"/>
  <c r="C86" i="21"/>
  <c r="O85" i="21"/>
  <c r="B85" i="21"/>
  <c r="F46" i="23" l="1"/>
  <c r="E45" i="23"/>
  <c r="G45" i="23"/>
  <c r="H45" i="23" s="1"/>
  <c r="I45" i="23" s="1"/>
  <c r="N82" i="21"/>
  <c r="AB82" i="21" s="1"/>
  <c r="F29" i="22" s="1"/>
  <c r="I83" i="21"/>
  <c r="K83" i="21"/>
  <c r="L83" i="21"/>
  <c r="J83" i="21"/>
  <c r="M83" i="21"/>
  <c r="E85" i="21"/>
  <c r="H85" i="21" s="1"/>
  <c r="F84" i="21"/>
  <c r="G84" i="21" s="1"/>
  <c r="C87" i="21"/>
  <c r="O86" i="21"/>
  <c r="B86" i="21"/>
  <c r="F47" i="23" l="1"/>
  <c r="E46" i="23"/>
  <c r="G46" i="23"/>
  <c r="H46" i="23" s="1"/>
  <c r="I46" i="23" s="1"/>
  <c r="N83" i="21"/>
  <c r="AB83" i="21" s="1"/>
  <c r="F30" i="22" s="1"/>
  <c r="M84" i="21"/>
  <c r="K84" i="21"/>
  <c r="L84" i="21"/>
  <c r="I84" i="21"/>
  <c r="J84" i="21"/>
  <c r="C88" i="21"/>
  <c r="O87" i="21"/>
  <c r="B87" i="21"/>
  <c r="F85" i="21"/>
  <c r="G85" i="21" s="1"/>
  <c r="E86" i="21"/>
  <c r="H86" i="21" s="1"/>
  <c r="F48" i="23" l="1"/>
  <c r="E47" i="23"/>
  <c r="G47" i="23"/>
  <c r="H47" i="23" s="1"/>
  <c r="I47" i="23" s="1"/>
  <c r="N84" i="21"/>
  <c r="L85" i="21"/>
  <c r="M85" i="21"/>
  <c r="K85" i="21"/>
  <c r="I85" i="21"/>
  <c r="J85" i="21"/>
  <c r="C89" i="21"/>
  <c r="O88" i="21"/>
  <c r="B88" i="21"/>
  <c r="F86" i="21"/>
  <c r="G86" i="21" s="1"/>
  <c r="E87" i="21"/>
  <c r="H87" i="21" s="1"/>
  <c r="X62" i="25"/>
  <c r="F49" i="23" l="1"/>
  <c r="E48" i="23"/>
  <c r="G48" i="23"/>
  <c r="H48" i="23" s="1"/>
  <c r="I48" i="23" s="1"/>
  <c r="N85" i="21"/>
  <c r="AB85" i="21" s="1"/>
  <c r="F32" i="22" s="1"/>
  <c r="AB84" i="21"/>
  <c r="F31" i="22" s="1"/>
  <c r="K86" i="21"/>
  <c r="L86" i="21"/>
  <c r="J86" i="21"/>
  <c r="M86" i="21"/>
  <c r="I86" i="21"/>
  <c r="C90" i="21"/>
  <c r="O89" i="21"/>
  <c r="B89" i="21"/>
  <c r="F87" i="21"/>
  <c r="G87" i="21" s="1"/>
  <c r="E88" i="21"/>
  <c r="H88" i="21" s="1"/>
  <c r="E49" i="23" l="1"/>
  <c r="F50" i="23"/>
  <c r="G49" i="23"/>
  <c r="H49" i="23" s="1"/>
  <c r="I49" i="23" s="1"/>
  <c r="N86" i="21"/>
  <c r="AB86" i="21" s="1"/>
  <c r="F33" i="22" s="1"/>
  <c r="J87" i="21"/>
  <c r="K87" i="21"/>
  <c r="M87" i="21"/>
  <c r="I87" i="21"/>
  <c r="L87" i="21"/>
  <c r="F88" i="21"/>
  <c r="G88" i="21" s="1"/>
  <c r="C91" i="21"/>
  <c r="C92" i="21" s="1"/>
  <c r="O90" i="21"/>
  <c r="B90" i="21"/>
  <c r="E89" i="21"/>
  <c r="H89" i="21" s="1"/>
  <c r="G50" i="23" l="1"/>
  <c r="E50" i="23"/>
  <c r="N87" i="21"/>
  <c r="AB87" i="21" s="1"/>
  <c r="F34" i="22" s="1"/>
  <c r="I88" i="21"/>
  <c r="L88" i="21"/>
  <c r="M88" i="21"/>
  <c r="J88" i="21"/>
  <c r="K88" i="21"/>
  <c r="O92" i="21"/>
  <c r="C93" i="21"/>
  <c r="B92" i="21"/>
  <c r="F89" i="21"/>
  <c r="G89" i="21" s="1"/>
  <c r="E90" i="21"/>
  <c r="H90" i="21" s="1"/>
  <c r="O91" i="21"/>
  <c r="B91" i="21"/>
  <c r="H50" i="23" l="1"/>
  <c r="N88" i="21"/>
  <c r="AB88" i="21" s="1"/>
  <c r="F35" i="22" s="1"/>
  <c r="K89" i="21"/>
  <c r="L89" i="21"/>
  <c r="J89" i="21"/>
  <c r="I89" i="21"/>
  <c r="M89" i="21"/>
  <c r="E92" i="21"/>
  <c r="H92" i="21" s="1"/>
  <c r="O93" i="21"/>
  <c r="C94" i="21"/>
  <c r="B93" i="21"/>
  <c r="E91" i="21"/>
  <c r="H91" i="21" s="1"/>
  <c r="F90" i="21"/>
  <c r="G90" i="21" s="1"/>
  <c r="I50" i="23" l="1"/>
  <c r="I51" i="23" s="1"/>
  <c r="H51" i="23"/>
  <c r="N89" i="21"/>
  <c r="AB89" i="21" s="1"/>
  <c r="F36" i="22" s="1"/>
  <c r="J90" i="21"/>
  <c r="K90" i="21"/>
  <c r="I90" i="21"/>
  <c r="L90" i="21"/>
  <c r="M90" i="21"/>
  <c r="O94" i="21"/>
  <c r="B94" i="21"/>
  <c r="C95" i="21"/>
  <c r="E93" i="21"/>
  <c r="H93" i="21" s="1"/>
  <c r="F92" i="21"/>
  <c r="G92" i="21" s="1"/>
  <c r="F91" i="21"/>
  <c r="G91" i="21" s="1"/>
  <c r="N90" i="21" l="1"/>
  <c r="AB90" i="21" s="1"/>
  <c r="F37" i="22" s="1"/>
  <c r="I91" i="21"/>
  <c r="L91" i="21"/>
  <c r="J91" i="21"/>
  <c r="K91" i="21"/>
  <c r="M91" i="21"/>
  <c r="M92" i="21"/>
  <c r="K92" i="21"/>
  <c r="I92" i="21"/>
  <c r="J92" i="21"/>
  <c r="L92" i="21"/>
  <c r="F93" i="21"/>
  <c r="G93" i="21" s="1"/>
  <c r="O95" i="21"/>
  <c r="B95" i="21"/>
  <c r="C96" i="21"/>
  <c r="E94" i="21"/>
  <c r="H94" i="21" s="1"/>
  <c r="N91" i="21" l="1"/>
  <c r="AB91" i="21" s="1"/>
  <c r="F38" i="22" s="1"/>
  <c r="N92" i="21"/>
  <c r="AB92" i="21" s="1"/>
  <c r="F39" i="22" s="1"/>
  <c r="L93" i="21"/>
  <c r="M93" i="21"/>
  <c r="J93" i="21"/>
  <c r="I93" i="21"/>
  <c r="K93" i="21"/>
  <c r="C97" i="21"/>
  <c r="B96" i="21"/>
  <c r="O96" i="21"/>
  <c r="F94" i="21"/>
  <c r="G94" i="21" s="1"/>
  <c r="E95" i="21"/>
  <c r="H95" i="21" s="1"/>
  <c r="N93" i="21" l="1"/>
  <c r="AB93" i="21" s="1"/>
  <c r="F40" i="22" s="1"/>
  <c r="K94" i="21"/>
  <c r="L94" i="21"/>
  <c r="M94" i="21"/>
  <c r="J94" i="21"/>
  <c r="I94" i="21"/>
  <c r="E96" i="21"/>
  <c r="H96" i="21" s="1"/>
  <c r="C98" i="21"/>
  <c r="B97" i="21"/>
  <c r="O97" i="21"/>
  <c r="F95" i="21"/>
  <c r="G95" i="21" s="1"/>
  <c r="N94" i="21" l="1"/>
  <c r="AB94" i="21" s="1"/>
  <c r="F41" i="22" s="1"/>
  <c r="J95" i="21"/>
  <c r="M95" i="21"/>
  <c r="I95" i="21"/>
  <c r="K95" i="21"/>
  <c r="L95" i="21"/>
  <c r="E97" i="21"/>
  <c r="H97" i="21" s="1"/>
  <c r="F96" i="21"/>
  <c r="G96" i="21" s="1"/>
  <c r="B98" i="21"/>
  <c r="C99" i="21"/>
  <c r="O98" i="21"/>
  <c r="N95" i="21" l="1"/>
  <c r="AB95" i="21" s="1"/>
  <c r="F42" i="22" s="1"/>
  <c r="M96" i="21"/>
  <c r="I96" i="21"/>
  <c r="L96" i="21"/>
  <c r="K96" i="21"/>
  <c r="J96" i="21"/>
  <c r="C100" i="21"/>
  <c r="B99" i="21"/>
  <c r="O99" i="21"/>
  <c r="E98" i="21"/>
  <c r="H98" i="21" s="1"/>
  <c r="F97" i="21"/>
  <c r="G97" i="21" s="1"/>
  <c r="N96" i="21" l="1"/>
  <c r="AB96" i="21" s="1"/>
  <c r="F43" i="22" s="1"/>
  <c r="K97" i="21"/>
  <c r="L97" i="21"/>
  <c r="M97" i="21"/>
  <c r="J97" i="21"/>
  <c r="I97" i="21"/>
  <c r="E99" i="21"/>
  <c r="H99" i="21" s="1"/>
  <c r="F98" i="21"/>
  <c r="G98" i="21" s="1"/>
  <c r="C101" i="21"/>
  <c r="O100" i="21"/>
  <c r="B100" i="21"/>
  <c r="B19" i="31"/>
  <c r="N97" i="21" l="1"/>
  <c r="AB97" i="21" s="1"/>
  <c r="F44" i="22" s="1"/>
  <c r="J98" i="21"/>
  <c r="L98" i="21"/>
  <c r="I98" i="21"/>
  <c r="M98" i="21"/>
  <c r="K98" i="21"/>
  <c r="O101" i="21"/>
  <c r="B101" i="21"/>
  <c r="C102" i="21"/>
  <c r="F99" i="21"/>
  <c r="G99" i="21" s="1"/>
  <c r="E100" i="21"/>
  <c r="H100" i="21" s="1"/>
  <c r="N98" i="21" l="1"/>
  <c r="AB98" i="21" s="1"/>
  <c r="F45" i="22" s="1"/>
  <c r="I99" i="21"/>
  <c r="J99" i="21"/>
  <c r="M99" i="21"/>
  <c r="L99" i="21"/>
  <c r="K99" i="21"/>
  <c r="F100" i="21"/>
  <c r="G100" i="21" s="1"/>
  <c r="O102" i="21"/>
  <c r="B102" i="21"/>
  <c r="E101" i="21"/>
  <c r="H101" i="21" s="1"/>
  <c r="N99" i="21" l="1"/>
  <c r="AB99" i="21" s="1"/>
  <c r="F46" i="22" s="1"/>
  <c r="M100" i="21"/>
  <c r="I100" i="21"/>
  <c r="L100" i="21"/>
  <c r="J100" i="21"/>
  <c r="K100" i="21"/>
  <c r="F101" i="21"/>
  <c r="G101" i="21" s="1"/>
  <c r="E102" i="21"/>
  <c r="H102" i="21" s="1"/>
  <c r="N100" i="21" l="1"/>
  <c r="AB100" i="21" s="1"/>
  <c r="F47" i="22" s="1"/>
  <c r="L101" i="21"/>
  <c r="M101" i="21"/>
  <c r="I101" i="21"/>
  <c r="J101" i="21"/>
  <c r="K101" i="21"/>
  <c r="F102" i="21"/>
  <c r="G102" i="21" s="1"/>
  <c r="N101" i="21" l="1"/>
  <c r="AB101" i="21" s="1"/>
  <c r="F48" i="22" s="1"/>
  <c r="K102" i="21"/>
  <c r="L102" i="21"/>
  <c r="M102" i="21"/>
  <c r="I102" i="21"/>
  <c r="J102" i="21"/>
  <c r="N102" i="21" l="1"/>
  <c r="AB102" i="21" s="1"/>
  <c r="F49" i="22" s="1"/>
  <c r="N103" i="21" l="1"/>
  <c r="AB103" i="21"/>
  <c r="E5" i="33" l="1"/>
  <c r="H5" i="33"/>
  <c r="N5" i="33"/>
  <c r="P5" i="33" s="1"/>
  <c r="H6" i="33" l="1"/>
  <c r="N6" i="33" s="1"/>
  <c r="P6" i="33" s="1"/>
  <c r="R6" i="33" s="1"/>
  <c r="T6" i="33" s="1"/>
  <c r="L89" i="32" s="1"/>
  <c r="G6" i="33"/>
  <c r="M6" i="33" s="1"/>
  <c r="O6" i="33" s="1"/>
  <c r="G5" i="33"/>
  <c r="R5" i="33"/>
  <c r="T5" i="33" s="1"/>
  <c r="L88" i="32" s="1"/>
  <c r="H7" i="33"/>
  <c r="G7" i="33"/>
  <c r="P88" i="32" l="1"/>
  <c r="H185" i="32" s="1"/>
  <c r="S185" i="32" s="1"/>
  <c r="P89" i="32"/>
  <c r="H186" i="32" s="1"/>
  <c r="S186" i="32" s="1"/>
  <c r="Q6" i="33"/>
  <c r="S6" i="33" s="1"/>
  <c r="K89" i="32" s="1"/>
  <c r="M5" i="33"/>
  <c r="N7" i="33"/>
  <c r="P7" i="33" s="1"/>
  <c r="R7" i="33" s="1"/>
  <c r="T7" i="33" s="1"/>
  <c r="L90" i="32" s="1"/>
  <c r="H8" i="33"/>
  <c r="G8" i="33"/>
  <c r="M7" i="33"/>
  <c r="O7" i="33" s="1"/>
  <c r="Q7" i="33" s="1"/>
  <c r="S7" i="33" s="1"/>
  <c r="K90" i="32" s="1"/>
  <c r="O90" i="32" s="1"/>
  <c r="P90" i="32" l="1"/>
  <c r="H187" i="32" s="1"/>
  <c r="S187" i="32" s="1"/>
  <c r="O5" i="33"/>
  <c r="Q5" i="33" s="1"/>
  <c r="S5" i="33" s="1"/>
  <c r="K88" i="32" s="1"/>
  <c r="M89" i="32"/>
  <c r="O89" i="32"/>
  <c r="G186" i="32" s="1"/>
  <c r="R186" i="32" s="1"/>
  <c r="T186" i="32" s="1"/>
  <c r="M8" i="33"/>
  <c r="O8" i="33" s="1"/>
  <c r="Q8" i="33" s="1"/>
  <c r="S8" i="33" s="1"/>
  <c r="K91" i="32" s="1"/>
  <c r="O91" i="32" s="1"/>
  <c r="H9" i="33"/>
  <c r="G9" i="33"/>
  <c r="M90" i="32"/>
  <c r="N8" i="33"/>
  <c r="P8" i="33" s="1"/>
  <c r="R8" i="33" s="1"/>
  <c r="T8" i="33" s="1"/>
  <c r="L91" i="32" s="1"/>
  <c r="Q89" i="32" l="1"/>
  <c r="O88" i="32"/>
  <c r="Q88" i="32" s="1"/>
  <c r="M88" i="32"/>
  <c r="P91" i="32"/>
  <c r="H188" i="32" s="1"/>
  <c r="S188" i="32" s="1"/>
  <c r="G185" i="32"/>
  <c r="R185" i="32" s="1"/>
  <c r="T185" i="32" s="1"/>
  <c r="H10" i="33"/>
  <c r="G10" i="33"/>
  <c r="Q90" i="32"/>
  <c r="G187" i="32"/>
  <c r="R187" i="32" s="1"/>
  <c r="T187" i="32" s="1"/>
  <c r="M9" i="33"/>
  <c r="O9" i="33" s="1"/>
  <c r="Q9" i="33" s="1"/>
  <c r="S9" i="33" s="1"/>
  <c r="K92" i="32" s="1"/>
  <c r="O92" i="32" s="1"/>
  <c r="N9" i="33"/>
  <c r="P9" i="33" s="1"/>
  <c r="R9" i="33" s="1"/>
  <c r="T9" i="33" s="1"/>
  <c r="L92" i="32" s="1"/>
  <c r="H40" i="26"/>
  <c r="K40" i="26" s="1"/>
  <c r="N40" i="26" s="1"/>
  <c r="I186" i="32"/>
  <c r="M91" i="32"/>
  <c r="P92" i="32" l="1"/>
  <c r="H189" i="32" s="1"/>
  <c r="S189" i="32" s="1"/>
  <c r="I185" i="32"/>
  <c r="H39" i="26"/>
  <c r="K39" i="26" s="1"/>
  <c r="N39" i="26" s="1"/>
  <c r="M92" i="32"/>
  <c r="Q91" i="32"/>
  <c r="G188" i="32"/>
  <c r="R188" i="32" s="1"/>
  <c r="T188" i="32" s="1"/>
  <c r="I187" i="32"/>
  <c r="H41" i="26"/>
  <c r="K41" i="26" s="1"/>
  <c r="N41" i="26" s="1"/>
  <c r="M10" i="33"/>
  <c r="O10" i="33" s="1"/>
  <c r="Q10" i="33" s="1"/>
  <c r="S10" i="33" s="1"/>
  <c r="K93" i="32" s="1"/>
  <c r="O93" i="32" s="1"/>
  <c r="N10" i="33"/>
  <c r="P10" i="33" s="1"/>
  <c r="R10" i="33"/>
  <c r="T10" i="33" s="1"/>
  <c r="L93" i="32" s="1"/>
  <c r="H11" i="33"/>
  <c r="G11" i="33"/>
  <c r="P93" i="32" l="1"/>
  <c r="H190" i="32" s="1"/>
  <c r="S190" i="32" s="1"/>
  <c r="M93" i="32"/>
  <c r="N11" i="33"/>
  <c r="P11" i="33" s="1"/>
  <c r="R11" i="33" s="1"/>
  <c r="T11" i="33" s="1"/>
  <c r="L94" i="32" s="1"/>
  <c r="H42" i="26"/>
  <c r="K42" i="26" s="1"/>
  <c r="N42" i="26" s="1"/>
  <c r="I188" i="32"/>
  <c r="Q92" i="32"/>
  <c r="G189" i="32"/>
  <c r="R189" i="32" s="1"/>
  <c r="T189" i="32" s="1"/>
  <c r="H12" i="33"/>
  <c r="G12" i="33"/>
  <c r="M11" i="33"/>
  <c r="O11" i="33" s="1"/>
  <c r="Q11" i="33" s="1"/>
  <c r="S11" i="33" s="1"/>
  <c r="K94" i="32" s="1"/>
  <c r="O94" i="32" s="1"/>
  <c r="P94" i="32" l="1"/>
  <c r="H191" i="32" s="1"/>
  <c r="S191" i="32" s="1"/>
  <c r="M94" i="32"/>
  <c r="H43" i="26"/>
  <c r="K43" i="26" s="1"/>
  <c r="N43" i="26" s="1"/>
  <c r="I189" i="32"/>
  <c r="N12" i="33"/>
  <c r="P12" i="33" s="1"/>
  <c r="R12" i="33"/>
  <c r="T12" i="33" s="1"/>
  <c r="L95" i="32" s="1"/>
  <c r="M12" i="33"/>
  <c r="O12" i="33" s="1"/>
  <c r="Q12" i="33" s="1"/>
  <c r="S12" i="33" s="1"/>
  <c r="K95" i="32" s="1"/>
  <c r="O95" i="32" s="1"/>
  <c r="Q93" i="32"/>
  <c r="G190" i="32"/>
  <c r="R190" i="32" s="1"/>
  <c r="T190" i="32" s="1"/>
  <c r="H13" i="33"/>
  <c r="G13" i="33"/>
  <c r="P95" i="32" l="1"/>
  <c r="H192" i="32" s="1"/>
  <c r="S192" i="32" s="1"/>
  <c r="M95" i="32"/>
  <c r="H14" i="33"/>
  <c r="G14" i="33"/>
  <c r="M13" i="33"/>
  <c r="O13" i="33" s="1"/>
  <c r="Q13" i="33" s="1"/>
  <c r="S13" i="33" s="1"/>
  <c r="K96" i="32" s="1"/>
  <c r="O96" i="32" s="1"/>
  <c r="N13" i="33"/>
  <c r="P13" i="33" s="1"/>
  <c r="R13" i="33" s="1"/>
  <c r="T13" i="33" s="1"/>
  <c r="L96" i="32" s="1"/>
  <c r="P96" i="32" s="1"/>
  <c r="Q94" i="32"/>
  <c r="G191" i="32"/>
  <c r="R191" i="32" s="1"/>
  <c r="T191" i="32" s="1"/>
  <c r="H44" i="26"/>
  <c r="K44" i="26" s="1"/>
  <c r="N44" i="26" s="1"/>
  <c r="I190" i="32"/>
  <c r="M96" i="32" l="1"/>
  <c r="Q95" i="32"/>
  <c r="G192" i="32"/>
  <c r="R192" i="32" s="1"/>
  <c r="T192" i="32" s="1"/>
  <c r="N6" i="32"/>
  <c r="R6" i="32" s="1"/>
  <c r="H193" i="32"/>
  <c r="S193" i="32" s="1"/>
  <c r="M14" i="33"/>
  <c r="O14" i="33" s="1"/>
  <c r="Q14" i="33" s="1"/>
  <c r="S14" i="33" s="1"/>
  <c r="K97" i="32" s="1"/>
  <c r="O97" i="32" s="1"/>
  <c r="N14" i="33"/>
  <c r="P14" i="33" s="1"/>
  <c r="R14" i="33" s="1"/>
  <c r="T14" i="33" s="1"/>
  <c r="L97" i="32" s="1"/>
  <c r="P97" i="32" s="1"/>
  <c r="H15" i="33"/>
  <c r="G15" i="33"/>
  <c r="I191" i="32"/>
  <c r="H45" i="26"/>
  <c r="K45" i="26" s="1"/>
  <c r="N45" i="26" s="1"/>
  <c r="M97" i="32" l="1"/>
  <c r="H16" i="33"/>
  <c r="G16" i="33"/>
  <c r="H46" i="26"/>
  <c r="K46" i="26" s="1"/>
  <c r="N46" i="26" s="1"/>
  <c r="I192" i="32"/>
  <c r="M15" i="33"/>
  <c r="O15" i="33" s="1"/>
  <c r="Q15" i="33" s="1"/>
  <c r="S15" i="33" s="1"/>
  <c r="K98" i="32" s="1"/>
  <c r="O98" i="32" s="1"/>
  <c r="N15" i="33"/>
  <c r="P15" i="33" s="1"/>
  <c r="R15" i="33" s="1"/>
  <c r="T15" i="33" s="1"/>
  <c r="L98" i="32" s="1"/>
  <c r="P98" i="32" s="1"/>
  <c r="N7" i="32"/>
  <c r="R7" i="32" s="1"/>
  <c r="H194" i="32"/>
  <c r="S194" i="32" s="1"/>
  <c r="M6" i="32"/>
  <c r="Q6" i="32" s="1"/>
  <c r="Q96" i="32"/>
  <c r="G193" i="32"/>
  <c r="R193" i="32" s="1"/>
  <c r="T193" i="32" s="1"/>
  <c r="N8" i="32" l="1"/>
  <c r="R8" i="32" s="1"/>
  <c r="H195" i="32"/>
  <c r="S195" i="32" s="1"/>
  <c r="M98" i="32"/>
  <c r="H47" i="26"/>
  <c r="K47" i="26" s="1"/>
  <c r="N47" i="26" s="1"/>
  <c r="C81" i="26" s="1"/>
  <c r="I193" i="32"/>
  <c r="M16" i="33"/>
  <c r="O16" i="33" s="1"/>
  <c r="Q16" i="33" s="1"/>
  <c r="S16" i="33" s="1"/>
  <c r="K99" i="32" s="1"/>
  <c r="O99" i="32" s="1"/>
  <c r="S6" i="32"/>
  <c r="B81" i="26"/>
  <c r="N16" i="33"/>
  <c r="P16" i="33" s="1"/>
  <c r="R16" i="33" s="1"/>
  <c r="T16" i="33" s="1"/>
  <c r="L99" i="32" s="1"/>
  <c r="P99" i="32" s="1"/>
  <c r="M7" i="32"/>
  <c r="Q7" i="32" s="1"/>
  <c r="Q97" i="32"/>
  <c r="G194" i="32"/>
  <c r="R194" i="32" s="1"/>
  <c r="T194" i="32" s="1"/>
  <c r="H17" i="33"/>
  <c r="G17" i="33"/>
  <c r="M99" i="32" l="1"/>
  <c r="H196" i="32"/>
  <c r="S196" i="32" s="1"/>
  <c r="N9" i="32"/>
  <c r="R9" i="32" s="1"/>
  <c r="D81" i="26"/>
  <c r="H81" i="26"/>
  <c r="E81" i="26"/>
  <c r="F81" i="26"/>
  <c r="G81" i="26"/>
  <c r="H48" i="26"/>
  <c r="K48" i="26" s="1"/>
  <c r="N48" i="26" s="1"/>
  <c r="C82" i="26" s="1"/>
  <c r="I194" i="32"/>
  <c r="M8" i="32"/>
  <c r="Q8" i="32" s="1"/>
  <c r="Q98" i="32"/>
  <c r="G195" i="32"/>
  <c r="R195" i="32" s="1"/>
  <c r="T195" i="32" s="1"/>
  <c r="N17" i="33"/>
  <c r="P17" i="33" s="1"/>
  <c r="R17" i="33" s="1"/>
  <c r="T17" i="33" s="1"/>
  <c r="L100" i="32" s="1"/>
  <c r="P100" i="32" s="1"/>
  <c r="S7" i="32"/>
  <c r="B82" i="26"/>
  <c r="H18" i="33"/>
  <c r="G18" i="33"/>
  <c r="M17" i="33"/>
  <c r="O17" i="33" s="1"/>
  <c r="Q17" i="33" s="1"/>
  <c r="S17" i="33" s="1"/>
  <c r="K100" i="32" s="1"/>
  <c r="O100" i="32" s="1"/>
  <c r="T6" i="32"/>
  <c r="C19" i="22"/>
  <c r="N10" i="32" l="1"/>
  <c r="R10" i="32" s="1"/>
  <c r="H197" i="32"/>
  <c r="S197" i="32" s="1"/>
  <c r="M100" i="32"/>
  <c r="M18" i="33"/>
  <c r="O18" i="33" s="1"/>
  <c r="Q18" i="33"/>
  <c r="S18" i="33" s="1"/>
  <c r="K101" i="32" s="1"/>
  <c r="O101" i="32" s="1"/>
  <c r="I195" i="32"/>
  <c r="H49" i="26"/>
  <c r="K49" i="26" s="1"/>
  <c r="N49" i="26" s="1"/>
  <c r="C83" i="26" s="1"/>
  <c r="I81" i="26"/>
  <c r="S8" i="32"/>
  <c r="B83" i="26"/>
  <c r="H19" i="33"/>
  <c r="G19" i="33"/>
  <c r="N18" i="33"/>
  <c r="P18" i="33" s="1"/>
  <c r="R18" i="33" s="1"/>
  <c r="T18" i="33" s="1"/>
  <c r="L101" i="32" s="1"/>
  <c r="P101" i="32" s="1"/>
  <c r="G82" i="26"/>
  <c r="H82" i="26"/>
  <c r="D82" i="26"/>
  <c r="E82" i="26"/>
  <c r="F82" i="26"/>
  <c r="M9" i="32"/>
  <c r="Q9" i="32" s="1"/>
  <c r="Q99" i="32"/>
  <c r="G196" i="32"/>
  <c r="R196" i="32" s="1"/>
  <c r="T196" i="32" s="1"/>
  <c r="T7" i="32"/>
  <c r="C20" i="22"/>
  <c r="N11" i="32" l="1"/>
  <c r="R11" i="32" s="1"/>
  <c r="H198" i="32"/>
  <c r="S198" i="32" s="1"/>
  <c r="I82" i="26"/>
  <c r="M19" i="33"/>
  <c r="O19" i="33" s="1"/>
  <c r="Q19" i="33" s="1"/>
  <c r="S19" i="33" s="1"/>
  <c r="K102" i="32" s="1"/>
  <c r="O102" i="32" s="1"/>
  <c r="M101" i="32"/>
  <c r="M10" i="32"/>
  <c r="Q10" i="32" s="1"/>
  <c r="Q100" i="32"/>
  <c r="G197" i="32"/>
  <c r="R197" i="32" s="1"/>
  <c r="T197" i="32" s="1"/>
  <c r="F83" i="26"/>
  <c r="G83" i="26"/>
  <c r="H83" i="26"/>
  <c r="D83" i="26"/>
  <c r="E83" i="26"/>
  <c r="H20" i="33"/>
  <c r="G20" i="33"/>
  <c r="N19" i="33"/>
  <c r="P19" i="33" s="1"/>
  <c r="R19" i="33" s="1"/>
  <c r="T19" i="33" s="1"/>
  <c r="L102" i="32" s="1"/>
  <c r="P102" i="32" s="1"/>
  <c r="H50" i="26"/>
  <c r="K50" i="26" s="1"/>
  <c r="N50" i="26" s="1"/>
  <c r="C84" i="26" s="1"/>
  <c r="I196" i="32"/>
  <c r="T8" i="32"/>
  <c r="C21" i="22"/>
  <c r="S9" i="32"/>
  <c r="B84" i="26"/>
  <c r="J81" i="26"/>
  <c r="E19" i="22"/>
  <c r="G19" i="22" s="1"/>
  <c r="M102" i="32" l="1"/>
  <c r="N12" i="32"/>
  <c r="R12" i="32" s="1"/>
  <c r="H199" i="32"/>
  <c r="S199" i="32" s="1"/>
  <c r="M11" i="32"/>
  <c r="Q11" i="32" s="1"/>
  <c r="Q101" i="32"/>
  <c r="G198" i="32"/>
  <c r="R198" i="32" s="1"/>
  <c r="T198" i="32" s="1"/>
  <c r="J82" i="26"/>
  <c r="E20" i="22"/>
  <c r="G20" i="22" s="1"/>
  <c r="H20" i="22" s="1"/>
  <c r="D105" i="22" s="1"/>
  <c r="E105" i="22" s="1"/>
  <c r="E84" i="26"/>
  <c r="F84" i="26"/>
  <c r="D84" i="26"/>
  <c r="G84" i="26"/>
  <c r="H84" i="26"/>
  <c r="I83" i="26"/>
  <c r="T9" i="32"/>
  <c r="C22" i="22"/>
  <c r="M20" i="33"/>
  <c r="O20" i="33" s="1"/>
  <c r="Q20" i="33" s="1"/>
  <c r="S20" i="33" s="1"/>
  <c r="K103" i="32" s="1"/>
  <c r="O103" i="32" s="1"/>
  <c r="H19" i="22"/>
  <c r="N20" i="33"/>
  <c r="P20" i="33" s="1"/>
  <c r="R20" i="33" s="1"/>
  <c r="T20" i="33" s="1"/>
  <c r="L103" i="32" s="1"/>
  <c r="P103" i="32" s="1"/>
  <c r="H51" i="26"/>
  <c r="K51" i="26" s="1"/>
  <c r="N51" i="26" s="1"/>
  <c r="C85" i="26" s="1"/>
  <c r="I197" i="32"/>
  <c r="H21" i="33"/>
  <c r="G21" i="33"/>
  <c r="S10" i="32"/>
  <c r="B85" i="26"/>
  <c r="I84" i="26" l="1"/>
  <c r="H52" i="26"/>
  <c r="K52" i="26" s="1"/>
  <c r="N52" i="26" s="1"/>
  <c r="C86" i="26" s="1"/>
  <c r="I198" i="32"/>
  <c r="S11" i="32"/>
  <c r="B86" i="26"/>
  <c r="D104" i="22"/>
  <c r="E104" i="22" s="1"/>
  <c r="J83" i="26"/>
  <c r="E21" i="22"/>
  <c r="G21" i="22" s="1"/>
  <c r="D85" i="26"/>
  <c r="E85" i="26"/>
  <c r="F85" i="26"/>
  <c r="G85" i="26"/>
  <c r="H85" i="26"/>
  <c r="H22" i="33"/>
  <c r="G22" i="33"/>
  <c r="T10" i="32"/>
  <c r="C23" i="22"/>
  <c r="N21" i="33"/>
  <c r="P21" i="33" s="1"/>
  <c r="R21" i="33" s="1"/>
  <c r="T21" i="33" s="1"/>
  <c r="L104" i="32" s="1"/>
  <c r="P104" i="32" s="1"/>
  <c r="N13" i="32"/>
  <c r="R13" i="32" s="1"/>
  <c r="H200" i="32"/>
  <c r="S200" i="32" s="1"/>
  <c r="M21" i="33"/>
  <c r="O21" i="33" s="1"/>
  <c r="Q21" i="33" s="1"/>
  <c r="S21" i="33" s="1"/>
  <c r="K104" i="32" s="1"/>
  <c r="O104" i="32" s="1"/>
  <c r="M103" i="32"/>
  <c r="M12" i="32"/>
  <c r="Q12" i="32" s="1"/>
  <c r="Q102" i="32"/>
  <c r="G199" i="32"/>
  <c r="R199" i="32" s="1"/>
  <c r="T199" i="32" s="1"/>
  <c r="N14" i="32" l="1"/>
  <c r="R14" i="32" s="1"/>
  <c r="H201" i="32"/>
  <c r="S201" i="32" s="1"/>
  <c r="I199" i="32"/>
  <c r="H53" i="26"/>
  <c r="K53" i="26" s="1"/>
  <c r="N53" i="26" s="1"/>
  <c r="C87" i="26" s="1"/>
  <c r="T11" i="32"/>
  <c r="C24" i="22"/>
  <c r="M104" i="32"/>
  <c r="S12" i="32"/>
  <c r="B87" i="26"/>
  <c r="I85" i="26"/>
  <c r="M22" i="33"/>
  <c r="O22" i="33" s="1"/>
  <c r="Q22" i="33" s="1"/>
  <c r="S22" i="33" s="1"/>
  <c r="K105" i="32" s="1"/>
  <c r="O105" i="32" s="1"/>
  <c r="N22" i="33"/>
  <c r="P22" i="33" s="1"/>
  <c r="R22" i="33" s="1"/>
  <c r="T22" i="33" s="1"/>
  <c r="L105" i="32" s="1"/>
  <c r="P105" i="32" s="1"/>
  <c r="E22" i="22"/>
  <c r="G22" i="22" s="1"/>
  <c r="H22" i="22" s="1"/>
  <c r="D107" i="22" s="1"/>
  <c r="E107" i="22" s="1"/>
  <c r="J84" i="26"/>
  <c r="H21" i="22"/>
  <c r="D86" i="26"/>
  <c r="E86" i="26"/>
  <c r="F86" i="26"/>
  <c r="G86" i="26"/>
  <c r="H86" i="26"/>
  <c r="M13" i="32"/>
  <c r="Q13" i="32" s="1"/>
  <c r="Q103" i="32"/>
  <c r="G200" i="32"/>
  <c r="R200" i="32" s="1"/>
  <c r="T200" i="32" s="1"/>
  <c r="H23" i="33"/>
  <c r="G23" i="33"/>
  <c r="N15" i="32" l="1"/>
  <c r="R15" i="32" s="1"/>
  <c r="H202" i="32"/>
  <c r="S202" i="32" s="1"/>
  <c r="D87" i="26"/>
  <c r="E87" i="26"/>
  <c r="F87" i="26"/>
  <c r="G87" i="26"/>
  <c r="H87" i="26"/>
  <c r="Q23" i="33"/>
  <c r="S23" i="33" s="1"/>
  <c r="K106" i="32" s="1"/>
  <c r="O106" i="32" s="1"/>
  <c r="M23" i="33"/>
  <c r="O23" i="33" s="1"/>
  <c r="T12" i="32"/>
  <c r="C25" i="22"/>
  <c r="N23" i="33"/>
  <c r="P23" i="33" s="1"/>
  <c r="R23" i="33" s="1"/>
  <c r="T23" i="33" s="1"/>
  <c r="L106" i="32" s="1"/>
  <c r="P106" i="32" s="1"/>
  <c r="I86" i="26"/>
  <c r="M14" i="32"/>
  <c r="Q14" i="32" s="1"/>
  <c r="Q104" i="32"/>
  <c r="G201" i="32"/>
  <c r="R201" i="32" s="1"/>
  <c r="T201" i="32" s="1"/>
  <c r="H24" i="33"/>
  <c r="G24" i="33"/>
  <c r="H54" i="26"/>
  <c r="K54" i="26" s="1"/>
  <c r="N54" i="26" s="1"/>
  <c r="C88" i="26" s="1"/>
  <c r="I200" i="32"/>
  <c r="M105" i="32"/>
  <c r="E23" i="22"/>
  <c r="G23" i="22" s="1"/>
  <c r="J85" i="26"/>
  <c r="D106" i="22"/>
  <c r="E106" i="22" s="1"/>
  <c r="S13" i="32"/>
  <c r="B88" i="26"/>
  <c r="N16" i="32" l="1"/>
  <c r="R16" i="32" s="1"/>
  <c r="H203" i="32"/>
  <c r="S203" i="32" s="1"/>
  <c r="H88" i="26"/>
  <c r="D88" i="26"/>
  <c r="E88" i="26"/>
  <c r="F88" i="26"/>
  <c r="G88" i="26"/>
  <c r="N24" i="33"/>
  <c r="P24" i="33" s="1"/>
  <c r="R24" i="33" s="1"/>
  <c r="T24" i="33" s="1"/>
  <c r="L107" i="32" s="1"/>
  <c r="P107" i="32" s="1"/>
  <c r="T13" i="32"/>
  <c r="C26" i="22"/>
  <c r="I87" i="26"/>
  <c r="M106" i="32"/>
  <c r="M24" i="33"/>
  <c r="O24" i="33" s="1"/>
  <c r="Q24" i="33" s="1"/>
  <c r="S24" i="33" s="1"/>
  <c r="K107" i="32" s="1"/>
  <c r="O107" i="32" s="1"/>
  <c r="H23" i="22"/>
  <c r="H25" i="33"/>
  <c r="G25" i="33"/>
  <c r="I201" i="32"/>
  <c r="H55" i="26"/>
  <c r="K55" i="26" s="1"/>
  <c r="N55" i="26" s="1"/>
  <c r="C89" i="26" s="1"/>
  <c r="J86" i="26"/>
  <c r="E24" i="22"/>
  <c r="G24" i="22" s="1"/>
  <c r="H24" i="22" s="1"/>
  <c r="D109" i="22" s="1"/>
  <c r="E109" i="22" s="1"/>
  <c r="M15" i="32"/>
  <c r="Q15" i="32" s="1"/>
  <c r="Q105" i="32"/>
  <c r="G202" i="32"/>
  <c r="R202" i="32" s="1"/>
  <c r="T202" i="32" s="1"/>
  <c r="S14" i="32"/>
  <c r="B89" i="26"/>
  <c r="H204" i="32" l="1"/>
  <c r="S204" i="32" s="1"/>
  <c r="N17" i="32"/>
  <c r="R17" i="32" s="1"/>
  <c r="G89" i="26"/>
  <c r="H89" i="26"/>
  <c r="D89" i="26"/>
  <c r="E89" i="26"/>
  <c r="F89" i="26"/>
  <c r="I88" i="26"/>
  <c r="D108" i="22"/>
  <c r="E108" i="22" s="1"/>
  <c r="H56" i="26"/>
  <c r="K56" i="26" s="1"/>
  <c r="N56" i="26" s="1"/>
  <c r="C90" i="26" s="1"/>
  <c r="I202" i="32"/>
  <c r="T14" i="32"/>
  <c r="C27" i="22"/>
  <c r="M107" i="32"/>
  <c r="M16" i="32"/>
  <c r="Q16" i="32" s="1"/>
  <c r="Q106" i="32"/>
  <c r="G203" i="32"/>
  <c r="R203" i="32" s="1"/>
  <c r="T203" i="32" s="1"/>
  <c r="S15" i="32"/>
  <c r="B90" i="26"/>
  <c r="H26" i="33"/>
  <c r="G26" i="33"/>
  <c r="N25" i="33"/>
  <c r="P25" i="33" s="1"/>
  <c r="R25" i="33" s="1"/>
  <c r="T25" i="33" s="1"/>
  <c r="L108" i="32" s="1"/>
  <c r="P108" i="32" s="1"/>
  <c r="M25" i="33"/>
  <c r="O25" i="33" s="1"/>
  <c r="Q25" i="33" s="1"/>
  <c r="S25" i="33" s="1"/>
  <c r="K108" i="32" s="1"/>
  <c r="O108" i="32" s="1"/>
  <c r="J87" i="26"/>
  <c r="E25" i="22"/>
  <c r="G25" i="22" s="1"/>
  <c r="N18" i="32" l="1"/>
  <c r="R18" i="32" s="1"/>
  <c r="H205" i="32"/>
  <c r="S205" i="32" s="1"/>
  <c r="S16" i="32"/>
  <c r="B91" i="26"/>
  <c r="F90" i="26"/>
  <c r="G90" i="26"/>
  <c r="H90" i="26"/>
  <c r="D90" i="26"/>
  <c r="I90" i="26" s="1"/>
  <c r="E90" i="26"/>
  <c r="I89" i="26"/>
  <c r="I203" i="32"/>
  <c r="H57" i="26"/>
  <c r="K57" i="26" s="1"/>
  <c r="N57" i="26" s="1"/>
  <c r="C91" i="26" s="1"/>
  <c r="N26" i="33"/>
  <c r="P26" i="33" s="1"/>
  <c r="R26" i="33" s="1"/>
  <c r="T26" i="33" s="1"/>
  <c r="L109" i="32" s="1"/>
  <c r="P109" i="32" s="1"/>
  <c r="H27" i="33"/>
  <c r="G27" i="33"/>
  <c r="M26" i="33"/>
  <c r="O26" i="33" s="1"/>
  <c r="Q26" i="33" s="1"/>
  <c r="S26" i="33" s="1"/>
  <c r="K109" i="32" s="1"/>
  <c r="O109" i="32" s="1"/>
  <c r="T15" i="32"/>
  <c r="C28" i="22"/>
  <c r="J88" i="26"/>
  <c r="E26" i="22"/>
  <c r="G26" i="22" s="1"/>
  <c r="H26" i="22" s="1"/>
  <c r="D111" i="22" s="1"/>
  <c r="E111" i="22" s="1"/>
  <c r="H25" i="22"/>
  <c r="M17" i="32"/>
  <c r="Q17" i="32" s="1"/>
  <c r="Q107" i="32"/>
  <c r="G204" i="32"/>
  <c r="R204" i="32" s="1"/>
  <c r="T204" i="32" s="1"/>
  <c r="M108" i="32"/>
  <c r="S17" i="32" l="1"/>
  <c r="B92" i="26"/>
  <c r="N27" i="33"/>
  <c r="P27" i="33" s="1"/>
  <c r="R27" i="33" s="1"/>
  <c r="T27" i="33" s="1"/>
  <c r="L110" i="32" s="1"/>
  <c r="P110" i="32" s="1"/>
  <c r="N19" i="32"/>
  <c r="R19" i="32" s="1"/>
  <c r="H206" i="32"/>
  <c r="S206" i="32" s="1"/>
  <c r="E91" i="26"/>
  <c r="F91" i="26"/>
  <c r="G91" i="26"/>
  <c r="H91" i="26"/>
  <c r="D91" i="26"/>
  <c r="T16" i="32"/>
  <c r="C29" i="22"/>
  <c r="J90" i="26"/>
  <c r="E28" i="22"/>
  <c r="G28" i="22" s="1"/>
  <c r="H28" i="22" s="1"/>
  <c r="D113" i="22" s="1"/>
  <c r="E113" i="22" s="1"/>
  <c r="D110" i="22"/>
  <c r="E110" i="22" s="1"/>
  <c r="M109" i="32"/>
  <c r="H28" i="33"/>
  <c r="G28" i="33"/>
  <c r="J89" i="26"/>
  <c r="E27" i="22"/>
  <c r="G27" i="22" s="1"/>
  <c r="H58" i="26"/>
  <c r="K58" i="26" s="1"/>
  <c r="N58" i="26" s="1"/>
  <c r="C92" i="26" s="1"/>
  <c r="I204" i="32"/>
  <c r="M18" i="32"/>
  <c r="Q18" i="32" s="1"/>
  <c r="Q108" i="32"/>
  <c r="G205" i="32"/>
  <c r="R205" i="32" s="1"/>
  <c r="T205" i="32" s="1"/>
  <c r="M27" i="33"/>
  <c r="O27" i="33" s="1"/>
  <c r="Q27" i="33" s="1"/>
  <c r="S27" i="33" s="1"/>
  <c r="K110" i="32" s="1"/>
  <c r="O110" i="32" s="1"/>
  <c r="N20" i="32" l="1"/>
  <c r="R20" i="32" s="1"/>
  <c r="H207" i="32"/>
  <c r="S207" i="32" s="1"/>
  <c r="M110" i="32"/>
  <c r="D92" i="26"/>
  <c r="E92" i="26"/>
  <c r="F92" i="26"/>
  <c r="G92" i="26"/>
  <c r="H92" i="26"/>
  <c r="M19" i="32"/>
  <c r="Q19" i="32" s="1"/>
  <c r="Q109" i="32"/>
  <c r="G206" i="32"/>
  <c r="R206" i="32" s="1"/>
  <c r="T206" i="32" s="1"/>
  <c r="I91" i="26"/>
  <c r="H59" i="26"/>
  <c r="K59" i="26" s="1"/>
  <c r="N59" i="26" s="1"/>
  <c r="C93" i="26" s="1"/>
  <c r="I205" i="32"/>
  <c r="M28" i="33"/>
  <c r="O28" i="33" s="1"/>
  <c r="Q28" i="33" s="1"/>
  <c r="S28" i="33" s="1"/>
  <c r="K111" i="32" s="1"/>
  <c r="O111" i="32" s="1"/>
  <c r="N28" i="33"/>
  <c r="P28" i="33" s="1"/>
  <c r="R28" i="33" s="1"/>
  <c r="T28" i="33" s="1"/>
  <c r="L111" i="32" s="1"/>
  <c r="P111" i="32" s="1"/>
  <c r="H27" i="22"/>
  <c r="S18" i="32"/>
  <c r="B93" i="26"/>
  <c r="H29" i="33"/>
  <c r="G29" i="33"/>
  <c r="T17" i="32"/>
  <c r="C30" i="22"/>
  <c r="J91" i="26" l="1"/>
  <c r="E29" i="22"/>
  <c r="G29" i="22" s="1"/>
  <c r="H29" i="22" s="1"/>
  <c r="D114" i="22" s="1"/>
  <c r="E114" i="22" s="1"/>
  <c r="T18" i="32"/>
  <c r="C31" i="22"/>
  <c r="D93" i="26"/>
  <c r="E93" i="26"/>
  <c r="F93" i="26"/>
  <c r="G93" i="26"/>
  <c r="H93" i="26"/>
  <c r="I92" i="26"/>
  <c r="M20" i="32"/>
  <c r="Q20" i="32" s="1"/>
  <c r="Q110" i="32"/>
  <c r="G207" i="32"/>
  <c r="R207" i="32" s="1"/>
  <c r="T207" i="32" s="1"/>
  <c r="D112" i="22"/>
  <c r="E112" i="22" s="1"/>
  <c r="M29" i="33"/>
  <c r="O29" i="33" s="1"/>
  <c r="Q29" i="33" s="1"/>
  <c r="S29" i="33" s="1"/>
  <c r="K112" i="32" s="1"/>
  <c r="O112" i="32" s="1"/>
  <c r="H60" i="26"/>
  <c r="K60" i="26" s="1"/>
  <c r="N60" i="26" s="1"/>
  <c r="C94" i="26" s="1"/>
  <c r="I206" i="32"/>
  <c r="S19" i="32"/>
  <c r="B94" i="26"/>
  <c r="H208" i="32"/>
  <c r="S208" i="32" s="1"/>
  <c r="N21" i="32"/>
  <c r="R21" i="32" s="1"/>
  <c r="H30" i="33"/>
  <c r="G30" i="33"/>
  <c r="M111" i="32"/>
  <c r="N29" i="33"/>
  <c r="P29" i="33" s="1"/>
  <c r="R29" i="33" s="1"/>
  <c r="T29" i="33" s="1"/>
  <c r="L112" i="32" s="1"/>
  <c r="P112" i="32" s="1"/>
  <c r="I93" i="26" l="1"/>
  <c r="N22" i="32"/>
  <c r="R22" i="32" s="1"/>
  <c r="H209" i="32"/>
  <c r="S209" i="32" s="1"/>
  <c r="M112" i="32"/>
  <c r="M21" i="32"/>
  <c r="Q21" i="32" s="1"/>
  <c r="Q111" i="32"/>
  <c r="G208" i="32"/>
  <c r="R208" i="32" s="1"/>
  <c r="T208" i="32" s="1"/>
  <c r="I207" i="32"/>
  <c r="H61" i="26"/>
  <c r="K61" i="26" s="1"/>
  <c r="N61" i="26" s="1"/>
  <c r="C95" i="26" s="1"/>
  <c r="N30" i="33"/>
  <c r="P30" i="33" s="1"/>
  <c r="R30" i="33"/>
  <c r="T30" i="33" s="1"/>
  <c r="L113" i="32" s="1"/>
  <c r="P113" i="32" s="1"/>
  <c r="J93" i="26"/>
  <c r="M30" i="33"/>
  <c r="O30" i="33" s="1"/>
  <c r="Q30" i="33" s="1"/>
  <c r="S30" i="33" s="1"/>
  <c r="K113" i="32" s="1"/>
  <c r="O113" i="32" s="1"/>
  <c r="H31" i="33"/>
  <c r="G31" i="33"/>
  <c r="D94" i="26"/>
  <c r="E94" i="26"/>
  <c r="F94" i="26"/>
  <c r="G94" i="26"/>
  <c r="H94" i="26"/>
  <c r="T19" i="32"/>
  <c r="C32" i="22"/>
  <c r="S20" i="32"/>
  <c r="B95" i="26"/>
  <c r="E30" i="22"/>
  <c r="G30" i="22" s="1"/>
  <c r="H30" i="22" s="1"/>
  <c r="D115" i="22" s="1"/>
  <c r="E115" i="22" s="1"/>
  <c r="J92" i="26"/>
  <c r="E31" i="22" l="1"/>
  <c r="G31" i="22" s="1"/>
  <c r="H31" i="22" s="1"/>
  <c r="D116" i="22" s="1"/>
  <c r="E116" i="22" s="1"/>
  <c r="I94" i="26"/>
  <c r="H32" i="33"/>
  <c r="G32" i="33"/>
  <c r="S21" i="32"/>
  <c r="B96" i="26"/>
  <c r="N23" i="32"/>
  <c r="R23" i="32" s="1"/>
  <c r="H210" i="32"/>
  <c r="S210" i="32" s="1"/>
  <c r="M22" i="32"/>
  <c r="Q22" i="32" s="1"/>
  <c r="Q112" i="32"/>
  <c r="G209" i="32"/>
  <c r="R209" i="32" s="1"/>
  <c r="T209" i="32" s="1"/>
  <c r="M31" i="33"/>
  <c r="O31" i="33" s="1"/>
  <c r="Q31" i="33" s="1"/>
  <c r="S31" i="33" s="1"/>
  <c r="K114" i="32" s="1"/>
  <c r="O114" i="32" s="1"/>
  <c r="M113" i="32"/>
  <c r="D95" i="26"/>
  <c r="E95" i="26"/>
  <c r="F95" i="26"/>
  <c r="G95" i="26"/>
  <c r="H95" i="26"/>
  <c r="T20" i="32"/>
  <c r="C33" i="22"/>
  <c r="H62" i="26"/>
  <c r="K62" i="26" s="1"/>
  <c r="N62" i="26" s="1"/>
  <c r="C96" i="26" s="1"/>
  <c r="I208" i="32"/>
  <c r="N31" i="33"/>
  <c r="P31" i="33" s="1"/>
  <c r="R31" i="33" s="1"/>
  <c r="T31" i="33" s="1"/>
  <c r="L114" i="32" s="1"/>
  <c r="P114" i="32" s="1"/>
  <c r="M114" i="32" l="1"/>
  <c r="N24" i="32"/>
  <c r="R24" i="32" s="1"/>
  <c r="H211" i="32"/>
  <c r="S211" i="32" s="1"/>
  <c r="T21" i="32"/>
  <c r="C34" i="22"/>
  <c r="I209" i="32"/>
  <c r="H63" i="26"/>
  <c r="K63" i="26" s="1"/>
  <c r="N63" i="26" s="1"/>
  <c r="C97" i="26" s="1"/>
  <c r="N32" i="33"/>
  <c r="P32" i="33" s="1"/>
  <c r="R32" i="33"/>
  <c r="T32" i="33" s="1"/>
  <c r="L115" i="32" s="1"/>
  <c r="P115" i="32" s="1"/>
  <c r="M23" i="32"/>
  <c r="Q23" i="32" s="1"/>
  <c r="Q113" i="32"/>
  <c r="G210" i="32"/>
  <c r="R210" i="32" s="1"/>
  <c r="T210" i="32" s="1"/>
  <c r="M32" i="33"/>
  <c r="O32" i="33" s="1"/>
  <c r="Q32" i="33" s="1"/>
  <c r="S32" i="33" s="1"/>
  <c r="K115" i="32" s="1"/>
  <c r="O115" i="32" s="1"/>
  <c r="S22" i="32"/>
  <c r="B97" i="26"/>
  <c r="H33" i="33"/>
  <c r="G33" i="33"/>
  <c r="H96" i="26"/>
  <c r="D96" i="26"/>
  <c r="E96" i="26"/>
  <c r="F96" i="26"/>
  <c r="G96" i="26"/>
  <c r="I95" i="26"/>
  <c r="J94" i="26"/>
  <c r="E32" i="22"/>
  <c r="G32" i="22" s="1"/>
  <c r="H32" i="22" s="1"/>
  <c r="D117" i="22" s="1"/>
  <c r="E117" i="22" s="1"/>
  <c r="H64" i="26" l="1"/>
  <c r="K64" i="26" s="1"/>
  <c r="N64" i="26" s="1"/>
  <c r="C98" i="26" s="1"/>
  <c r="I210" i="32"/>
  <c r="M33" i="33"/>
  <c r="O33" i="33" s="1"/>
  <c r="Q33" i="33" s="1"/>
  <c r="S33" i="33" s="1"/>
  <c r="K116" i="32" s="1"/>
  <c r="O116" i="32" s="1"/>
  <c r="N33" i="33"/>
  <c r="P33" i="33" s="1"/>
  <c r="R33" i="33" s="1"/>
  <c r="T33" i="33" s="1"/>
  <c r="L116" i="32" s="1"/>
  <c r="P116" i="32" s="1"/>
  <c r="H34" i="33"/>
  <c r="G34" i="33"/>
  <c r="J95" i="26"/>
  <c r="E33" i="22"/>
  <c r="G33" i="22" s="1"/>
  <c r="H33" i="22" s="1"/>
  <c r="D118" i="22" s="1"/>
  <c r="E118" i="22" s="1"/>
  <c r="N25" i="32"/>
  <c r="R25" i="32" s="1"/>
  <c r="H212" i="32"/>
  <c r="S212" i="32" s="1"/>
  <c r="M115" i="32"/>
  <c r="G97" i="26"/>
  <c r="H97" i="26"/>
  <c r="D97" i="26"/>
  <c r="E97" i="26"/>
  <c r="F97" i="26"/>
  <c r="S23" i="32"/>
  <c r="B98" i="26"/>
  <c r="T22" i="32"/>
  <c r="C35" i="22"/>
  <c r="I96" i="26"/>
  <c r="M24" i="32"/>
  <c r="Q24" i="32" s="1"/>
  <c r="Q114" i="32"/>
  <c r="G211" i="32"/>
  <c r="R211" i="32" s="1"/>
  <c r="T211" i="32" s="1"/>
  <c r="N26" i="32" l="1"/>
  <c r="R26" i="32" s="1"/>
  <c r="H213" i="32"/>
  <c r="S213" i="32" s="1"/>
  <c r="M116" i="32"/>
  <c r="S24" i="32"/>
  <c r="B99" i="26"/>
  <c r="T23" i="32"/>
  <c r="C36" i="22"/>
  <c r="J96" i="26"/>
  <c r="E34" i="22"/>
  <c r="G34" i="22" s="1"/>
  <c r="H34" i="22" s="1"/>
  <c r="D119" i="22" s="1"/>
  <c r="E119" i="22" s="1"/>
  <c r="I97" i="26"/>
  <c r="F98" i="26"/>
  <c r="G98" i="26"/>
  <c r="H98" i="26"/>
  <c r="D98" i="26"/>
  <c r="E98" i="26"/>
  <c r="I211" i="32"/>
  <c r="H65" i="26"/>
  <c r="K65" i="26" s="1"/>
  <c r="N65" i="26" s="1"/>
  <c r="C99" i="26" s="1"/>
  <c r="M34" i="33"/>
  <c r="O34" i="33" s="1"/>
  <c r="Q34" i="33" s="1"/>
  <c r="S34" i="33" s="1"/>
  <c r="K117" i="32" s="1"/>
  <c r="O117" i="32" s="1"/>
  <c r="N34" i="33"/>
  <c r="P34" i="33" s="1"/>
  <c r="R34" i="33" s="1"/>
  <c r="T34" i="33" s="1"/>
  <c r="L117" i="32" s="1"/>
  <c r="P117" i="32" s="1"/>
  <c r="M25" i="32"/>
  <c r="Q25" i="32" s="1"/>
  <c r="Q115" i="32"/>
  <c r="G212" i="32"/>
  <c r="R212" i="32" s="1"/>
  <c r="T212" i="32" s="1"/>
  <c r="H35" i="33"/>
  <c r="G35" i="33"/>
  <c r="H36" i="33" l="1"/>
  <c r="G36" i="33"/>
  <c r="J97" i="26"/>
  <c r="E35" i="22"/>
  <c r="G35" i="22" s="1"/>
  <c r="H35" i="22" s="1"/>
  <c r="D120" i="22" s="1"/>
  <c r="E120" i="22" s="1"/>
  <c r="T24" i="32"/>
  <c r="C37" i="22"/>
  <c r="E99" i="26"/>
  <c r="F99" i="26"/>
  <c r="G99" i="26"/>
  <c r="H99" i="26"/>
  <c r="D99" i="26"/>
  <c r="M35" i="33"/>
  <c r="O35" i="33" s="1"/>
  <c r="Q35" i="33" s="1"/>
  <c r="S35" i="33" s="1"/>
  <c r="K118" i="32" s="1"/>
  <c r="O118" i="32" s="1"/>
  <c r="I98" i="26"/>
  <c r="M26" i="32"/>
  <c r="Q26" i="32" s="1"/>
  <c r="Q116" i="32"/>
  <c r="G213" i="32"/>
  <c r="R213" i="32" s="1"/>
  <c r="T213" i="32" s="1"/>
  <c r="M117" i="32"/>
  <c r="N27" i="32"/>
  <c r="R27" i="32" s="1"/>
  <c r="H214" i="32"/>
  <c r="S214" i="32" s="1"/>
  <c r="N35" i="33"/>
  <c r="P35" i="33" s="1"/>
  <c r="R35" i="33" s="1"/>
  <c r="T35" i="33" s="1"/>
  <c r="L118" i="32" s="1"/>
  <c r="P118" i="32" s="1"/>
  <c r="I212" i="32"/>
  <c r="H66" i="26"/>
  <c r="K66" i="26" s="1"/>
  <c r="N66" i="26" s="1"/>
  <c r="C100" i="26" s="1"/>
  <c r="S25" i="32"/>
  <c r="B100" i="26"/>
  <c r="I99" i="26" l="1"/>
  <c r="M118" i="32"/>
  <c r="N28" i="32"/>
  <c r="R28" i="32" s="1"/>
  <c r="H215" i="32"/>
  <c r="S215" i="32" s="1"/>
  <c r="T25" i="32"/>
  <c r="C38" i="22"/>
  <c r="M27" i="32"/>
  <c r="Q27" i="32" s="1"/>
  <c r="Q117" i="32"/>
  <c r="G214" i="32"/>
  <c r="R214" i="32" s="1"/>
  <c r="T214" i="32" s="1"/>
  <c r="D100" i="26"/>
  <c r="E100" i="26"/>
  <c r="F100" i="26"/>
  <c r="G100" i="26"/>
  <c r="H100" i="26"/>
  <c r="M36" i="33"/>
  <c r="O36" i="33" s="1"/>
  <c r="Q36" i="33" s="1"/>
  <c r="S36" i="33" s="1"/>
  <c r="K119" i="32" s="1"/>
  <c r="O119" i="32" s="1"/>
  <c r="S26" i="32"/>
  <c r="B101" i="26"/>
  <c r="N36" i="33"/>
  <c r="P36" i="33" s="1"/>
  <c r="R36" i="33" s="1"/>
  <c r="T36" i="33" s="1"/>
  <c r="L119" i="32" s="1"/>
  <c r="P119" i="32" s="1"/>
  <c r="H67" i="26"/>
  <c r="K67" i="26" s="1"/>
  <c r="N67" i="26" s="1"/>
  <c r="C101" i="26" s="1"/>
  <c r="I213" i="32"/>
  <c r="J98" i="26"/>
  <c r="E36" i="22"/>
  <c r="G36" i="22" s="1"/>
  <c r="H36" i="22" s="1"/>
  <c r="D121" i="22" s="1"/>
  <c r="E121" i="22" s="1"/>
  <c r="H37" i="33"/>
  <c r="G37" i="33"/>
  <c r="E37" i="22" l="1"/>
  <c r="G37" i="22" s="1"/>
  <c r="H37" i="22" s="1"/>
  <c r="D122" i="22" s="1"/>
  <c r="E122" i="22" s="1"/>
  <c r="J99" i="26"/>
  <c r="H216" i="32"/>
  <c r="S216" i="32" s="1"/>
  <c r="N29" i="32"/>
  <c r="R29" i="32" s="1"/>
  <c r="N37" i="33"/>
  <c r="P37" i="33" s="1"/>
  <c r="R37" i="33" s="1"/>
  <c r="T37" i="33" s="1"/>
  <c r="L120" i="32" s="1"/>
  <c r="P120" i="32" s="1"/>
  <c r="T26" i="32"/>
  <c r="C39" i="22"/>
  <c r="I100" i="26"/>
  <c r="D101" i="26"/>
  <c r="E101" i="26"/>
  <c r="F101" i="26"/>
  <c r="G101" i="26"/>
  <c r="H101" i="26"/>
  <c r="S27" i="32"/>
  <c r="B102" i="26"/>
  <c r="H38" i="33"/>
  <c r="G38" i="33"/>
  <c r="M119" i="32"/>
  <c r="M37" i="33"/>
  <c r="O37" i="33" s="1"/>
  <c r="Q37" i="33" s="1"/>
  <c r="S37" i="33" s="1"/>
  <c r="K120" i="32" s="1"/>
  <c r="O120" i="32" s="1"/>
  <c r="H68" i="26"/>
  <c r="K68" i="26" s="1"/>
  <c r="N68" i="26" s="1"/>
  <c r="C102" i="26" s="1"/>
  <c r="I214" i="32"/>
  <c r="M28" i="32"/>
  <c r="Q28" i="32" s="1"/>
  <c r="Q118" i="32"/>
  <c r="G215" i="32"/>
  <c r="R215" i="32" s="1"/>
  <c r="T215" i="32" s="1"/>
  <c r="M120" i="32" l="1"/>
  <c r="N30" i="32"/>
  <c r="R30" i="32" s="1"/>
  <c r="H217" i="32"/>
  <c r="S217" i="32" s="1"/>
  <c r="T27" i="32"/>
  <c r="C40" i="22"/>
  <c r="S28" i="32"/>
  <c r="B103" i="26"/>
  <c r="M29" i="32"/>
  <c r="Q29" i="32" s="1"/>
  <c r="Q119" i="32"/>
  <c r="G216" i="32"/>
  <c r="R216" i="32" s="1"/>
  <c r="T216" i="32" s="1"/>
  <c r="I215" i="32"/>
  <c r="H69" i="26"/>
  <c r="K69" i="26" s="1"/>
  <c r="N69" i="26" s="1"/>
  <c r="C103" i="26" s="1"/>
  <c r="N38" i="33"/>
  <c r="P38" i="33" s="1"/>
  <c r="R38" i="33" s="1"/>
  <c r="T38" i="33" s="1"/>
  <c r="L121" i="32" s="1"/>
  <c r="P121" i="32" s="1"/>
  <c r="H39" i="33"/>
  <c r="G39" i="33"/>
  <c r="M38" i="33"/>
  <c r="O38" i="33" s="1"/>
  <c r="Q38" i="33" s="1"/>
  <c r="S38" i="33" s="1"/>
  <c r="K121" i="32" s="1"/>
  <c r="O121" i="32" s="1"/>
  <c r="I101" i="26"/>
  <c r="D102" i="26"/>
  <c r="E102" i="26"/>
  <c r="F102" i="26"/>
  <c r="G102" i="26"/>
  <c r="H102" i="26"/>
  <c r="E38" i="22"/>
  <c r="G38" i="22" s="1"/>
  <c r="H38" i="22" s="1"/>
  <c r="D123" i="22" s="1"/>
  <c r="E123" i="22" s="1"/>
  <c r="J100" i="26"/>
  <c r="I102" i="26" l="1"/>
  <c r="E40" i="22" s="1"/>
  <c r="G40" i="22" s="1"/>
  <c r="H40" i="22" s="1"/>
  <c r="D125" i="22" s="1"/>
  <c r="E125" i="22" s="1"/>
  <c r="N31" i="32"/>
  <c r="R31" i="32" s="1"/>
  <c r="H218" i="32"/>
  <c r="S218" i="32" s="1"/>
  <c r="E39" i="22"/>
  <c r="G39" i="22" s="1"/>
  <c r="H39" i="22" s="1"/>
  <c r="D124" i="22" s="1"/>
  <c r="E124" i="22" s="1"/>
  <c r="J101" i="26"/>
  <c r="H70" i="26"/>
  <c r="K70" i="26" s="1"/>
  <c r="N70" i="26" s="1"/>
  <c r="C104" i="26" s="1"/>
  <c r="I216" i="32"/>
  <c r="M121" i="32"/>
  <c r="M39" i="33"/>
  <c r="O39" i="33" s="1"/>
  <c r="Q39" i="33" s="1"/>
  <c r="S39" i="33" s="1"/>
  <c r="K122" i="32" s="1"/>
  <c r="O122" i="32" s="1"/>
  <c r="D103" i="26"/>
  <c r="E103" i="26"/>
  <c r="F103" i="26"/>
  <c r="G103" i="26"/>
  <c r="H103" i="26"/>
  <c r="H40" i="33"/>
  <c r="G40" i="33"/>
  <c r="S29" i="32"/>
  <c r="B104" i="26"/>
  <c r="N39" i="33"/>
  <c r="P39" i="33" s="1"/>
  <c r="R39" i="33" s="1"/>
  <c r="T39" i="33" s="1"/>
  <c r="L122" i="32" s="1"/>
  <c r="P122" i="32" s="1"/>
  <c r="T28" i="32"/>
  <c r="C41" i="22"/>
  <c r="M30" i="32"/>
  <c r="Q30" i="32" s="1"/>
  <c r="Q120" i="32"/>
  <c r="G217" i="32"/>
  <c r="R217" i="32" s="1"/>
  <c r="T217" i="32" s="1"/>
  <c r="J102" i="26" l="1"/>
  <c r="N32" i="32"/>
  <c r="R32" i="32" s="1"/>
  <c r="H219" i="32"/>
  <c r="S219" i="32" s="1"/>
  <c r="M122" i="32"/>
  <c r="T29" i="32"/>
  <c r="C42" i="22"/>
  <c r="I103" i="26"/>
  <c r="N40" i="33"/>
  <c r="P40" i="33" s="1"/>
  <c r="R40" i="33" s="1"/>
  <c r="T40" i="33" s="1"/>
  <c r="L123" i="32" s="1"/>
  <c r="P123" i="32" s="1"/>
  <c r="H71" i="26"/>
  <c r="K71" i="26" s="1"/>
  <c r="N71" i="26" s="1"/>
  <c r="C105" i="26" s="1"/>
  <c r="I217" i="32"/>
  <c r="S30" i="32"/>
  <c r="B105" i="26"/>
  <c r="H41" i="33"/>
  <c r="G41" i="33"/>
  <c r="M31" i="32"/>
  <c r="Q31" i="32" s="1"/>
  <c r="Q121" i="32"/>
  <c r="G218" i="32"/>
  <c r="R218" i="32" s="1"/>
  <c r="T218" i="32" s="1"/>
  <c r="M40" i="33"/>
  <c r="O40" i="33" s="1"/>
  <c r="Q40" i="33" s="1"/>
  <c r="S40" i="33" s="1"/>
  <c r="K123" i="32" s="1"/>
  <c r="O123" i="32" s="1"/>
  <c r="H104" i="26"/>
  <c r="D104" i="26"/>
  <c r="E104" i="26"/>
  <c r="F104" i="26"/>
  <c r="G104" i="26"/>
  <c r="N33" i="32" l="1"/>
  <c r="R33" i="32" s="1"/>
  <c r="H220" i="32"/>
  <c r="S220" i="32" s="1"/>
  <c r="M123" i="32"/>
  <c r="M41" i="33"/>
  <c r="O41" i="33" s="1"/>
  <c r="Q41" i="33" s="1"/>
  <c r="S41" i="33" s="1"/>
  <c r="K124" i="32" s="1"/>
  <c r="O124" i="32" s="1"/>
  <c r="M32" i="32"/>
  <c r="Q32" i="32" s="1"/>
  <c r="Q122" i="32"/>
  <c r="G219" i="32"/>
  <c r="R219" i="32" s="1"/>
  <c r="T219" i="32" s="1"/>
  <c r="J103" i="26"/>
  <c r="E41" i="22"/>
  <c r="G41" i="22" s="1"/>
  <c r="H41" i="22" s="1"/>
  <c r="D126" i="22" s="1"/>
  <c r="E126" i="22" s="1"/>
  <c r="G105" i="26"/>
  <c r="H105" i="26"/>
  <c r="D105" i="26"/>
  <c r="E105" i="26"/>
  <c r="F105" i="26"/>
  <c r="H42" i="33"/>
  <c r="G42" i="33"/>
  <c r="N41" i="33"/>
  <c r="P41" i="33" s="1"/>
  <c r="R41" i="33" s="1"/>
  <c r="T41" i="33" s="1"/>
  <c r="L124" i="32" s="1"/>
  <c r="P124" i="32" s="1"/>
  <c r="T30" i="32"/>
  <c r="C43" i="22"/>
  <c r="I104" i="26"/>
  <c r="H72" i="26"/>
  <c r="K72" i="26" s="1"/>
  <c r="N72" i="26" s="1"/>
  <c r="C106" i="26" s="1"/>
  <c r="I218" i="32"/>
  <c r="S31" i="32"/>
  <c r="B106" i="26"/>
  <c r="N34" i="32" l="1"/>
  <c r="R34" i="32" s="1"/>
  <c r="H221" i="32"/>
  <c r="S221" i="32" s="1"/>
  <c r="M124" i="32"/>
  <c r="N42" i="33"/>
  <c r="P42" i="33" s="1"/>
  <c r="R42" i="33" s="1"/>
  <c r="T42" i="33" s="1"/>
  <c r="L125" i="32" s="1"/>
  <c r="P125" i="32" s="1"/>
  <c r="F106" i="26"/>
  <c r="G106" i="26"/>
  <c r="H106" i="26"/>
  <c r="D106" i="26"/>
  <c r="E106" i="26"/>
  <c r="T31" i="32"/>
  <c r="C44" i="22"/>
  <c r="S32" i="32"/>
  <c r="B107" i="26"/>
  <c r="J104" i="26"/>
  <c r="E42" i="22"/>
  <c r="G42" i="22" s="1"/>
  <c r="H42" i="22" s="1"/>
  <c r="D127" i="22" s="1"/>
  <c r="E127" i="22" s="1"/>
  <c r="M42" i="33"/>
  <c r="O42" i="33" s="1"/>
  <c r="Q42" i="33" s="1"/>
  <c r="S42" i="33" s="1"/>
  <c r="K125" i="32" s="1"/>
  <c r="O125" i="32" s="1"/>
  <c r="H43" i="33"/>
  <c r="G43" i="33"/>
  <c r="M33" i="32"/>
  <c r="Q33" i="32" s="1"/>
  <c r="Q123" i="32"/>
  <c r="G220" i="32"/>
  <c r="R220" i="32" s="1"/>
  <c r="T220" i="32" s="1"/>
  <c r="I105" i="26"/>
  <c r="I219" i="32"/>
  <c r="H73" i="26"/>
  <c r="K73" i="26" s="1"/>
  <c r="N73" i="26" s="1"/>
  <c r="C107" i="26" s="1"/>
  <c r="J105" i="26" l="1"/>
  <c r="E43" i="22"/>
  <c r="G43" i="22" s="1"/>
  <c r="H43" i="22" s="1"/>
  <c r="D128" i="22" s="1"/>
  <c r="E128" i="22" s="1"/>
  <c r="N35" i="32"/>
  <c r="R35" i="32" s="1"/>
  <c r="H222" i="32"/>
  <c r="S222" i="32" s="1"/>
  <c r="I220" i="32"/>
  <c r="H74" i="26"/>
  <c r="K74" i="26" s="1"/>
  <c r="N74" i="26" s="1"/>
  <c r="C108" i="26" s="1"/>
  <c r="M34" i="32"/>
  <c r="Q34" i="32" s="1"/>
  <c r="Q124" i="32"/>
  <c r="G221" i="32"/>
  <c r="R221" i="32" s="1"/>
  <c r="T221" i="32" s="1"/>
  <c r="E107" i="26"/>
  <c r="F107" i="26"/>
  <c r="G107" i="26"/>
  <c r="H107" i="26"/>
  <c r="D107" i="26"/>
  <c r="I107" i="26" s="1"/>
  <c r="T32" i="32"/>
  <c r="C45" i="22"/>
  <c r="M43" i="33"/>
  <c r="O43" i="33" s="1"/>
  <c r="Q43" i="33" s="1"/>
  <c r="S43" i="33" s="1"/>
  <c r="K126" i="32" s="1"/>
  <c r="O126" i="32" s="1"/>
  <c r="M125" i="32"/>
  <c r="S33" i="32"/>
  <c r="B108" i="26"/>
  <c r="I106" i="26"/>
  <c r="N43" i="33"/>
  <c r="P43" i="33" s="1"/>
  <c r="R43" i="33" s="1"/>
  <c r="T43" i="33" s="1"/>
  <c r="L126" i="32" s="1"/>
  <c r="P126" i="32" s="1"/>
  <c r="N36" i="32" l="1"/>
  <c r="R36" i="32" s="1"/>
  <c r="H223" i="32"/>
  <c r="S223" i="32" s="1"/>
  <c r="M126" i="32"/>
  <c r="H75" i="26"/>
  <c r="K75" i="26" s="1"/>
  <c r="N75" i="26" s="1"/>
  <c r="C109" i="26" s="1"/>
  <c r="I221" i="32"/>
  <c r="T33" i="32"/>
  <c r="C46" i="22"/>
  <c r="S34" i="32"/>
  <c r="B109" i="26"/>
  <c r="D108" i="26"/>
  <c r="E108" i="26"/>
  <c r="F108" i="26"/>
  <c r="G108" i="26"/>
  <c r="H108" i="26"/>
  <c r="J106" i="26"/>
  <c r="E44" i="22"/>
  <c r="G44" i="22" s="1"/>
  <c r="H44" i="22" s="1"/>
  <c r="D129" i="22" s="1"/>
  <c r="E129" i="22" s="1"/>
  <c r="J107" i="26"/>
  <c r="E45" i="22"/>
  <c r="G45" i="22" s="1"/>
  <c r="H45" i="22" s="1"/>
  <c r="D130" i="22" s="1"/>
  <c r="E130" i="22" s="1"/>
  <c r="M35" i="32"/>
  <c r="Q35" i="32" s="1"/>
  <c r="Q125" i="32"/>
  <c r="G222" i="32"/>
  <c r="R222" i="32" s="1"/>
  <c r="T222" i="32" s="1"/>
  <c r="H76" i="26" l="1"/>
  <c r="K76" i="26" s="1"/>
  <c r="N76" i="26" s="1"/>
  <c r="C110" i="26" s="1"/>
  <c r="I222" i="32"/>
  <c r="M36" i="32"/>
  <c r="Q36" i="32" s="1"/>
  <c r="Q126" i="32"/>
  <c r="G223" i="32"/>
  <c r="R223" i="32" s="1"/>
  <c r="T223" i="32" s="1"/>
  <c r="D109" i="26"/>
  <c r="E109" i="26"/>
  <c r="F109" i="26"/>
  <c r="G109" i="26"/>
  <c r="H109" i="26"/>
  <c r="S35" i="32"/>
  <c r="B110" i="26"/>
  <c r="I108" i="26"/>
  <c r="T34" i="32"/>
  <c r="C47" i="22"/>
  <c r="I109" i="26" l="1"/>
  <c r="I223" i="32"/>
  <c r="H77" i="26"/>
  <c r="K77" i="26" s="1"/>
  <c r="N77" i="26" s="1"/>
  <c r="C111" i="26" s="1"/>
  <c r="S36" i="32"/>
  <c r="B111" i="26"/>
  <c r="J108" i="26"/>
  <c r="E46" i="22"/>
  <c r="G46" i="22" s="1"/>
  <c r="H46" i="22" s="1"/>
  <c r="D131" i="22" s="1"/>
  <c r="E131" i="22" s="1"/>
  <c r="T35" i="32"/>
  <c r="C48" i="22"/>
  <c r="D110" i="26"/>
  <c r="E110" i="26"/>
  <c r="F110" i="26"/>
  <c r="G110" i="26"/>
  <c r="H110" i="26"/>
  <c r="T36" i="32" l="1"/>
  <c r="C49" i="22"/>
  <c r="S37" i="32"/>
  <c r="I110" i="26"/>
  <c r="J109" i="26"/>
  <c r="E47" i="22"/>
  <c r="G47" i="22" s="1"/>
  <c r="H47" i="22" s="1"/>
  <c r="D132" i="22" s="1"/>
  <c r="E132" i="22" s="1"/>
  <c r="D111" i="26"/>
  <c r="E111" i="26"/>
  <c r="F111" i="26"/>
  <c r="G111" i="26"/>
  <c r="H111" i="26"/>
  <c r="I111" i="26" l="1"/>
  <c r="J110" i="26"/>
  <c r="E48" i="22"/>
  <c r="G48" i="22" s="1"/>
  <c r="H48" i="22" s="1"/>
  <c r="D133" i="22" s="1"/>
  <c r="E133" i="22" s="1"/>
  <c r="J111" i="26" l="1"/>
  <c r="E49" i="22"/>
  <c r="G49" i="22" s="1"/>
  <c r="I112" i="26"/>
  <c r="H49" i="22" l="1"/>
  <c r="G7" i="22" l="1"/>
  <c r="F8" i="12"/>
  <c r="D134" i="22"/>
  <c r="E134" i="22" s="1"/>
  <c r="E6" i="22" s="1"/>
  <c r="G8" i="12"/>
  <c r="H8" i="12" l="1"/>
  <c r="G5" i="12" s="1"/>
</calcChain>
</file>

<file path=xl/comments1.xml><?xml version="1.0" encoding="utf-8"?>
<comments xmlns="http://schemas.openxmlformats.org/spreadsheetml/2006/main">
  <authors>
    <author>David Urban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Data provided by ODOT 2/8/19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http://ohso.publishpath.com/Websites/ohso/images/CrashBooks/2017/2017FB_S2_Crash_Section.pdf</t>
        </r>
      </text>
    </comment>
  </commentList>
</comments>
</file>

<file path=xl/comments2.xml><?xml version="1.0" encoding="utf-8"?>
<comments xmlns="http://schemas.openxmlformats.org/spreadsheetml/2006/main">
  <authors>
    <author>David Urban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Does this need sourced?</t>
        </r>
      </text>
    </comment>
  </commentList>
</comments>
</file>

<file path=xl/comments3.xml><?xml version="1.0" encoding="utf-8"?>
<comments xmlns="http://schemas.openxmlformats.org/spreadsheetml/2006/main">
  <authors>
    <author>David Urban</author>
    <author>Clawson, David W</author>
    <author>Eric Strack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Based on Google Maps travel time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CDM Smith BCA</t>
        </r>
      </text>
    </comment>
    <comment ref="A21" authorId="1" shapeId="0">
      <text>
        <r>
          <rPr>
            <b/>
            <sz val="9"/>
            <color indexed="81"/>
            <rFont val="Tahoma"/>
            <family val="2"/>
          </rPr>
          <t>Clawson, David W:</t>
        </r>
        <r>
          <rPr>
            <sz val="9"/>
            <color indexed="81"/>
            <rFont val="Tahoma"/>
            <family val="2"/>
          </rPr>
          <t xml:space="preserve">
USDOT Crossing Inventory Form for Union Pacific Railroad Co.</t>
        </r>
      </text>
    </comment>
    <comment ref="A23" authorId="1" shapeId="0">
      <text>
        <r>
          <rPr>
            <b/>
            <sz val="9"/>
            <color indexed="81"/>
            <rFont val="Tahoma"/>
            <family val="2"/>
          </rPr>
          <t>Clawson, David W:</t>
        </r>
        <r>
          <rPr>
            <sz val="9"/>
            <color indexed="81"/>
            <rFont val="Tahoma"/>
            <family val="2"/>
          </rPr>
          <t xml:space="preserve">
USDOT Crossing Inventory Form for Union Pacific Railroad Co.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Clawson, David W:</t>
        </r>
        <r>
          <rPr>
            <sz val="9"/>
            <color indexed="81"/>
            <rFont val="Tahoma"/>
            <family val="2"/>
          </rPr>
          <t xml:space="preserve">
USDOT Crossing Inventory Form for Union Pacific Railroad Co.</t>
        </r>
      </text>
    </comment>
    <comment ref="A28" authorId="2" shapeId="0">
      <text>
        <r>
          <rPr>
            <b/>
            <sz val="9"/>
            <color indexed="81"/>
            <rFont val="Tahoma"/>
            <family val="2"/>
          </rPr>
          <t>Eric Strack:</t>
        </r>
        <r>
          <rPr>
            <sz val="9"/>
            <color indexed="81"/>
            <rFont val="Tahoma"/>
            <family val="2"/>
          </rPr>
          <t xml:space="preserve">
Assumed 100 cars based upon Table 4.1 in https://expresslanes.codot.gov/programs/transitandrail/resource-materials-new/AARStudy.pdf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https://www.uprr.com/newsinfo/releases/community/2012/1008_up_ok.shtml</t>
        </r>
      </text>
    </comment>
    <comment ref="A32" authorId="2" shapeId="0">
      <text>
        <r>
          <rPr>
            <b/>
            <sz val="9"/>
            <color indexed="81"/>
            <rFont val="Tahoma"/>
            <family val="2"/>
          </rPr>
          <t>Eric Strack:</t>
        </r>
        <r>
          <rPr>
            <sz val="9"/>
            <color indexed="81"/>
            <rFont val="Tahoma"/>
            <family val="2"/>
          </rPr>
          <t xml:space="preserve">
https://www.gbrx.com/manufacturing/north-america-rail/tank-cars/305k-tank-ethanol-general-purpose/
Assume length of 60.5' 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CDM Smith BCA</t>
        </r>
      </text>
    </comment>
    <comment ref="D48" authorId="1" shapeId="0">
      <text>
        <r>
          <rPr>
            <b/>
            <sz val="9"/>
            <color indexed="81"/>
            <rFont val="Tahoma"/>
            <family val="2"/>
          </rPr>
          <t>Clawson, David W:</t>
        </r>
        <r>
          <rPr>
            <sz val="9"/>
            <color indexed="81"/>
            <rFont val="Tahoma"/>
            <family val="2"/>
          </rPr>
          <t xml:space="preserve">
http://www.seattle.gov/transportation/docs/121105PR-CoalTrainTrafficImpactStudy.pdf 
Page 13 and
http://www.caltrain.com/assets/_engineering/engineering-standards-2/criteria/CHAPTER7.pdf Page 7-19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CDM Smith BCA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Clawson, David W:</t>
        </r>
        <r>
          <rPr>
            <sz val="9"/>
            <color indexed="81"/>
            <rFont val="Tahoma"/>
            <family val="2"/>
          </rPr>
          <t xml:space="preserve">
OKDOT, October 2017</t>
        </r>
      </text>
    </comment>
    <comment ref="B87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previous HYPER Model Appendix</t>
        </r>
      </text>
    </comment>
    <comment ref="A112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  <comment ref="S13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Bridge over train tracks</t>
        </r>
      </text>
    </comment>
    <comment ref="Y13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No overside loads will take this path</t>
        </r>
      </text>
    </comment>
    <comment ref="AE13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No oversize loads will take this path</t>
        </r>
      </text>
    </comment>
    <comment ref="B136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previous HYPER Model Appendix</t>
        </r>
      </text>
    </comment>
    <comment ref="H136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previous HYPER Model Appendix</t>
        </r>
      </text>
    </comment>
    <comment ref="A161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</commentList>
</comments>
</file>

<file path=xl/comments4.xml><?xml version="1.0" encoding="utf-8"?>
<comments xmlns="http://schemas.openxmlformats.org/spreadsheetml/2006/main">
  <authors>
    <author>David Urban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</commentList>
</comments>
</file>

<file path=xl/comments5.xml><?xml version="1.0" encoding="utf-8"?>
<comments xmlns="http://schemas.openxmlformats.org/spreadsheetml/2006/main">
  <authors>
    <author>David Urban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From U.S. Energy Information Administration - US All Grade Gas average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Currently referencing the Intersection tab - need to adjust this?</t>
        </r>
      </text>
    </comment>
  </commentList>
</comments>
</file>

<file path=xl/comments6.xml><?xml version="1.0" encoding="utf-8"?>
<comments xmlns="http://schemas.openxmlformats.org/spreadsheetml/2006/main">
  <authors>
    <author>David Urban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Assume 1 full stop for stop signs and .5 stop for each traffic signal</t>
        </r>
      </text>
    </comment>
  </commentList>
</comments>
</file>

<file path=xl/comments7.xml><?xml version="1.0" encoding="utf-8"?>
<comments xmlns="http://schemas.openxmlformats.org/spreadsheetml/2006/main">
  <authors>
    <author>David Urban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Cars = Highway Capacity Manual; Trucks = Assumed 50% of car capacity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David Urban:</t>
        </r>
        <r>
          <rPr>
            <sz val="9"/>
            <color indexed="81"/>
            <rFont val="Tahoma"/>
            <family val="2"/>
          </rPr>
          <t xml:space="preserve">
CAGR for 2040-2060 = 0.9%</t>
        </r>
      </text>
    </comment>
  </commentList>
</comments>
</file>

<file path=xl/sharedStrings.xml><?xml version="1.0" encoding="utf-8"?>
<sst xmlns="http://schemas.openxmlformats.org/spreadsheetml/2006/main" count="1068" uniqueCount="516">
  <si>
    <t>Total</t>
  </si>
  <si>
    <t>Year</t>
  </si>
  <si>
    <t>Project Costs</t>
  </si>
  <si>
    <t>Capital Costs</t>
  </si>
  <si>
    <t>Economic Competitiveness</t>
  </si>
  <si>
    <t>Safety</t>
  </si>
  <si>
    <t>Total Net Benefit</t>
  </si>
  <si>
    <t>Net Present Value (NPV)</t>
  </si>
  <si>
    <t>Discount Rate</t>
  </si>
  <si>
    <t>Fatality</t>
  </si>
  <si>
    <t>Page Reference in BCA</t>
  </si>
  <si>
    <t>Current Infrastructure Baseline</t>
  </si>
  <si>
    <t>Project Description</t>
  </si>
  <si>
    <t>Projected Users</t>
  </si>
  <si>
    <t>Economic Impact</t>
  </si>
  <si>
    <t>Benefit-Cost Ratio</t>
  </si>
  <si>
    <t>Incapacitating Injury</t>
  </si>
  <si>
    <t>Non-Incapacitating Injury</t>
  </si>
  <si>
    <t>Possible Injury</t>
  </si>
  <si>
    <t>Property Damage</t>
  </si>
  <si>
    <t>Collisions</t>
  </si>
  <si>
    <t>Persons</t>
  </si>
  <si>
    <t>Source: ODOT</t>
  </si>
  <si>
    <t>Collision by Severity</t>
  </si>
  <si>
    <t>Value of Reduced Fatalities and Injuries</t>
  </si>
  <si>
    <t>Unit Value ($2017)</t>
  </si>
  <si>
    <t>Source: BCA Guidance 2018</t>
  </si>
  <si>
    <t>KABCO Level</t>
  </si>
  <si>
    <t>Monetized Value</t>
  </si>
  <si>
    <t>O - No Injury</t>
  </si>
  <si>
    <t>C - Possible Injury</t>
  </si>
  <si>
    <t>B - Non-incapacitating</t>
  </si>
  <si>
    <t>A - Incapacitating</t>
  </si>
  <si>
    <t>K - Killed</t>
  </si>
  <si>
    <t>U - Injured (Severity Unknown)</t>
  </si>
  <si>
    <t># of Accidents Reported (Unknown if Injured)</t>
  </si>
  <si>
    <t>Property Damage Only Crashes</t>
  </si>
  <si>
    <t>Per Vehicle</t>
  </si>
  <si>
    <t>No Build</t>
  </si>
  <si>
    <t>No Build Scenario</t>
  </si>
  <si>
    <t>Total (5 Years)</t>
  </si>
  <si>
    <t>Total Cost</t>
  </si>
  <si>
    <t>Average Vehicle Occupancy</t>
  </si>
  <si>
    <t>Vehicle Type</t>
  </si>
  <si>
    <t>Passenger Vehicles</t>
  </si>
  <si>
    <t>Trucks</t>
  </si>
  <si>
    <t>Occupancy</t>
  </si>
  <si>
    <t>Build Scenario</t>
  </si>
  <si>
    <t>Potential Cost Savings</t>
  </si>
  <si>
    <t>Average Vehicle per Crash</t>
  </si>
  <si>
    <t>Vehicle/Crash</t>
  </si>
  <si>
    <t>Collision Rate per Average Daily Traffic</t>
  </si>
  <si>
    <t>Build</t>
  </si>
  <si>
    <t>Est. # of Collisions</t>
  </si>
  <si>
    <t>Est. # of Vehicles</t>
  </si>
  <si>
    <t>Est. # of People</t>
  </si>
  <si>
    <t>PDO (Vehicle)</t>
  </si>
  <si>
    <t>PDO (People)</t>
  </si>
  <si>
    <t>Pos. Injury</t>
  </si>
  <si>
    <t>Non-Incap. Injury</t>
  </si>
  <si>
    <t>Incap. Injury</t>
  </si>
  <si>
    <t>Growth</t>
  </si>
  <si>
    <t>Growth Rate and 2018 ADT Calculation</t>
  </si>
  <si>
    <t>Source: ODOT ADT</t>
  </si>
  <si>
    <t>Average Daily Traffic</t>
  </si>
  <si>
    <t>Growth Rate</t>
  </si>
  <si>
    <t>Source: Safety Tab</t>
  </si>
  <si>
    <t>Average Additional Operating Costs due to Rough Roads</t>
  </si>
  <si>
    <t>Source: Road Work Ahead - US PIRG Education Fund 2010</t>
  </si>
  <si>
    <t>Oklahoma (per motorist per year)</t>
  </si>
  <si>
    <t>Project to Total Roadway Network Ratio</t>
  </si>
  <si>
    <t>Oklahoma (per vehicle per year)</t>
  </si>
  <si>
    <t>AM Peak Hour</t>
  </si>
  <si>
    <t>Traffic Volumes</t>
  </si>
  <si>
    <t>Total Delay (secs)</t>
  </si>
  <si>
    <t>PM Peak Hour</t>
  </si>
  <si>
    <t>Average Delay Reduction (secs/veh)</t>
  </si>
  <si>
    <t>Total AM and PM Peak Hour Delay Reduction (sec)</t>
  </si>
  <si>
    <t>Estimated Annual Delay Reduction (hours)</t>
  </si>
  <si>
    <t>Additional Operating Costs Avoided</t>
  </si>
  <si>
    <t>Delay Reduction Benefit</t>
  </si>
  <si>
    <t>Recommended Hourly Values of Travel Time Savings (2017 US $/person-hour)</t>
  </si>
  <si>
    <t>Category</t>
  </si>
  <si>
    <t>Hourly Value</t>
  </si>
  <si>
    <t>In-vehicle Travel</t>
  </si>
  <si>
    <t xml:space="preserve">Personal </t>
  </si>
  <si>
    <t>Business</t>
  </si>
  <si>
    <t>All Purposes</t>
  </si>
  <si>
    <t>Commercial Vehicle Operators</t>
  </si>
  <si>
    <t>Truck Drivers</t>
  </si>
  <si>
    <t>Bus Drivers</t>
  </si>
  <si>
    <t>Transit Rail Operators</t>
  </si>
  <si>
    <t>Locomotive Engineers</t>
  </si>
  <si>
    <t>Intersection</t>
  </si>
  <si>
    <t>Node</t>
  </si>
  <si>
    <t>AM Int Volume</t>
  </si>
  <si>
    <t>PM Int Volume</t>
  </si>
  <si>
    <t>AM Delay Reduction</t>
  </si>
  <si>
    <t>PM Delay Reduction</t>
  </si>
  <si>
    <t>Damage Costs for Pollutant Emissions</t>
  </si>
  <si>
    <t>Emission Type</t>
  </si>
  <si>
    <t>$ / short ton ($2017)</t>
  </si>
  <si>
    <t>Carbon Dioxide</t>
  </si>
  <si>
    <t>Volatile Organic Compounds</t>
  </si>
  <si>
    <t>Nitrogen Oxides</t>
  </si>
  <si>
    <t>Particulate Matter</t>
  </si>
  <si>
    <t>Sulfur Dioxide</t>
  </si>
  <si>
    <t>Source: BCA Guildelines 2018</t>
  </si>
  <si>
    <t>Fuel Consumption (gallons)</t>
  </si>
  <si>
    <t>Total Travel (vehicle miles traveled)</t>
  </si>
  <si>
    <t>Total Delay (vehicle-hour)</t>
  </si>
  <si>
    <t>Total Stops (stops per vehicle-hour)</t>
  </si>
  <si>
    <t>Cruise Speed (mph)</t>
  </si>
  <si>
    <t>K1</t>
  </si>
  <si>
    <t>K2</t>
  </si>
  <si>
    <t>K3</t>
  </si>
  <si>
    <t>Reduction in Fuel Consumption (gallons)</t>
  </si>
  <si>
    <t>Source: NCHRP Synthesis 409 (Page 77)</t>
  </si>
  <si>
    <t>Emission Production Factor (grams per gallon)</t>
  </si>
  <si>
    <t>Emission Rate (grams)</t>
  </si>
  <si>
    <t>Week Days/Year</t>
  </si>
  <si>
    <t>Source</t>
  </si>
  <si>
    <t>EPA</t>
  </si>
  <si>
    <t>NCHRP 409</t>
  </si>
  <si>
    <t>Average PM emissions from cars (mg/mi)</t>
  </si>
  <si>
    <t>Average mile per gallon</t>
  </si>
  <si>
    <t>Carbon Dioxide Pollutant Emissions (grams)</t>
  </si>
  <si>
    <t>Nitrogen Oxides Pollutant Emissions (grams)</t>
  </si>
  <si>
    <t>Particulate Matter Pollutant Emissions (grams)</t>
  </si>
  <si>
    <t>Sulfur Dioxide Pollutant Emissions (grams)</t>
  </si>
  <si>
    <t>Volatile Organic Compounds Pollutant Emissions
(grams)</t>
  </si>
  <si>
    <t>Reduction in Fuel Consumption
(gallons)</t>
  </si>
  <si>
    <t>Estimated Annual Delay Reduction
(hours)</t>
  </si>
  <si>
    <t>Cost Savings for Reduced Damage of Pollutant Emissions</t>
  </si>
  <si>
    <t>$ / gram ($2017)</t>
  </si>
  <si>
    <t>Particulate Matter Emission Factor</t>
  </si>
  <si>
    <t>Project Cost</t>
  </si>
  <si>
    <t>Percent Project Cost Paid</t>
  </si>
  <si>
    <t>Project Cost
(NPV)</t>
  </si>
  <si>
    <t>Potential Cost Savings
(NPV)</t>
  </si>
  <si>
    <t>Truck Traffic Percentage</t>
  </si>
  <si>
    <t>% Trucks</t>
  </si>
  <si>
    <t>Source:</t>
  </si>
  <si>
    <t xml:space="preserve">Source: </t>
  </si>
  <si>
    <t>Riverwind Saturday Events</t>
  </si>
  <si>
    <t>Total Days/Year</t>
  </si>
  <si>
    <t>$/gallon</t>
  </si>
  <si>
    <t>Cost Savings in Reduced Fuel Consumption</t>
  </si>
  <si>
    <t>Source: Environmental Protection Tab</t>
  </si>
  <si>
    <t>Additional Operating Costs Avoided (NPV)</t>
  </si>
  <si>
    <t>Delay Reduction Benefit (NPV)</t>
  </si>
  <si>
    <t>Cost Savings for Reduced Damage of Pollutant Emissions (NPV)</t>
  </si>
  <si>
    <t>Cost Savings in Reduced Fuel Consumption (NPV)</t>
  </si>
  <si>
    <t>Appendix A-</t>
  </si>
  <si>
    <t>Project</t>
  </si>
  <si>
    <t>Total Net Benefit (NPV)</t>
  </si>
  <si>
    <t>Fuel Consumption Reduction</t>
  </si>
  <si>
    <t>Source: TSD - Technical Update of the Social Cost of Carbon for Regulatory Impact Analysis</t>
  </si>
  <si>
    <t>AM Delay (sec/veh)</t>
  </si>
  <si>
    <t>PM Delay (sec/veh)</t>
  </si>
  <si>
    <t>I-35 S/Hwy9 E is an 8 lane divided highway over the S Canadian River. Peak Hour traffic back up extends to the I-35/Hwy9 interchange. There is insufficient clearance between the Intersections at the I-35 abd Hwy 9 interchange and Hwy 9 and S Harvey Ave.</t>
  </si>
  <si>
    <t>An additional southbound lane will be added between the I-35 and Hwy 9 interchages. An additional exit ramp will be added to the south side of the Exit 106 overpass. A new county road and roundabout will be added to the East side of Riverwind Casino property. S Harvey Rd will be moved farther West.</t>
  </si>
  <si>
    <t>All motorists that use the facility the surrounding businesses and surrounding community.</t>
  </si>
  <si>
    <r>
      <t>Monetized value of reduced crash costs,</t>
    </r>
    <r>
      <rPr>
        <sz val="10"/>
        <color rgb="FFFF0000"/>
        <rFont val="Arial"/>
        <family val="2"/>
      </rPr>
      <t xml:space="preserve"> diversion to transit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</rPr>
      <t>multi-modal connectivity benefits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</rPr>
      <t xml:space="preserve"> vehicle repair costs</t>
    </r>
    <r>
      <rPr>
        <sz val="10"/>
        <rFont val="Arial"/>
        <family val="2"/>
      </rPr>
      <t xml:space="preserve">, increase in property values,  travel time savings,  and </t>
    </r>
    <r>
      <rPr>
        <sz val="10"/>
        <color rgb="FFFF0000"/>
        <rFont val="Arial"/>
        <family val="2"/>
      </rPr>
      <t>reduced maintenance costs</t>
    </r>
  </si>
  <si>
    <t>All Crashes within project extents</t>
  </si>
  <si>
    <t>2040 No Build</t>
  </si>
  <si>
    <t>2018 No Build</t>
  </si>
  <si>
    <t>AM</t>
  </si>
  <si>
    <t>AM Int</t>
  </si>
  <si>
    <t>Pm INT</t>
  </si>
  <si>
    <t>PM</t>
  </si>
  <si>
    <t>2018 (seconds)</t>
  </si>
  <si>
    <t>2040 (seconds)</t>
  </si>
  <si>
    <t>seconds</t>
  </si>
  <si>
    <t>minutes</t>
  </si>
  <si>
    <t>Total Benefits</t>
  </si>
  <si>
    <t>Source: Intersection analysis as part of the Interchange Access Justification Report</t>
  </si>
  <si>
    <t>Average Intersection Volumes - Build</t>
  </si>
  <si>
    <t>Average Intersection Volumes - No Build</t>
  </si>
  <si>
    <t>Average Delay</t>
  </si>
  <si>
    <t>2016 traffic counts</t>
  </si>
  <si>
    <t>K2 - Fueld Consumption at Idle</t>
  </si>
  <si>
    <t>Injury Type Per Individual</t>
  </si>
  <si>
    <t>2018 Build</t>
  </si>
  <si>
    <t>2040 Build</t>
  </si>
  <si>
    <t>Two-Axle</t>
  </si>
  <si>
    <t>Truck</t>
  </si>
  <si>
    <t>Truck %</t>
  </si>
  <si>
    <t>Corridor Length (mi.)</t>
  </si>
  <si>
    <t>Speed Limit</t>
  </si>
  <si>
    <t>Travel Time</t>
  </si>
  <si>
    <t>No-Build</t>
  </si>
  <si>
    <t>Vehicle Hours Travelled</t>
  </si>
  <si>
    <t>VMT</t>
  </si>
  <si>
    <t>Vehicle Miles Travelled</t>
  </si>
  <si>
    <t>Reduction in VHT</t>
  </si>
  <si>
    <t>VHT Benefit</t>
  </si>
  <si>
    <t>Truck Value of Time (DOT Benefit-Cost Analysis (BCA) 2018 Resource Guide)</t>
  </si>
  <si>
    <t>Passenger Vehicle Value of Time (DOT Benefit-Cost Analysis (BCA) 2018 Resource Guide)</t>
  </si>
  <si>
    <t>Per-Mile Truck Operating Cost (DOT Benefit-Cost Analysis (BCA) 2018 Resource Guide)</t>
  </si>
  <si>
    <t>Per-Mile Two-Axle Operating Cost (DOT Benefit-Cost Analysis (BCA) 2018 Resource Guide)</t>
  </si>
  <si>
    <t>Travel Time Savings</t>
  </si>
  <si>
    <t>Vehicle Operating Cost Savings</t>
  </si>
  <si>
    <t>Discount</t>
  </si>
  <si>
    <t>Direct User Benefits</t>
  </si>
  <si>
    <t>Net Present Value</t>
  </si>
  <si>
    <t>Internal Rate of Return</t>
  </si>
  <si>
    <t>Benefit/Cost Ratio</t>
  </si>
  <si>
    <t>Analysis Year</t>
  </si>
  <si>
    <t>Operations Savings</t>
  </si>
  <si>
    <t>Crash Savings</t>
  </si>
  <si>
    <t>Operation and Maintenance Costs</t>
  </si>
  <si>
    <t>Subtotal</t>
  </si>
  <si>
    <t>7% Discount</t>
  </si>
  <si>
    <t>Total Costs</t>
  </si>
  <si>
    <t>Net Direct Benefits</t>
  </si>
  <si>
    <t>CO2 Using AASHTO User Benefit Book Calcs</t>
  </si>
  <si>
    <t>Table 5-6: Fuel Consumption per minute of Delay by vehicle type</t>
  </si>
  <si>
    <t>pg. 5-14</t>
  </si>
  <si>
    <t>Change in Fuel costs due to delay (equation 5-5)</t>
  </si>
  <si>
    <t>Free Flow Speed</t>
  </si>
  <si>
    <t>Small Car</t>
  </si>
  <si>
    <t>Big Car</t>
  </si>
  <si>
    <t>SUV</t>
  </si>
  <si>
    <t>2-Axle SU</t>
  </si>
  <si>
    <t>3-Axle SU</t>
  </si>
  <si>
    <t>Combo</t>
  </si>
  <si>
    <r>
      <t>Tons of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emitted per gallon of motor gasoline burned</t>
    </r>
  </si>
  <si>
    <t>EPA GHG Source</t>
  </si>
  <si>
    <t>Total Annual Minutes of Travel</t>
  </si>
  <si>
    <t>Minutes</t>
  </si>
  <si>
    <t>Existing No Build</t>
  </si>
  <si>
    <t>From Summary Calculations</t>
  </si>
  <si>
    <t>Existing Build</t>
  </si>
  <si>
    <t>2041 No Build</t>
  </si>
  <si>
    <t>2041 Build</t>
  </si>
  <si>
    <t>Fuel Consumption per Minute of Travel (Table 5-6)</t>
  </si>
  <si>
    <t>Cars</t>
  </si>
  <si>
    <t>Existing No-Build</t>
  </si>
  <si>
    <t>Speeds</t>
  </si>
  <si>
    <t>Average Speed</t>
  </si>
  <si>
    <t>Speed for GHG Calcs</t>
  </si>
  <si>
    <t>Fuel From Travel</t>
  </si>
  <si>
    <t xml:space="preserve">Change From Existing </t>
  </si>
  <si>
    <t>Change From Future No Build</t>
  </si>
  <si>
    <t>Table 5-5: Fuel Consumption for Autos and Trucks, by Average Operating Speed</t>
  </si>
  <si>
    <t>Fuel Consumption per mile (Table 5-5)</t>
  </si>
  <si>
    <t>Speed</t>
  </si>
  <si>
    <t>Autos</t>
  </si>
  <si>
    <t xml:space="preserve">Existing No Build </t>
  </si>
  <si>
    <t>Fuel Consumption From VMT</t>
  </si>
  <si>
    <t>Total Fuel Consumption</t>
  </si>
  <si>
    <t>Tons of CO2</t>
  </si>
  <si>
    <t>metric tons</t>
  </si>
  <si>
    <t>Environmental</t>
  </si>
  <si>
    <t>Reduced Pollutants</t>
  </si>
  <si>
    <t>O&amp;M</t>
  </si>
  <si>
    <t>Average Cost of Gas in 2017</t>
  </si>
  <si>
    <t>VMT - No Build</t>
  </si>
  <si>
    <t>Truck VMT/Year</t>
  </si>
  <si>
    <t>Two-Axle VMT/Year</t>
  </si>
  <si>
    <t>Train Data</t>
  </si>
  <si>
    <t>Number of Trains per Day</t>
  </si>
  <si>
    <t>Train Frequency</t>
  </si>
  <si>
    <t>2 trains 6 AM to 6 PM, 2 trains 6 PM to 6 AM</t>
  </si>
  <si>
    <t>Typical Train Speed Over Crossing</t>
  </si>
  <si>
    <t>Average Speed (mph)</t>
  </si>
  <si>
    <t>20 to 40 mph</t>
  </si>
  <si>
    <t>Assumed Train Length (cars)</t>
  </si>
  <si>
    <t>Assumed Train Car Type</t>
  </si>
  <si>
    <t>Estimated Length of One Train Car (Feet)</t>
  </si>
  <si>
    <t>Estimated Length of Train (Feet)</t>
  </si>
  <si>
    <t>Estimated Length of Train (Miles)</t>
  </si>
  <si>
    <t xml:space="preserve">Average Gate Down Time </t>
  </si>
  <si>
    <t>Train Length (ft)</t>
  </si>
  <si>
    <t>Gate Down Time Calculation</t>
  </si>
  <si>
    <t>Miles per Hour</t>
  </si>
  <si>
    <t>x</t>
  </si>
  <si>
    <t>Feet per Hour</t>
  </si>
  <si>
    <t>2640x</t>
  </si>
  <si>
    <t>Feet per Minute</t>
  </si>
  <si>
    <t>Add 25 seconds for the gate going down ahead of the train and 5 seconds to go back up once the train passes for a total of 30 additional seconds to the above calculation</t>
  </si>
  <si>
    <t>Average Gate Down Time - Night Trains</t>
  </si>
  <si>
    <t>5280x</t>
  </si>
  <si>
    <t>Daily Vehicle Delay (Min)</t>
  </si>
  <si>
    <t>Annual Vehicle Delay (Hours)</t>
  </si>
  <si>
    <t>Total Delay</t>
  </si>
  <si>
    <t>Train Delays - No Build</t>
  </si>
  <si>
    <t>TRAIN DELAY</t>
  </si>
  <si>
    <t>OVERSIZE LOAD DELAY</t>
  </si>
  <si>
    <t>Total VMT/Day</t>
  </si>
  <si>
    <t>Total VMT/Year</t>
  </si>
  <si>
    <t xml:space="preserve">Average Time for Super Oversize Vehicles to Clear Intersection </t>
  </si>
  <si>
    <t>Estimated Super Oversize Loads at Intersection per Year</t>
  </si>
  <si>
    <t>Estimated Super Oversize Loads at Intersection per Day (Excluding Weekends)</t>
  </si>
  <si>
    <t>Time used in calculations</t>
  </si>
  <si>
    <t>Average time for loads to clear intersection (Minutes)</t>
  </si>
  <si>
    <t>Total time for loads to clear intersection per day, excluding weekends (Minutes)</t>
  </si>
  <si>
    <t>Two-Axle AADT</t>
  </si>
  <si>
    <t>Truck AADT</t>
  </si>
  <si>
    <t>Total AADT</t>
  </si>
  <si>
    <t>Segment Distance (Miles)</t>
  </si>
  <si>
    <t>Total Delay - No Build</t>
  </si>
  <si>
    <t>Truck Factor</t>
  </si>
  <si>
    <t>Train Delays - Build</t>
  </si>
  <si>
    <t>Intersection Delays Choctaw &amp; US 81 - Build</t>
  </si>
  <si>
    <t>Intersection Delays US 62 &amp; US 81 - Build</t>
  </si>
  <si>
    <t>VMT - Build (Existing US 81)</t>
  </si>
  <si>
    <t>VMT - Build (Total)</t>
  </si>
  <si>
    <t>BUILD</t>
  </si>
  <si>
    <t>Total Delay - Build</t>
  </si>
  <si>
    <t>NO BUILD - BUILD</t>
  </si>
  <si>
    <t>VMT = No Build (Total) - Build (Total)</t>
  </si>
  <si>
    <t>Total Delay = No Build (Total) - Build (Total)</t>
  </si>
  <si>
    <t>Vehicle Operation Costs</t>
  </si>
  <si>
    <t>Monetized Value of Time (Yearly)</t>
  </si>
  <si>
    <t>ADT on U.S. 81</t>
  </si>
  <si>
    <t>U.S. 81</t>
  </si>
  <si>
    <t>Truck Traffic Percentage on US 81</t>
  </si>
  <si>
    <t>Segment (2017) - Existing</t>
  </si>
  <si>
    <t>Weighted Average</t>
  </si>
  <si>
    <t>Segment Miles/Total Miles</t>
  </si>
  <si>
    <t>Segment AADT</t>
  </si>
  <si>
    <t>CAGR 2017-2040</t>
  </si>
  <si>
    <t>Build Existing US 81</t>
  </si>
  <si>
    <t>Existing US 81</t>
  </si>
  <si>
    <t>Build US 81</t>
  </si>
  <si>
    <t>2024 ADT</t>
  </si>
  <si>
    <t>2024 Truck ADT</t>
  </si>
  <si>
    <t>Growth Rate 2017-2040</t>
  </si>
  <si>
    <t>Growth Rate 2041-2054</t>
  </si>
  <si>
    <t>Existing (No Build rate)</t>
  </si>
  <si>
    <t>Number of Vehicles</t>
  </si>
  <si>
    <t>Total Crashes</t>
  </si>
  <si>
    <t>One</t>
  </si>
  <si>
    <t>Two</t>
  </si>
  <si>
    <t>Three</t>
  </si>
  <si>
    <t>Four or More</t>
  </si>
  <si>
    <t>Total Vehicles</t>
  </si>
  <si>
    <t>Average Vehicle/Crash</t>
  </si>
  <si>
    <t>Source: ODOT 2017 Crash Facts</t>
  </si>
  <si>
    <t>NO BUILD</t>
  </si>
  <si>
    <t>CAGR 2040-2055</t>
  </si>
  <si>
    <t>VMT Benefit</t>
  </si>
  <si>
    <t>1405/US 81 S of Chickasha to Hwy 19</t>
  </si>
  <si>
    <t>Hwy 19 to Country Club Road</t>
  </si>
  <si>
    <t>Country Club Road to Almar Dr</t>
  </si>
  <si>
    <t>Almar Drive to I-44 NB On/Off Ramps</t>
  </si>
  <si>
    <t>I-44 NB On/Off Ramps to I-44 SB On/Off Ramps</t>
  </si>
  <si>
    <t>I-44 SB On/Off Ramps to Grand Ave</t>
  </si>
  <si>
    <t>Grand Ave to Chisholm Drive</t>
  </si>
  <si>
    <t>Chisholm Drive to Missouri Ave</t>
  </si>
  <si>
    <t>Missouri Ave to Minnesota Ave</t>
  </si>
  <si>
    <t>Minnesota Ave to Kansas Ave</t>
  </si>
  <si>
    <t>Kansas Ave to Chickasha Ave</t>
  </si>
  <si>
    <t>Chickasha Ave to Choctaw Ave</t>
  </si>
  <si>
    <t>Choctaw Ave/US 81 Intersection to 6th St</t>
  </si>
  <si>
    <t>6th St to N 16th St</t>
  </si>
  <si>
    <t>N 16th St to US 62/US 81</t>
  </si>
  <si>
    <t>US 62/US 81 to northern extent of bypass project</t>
  </si>
  <si>
    <t>1405/US 81 S of Chickasha to I-44 Interchange</t>
  </si>
  <si>
    <t>I-44 Interchange to Country Club Road Interchange</t>
  </si>
  <si>
    <t>Country Club Road Interchange to Grand Ave Interchange</t>
  </si>
  <si>
    <t>Grand Ave Interchange to Iowa Ave Interchange</t>
  </si>
  <si>
    <t>Iowa Ave Interchange to US 62/81 Interchange</t>
  </si>
  <si>
    <t>US 62/81 Interchange to northern extent of project</t>
  </si>
  <si>
    <t xml:space="preserve">Segment </t>
  </si>
  <si>
    <t>Segment</t>
  </si>
  <si>
    <t>EPA Kansas City Analysis</t>
  </si>
  <si>
    <t>Google</t>
  </si>
  <si>
    <t>Reduction in VMT</t>
  </si>
  <si>
    <t>Total Crash Rate/100 Million VMT</t>
  </si>
  <si>
    <t>Grady County</t>
  </si>
  <si>
    <t>VMT U.S. 81 Bypass</t>
  </si>
  <si>
    <t>Build - Bypass</t>
  </si>
  <si>
    <t>AADT</t>
  </si>
  <si>
    <t>Fuel Consumption (Gallons)</t>
  </si>
  <si>
    <t>Reduction in Fuel Consumption (Gallons)</t>
  </si>
  <si>
    <t>Total Delay (Hours)</t>
  </si>
  <si>
    <t>2017 OklahomaStatewide Crashes</t>
  </si>
  <si>
    <t>VMT - Build (US 81 Bypass)</t>
  </si>
  <si>
    <t>30.5K Gallon General Purpose Tank Car</t>
  </si>
  <si>
    <t>2 min 48 sec</t>
  </si>
  <si>
    <t>1 min 39 sec</t>
  </si>
  <si>
    <t>Car</t>
  </si>
  <si>
    <t>Segment (2017) - Build (US 81 Bypass)</t>
  </si>
  <si>
    <t>Segment (2017) - Build (Existing US 81)</t>
  </si>
  <si>
    <t>Oversize Load Delay</t>
  </si>
  <si>
    <t>Net Direct Benefits - 7% Discount</t>
  </si>
  <si>
    <t>http://sp.mdot.ms.gov/Environmental/Projects/Current%20Projects/District%201%20and%202/Tupelo%20Railroad%20Relocation/Feasibility%20Study/Volume%20I%20-%20Report/Report/Section%2007%20-%20At%20Grade%20Traffic%20Delay.pdf</t>
  </si>
  <si>
    <t>Notes:</t>
  </si>
  <si>
    <t>AADT 2017-2055 (Segment 13)</t>
  </si>
  <si>
    <t>Existing US 81 AADT</t>
  </si>
  <si>
    <t>Arrivals/Hour</t>
  </si>
  <si>
    <t>Car (v)</t>
  </si>
  <si>
    <t>Truck (v)</t>
  </si>
  <si>
    <t>Car (d)</t>
  </si>
  <si>
    <t>Truck (d)</t>
  </si>
  <si>
    <t>Truck (Qm1)</t>
  </si>
  <si>
    <t>Car (Qm1)</t>
  </si>
  <si>
    <t>Car (t1)</t>
  </si>
  <si>
    <t>Truck (t1)</t>
  </si>
  <si>
    <t>Car (t2)</t>
  </si>
  <si>
    <t>Truck (t2)</t>
  </si>
  <si>
    <t>Delay (Hours)</t>
  </si>
  <si>
    <t>Queue</t>
  </si>
  <si>
    <t>Clearance (hours)</t>
  </si>
  <si>
    <t>Blockage (hours)</t>
  </si>
  <si>
    <t>Daily</t>
  </si>
  <si>
    <t>Departures/Hour</t>
  </si>
  <si>
    <t>AADT 2017-2055 (Segment 15)</t>
  </si>
  <si>
    <t>Signal is green 45% of the time</t>
  </si>
  <si>
    <t>Arterial capacity of a single lane for cars is 1800/hour, trucks 900/hour</t>
  </si>
  <si>
    <t>Train Delay Day Time</t>
  </si>
  <si>
    <t>AADT 2017-2055 (Segment 16)</t>
  </si>
  <si>
    <t>Day</t>
  </si>
  <si>
    <t>Night</t>
  </si>
  <si>
    <t>Trains</t>
  </si>
  <si>
    <t>Existing</t>
  </si>
  <si>
    <t>US 81 Bypass</t>
  </si>
  <si>
    <t>Annual</t>
  </si>
  <si>
    <t>Project Life (Years)</t>
  </si>
  <si>
    <t>Total Project Costs (2017$)</t>
  </si>
  <si>
    <t>Residual Value (2055$)</t>
  </si>
  <si>
    <t>30 Year Costs</t>
  </si>
  <si>
    <t>30 Year BENEFITS</t>
  </si>
  <si>
    <t>30 Year COSTS</t>
  </si>
  <si>
    <t>None</t>
  </si>
  <si>
    <t>Database: 2016 Pavement Condition Data Collection</t>
  </si>
  <si>
    <t xml:space="preserve">Existing Alignment US 81/US 62 </t>
  </si>
  <si>
    <t>Existing Alignment Maintenance Costs</t>
  </si>
  <si>
    <t>Subsection</t>
  </si>
  <si>
    <t>Begin Mileage</t>
  </si>
  <si>
    <t>End Mileage</t>
  </si>
  <si>
    <t>Total Mileage</t>
  </si>
  <si>
    <t>PQI</t>
  </si>
  <si>
    <t>LANES</t>
  </si>
  <si>
    <t>Pavement</t>
  </si>
  <si>
    <t>SEGMENT</t>
  </si>
  <si>
    <t>TOTAL LANE MILES</t>
  </si>
  <si>
    <t>STRATEGY</t>
  </si>
  <si>
    <t>JCP</t>
  </si>
  <si>
    <t>J</t>
  </si>
  <si>
    <t>JCP FOR CONTROL 2606</t>
  </si>
  <si>
    <t>Pavement Preservation every 7 years, Reconstruct in 2036, Preservation every 7 years thereafter</t>
  </si>
  <si>
    <t>2022 Cost</t>
  </si>
  <si>
    <t>2029 Cost</t>
  </si>
  <si>
    <t>2036 Cost</t>
  </si>
  <si>
    <t>2043 Cost</t>
  </si>
  <si>
    <t>2050 Cost</t>
  </si>
  <si>
    <t>2057 Cost</t>
  </si>
  <si>
    <t>Action</t>
  </si>
  <si>
    <t>Cost/Lane-Mile</t>
  </si>
  <si>
    <t>Total/lane mile</t>
  </si>
  <si>
    <t>Total Amount</t>
  </si>
  <si>
    <t>Preservation</t>
  </si>
  <si>
    <t>Reconstruct</t>
  </si>
  <si>
    <t>JCP FOR CONTROL 2608</t>
  </si>
  <si>
    <t>Pavement Preservation every 7 years, Reconstruct in 2035, Preservation every 7 years thereafter</t>
  </si>
  <si>
    <t>2021 Cost</t>
  </si>
  <si>
    <t>2028 Cost</t>
  </si>
  <si>
    <t>2035 Cost</t>
  </si>
  <si>
    <t>2042 Cost</t>
  </si>
  <si>
    <t>2049 Cost</t>
  </si>
  <si>
    <t>2056 Cost</t>
  </si>
  <si>
    <t>AC</t>
  </si>
  <si>
    <t>AC FOR CONTROL 2608</t>
  </si>
  <si>
    <t>Pavement Preservation every 7 years, Rehab every 21 years</t>
  </si>
  <si>
    <t>2024 Cost</t>
  </si>
  <si>
    <t>2031 Cost</t>
  </si>
  <si>
    <t>2038 Cost</t>
  </si>
  <si>
    <t>2045 Cost</t>
  </si>
  <si>
    <t>2052 Cost</t>
  </si>
  <si>
    <t>2059 Cost</t>
  </si>
  <si>
    <t>Rehab</t>
  </si>
  <si>
    <t>JCP FOR CONTROL 2602</t>
  </si>
  <si>
    <t>Pavement Preservation every 7 years, Reconstruct in 2034, Preservation every 7 years thereafter</t>
  </si>
  <si>
    <t>2020 Cost</t>
  </si>
  <si>
    <t>2027 Cost</t>
  </si>
  <si>
    <t>2034 Cost</t>
  </si>
  <si>
    <t>2041 Cost</t>
  </si>
  <si>
    <t>2048 Cost</t>
  </si>
  <si>
    <t>2055 Cost</t>
  </si>
  <si>
    <t>AC FOR CONTROL 2612</t>
  </si>
  <si>
    <t/>
  </si>
  <si>
    <t>TOTAL</t>
  </si>
  <si>
    <t>General Maintenance</t>
  </si>
  <si>
    <t>40 years at $5,300/Lane Mile</t>
  </si>
  <si>
    <t>Total Maintenance Cost Through 2060 in Year 2017 Dollars</t>
  </si>
  <si>
    <t>Proposed Alignment Maintenance Costs</t>
  </si>
  <si>
    <t>ROADWAY FOR NEW ALIGNMENT</t>
  </si>
  <si>
    <t>BRIDGE FOR NEW ALIGNMENT</t>
  </si>
  <si>
    <t>Silane year 1, Joint Project every 20 years</t>
  </si>
  <si>
    <t>2040 Cost</t>
  </si>
  <si>
    <t>2060 Cost</t>
  </si>
  <si>
    <t>Silane</t>
  </si>
  <si>
    <t>Joint Replace</t>
  </si>
  <si>
    <t>PQI Rating Categories</t>
  </si>
  <si>
    <t>IRI Rating Categories</t>
  </si>
  <si>
    <t>Good:</t>
  </si>
  <si>
    <t>91-100</t>
  </si>
  <si>
    <t>&lt;95</t>
  </si>
  <si>
    <t>Fair:</t>
  </si>
  <si>
    <t>75-90</t>
  </si>
  <si>
    <t>95-170</t>
  </si>
  <si>
    <t>Poor:</t>
  </si>
  <si>
    <t>0-74</t>
  </si>
  <si>
    <t>&gt;170</t>
  </si>
  <si>
    <t>Reconstruction, Preservation, Rehabilitation</t>
  </si>
  <si>
    <t>Bypass</t>
  </si>
  <si>
    <t>Preservation, Rehabilitation, Silane, Joint Project</t>
  </si>
  <si>
    <t>NO BUILD MINUS BUILD</t>
  </si>
  <si>
    <t>Superload Delays - (Choctaw &amp; US 81/US 62 &amp; US 81) - No Build</t>
  </si>
  <si>
    <t>2019 BCA SUMMARY - U.S. 81 Realignment</t>
  </si>
  <si>
    <t>Change in O&amp;M Costs No-Build minus Build</t>
  </si>
  <si>
    <t>Project Costs (NPV)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</si>
</sst>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&quot;$&quot;* #,##0_);_(&quot;$&quot;* \(#,##0\);_(&quot;$&quot;* &quot;-&quot;??_);_(@_)"/>
    <numFmt numFmtId="166" formatCode="0.00000"/>
    <numFmt numFmtId="167" formatCode="0.000"/>
    <numFmt numFmtId="168" formatCode="_(* #,##0_);_(* \(#,##0\);_(* &quot;-&quot;??_);_(@_)"/>
    <numFmt numFmtId="169" formatCode="0.0%"/>
    <numFmt numFmtId="170" formatCode="0.0000"/>
    <numFmt numFmtId="171" formatCode="&quot;$&quot;#,##0"/>
    <numFmt numFmtId="172" formatCode="0.0"/>
    <numFmt numFmtId="173" formatCode="#,##0.0"/>
    <numFmt numFmtId="174" formatCode="&quot;$&quot;#,##0.00"/>
    <numFmt numFmtId="175" formatCode="_([$$-409]* #,##0.00_);_([$$-409]* \(#,##0.00\);_([$$-409]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u/>
      <sz val="10"/>
      <color theme="10"/>
      <name val="Arial"/>
      <family val="2"/>
    </font>
    <font>
      <b/>
      <sz val="16"/>
      <color rgb="FFFF0000"/>
      <name val="Arial"/>
      <family val="2"/>
    </font>
    <font>
      <vertAlign val="subscript"/>
      <sz val="10"/>
      <name val="Arial"/>
      <family val="2"/>
    </font>
    <font>
      <b/>
      <sz val="10"/>
      <color theme="3" tint="0.39997558519241921"/>
      <name val="Arial"/>
      <family val="2"/>
    </font>
    <font>
      <sz val="10"/>
      <color theme="1" tint="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002060"/>
      <name val="Calibri"/>
      <family val="2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5" fillId="0" borderId="0" applyNumberFormat="0" applyAlignment="0"/>
    <xf numFmtId="43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38" fontId="5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5" fillId="3" borderId="3" applyNumberFormat="0" applyBorder="0" applyAlignment="0" applyProtection="0"/>
    <xf numFmtId="164" fontId="4" fillId="0" borderId="0"/>
    <xf numFmtId="0" fontId="4" fillId="0" borderId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0" fontId="4" fillId="0" borderId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41" fillId="0" borderId="0"/>
    <xf numFmtId="0" fontId="4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17">
    <xf numFmtId="0" fontId="0" fillId="0" borderId="0" xfId="0"/>
    <xf numFmtId="0" fontId="0" fillId="0" borderId="0" xfId="0" applyBorder="1"/>
    <xf numFmtId="44" fontId="0" fillId="0" borderId="0" xfId="0" applyNumberFormat="1"/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/>
    <xf numFmtId="44" fontId="0" fillId="0" borderId="3" xfId="3" applyFont="1" applyBorder="1"/>
    <xf numFmtId="6" fontId="4" fillId="0" borderId="7" xfId="0" applyNumberFormat="1" applyFont="1" applyBorder="1" applyAlignment="1">
      <alignment horizontal="left" vertical="center" wrapText="1"/>
    </xf>
    <xf numFmtId="42" fontId="4" fillId="0" borderId="7" xfId="0" applyNumberFormat="1" applyFont="1" applyBorder="1" applyAlignment="1">
      <alignment horizontal="left" vertical="center" wrapText="1"/>
    </xf>
    <xf numFmtId="42" fontId="4" fillId="0" borderId="13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5" applyBorder="1" applyAlignment="1"/>
    <xf numFmtId="0" fontId="4" fillId="0" borderId="0" xfId="0" applyFont="1" applyAlignment="1">
      <alignment horizontal="center" vertical="center" wrapText="1"/>
    </xf>
    <xf numFmtId="0" fontId="4" fillId="0" borderId="3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1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18" xfId="0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165" fontId="4" fillId="4" borderId="15" xfId="3" applyNumberFormat="1" applyFont="1" applyFill="1" applyBorder="1" applyAlignment="1">
      <alignment horizontal="left"/>
    </xf>
    <xf numFmtId="165" fontId="4" fillId="4" borderId="17" xfId="3" applyNumberFormat="1" applyFont="1" applyFill="1" applyBorder="1" applyAlignment="1">
      <alignment horizontal="left"/>
    </xf>
    <xf numFmtId="165" fontId="0" fillId="4" borderId="3" xfId="3" applyNumberFormat="1" applyFont="1" applyFill="1" applyBorder="1"/>
    <xf numFmtId="0" fontId="4" fillId="0" borderId="3" xfId="0" applyFont="1" applyBorder="1" applyAlignment="1">
      <alignment horizontal="center" wrapText="1"/>
    </xf>
    <xf numFmtId="165" fontId="6" fillId="0" borderId="3" xfId="0" applyNumberFormat="1" applyFont="1" applyBorder="1"/>
    <xf numFmtId="3" fontId="0" fillId="0" borderId="17" xfId="0" applyNumberFormat="1" applyBorder="1" applyAlignment="1">
      <alignment horizontal="center"/>
    </xf>
    <xf numFmtId="37" fontId="0" fillId="0" borderId="17" xfId="2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7" fontId="0" fillId="0" borderId="16" xfId="2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37" fontId="0" fillId="0" borderId="19" xfId="2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5" borderId="15" xfId="0" applyFont="1" applyFill="1" applyBorder="1"/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wrapText="1"/>
    </xf>
    <xf numFmtId="10" fontId="0" fillId="4" borderId="3" xfId="10" applyNumberFormat="1" applyFont="1" applyFill="1" applyBorder="1" applyAlignment="1">
      <alignment horizontal="center"/>
    </xf>
    <xf numFmtId="165" fontId="0" fillId="0" borderId="17" xfId="3" applyNumberFormat="1" applyFont="1" applyBorder="1"/>
    <xf numFmtId="165" fontId="0" fillId="0" borderId="19" xfId="3" applyNumberFormat="1" applyFont="1" applyBorder="1"/>
    <xf numFmtId="0" fontId="0" fillId="0" borderId="0" xfId="0" applyAlignment="1"/>
    <xf numFmtId="44" fontId="0" fillId="0" borderId="19" xfId="3" applyFont="1" applyBorder="1"/>
    <xf numFmtId="44" fontId="0" fillId="0" borderId="17" xfId="3" applyFont="1" applyBorder="1"/>
    <xf numFmtId="44" fontId="0" fillId="0" borderId="16" xfId="3" applyFont="1" applyBorder="1"/>
    <xf numFmtId="3" fontId="0" fillId="4" borderId="3" xfId="0" applyNumberFormat="1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6" fontId="0" fillId="4" borderId="3" xfId="0" applyNumberForma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0" fillId="4" borderId="3" xfId="3" applyFont="1" applyFill="1" applyBorder="1"/>
    <xf numFmtId="0" fontId="6" fillId="0" borderId="3" xfId="0" applyFont="1" applyBorder="1" applyAlignment="1">
      <alignment horizontal="center" vertical="center" wrapText="1"/>
    </xf>
    <xf numFmtId="10" fontId="4" fillId="4" borderId="3" xfId="0" applyNumberFormat="1" applyFont="1" applyFill="1" applyBorder="1" applyAlignment="1">
      <alignment horizontal="center"/>
    </xf>
    <xf numFmtId="44" fontId="0" fillId="0" borderId="3" xfId="0" applyNumberFormat="1" applyBorder="1"/>
    <xf numFmtId="0" fontId="0" fillId="0" borderId="20" xfId="0" applyBorder="1" applyAlignment="1">
      <alignment horizontal="center"/>
    </xf>
    <xf numFmtId="44" fontId="0" fillId="0" borderId="20" xfId="0" applyNumberFormat="1" applyBorder="1"/>
    <xf numFmtId="44" fontId="0" fillId="0" borderId="17" xfId="0" applyNumberForma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 applyAlignment="1">
      <alignment horizontal="center"/>
    </xf>
    <xf numFmtId="44" fontId="0" fillId="4" borderId="17" xfId="3" applyFont="1" applyFill="1" applyBorder="1"/>
    <xf numFmtId="44" fontId="0" fillId="4" borderId="16" xfId="3" applyFont="1" applyFill="1" applyBorder="1"/>
    <xf numFmtId="0" fontId="0" fillId="4" borderId="3" xfId="0" applyFill="1" applyBorder="1" applyAlignment="1">
      <alignment horizontal="center" vertical="center"/>
    </xf>
    <xf numFmtId="8" fontId="0" fillId="4" borderId="15" xfId="0" applyNumberFormat="1" applyFill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2" fillId="0" borderId="0" xfId="0" applyFont="1"/>
    <xf numFmtId="0" fontId="11" fillId="0" borderId="0" xfId="0" applyFont="1" applyFill="1" applyBorder="1" applyAlignment="1">
      <alignment horizontal="left"/>
    </xf>
    <xf numFmtId="9" fontId="0" fillId="0" borderId="3" xfId="0" applyNumberFormat="1" applyBorder="1" applyAlignment="1">
      <alignment horizontal="center"/>
    </xf>
    <xf numFmtId="9" fontId="0" fillId="0" borderId="17" xfId="10" applyFont="1" applyBorder="1" applyAlignment="1">
      <alignment horizontal="center"/>
    </xf>
    <xf numFmtId="9" fontId="0" fillId="0" borderId="19" xfId="10" applyFont="1" applyBorder="1" applyAlignment="1">
      <alignment horizontal="center"/>
    </xf>
    <xf numFmtId="165" fontId="0" fillId="0" borderId="19" xfId="3" applyNumberFormat="1" applyFont="1" applyBorder="1" applyAlignment="1">
      <alignment horizontal="center"/>
    </xf>
    <xf numFmtId="165" fontId="0" fillId="0" borderId="17" xfId="3" applyNumberFormat="1" applyFont="1" applyBorder="1" applyAlignment="1">
      <alignment horizontal="center"/>
    </xf>
    <xf numFmtId="165" fontId="0" fillId="0" borderId="3" xfId="3" applyNumberFormat="1" applyFont="1" applyBorder="1" applyAlignment="1">
      <alignment horizontal="center"/>
    </xf>
    <xf numFmtId="8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44" fontId="0" fillId="0" borderId="0" xfId="3" applyFont="1" applyFill="1" applyBorder="1"/>
    <xf numFmtId="0" fontId="6" fillId="0" borderId="0" xfId="0" applyFont="1" applyBorder="1" applyAlignment="1"/>
    <xf numFmtId="0" fontId="6" fillId="0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44" fontId="0" fillId="4" borderId="15" xfId="3" applyFont="1" applyFill="1" applyBorder="1"/>
    <xf numFmtId="0" fontId="4" fillId="4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9" fontId="0" fillId="0" borderId="3" xfId="10" applyFont="1" applyBorder="1"/>
    <xf numFmtId="0" fontId="0" fillId="0" borderId="15" xfId="0" applyBorder="1" applyAlignment="1">
      <alignment horizontal="center"/>
    </xf>
    <xf numFmtId="0" fontId="4" fillId="0" borderId="0" xfId="0" quotePrefix="1" applyFont="1"/>
    <xf numFmtId="0" fontId="4" fillId="0" borderId="0" xfId="0" applyFont="1" applyFill="1" applyBorder="1"/>
    <xf numFmtId="9" fontId="6" fillId="4" borderId="3" xfId="10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8" fontId="0" fillId="0" borderId="0" xfId="0" applyNumberFormat="1" applyFill="1" applyBorder="1"/>
    <xf numFmtId="8" fontId="12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/>
    </xf>
    <xf numFmtId="9" fontId="11" fillId="0" borderId="0" xfId="1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8" fontId="0" fillId="0" borderId="20" xfId="2" applyNumberFormat="1" applyFont="1" applyBorder="1" applyAlignment="1">
      <alignment horizontal="center"/>
    </xf>
    <xf numFmtId="168" fontId="0" fillId="0" borderId="17" xfId="2" applyNumberFormat="1" applyFont="1" applyBorder="1" applyAlignment="1">
      <alignment horizontal="center"/>
    </xf>
    <xf numFmtId="165" fontId="0" fillId="0" borderId="20" xfId="3" applyNumberFormat="1" applyFont="1" applyBorder="1" applyAlignment="1">
      <alignment horizontal="center"/>
    </xf>
    <xf numFmtId="1" fontId="0" fillId="0" borderId="0" xfId="0" applyNumberFormat="1"/>
    <xf numFmtId="2" fontId="13" fillId="0" borderId="5" xfId="9" applyNumberFormat="1" applyFont="1" applyBorder="1" applyAlignment="1">
      <alignment horizontal="center" vertical="center"/>
    </xf>
    <xf numFmtId="0" fontId="9" fillId="0" borderId="7" xfId="9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/>
    <xf numFmtId="165" fontId="13" fillId="0" borderId="5" xfId="3" applyNumberFormat="1" applyFont="1" applyBorder="1" applyAlignment="1">
      <alignment horizontal="center" vertical="center"/>
    </xf>
    <xf numFmtId="165" fontId="6" fillId="0" borderId="2" xfId="0" applyNumberFormat="1" applyFont="1" applyBorder="1" applyAlignment="1"/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38" xfId="3" applyNumberFormat="1" applyFont="1" applyBorder="1"/>
    <xf numFmtId="3" fontId="4" fillId="0" borderId="3" xfId="0" applyNumberFormat="1" applyFont="1" applyBorder="1" applyAlignment="1"/>
    <xf numFmtId="165" fontId="4" fillId="4" borderId="17" xfId="3" applyNumberFormat="1" applyFont="1" applyFill="1" applyBorder="1" applyAlignment="1">
      <alignment horizontal="left" vertical="center"/>
    </xf>
    <xf numFmtId="165" fontId="4" fillId="4" borderId="16" xfId="3" applyNumberFormat="1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wrapText="1"/>
    </xf>
    <xf numFmtId="165" fontId="4" fillId="0" borderId="29" xfId="0" applyNumberFormat="1" applyFont="1" applyBorder="1" applyAlignment="1"/>
    <xf numFmtId="165" fontId="4" fillId="0" borderId="30" xfId="3" applyNumberFormat="1" applyFont="1" applyBorder="1" applyAlignment="1">
      <alignment horizontal="center"/>
    </xf>
    <xf numFmtId="9" fontId="6" fillId="4" borderId="3" xfId="10" applyFont="1" applyFill="1" applyBorder="1" applyAlignment="1">
      <alignment horizontal="center" vertical="center"/>
    </xf>
    <xf numFmtId="44" fontId="0" fillId="4" borderId="19" xfId="3" applyFont="1" applyFill="1" applyBorder="1"/>
    <xf numFmtId="44" fontId="4" fillId="0" borderId="14" xfId="3" applyFont="1" applyFill="1" applyBorder="1"/>
    <xf numFmtId="44" fontId="0" fillId="0" borderId="14" xfId="3" applyFont="1" applyFill="1" applyBorder="1"/>
    <xf numFmtId="0" fontId="4" fillId="0" borderId="14" xfId="0" applyFont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/>
    </xf>
    <xf numFmtId="0" fontId="4" fillId="0" borderId="14" xfId="3" applyNumberFormat="1" applyFont="1" applyFill="1" applyBorder="1" applyAlignment="1">
      <alignment horizontal="right"/>
    </xf>
    <xf numFmtId="0" fontId="0" fillId="0" borderId="14" xfId="0" applyBorder="1"/>
    <xf numFmtId="44" fontId="6" fillId="0" borderId="26" xfId="3" applyFont="1" applyFill="1" applyBorder="1"/>
    <xf numFmtId="44" fontId="6" fillId="0" borderId="27" xfId="3" applyFont="1" applyFill="1" applyBorder="1"/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44" fontId="4" fillId="0" borderId="2" xfId="3" applyFont="1" applyFill="1" applyBorder="1"/>
    <xf numFmtId="44" fontId="6" fillId="0" borderId="2" xfId="3" applyFont="1" applyFill="1" applyBorder="1"/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/>
    </xf>
    <xf numFmtId="0" fontId="4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4" fillId="4" borderId="26" xfId="0" applyFont="1" applyFill="1" applyBorder="1" applyAlignment="1">
      <alignment vertical="center"/>
    </xf>
    <xf numFmtId="0" fontId="0" fillId="4" borderId="26" xfId="3" applyNumberFormat="1" applyFont="1" applyFill="1" applyBorder="1"/>
    <xf numFmtId="0" fontId="0" fillId="4" borderId="27" xfId="3" applyNumberFormat="1" applyFont="1" applyFill="1" applyBorder="1"/>
    <xf numFmtId="0" fontId="0" fillId="4" borderId="39" xfId="0" applyFill="1" applyBorder="1"/>
    <xf numFmtId="0" fontId="0" fillId="4" borderId="45" xfId="0" applyFill="1" applyBorder="1"/>
    <xf numFmtId="0" fontId="0" fillId="0" borderId="0" xfId="0" applyFill="1"/>
    <xf numFmtId="0" fontId="6" fillId="0" borderId="3" xfId="0" applyFont="1" applyFill="1" applyBorder="1" applyAlignment="1"/>
    <xf numFmtId="0" fontId="4" fillId="0" borderId="0" xfId="0" applyFont="1" applyBorder="1" applyAlignment="1">
      <alignment horizontal="right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3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/>
    <xf numFmtId="9" fontId="6" fillId="0" borderId="0" xfId="10" applyFont="1" applyFill="1" applyBorder="1" applyAlignment="1"/>
    <xf numFmtId="9" fontId="4" fillId="0" borderId="0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165" fontId="0" fillId="0" borderId="3" xfId="0" applyNumberFormat="1" applyBorder="1"/>
    <xf numFmtId="0" fontId="16" fillId="0" borderId="0" xfId="0" applyFont="1" applyFill="1" applyBorder="1" applyAlignment="1"/>
    <xf numFmtId="0" fontId="16" fillId="0" borderId="45" xfId="0" applyFont="1" applyFill="1" applyBorder="1" applyAlignment="1"/>
    <xf numFmtId="44" fontId="4" fillId="0" borderId="3" xfId="3" applyFont="1" applyFill="1" applyBorder="1"/>
    <xf numFmtId="0" fontId="4" fillId="0" borderId="0" xfId="0" applyFont="1" applyAlignment="1"/>
    <xf numFmtId="0" fontId="4" fillId="0" borderId="3" xfId="0" applyFont="1" applyBorder="1" applyAlignment="1"/>
    <xf numFmtId="44" fontId="0" fillId="0" borderId="0" xfId="3" applyFont="1" applyBorder="1"/>
    <xf numFmtId="0" fontId="17" fillId="0" borderId="0" xfId="0" applyFont="1"/>
    <xf numFmtId="0" fontId="20" fillId="0" borderId="3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6" fontId="21" fillId="0" borderId="3" xfId="0" applyNumberFormat="1" applyFont="1" applyBorder="1" applyAlignment="1">
      <alignment horizontal="center" vertical="center" wrapText="1"/>
    </xf>
    <xf numFmtId="6" fontId="21" fillId="0" borderId="3" xfId="0" applyNumberFormat="1" applyFont="1" applyBorder="1" applyAlignment="1">
      <alignment horizontal="center"/>
    </xf>
    <xf numFmtId="6" fontId="21" fillId="0" borderId="0" xfId="0" applyNumberFormat="1" applyFont="1" applyBorder="1" applyAlignment="1">
      <alignment horizontal="center"/>
    </xf>
    <xf numFmtId="6" fontId="0" fillId="0" borderId="0" xfId="0" applyNumberFormat="1"/>
    <xf numFmtId="171" fontId="21" fillId="0" borderId="0" xfId="0" applyNumberFormat="1" applyFont="1" applyBorder="1" applyAlignment="1">
      <alignment horizontal="center"/>
    </xf>
    <xf numFmtId="10" fontId="22" fillId="0" borderId="3" xfId="13" applyNumberFormat="1" applyFont="1" applyFill="1" applyBorder="1" applyAlignment="1">
      <alignment horizontal="center"/>
    </xf>
    <xf numFmtId="6" fontId="22" fillId="0" borderId="3" xfId="13" applyNumberFormat="1" applyFont="1" applyFill="1" applyBorder="1" applyAlignment="1">
      <alignment horizontal="center"/>
    </xf>
    <xf numFmtId="40" fontId="22" fillId="0" borderId="3" xfId="13" applyNumberFormat="1" applyFont="1" applyFill="1" applyBorder="1" applyAlignment="1">
      <alignment horizontal="center"/>
    </xf>
    <xf numFmtId="6" fontId="15" fillId="0" borderId="3" xfId="0" applyNumberFormat="1" applyFont="1" applyBorder="1"/>
    <xf numFmtId="0" fontId="19" fillId="0" borderId="3" xfId="0" applyFont="1" applyFill="1" applyBorder="1" applyAlignment="1">
      <alignment horizontal="center" vertical="center"/>
    </xf>
    <xf numFmtId="6" fontId="21" fillId="0" borderId="3" xfId="0" applyNumberFormat="1" applyFont="1" applyBorder="1" applyAlignment="1">
      <alignment horizontal="center" vertical="center"/>
    </xf>
    <xf numFmtId="0" fontId="4" fillId="0" borderId="0" xfId="13"/>
    <xf numFmtId="0" fontId="4" fillId="0" borderId="39" xfId="13" applyBorder="1"/>
    <xf numFmtId="0" fontId="4" fillId="0" borderId="0" xfId="13" applyBorder="1"/>
    <xf numFmtId="0" fontId="4" fillId="0" borderId="45" xfId="13" applyBorder="1"/>
    <xf numFmtId="0" fontId="6" fillId="0" borderId="0" xfId="13" applyFont="1"/>
    <xf numFmtId="0" fontId="4" fillId="0" borderId="0" xfId="13" applyFill="1" applyBorder="1"/>
    <xf numFmtId="0" fontId="4" fillId="0" borderId="31" xfId="13" applyFont="1" applyBorder="1" applyAlignment="1">
      <alignment horizontal="center"/>
    </xf>
    <xf numFmtId="0" fontId="4" fillId="0" borderId="32" xfId="13" applyFont="1" applyBorder="1" applyAlignment="1">
      <alignment horizontal="center"/>
    </xf>
    <xf numFmtId="0" fontId="4" fillId="0" borderId="33" xfId="13" applyFont="1" applyBorder="1" applyAlignment="1">
      <alignment horizontal="center"/>
    </xf>
    <xf numFmtId="0" fontId="4" fillId="0" borderId="26" xfId="13" applyBorder="1" applyAlignment="1">
      <alignment horizontal="center"/>
    </xf>
    <xf numFmtId="167" fontId="4" fillId="0" borderId="3" xfId="13" applyNumberFormat="1" applyBorder="1" applyAlignment="1">
      <alignment horizontal="center"/>
    </xf>
    <xf numFmtId="167" fontId="4" fillId="0" borderId="27" xfId="13" applyNumberFormat="1" applyBorder="1" applyAlignment="1">
      <alignment horizontal="center"/>
    </xf>
    <xf numFmtId="0" fontId="4" fillId="0" borderId="0" xfId="13" applyFont="1" applyBorder="1"/>
    <xf numFmtId="0" fontId="4" fillId="0" borderId="0" xfId="13" applyFill="1" applyBorder="1" applyAlignment="1">
      <alignment horizontal="center" vertical="center"/>
    </xf>
    <xf numFmtId="0" fontId="23" fillId="0" borderId="0" xfId="14" applyBorder="1" applyAlignment="1" applyProtection="1">
      <alignment horizontal="center" vertical="center"/>
    </xf>
    <xf numFmtId="0" fontId="4" fillId="0" borderId="0" xfId="13" applyFont="1" applyBorder="1" applyAlignment="1">
      <alignment wrapText="1"/>
    </xf>
    <xf numFmtId="0" fontId="4" fillId="0" borderId="0" xfId="13" applyBorder="1" applyAlignment="1">
      <alignment wrapText="1"/>
    </xf>
    <xf numFmtId="0" fontId="4" fillId="0" borderId="0" xfId="13" applyBorder="1" applyAlignment="1">
      <alignment horizontal="center" vertical="center"/>
    </xf>
    <xf numFmtId="0" fontId="4" fillId="0" borderId="0" xfId="13" applyFont="1" applyBorder="1" applyAlignment="1">
      <alignment horizontal="left" vertical="center"/>
    </xf>
    <xf numFmtId="37" fontId="4" fillId="0" borderId="0" xfId="13" applyNumberFormat="1" applyFill="1" applyBorder="1" applyAlignment="1">
      <alignment horizontal="center" vertical="center"/>
    </xf>
    <xf numFmtId="3" fontId="4" fillId="0" borderId="0" xfId="13" applyNumberFormat="1" applyFill="1" applyBorder="1" applyAlignment="1">
      <alignment horizontal="center" vertical="center"/>
    </xf>
    <xf numFmtId="0" fontId="26" fillId="0" borderId="45" xfId="13" applyFont="1" applyFill="1" applyBorder="1" applyAlignment="1">
      <alignment horizontal="center"/>
    </xf>
    <xf numFmtId="168" fontId="0" fillId="0" borderId="0" xfId="15" applyNumberFormat="1" applyFont="1" applyBorder="1"/>
    <xf numFmtId="168" fontId="4" fillId="0" borderId="0" xfId="13" applyNumberFormat="1" applyBorder="1"/>
    <xf numFmtId="43" fontId="4" fillId="0" borderId="0" xfId="13" applyNumberFormat="1" applyBorder="1"/>
    <xf numFmtId="0" fontId="27" fillId="0" borderId="0" xfId="13" applyFont="1" applyBorder="1"/>
    <xf numFmtId="0" fontId="4" fillId="0" borderId="45" xfId="13" applyFill="1" applyBorder="1" applyAlignment="1">
      <alignment horizontal="center" vertical="center"/>
    </xf>
    <xf numFmtId="0" fontId="4" fillId="0" borderId="28" xfId="13" applyBorder="1" applyAlignment="1">
      <alignment horizontal="center"/>
    </xf>
    <xf numFmtId="167" fontId="4" fillId="0" borderId="29" xfId="13" applyNumberFormat="1" applyBorder="1" applyAlignment="1">
      <alignment horizontal="center"/>
    </xf>
    <xf numFmtId="167" fontId="4" fillId="0" borderId="30" xfId="13" applyNumberFormat="1" applyBorder="1" applyAlignment="1">
      <alignment horizontal="center"/>
    </xf>
    <xf numFmtId="170" fontId="4" fillId="0" borderId="0" xfId="13" applyNumberFormat="1" applyFill="1" applyBorder="1" applyAlignment="1">
      <alignment horizontal="center" vertical="center"/>
    </xf>
    <xf numFmtId="167" fontId="4" fillId="0" borderId="45" xfId="13" applyNumberFormat="1" applyFill="1" applyBorder="1" applyAlignment="1">
      <alignment horizontal="center" vertical="center"/>
    </xf>
    <xf numFmtId="167" fontId="4" fillId="0" borderId="0" xfId="13" applyNumberFormat="1" applyFill="1" applyBorder="1" applyAlignment="1">
      <alignment horizontal="center" vertical="center"/>
    </xf>
    <xf numFmtId="0" fontId="6" fillId="0" borderId="0" xfId="13" applyFont="1" applyFill="1" applyBorder="1" applyAlignment="1">
      <alignment horizontal="center"/>
    </xf>
    <xf numFmtId="0" fontId="6" fillId="0" borderId="45" xfId="13" applyFont="1" applyFill="1" applyBorder="1" applyAlignment="1">
      <alignment horizontal="center"/>
    </xf>
    <xf numFmtId="172" fontId="4" fillId="0" borderId="0" xfId="13" applyNumberFormat="1" applyFill="1" applyBorder="1" applyAlignment="1">
      <alignment horizontal="center"/>
    </xf>
    <xf numFmtId="0" fontId="4" fillId="0" borderId="0" xfId="13" applyFont="1" applyFill="1" applyBorder="1" applyAlignment="1">
      <alignment horizontal="center"/>
    </xf>
    <xf numFmtId="0" fontId="4" fillId="0" borderId="45" xfId="13" applyFill="1" applyBorder="1"/>
    <xf numFmtId="0" fontId="6" fillId="7" borderId="0" xfId="13" applyFont="1" applyFill="1" applyBorder="1" applyAlignment="1">
      <alignment horizontal="center" vertical="center"/>
    </xf>
    <xf numFmtId="0" fontId="6" fillId="7" borderId="45" xfId="13" applyFont="1" applyFill="1" applyBorder="1" applyAlignment="1">
      <alignment horizontal="center" vertical="center"/>
    </xf>
    <xf numFmtId="169" fontId="0" fillId="0" borderId="0" xfId="10" applyNumberFormat="1" applyFont="1" applyFill="1" applyBorder="1" applyAlignment="1">
      <alignment horizontal="center" vertical="center"/>
    </xf>
    <xf numFmtId="43" fontId="0" fillId="0" borderId="0" xfId="15" applyFont="1"/>
    <xf numFmtId="169" fontId="0" fillId="0" borderId="45" xfId="10" applyNumberFormat="1" applyFont="1" applyFill="1" applyBorder="1" applyAlignment="1">
      <alignment horizontal="center" vertical="center"/>
    </xf>
    <xf numFmtId="37" fontId="0" fillId="0" borderId="0" xfId="15" applyNumberFormat="1" applyFont="1" applyFill="1" applyBorder="1" applyAlignment="1">
      <alignment horizontal="center"/>
    </xf>
    <xf numFmtId="0" fontId="26" fillId="0" borderId="0" xfId="13" applyFont="1" applyFill="1" applyBorder="1" applyAlignment="1">
      <alignment horizontal="center"/>
    </xf>
    <xf numFmtId="0" fontId="4" fillId="0" borderId="0" xfId="13" applyFont="1" applyBorder="1" applyAlignment="1">
      <alignment horizontal="center" vertical="center"/>
    </xf>
    <xf numFmtId="0" fontId="4" fillId="0" borderId="45" xfId="13" applyFont="1" applyFill="1" applyBorder="1" applyAlignment="1">
      <alignment horizontal="center" vertical="center"/>
    </xf>
    <xf numFmtId="0" fontId="4" fillId="0" borderId="0" xfId="13" applyFill="1" applyBorder="1" applyAlignment="1">
      <alignment horizontal="center"/>
    </xf>
    <xf numFmtId="168" fontId="0" fillId="0" borderId="0" xfId="15" applyNumberFormat="1" applyFont="1"/>
    <xf numFmtId="0" fontId="4" fillId="0" borderId="45" xfId="13" applyBorder="1" applyAlignment="1">
      <alignment horizontal="center" vertical="center"/>
    </xf>
    <xf numFmtId="167" fontId="4" fillId="0" borderId="29" xfId="13" applyNumberFormat="1" applyFill="1" applyBorder="1" applyAlignment="1">
      <alignment horizontal="center"/>
    </xf>
    <xf numFmtId="167" fontId="4" fillId="0" borderId="30" xfId="13" applyNumberFormat="1" applyFill="1" applyBorder="1" applyAlignment="1">
      <alignment horizontal="center"/>
    </xf>
    <xf numFmtId="37" fontId="4" fillId="0" borderId="0" xfId="15" applyNumberFormat="1" applyFont="1" applyFill="1" applyBorder="1" applyAlignment="1">
      <alignment horizontal="center" vertical="center"/>
    </xf>
    <xf numFmtId="169" fontId="4" fillId="0" borderId="0" xfId="10" applyNumberFormat="1" applyFont="1" applyFill="1" applyBorder="1" applyAlignment="1">
      <alignment horizontal="center" vertical="center"/>
    </xf>
    <xf numFmtId="168" fontId="4" fillId="0" borderId="0" xfId="13" applyNumberFormat="1"/>
    <xf numFmtId="169" fontId="4" fillId="0" borderId="45" xfId="10" applyNumberFormat="1" applyFont="1" applyFill="1" applyBorder="1" applyAlignment="1">
      <alignment horizontal="center" vertical="center"/>
    </xf>
    <xf numFmtId="0" fontId="4" fillId="0" borderId="54" xfId="13" applyBorder="1"/>
    <xf numFmtId="0" fontId="4" fillId="0" borderId="46" xfId="13" applyBorder="1"/>
    <xf numFmtId="0" fontId="4" fillId="0" borderId="47" xfId="13" applyBorder="1"/>
    <xf numFmtId="0" fontId="6" fillId="4" borderId="3" xfId="0" applyFont="1" applyFill="1" applyBorder="1" applyAlignment="1">
      <alignment horizontal="center" vertical="center" wrapText="1"/>
    </xf>
    <xf numFmtId="9" fontId="6" fillId="4" borderId="3" xfId="10" applyFont="1" applyFill="1" applyBorder="1" applyAlignment="1"/>
    <xf numFmtId="0" fontId="4" fillId="0" borderId="3" xfId="0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3" xfId="2" applyNumberFormat="1" applyFont="1" applyFill="1" applyBorder="1" applyAlignment="1">
      <alignment horizontal="center"/>
    </xf>
    <xf numFmtId="1" fontId="4" fillId="0" borderId="3" xfId="2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0" fontId="34" fillId="0" borderId="0" xfId="17" applyFont="1" applyFill="1" applyBorder="1" applyAlignment="1"/>
    <xf numFmtId="0" fontId="35" fillId="0" borderId="0" xfId="17" applyFont="1" applyFill="1" applyBorder="1" applyAlignment="1"/>
    <xf numFmtId="0" fontId="33" fillId="0" borderId="0" xfId="17" applyFont="1" applyFill="1" applyBorder="1" applyAlignment="1"/>
    <xf numFmtId="0" fontId="34" fillId="0" borderId="0" xfId="17" applyFont="1" applyFill="1" applyAlignment="1"/>
    <xf numFmtId="0" fontId="35" fillId="12" borderId="50" xfId="17" applyFont="1" applyFill="1" applyBorder="1" applyAlignment="1"/>
    <xf numFmtId="0" fontId="35" fillId="12" borderId="0" xfId="17" applyFont="1" applyFill="1" applyBorder="1" applyAlignment="1"/>
    <xf numFmtId="0" fontId="33" fillId="12" borderId="0" xfId="17" applyFont="1" applyFill="1" applyBorder="1" applyAlignment="1"/>
    <xf numFmtId="0" fontId="34" fillId="12" borderId="0" xfId="17" applyFont="1" applyFill="1" applyBorder="1" applyAlignment="1"/>
    <xf numFmtId="0" fontId="34" fillId="12" borderId="49" xfId="17" applyFont="1" applyFill="1" applyBorder="1" applyAlignment="1"/>
    <xf numFmtId="0" fontId="33" fillId="12" borderId="50" xfId="17" applyFont="1" applyFill="1" applyBorder="1" applyAlignment="1"/>
    <xf numFmtId="3" fontId="34" fillId="12" borderId="50" xfId="17" applyNumberFormat="1" applyFont="1" applyFill="1" applyBorder="1" applyAlignment="1"/>
    <xf numFmtId="3" fontId="34" fillId="12" borderId="49" xfId="17" applyNumberFormat="1" applyFont="1" applyFill="1" applyBorder="1" applyAlignment="1"/>
    <xf numFmtId="0" fontId="34" fillId="12" borderId="50" xfId="17" applyFont="1" applyFill="1" applyBorder="1" applyAlignment="1"/>
    <xf numFmtId="0" fontId="34" fillId="12" borderId="49" xfId="17" applyFont="1" applyFill="1" applyBorder="1" applyAlignment="1">
      <alignment horizontal="right"/>
    </xf>
    <xf numFmtId="172" fontId="34" fillId="12" borderId="49" xfId="17" applyNumberFormat="1" applyFont="1" applyFill="1" applyBorder="1" applyAlignment="1"/>
    <xf numFmtId="172" fontId="34" fillId="12" borderId="0" xfId="17" applyNumberFormat="1" applyFont="1" applyFill="1" applyBorder="1" applyAlignment="1"/>
    <xf numFmtId="0" fontId="35" fillId="12" borderId="56" xfId="17" applyFont="1" applyFill="1" applyBorder="1" applyAlignment="1"/>
    <xf numFmtId="0" fontId="35" fillId="12" borderId="55" xfId="17" applyFont="1" applyFill="1" applyBorder="1" applyAlignment="1"/>
    <xf numFmtId="0" fontId="33" fillId="12" borderId="55" xfId="17" applyFont="1" applyFill="1" applyBorder="1" applyAlignment="1"/>
    <xf numFmtId="0" fontId="34" fillId="12" borderId="57" xfId="17" applyFont="1" applyFill="1" applyBorder="1" applyAlignment="1"/>
    <xf numFmtId="0" fontId="33" fillId="12" borderId="49" xfId="17" applyFont="1" applyFill="1" applyBorder="1" applyAlignment="1">
      <alignment wrapText="1"/>
    </xf>
    <xf numFmtId="0" fontId="34" fillId="12" borderId="50" xfId="17" applyFont="1" applyFill="1" applyBorder="1" applyAlignment="1">
      <alignment horizontal="left"/>
    </xf>
    <xf numFmtId="0" fontId="34" fillId="12" borderId="49" xfId="17" applyFont="1" applyFill="1" applyBorder="1" applyAlignment="1">
      <alignment wrapText="1"/>
    </xf>
    <xf numFmtId="0" fontId="33" fillId="12" borderId="49" xfId="17" applyFont="1" applyFill="1" applyBorder="1" applyAlignment="1"/>
    <xf numFmtId="0" fontId="35" fillId="12" borderId="49" xfId="17" applyFont="1" applyFill="1" applyBorder="1" applyAlignment="1"/>
    <xf numFmtId="173" fontId="34" fillId="12" borderId="56" xfId="17" applyNumberFormat="1" applyFont="1" applyFill="1" applyBorder="1" applyAlignment="1"/>
    <xf numFmtId="0" fontId="35" fillId="12" borderId="57" xfId="17" applyFont="1" applyFill="1" applyBorder="1" applyAlignment="1"/>
    <xf numFmtId="172" fontId="34" fillId="0" borderId="0" xfId="17" applyNumberFormat="1" applyFont="1" applyFill="1" applyBorder="1" applyAlignment="1"/>
    <xf numFmtId="3" fontId="34" fillId="0" borderId="0" xfId="17" applyNumberFormat="1" applyFont="1" applyFill="1" applyBorder="1" applyAlignment="1"/>
    <xf numFmtId="0" fontId="34" fillId="0" borderId="0" xfId="17" applyFont="1" applyFill="1" applyBorder="1" applyAlignment="1">
      <alignment horizontal="right"/>
    </xf>
    <xf numFmtId="0" fontId="34" fillId="10" borderId="55" xfId="17" applyFont="1" applyFill="1" applyBorder="1" applyAlignment="1">
      <alignment horizontal="right"/>
    </xf>
    <xf numFmtId="2" fontId="34" fillId="12" borderId="49" xfId="17" applyNumberFormat="1" applyFont="1" applyFill="1" applyBorder="1" applyAlignment="1"/>
    <xf numFmtId="0" fontId="33" fillId="13" borderId="0" xfId="17" applyFont="1" applyFill="1" applyBorder="1" applyAlignment="1"/>
    <xf numFmtId="0" fontId="35" fillId="13" borderId="0" xfId="17" applyFont="1" applyFill="1" applyBorder="1" applyAlignment="1"/>
    <xf numFmtId="0" fontId="34" fillId="13" borderId="0" xfId="17" applyFont="1" applyFill="1" applyBorder="1" applyAlignment="1"/>
    <xf numFmtId="172" fontId="34" fillId="13" borderId="0" xfId="17" applyNumberFormat="1" applyFont="1" applyFill="1" applyBorder="1" applyAlignment="1"/>
    <xf numFmtId="0" fontId="31" fillId="12" borderId="14" xfId="17" applyFont="1" applyFill="1" applyBorder="1" applyAlignment="1"/>
    <xf numFmtId="0" fontId="32" fillId="12" borderId="2" xfId="17" applyFont="1" applyFill="1" applyBorder="1" applyAlignment="1"/>
    <xf numFmtId="0" fontId="31" fillId="12" borderId="2" xfId="17" applyFont="1" applyFill="1" applyBorder="1" applyAlignment="1"/>
    <xf numFmtId="0" fontId="30" fillId="12" borderId="2" xfId="17" applyFont="1" applyFill="1" applyBorder="1" applyAlignment="1"/>
    <xf numFmtId="0" fontId="30" fillId="12" borderId="11" xfId="17" applyFont="1" applyFill="1" applyBorder="1" applyAlignment="1"/>
    <xf numFmtId="0" fontId="32" fillId="12" borderId="50" xfId="17" applyFont="1" applyFill="1" applyBorder="1" applyAlignment="1"/>
    <xf numFmtId="0" fontId="32" fillId="12" borderId="0" xfId="17" applyFont="1" applyFill="1" applyBorder="1" applyAlignment="1"/>
    <xf numFmtId="0" fontId="31" fillId="12" borderId="0" xfId="17" applyFont="1" applyFill="1" applyBorder="1" applyAlignment="1"/>
    <xf numFmtId="0" fontId="30" fillId="12" borderId="0" xfId="17" applyFont="1" applyFill="1" applyBorder="1" applyAlignment="1"/>
    <xf numFmtId="0" fontId="30" fillId="12" borderId="49" xfId="17" applyFont="1" applyFill="1" applyBorder="1" applyAlignment="1"/>
    <xf numFmtId="0" fontId="30" fillId="12" borderId="50" xfId="17" applyFont="1" applyFill="1" applyBorder="1" applyAlignment="1"/>
    <xf numFmtId="172" fontId="30" fillId="12" borderId="0" xfId="17" applyNumberFormat="1" applyFont="1" applyFill="1" applyBorder="1" applyAlignment="1"/>
    <xf numFmtId="0" fontId="30" fillId="12" borderId="0" xfId="17" applyFont="1" applyFill="1" applyBorder="1" applyAlignment="1">
      <alignment horizontal="right"/>
    </xf>
    <xf numFmtId="2" fontId="30" fillId="12" borderId="49" xfId="17" applyNumberFormat="1" applyFont="1" applyFill="1" applyBorder="1" applyAlignment="1"/>
    <xf numFmtId="0" fontId="30" fillId="12" borderId="56" xfId="17" applyFont="1" applyFill="1" applyBorder="1" applyAlignment="1"/>
    <xf numFmtId="172" fontId="30" fillId="12" borderId="55" xfId="17" applyNumberFormat="1" applyFont="1" applyFill="1" applyBorder="1" applyAlignment="1"/>
    <xf numFmtId="0" fontId="30" fillId="12" borderId="55" xfId="17" applyFont="1" applyFill="1" applyBorder="1" applyAlignment="1"/>
    <xf numFmtId="2" fontId="30" fillId="12" borderId="57" xfId="17" applyNumberFormat="1" applyFont="1" applyFill="1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" xfId="0" applyBorder="1"/>
    <xf numFmtId="0" fontId="0" fillId="0" borderId="10" xfId="0" applyBorder="1"/>
    <xf numFmtId="0" fontId="0" fillId="0" borderId="62" xfId="0" applyBorder="1"/>
    <xf numFmtId="0" fontId="0" fillId="7" borderId="30" xfId="0" applyFill="1" applyBorder="1"/>
    <xf numFmtId="0" fontId="0" fillId="7" borderId="63" xfId="0" applyFill="1" applyBorder="1" applyAlignment="1"/>
    <xf numFmtId="9" fontId="0" fillId="7" borderId="64" xfId="0" applyNumberFormat="1" applyFill="1" applyBorder="1" applyAlignment="1"/>
    <xf numFmtId="0" fontId="0" fillId="13" borderId="0" xfId="0" applyFill="1"/>
    <xf numFmtId="0" fontId="0" fillId="13" borderId="0" xfId="0" applyFill="1" applyAlignment="1"/>
    <xf numFmtId="1" fontId="0" fillId="0" borderId="57" xfId="0" applyNumberFormat="1" applyBorder="1"/>
    <xf numFmtId="1" fontId="0" fillId="0" borderId="11" xfId="0" applyNumberFormat="1" applyBorder="1"/>
    <xf numFmtId="1" fontId="0" fillId="0" borderId="3" xfId="0" applyNumberFormat="1" applyBorder="1"/>
    <xf numFmtId="1" fontId="0" fillId="0" borderId="65" xfId="0" applyNumberFormat="1" applyBorder="1"/>
    <xf numFmtId="1" fontId="0" fillId="0" borderId="31" xfId="0" applyNumberFormat="1" applyBorder="1"/>
    <xf numFmtId="1" fontId="0" fillId="0" borderId="26" xfId="0" applyNumberFormat="1" applyBorder="1"/>
    <xf numFmtId="0" fontId="0" fillId="0" borderId="66" xfId="0" applyBorder="1"/>
    <xf numFmtId="1" fontId="0" fillId="0" borderId="32" xfId="0" applyNumberFormat="1" applyBorder="1"/>
    <xf numFmtId="1" fontId="4" fillId="4" borderId="3" xfId="0" applyNumberFormat="1" applyFont="1" applyFill="1" applyBorder="1" applyAlignment="1">
      <alignment horizontal="center" vertical="center"/>
    </xf>
    <xf numFmtId="1" fontId="4" fillId="4" borderId="3" xfId="2" applyNumberFormat="1" applyFont="1" applyFill="1" applyBorder="1" applyAlignment="1">
      <alignment horizontal="center"/>
    </xf>
    <xf numFmtId="1" fontId="4" fillId="4" borderId="3" xfId="2" applyNumberFormat="1" applyFont="1" applyFill="1" applyBorder="1" applyAlignment="1">
      <alignment horizontal="center" vertical="center"/>
    </xf>
    <xf numFmtId="174" fontId="4" fillId="0" borderId="3" xfId="2" applyNumberFormat="1" applyFont="1" applyFill="1" applyBorder="1" applyAlignment="1">
      <alignment horizontal="center"/>
    </xf>
    <xf numFmtId="174" fontId="4" fillId="7" borderId="3" xfId="2" applyNumberFormat="1" applyFont="1" applyFill="1" applyBorder="1" applyAlignment="1">
      <alignment horizontal="center"/>
    </xf>
    <xf numFmtId="174" fontId="4" fillId="0" borderId="0" xfId="2" applyNumberFormat="1" applyFont="1" applyFill="1" applyBorder="1" applyAlignment="1">
      <alignment horizontal="center"/>
    </xf>
    <xf numFmtId="0" fontId="0" fillId="16" borderId="0" xfId="0" applyFill="1"/>
    <xf numFmtId="14" fontId="18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10" fontId="0" fillId="0" borderId="6" xfId="0" applyNumberFormat="1" applyBorder="1"/>
    <xf numFmtId="10" fontId="0" fillId="0" borderId="10" xfId="0" applyNumberFormat="1" applyBorder="1"/>
    <xf numFmtId="10" fontId="0" fillId="0" borderId="62" xfId="0" applyNumberFormat="1" applyBorder="1"/>
    <xf numFmtId="172" fontId="0" fillId="0" borderId="44" xfId="0" applyNumberFormat="1" applyBorder="1"/>
    <xf numFmtId="172" fontId="0" fillId="0" borderId="29" xfId="0" applyNumberFormat="1" applyBorder="1"/>
    <xf numFmtId="172" fontId="0" fillId="0" borderId="30" xfId="0" applyNumberFormat="1" applyBorder="1"/>
    <xf numFmtId="2" fontId="0" fillId="0" borderId="11" xfId="0" applyNumberFormat="1" applyBorder="1"/>
    <xf numFmtId="10" fontId="0" fillId="0" borderId="66" xfId="0" applyNumberFormat="1" applyBorder="1"/>
    <xf numFmtId="172" fontId="0" fillId="0" borderId="28" xfId="0" applyNumberFormat="1" applyBorder="1"/>
    <xf numFmtId="2" fontId="0" fillId="0" borderId="26" xfId="0" applyNumberFormat="1" applyBorder="1"/>
    <xf numFmtId="2" fontId="0" fillId="0" borderId="3" xfId="0" applyNumberFormat="1" applyBorder="1"/>
    <xf numFmtId="1" fontId="4" fillId="0" borderId="5" xfId="2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1" fontId="4" fillId="0" borderId="29" xfId="2" applyNumberFormat="1" applyFont="1" applyFill="1" applyBorder="1" applyAlignment="1">
      <alignment horizontal="center"/>
    </xf>
    <xf numFmtId="1" fontId="4" fillId="17" borderId="3" xfId="2" applyNumberFormat="1" applyFont="1" applyFill="1" applyBorder="1" applyAlignment="1">
      <alignment horizontal="center"/>
    </xf>
    <xf numFmtId="1" fontId="0" fillId="4" borderId="70" xfId="0" applyNumberFormat="1" applyFill="1" applyBorder="1"/>
    <xf numFmtId="0" fontId="4" fillId="0" borderId="11" xfId="0" applyFont="1" applyFill="1" applyBorder="1" applyAlignment="1">
      <alignment horizontal="center"/>
    </xf>
    <xf numFmtId="0" fontId="0" fillId="0" borderId="51" xfId="0" applyBorder="1"/>
    <xf numFmtId="0" fontId="0" fillId="0" borderId="54" xfId="0" applyBorder="1"/>
    <xf numFmtId="10" fontId="0" fillId="4" borderId="63" xfId="0" applyNumberFormat="1" applyFill="1" applyBorder="1"/>
    <xf numFmtId="10" fontId="0" fillId="4" borderId="64" xfId="0" applyNumberFormat="1" applyFill="1" applyBorder="1"/>
    <xf numFmtId="0" fontId="4" fillId="17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/>
    </xf>
    <xf numFmtId="0" fontId="14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9" fontId="0" fillId="0" borderId="0" xfId="10" applyFont="1" applyFill="1" applyBorder="1" applyAlignment="1">
      <alignment horizontal="center"/>
    </xf>
    <xf numFmtId="9" fontId="0" fillId="5" borderId="15" xfId="1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171" fontId="0" fillId="0" borderId="19" xfId="0" applyNumberFormat="1" applyBorder="1"/>
    <xf numFmtId="171" fontId="0" fillId="0" borderId="19" xfId="3" applyNumberFormat="1" applyFont="1" applyBorder="1"/>
    <xf numFmtId="172" fontId="0" fillId="0" borderId="19" xfId="0" applyNumberFormat="1" applyBorder="1" applyAlignment="1">
      <alignment horizontal="center"/>
    </xf>
    <xf numFmtId="172" fontId="0" fillId="0" borderId="19" xfId="0" applyNumberFormat="1" applyBorder="1" applyAlignment="1">
      <alignment horizontal="center" vertical="center"/>
    </xf>
    <xf numFmtId="0" fontId="4" fillId="16" borderId="0" xfId="0" applyFont="1" applyFill="1"/>
    <xf numFmtId="3" fontId="6" fillId="4" borderId="3" xfId="0" applyNumberFormat="1" applyFont="1" applyFill="1" applyBorder="1" applyAlignment="1">
      <alignment horizontal="center"/>
    </xf>
    <xf numFmtId="44" fontId="0" fillId="0" borderId="36" xfId="3" applyNumberFormat="1" applyFont="1" applyBorder="1"/>
    <xf numFmtId="0" fontId="12" fillId="0" borderId="0" xfId="0" applyFont="1" applyAlignment="1">
      <alignment wrapText="1"/>
    </xf>
    <xf numFmtId="0" fontId="4" fillId="16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/>
    </xf>
    <xf numFmtId="172" fontId="0" fillId="0" borderId="19" xfId="0" applyNumberFormat="1" applyFill="1" applyBorder="1" applyAlignment="1">
      <alignment horizontal="center"/>
    </xf>
    <xf numFmtId="172" fontId="0" fillId="0" borderId="19" xfId="0" applyNumberForma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NumberFormat="1"/>
    <xf numFmtId="2" fontId="4" fillId="4" borderId="3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0" fillId="0" borderId="0" xfId="0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6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6" fillId="4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/>
    <xf numFmtId="44" fontId="0" fillId="0" borderId="0" xfId="3" applyFont="1" applyFill="1" applyBorder="1" applyAlignment="1"/>
    <xf numFmtId="3" fontId="0" fillId="0" borderId="5" xfId="0" applyNumberFormat="1" applyBorder="1" applyAlignment="1">
      <alignment horizontal="center"/>
    </xf>
    <xf numFmtId="0" fontId="0" fillId="0" borderId="0" xfId="0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72" xfId="0" applyFont="1" applyBorder="1" applyAlignment="1">
      <alignment horizontal="center" vertical="center" wrapText="1"/>
    </xf>
    <xf numFmtId="3" fontId="0" fillId="0" borderId="71" xfId="0" applyNumberFormat="1" applyBorder="1" applyAlignment="1">
      <alignment horizontal="center"/>
    </xf>
    <xf numFmtId="44" fontId="0" fillId="0" borderId="5" xfId="3" applyFont="1" applyBorder="1"/>
    <xf numFmtId="44" fontId="0" fillId="0" borderId="0" xfId="3" applyFont="1" applyBorder="1" applyAlignment="1"/>
    <xf numFmtId="0" fontId="0" fillId="0" borderId="4" xfId="0" applyBorder="1" applyAlignment="1">
      <alignment horizontal="center"/>
    </xf>
    <xf numFmtId="9" fontId="0" fillId="0" borderId="4" xfId="10" applyFont="1" applyBorder="1" applyAlignment="1">
      <alignment horizontal="center"/>
    </xf>
    <xf numFmtId="1" fontId="0" fillId="4" borderId="76" xfId="0" applyNumberFormat="1" applyFill="1" applyBorder="1"/>
    <xf numFmtId="1" fontId="0" fillId="0" borderId="33" xfId="0" applyNumberFormat="1" applyBorder="1"/>
    <xf numFmtId="1" fontId="0" fillId="0" borderId="27" xfId="0" applyNumberFormat="1" applyBorder="1"/>
    <xf numFmtId="2" fontId="0" fillId="0" borderId="27" xfId="0" applyNumberFormat="1" applyBorder="1"/>
    <xf numFmtId="10" fontId="0" fillId="0" borderId="26" xfId="0" applyNumberFormat="1" applyBorder="1"/>
    <xf numFmtId="10" fontId="0" fillId="0" borderId="27" xfId="0" applyNumberFormat="1" applyBorder="1"/>
    <xf numFmtId="168" fontId="0" fillId="0" borderId="0" xfId="2" applyNumberFormat="1" applyFont="1" applyFill="1" applyBorder="1" applyAlignment="1">
      <alignment horizontal="center"/>
    </xf>
    <xf numFmtId="44" fontId="0" fillId="0" borderId="0" xfId="0" applyNumberFormat="1" applyFill="1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/>
    </xf>
    <xf numFmtId="167" fontId="0" fillId="0" borderId="0" xfId="0" applyNumberFormat="1" applyFill="1" applyBorder="1" applyAlignment="1">
      <alignment horizontal="center" vertical="center"/>
    </xf>
    <xf numFmtId="0" fontId="0" fillId="0" borderId="19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43" fontId="0" fillId="0" borderId="0" xfId="0" applyNumberFormat="1"/>
    <xf numFmtId="3" fontId="0" fillId="0" borderId="0" xfId="0" applyNumberFormat="1" applyFill="1"/>
    <xf numFmtId="168" fontId="0" fillId="0" borderId="3" xfId="2" applyNumberFormat="1" applyFont="1" applyFill="1" applyBorder="1" applyAlignment="1">
      <alignment horizontal="center"/>
    </xf>
    <xf numFmtId="43" fontId="0" fillId="0" borderId="3" xfId="2" applyNumberFormat="1" applyFont="1" applyFill="1" applyBorder="1" applyAlignment="1">
      <alignment horizontal="center"/>
    </xf>
    <xf numFmtId="44" fontId="0" fillId="0" borderId="0" xfId="0" applyNumberFormat="1" applyFill="1" applyBorder="1" applyAlignment="1"/>
    <xf numFmtId="0" fontId="4" fillId="0" borderId="0" xfId="0" applyFont="1" applyFill="1"/>
    <xf numFmtId="168" fontId="0" fillId="0" borderId="19" xfId="2" applyNumberFormat="1" applyFont="1" applyFill="1" applyBorder="1"/>
    <xf numFmtId="0" fontId="34" fillId="8" borderId="0" xfId="17" applyFont="1" applyFill="1" applyBorder="1" applyAlignment="1"/>
    <xf numFmtId="0" fontId="34" fillId="8" borderId="50" xfId="17" applyFont="1" applyFill="1" applyBorder="1" applyAlignment="1"/>
    <xf numFmtId="2" fontId="34" fillId="12" borderId="0" xfId="17" applyNumberFormat="1" applyFont="1" applyFill="1" applyBorder="1" applyAlignment="1"/>
    <xf numFmtId="1" fontId="0" fillId="0" borderId="3" xfId="0" applyNumberFormat="1" applyFill="1" applyBorder="1"/>
    <xf numFmtId="0" fontId="6" fillId="0" borderId="0" xfId="0" applyFont="1"/>
    <xf numFmtId="172" fontId="0" fillId="0" borderId="0" xfId="0" applyNumberFormat="1"/>
    <xf numFmtId="44" fontId="21" fillId="0" borderId="3" xfId="0" applyNumberFormat="1" applyFont="1" applyBorder="1" applyAlignment="1">
      <alignment horizontal="center"/>
    </xf>
    <xf numFmtId="1" fontId="0" fillId="0" borderId="3" xfId="0" applyNumberFormat="1" applyFill="1" applyBorder="1" applyAlignment="1"/>
    <xf numFmtId="1" fontId="0" fillId="17" borderId="3" xfId="0" applyNumberFormat="1" applyFill="1" applyBorder="1"/>
    <xf numFmtId="1" fontId="0" fillId="17" borderId="3" xfId="0" applyNumberFormat="1" applyFill="1" applyBorder="1" applyAlignment="1"/>
    <xf numFmtId="0" fontId="4" fillId="0" borderId="14" xfId="0" applyFont="1" applyFill="1" applyBorder="1" applyAlignment="1">
      <alignment horizontal="center" wrapText="1"/>
    </xf>
    <xf numFmtId="1" fontId="0" fillId="0" borderId="14" xfId="0" applyNumberFormat="1" applyFill="1" applyBorder="1" applyAlignment="1"/>
    <xf numFmtId="1" fontId="0" fillId="17" borderId="14" xfId="0" applyNumberFormat="1" applyFill="1" applyBorder="1" applyAlignment="1"/>
    <xf numFmtId="1" fontId="0" fillId="17" borderId="29" xfId="0" applyNumberFormat="1" applyFill="1" applyBorder="1" applyAlignment="1"/>
    <xf numFmtId="1" fontId="0" fillId="17" borderId="73" xfId="0" applyNumberFormat="1" applyFill="1" applyBorder="1" applyAlignment="1"/>
    <xf numFmtId="1" fontId="0" fillId="0" borderId="29" xfId="0" applyNumberFormat="1" applyFill="1" applyBorder="1"/>
    <xf numFmtId="1" fontId="0" fillId="0" borderId="5" xfId="0" applyNumberFormat="1" applyFill="1" applyBorder="1"/>
    <xf numFmtId="1" fontId="0" fillId="0" borderId="5" xfId="0" applyNumberFormat="1" applyFill="1" applyBorder="1" applyAlignment="1"/>
    <xf numFmtId="1" fontId="0" fillId="0" borderId="56" xfId="0" applyNumberFormat="1" applyFill="1" applyBorder="1" applyAlignment="1"/>
    <xf numFmtId="1" fontId="0" fillId="0" borderId="29" xfId="0" applyNumberFormat="1" applyFill="1" applyBorder="1" applyAlignment="1"/>
    <xf numFmtId="1" fontId="0" fillId="0" borderId="73" xfId="0" applyNumberFormat="1" applyFill="1" applyBorder="1" applyAlignment="1"/>
    <xf numFmtId="6" fontId="21" fillId="0" borderId="3" xfId="0" applyNumberFormat="1" applyFont="1" applyFill="1" applyBorder="1" applyAlignment="1">
      <alignment horizontal="center" vertical="center"/>
    </xf>
    <xf numFmtId="6" fontId="21" fillId="0" borderId="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8" fontId="0" fillId="0" borderId="3" xfId="2" applyNumberFormat="1" applyFont="1" applyFill="1" applyBorder="1" applyAlignment="1">
      <alignment horizontal="center"/>
    </xf>
    <xf numFmtId="0" fontId="0" fillId="11" borderId="80" xfId="0" applyFill="1" applyBorder="1" applyAlignment="1"/>
    <xf numFmtId="0" fontId="0" fillId="11" borderId="1" xfId="0" applyFill="1" applyBorder="1" applyAlignment="1"/>
    <xf numFmtId="0" fontId="4" fillId="0" borderId="11" xfId="0" applyFont="1" applyFill="1" applyBorder="1" applyAlignment="1">
      <alignment horizontal="center"/>
    </xf>
    <xf numFmtId="0" fontId="4" fillId="17" borderId="29" xfId="0" applyFont="1" applyFill="1" applyBorder="1" applyAlignment="1">
      <alignment horizontal="center"/>
    </xf>
    <xf numFmtId="1" fontId="4" fillId="17" borderId="29" xfId="2" applyNumberFormat="1" applyFont="1" applyFill="1" applyBorder="1" applyAlignment="1">
      <alignment horizontal="center"/>
    </xf>
    <xf numFmtId="2" fontId="0" fillId="0" borderId="3" xfId="0" applyNumberFormat="1" applyFill="1" applyBorder="1" applyAlignment="1"/>
    <xf numFmtId="2" fontId="0" fillId="0" borderId="29" xfId="0" applyNumberFormat="1" applyFill="1" applyBorder="1" applyAlignment="1"/>
    <xf numFmtId="2" fontId="0" fillId="0" borderId="5" xfId="0" applyNumberFormat="1" applyFill="1" applyBorder="1" applyAlignment="1"/>
    <xf numFmtId="0" fontId="0" fillId="0" borderId="52" xfId="0" applyBorder="1" applyAlignment="1">
      <alignment horizontal="center"/>
    </xf>
    <xf numFmtId="0" fontId="0" fillId="0" borderId="0" xfId="0" applyFill="1" applyAlignment="1"/>
    <xf numFmtId="1" fontId="4" fillId="4" borderId="3" xfId="2" applyNumberFormat="1" applyFont="1" applyFill="1" applyBorder="1" applyAlignment="1">
      <alignment horizontal="right"/>
    </xf>
    <xf numFmtId="172" fontId="0" fillId="0" borderId="3" xfId="0" applyNumberFormat="1" applyBorder="1"/>
    <xf numFmtId="172" fontId="0" fillId="0" borderId="3" xfId="0" applyNumberFormat="1" applyFill="1" applyBorder="1" applyAlignment="1"/>
    <xf numFmtId="172" fontId="0" fillId="0" borderId="14" xfId="0" applyNumberFormat="1" applyFill="1" applyBorder="1" applyAlignment="1"/>
    <xf numFmtId="172" fontId="0" fillId="17" borderId="3" xfId="0" applyNumberFormat="1" applyFill="1" applyBorder="1" applyAlignment="1"/>
    <xf numFmtId="172" fontId="0" fillId="17" borderId="14" xfId="0" applyNumberFormat="1" applyFill="1" applyBorder="1" applyAlignment="1"/>
    <xf numFmtId="172" fontId="0" fillId="0" borderId="29" xfId="0" applyNumberFormat="1" applyFill="1" applyBorder="1" applyAlignment="1"/>
    <xf numFmtId="172" fontId="0" fillId="0" borderId="73" xfId="0" applyNumberFormat="1" applyFill="1" applyBorder="1" applyAlignment="1"/>
    <xf numFmtId="172" fontId="0" fillId="0" borderId="5" xfId="0" applyNumberFormat="1" applyFill="1" applyBorder="1" applyAlignment="1"/>
    <xf numFmtId="172" fontId="0" fillId="0" borderId="56" xfId="0" applyNumberFormat="1" applyFill="1" applyBorder="1" applyAlignment="1"/>
    <xf numFmtId="172" fontId="0" fillId="17" borderId="29" xfId="0" applyNumberFormat="1" applyFill="1" applyBorder="1" applyAlignment="1"/>
    <xf numFmtId="172" fontId="0" fillId="17" borderId="73" xfId="0" applyNumberFormat="1" applyFill="1" applyBorder="1" applyAlignment="1"/>
    <xf numFmtId="1" fontId="0" fillId="0" borderId="14" xfId="0" applyNumberFormat="1" applyFill="1" applyBorder="1"/>
    <xf numFmtId="1" fontId="0" fillId="17" borderId="29" xfId="0" applyNumberFormat="1" applyFill="1" applyBorder="1"/>
    <xf numFmtId="1" fontId="0" fillId="0" borderId="11" xfId="0" applyNumberFormat="1" applyFill="1" applyBorder="1"/>
    <xf numFmtId="1" fontId="0" fillId="17" borderId="10" xfId="0" applyNumberFormat="1" applyFill="1" applyBorder="1"/>
    <xf numFmtId="172" fontId="0" fillId="0" borderId="5" xfId="0" applyNumberFormat="1" applyBorder="1"/>
    <xf numFmtId="172" fontId="0" fillId="17" borderId="3" xfId="0" applyNumberFormat="1" applyFill="1" applyBorder="1"/>
    <xf numFmtId="172" fontId="0" fillId="17" borderId="29" xfId="0" applyNumberFormat="1" applyFill="1" applyBorder="1"/>
    <xf numFmtId="168" fontId="4" fillId="0" borderId="17" xfId="2" applyNumberFormat="1" applyFont="1" applyFill="1" applyBorder="1" applyAlignment="1">
      <alignment horizontal="center"/>
    </xf>
    <xf numFmtId="1" fontId="6" fillId="4" borderId="3" xfId="3" applyNumberFormat="1" applyFont="1" applyFill="1" applyBorder="1"/>
    <xf numFmtId="8" fontId="21" fillId="0" borderId="3" xfId="0" applyNumberFormat="1" applyFont="1" applyBorder="1" applyAlignment="1">
      <alignment horizontal="center" vertical="center"/>
    </xf>
    <xf numFmtId="165" fontId="6" fillId="4" borderId="3" xfId="3" applyNumberFormat="1" applyFont="1" applyFill="1" applyBorder="1"/>
    <xf numFmtId="165" fontId="6" fillId="0" borderId="3" xfId="3" applyNumberFormat="1" applyFont="1" applyFill="1" applyBorder="1"/>
    <xf numFmtId="0" fontId="2" fillId="0" borderId="0" xfId="18" applyFont="1" applyFill="1" applyBorder="1"/>
    <xf numFmtId="0" fontId="2" fillId="0" borderId="0" xfId="18" applyFont="1" applyAlignment="1">
      <alignment horizontal="center"/>
    </xf>
    <xf numFmtId="0" fontId="2" fillId="0" borderId="0" xfId="18" applyFont="1" applyAlignment="1">
      <alignment horizontal="left"/>
    </xf>
    <xf numFmtId="0" fontId="2" fillId="0" borderId="0" xfId="18" applyFont="1"/>
    <xf numFmtId="0" fontId="2" fillId="0" borderId="84" xfId="18" applyFont="1" applyBorder="1" applyAlignment="1">
      <alignment horizontal="left"/>
    </xf>
    <xf numFmtId="0" fontId="2" fillId="0" borderId="85" xfId="18" applyFont="1" applyBorder="1"/>
    <xf numFmtId="0" fontId="39" fillId="0" borderId="85" xfId="18" applyFont="1" applyBorder="1" applyAlignment="1"/>
    <xf numFmtId="0" fontId="2" fillId="0" borderId="86" xfId="18" applyFont="1" applyBorder="1"/>
    <xf numFmtId="0" fontId="42" fillId="0" borderId="0" xfId="19" applyFont="1" applyFill="1" applyBorder="1" applyAlignment="1">
      <alignment horizontal="center" vertical="center"/>
    </xf>
    <xf numFmtId="0" fontId="44" fillId="19" borderId="84" xfId="20" applyFont="1" applyFill="1" applyBorder="1" applyAlignment="1">
      <alignment horizontal="center"/>
    </xf>
    <xf numFmtId="0" fontId="44" fillId="19" borderId="85" xfId="20" applyFont="1" applyFill="1" applyBorder="1" applyAlignment="1">
      <alignment horizontal="center"/>
    </xf>
    <xf numFmtId="0" fontId="44" fillId="19" borderId="86" xfId="20" applyFont="1" applyFill="1" applyBorder="1" applyAlignment="1">
      <alignment horizontal="center"/>
    </xf>
    <xf numFmtId="0" fontId="44" fillId="20" borderId="0" xfId="20" applyFont="1" applyFill="1" applyBorder="1" applyAlignment="1">
      <alignment horizontal="center"/>
    </xf>
    <xf numFmtId="0" fontId="45" fillId="0" borderId="90" xfId="19" applyFont="1" applyFill="1" applyBorder="1" applyAlignment="1">
      <alignment horizontal="center" vertical="center"/>
    </xf>
    <xf numFmtId="0" fontId="2" fillId="0" borderId="10" xfId="18" applyFont="1" applyBorder="1" applyAlignment="1">
      <alignment horizontal="center"/>
    </xf>
    <xf numFmtId="0" fontId="2" fillId="0" borderId="10" xfId="18" applyFont="1" applyBorder="1" applyAlignment="1">
      <alignment horizontal="left"/>
    </xf>
    <xf numFmtId="0" fontId="2" fillId="0" borderId="10" xfId="18" applyFont="1" applyBorder="1"/>
    <xf numFmtId="0" fontId="2" fillId="0" borderId="91" xfId="18" applyFont="1" applyBorder="1"/>
    <xf numFmtId="0" fontId="44" fillId="0" borderId="84" xfId="20" applyFont="1" applyFill="1" applyBorder="1" applyAlignment="1">
      <alignment horizontal="center" wrapText="1"/>
    </xf>
    <xf numFmtId="2" fontId="44" fillId="0" borderId="85" xfId="20" applyNumberFormat="1" applyFont="1" applyFill="1" applyBorder="1" applyAlignment="1">
      <alignment horizontal="center" wrapText="1"/>
    </xf>
    <xf numFmtId="1" fontId="44" fillId="0" borderId="85" xfId="20" applyNumberFormat="1" applyFont="1" applyFill="1" applyBorder="1" applyAlignment="1">
      <alignment horizontal="center" wrapText="1"/>
    </xf>
    <xf numFmtId="0" fontId="44" fillId="0" borderId="86" xfId="20" applyFont="1" applyFill="1" applyBorder="1" applyAlignment="1">
      <alignment horizontal="center" wrapText="1"/>
    </xf>
    <xf numFmtId="1" fontId="40" fillId="0" borderId="0" xfId="18" applyNumberFormat="1" applyFont="1" applyFill="1" applyBorder="1"/>
    <xf numFmtId="0" fontId="15" fillId="8" borderId="88" xfId="18" applyFont="1" applyFill="1" applyBorder="1" applyAlignment="1">
      <alignment horizontal="center"/>
    </xf>
    <xf numFmtId="0" fontId="15" fillId="21" borderId="88" xfId="18" applyFont="1" applyFill="1" applyBorder="1" applyAlignment="1">
      <alignment horizontal="center"/>
    </xf>
    <xf numFmtId="0" fontId="2" fillId="0" borderId="3" xfId="18" applyFont="1" applyBorder="1" applyAlignment="1">
      <alignment horizontal="center"/>
    </xf>
    <xf numFmtId="0" fontId="2" fillId="8" borderId="3" xfId="18" applyFont="1" applyFill="1" applyBorder="1" applyAlignment="1">
      <alignment horizontal="center"/>
    </xf>
    <xf numFmtId="0" fontId="15" fillId="8" borderId="3" xfId="18" applyFont="1" applyFill="1" applyBorder="1" applyAlignment="1">
      <alignment horizontal="center"/>
    </xf>
    <xf numFmtId="0" fontId="15" fillId="21" borderId="3" xfId="18" applyFont="1" applyFill="1" applyBorder="1" applyAlignment="1">
      <alignment horizontal="center"/>
    </xf>
    <xf numFmtId="0" fontId="2" fillId="0" borderId="93" xfId="18" applyFont="1" applyBorder="1" applyAlignment="1">
      <alignment horizontal="center"/>
    </xf>
    <xf numFmtId="1" fontId="2" fillId="0" borderId="95" xfId="18" applyNumberFormat="1" applyFont="1" applyBorder="1" applyAlignment="1"/>
    <xf numFmtId="175" fontId="2" fillId="0" borderId="95" xfId="18" applyNumberFormat="1" applyFont="1" applyBorder="1" applyAlignment="1"/>
    <xf numFmtId="175" fontId="15" fillId="8" borderId="95" xfId="18" applyNumberFormat="1" applyFont="1" applyFill="1" applyBorder="1" applyAlignment="1"/>
    <xf numFmtId="175" fontId="15" fillId="21" borderId="95" xfId="18" applyNumberFormat="1" applyFont="1" applyFill="1" applyBorder="1" applyAlignment="1"/>
    <xf numFmtId="44" fontId="4" fillId="0" borderId="95" xfId="21" applyFont="1" applyBorder="1" applyAlignment="1"/>
    <xf numFmtId="175" fontId="2" fillId="0" borderId="96" xfId="18" applyNumberFormat="1" applyFont="1" applyBorder="1" applyAlignment="1"/>
    <xf numFmtId="0" fontId="44" fillId="0" borderId="97" xfId="20" applyFont="1" applyFill="1" applyBorder="1" applyAlignment="1">
      <alignment horizontal="center" wrapText="1"/>
    </xf>
    <xf numFmtId="2" fontId="44" fillId="0" borderId="98" xfId="20" applyNumberFormat="1" applyFont="1" applyFill="1" applyBorder="1" applyAlignment="1">
      <alignment horizontal="center" wrapText="1"/>
    </xf>
    <xf numFmtId="1" fontId="44" fillId="0" borderId="98" xfId="20" applyNumberFormat="1" applyFont="1" applyFill="1" applyBorder="1" applyAlignment="1">
      <alignment horizontal="center" wrapText="1"/>
    </xf>
    <xf numFmtId="0" fontId="44" fillId="0" borderId="99" xfId="20" applyFont="1" applyFill="1" applyBorder="1" applyAlignment="1">
      <alignment horizontal="center" wrapText="1"/>
    </xf>
    <xf numFmtId="0" fontId="44" fillId="0" borderId="100" xfId="20" applyFont="1" applyFill="1" applyBorder="1" applyAlignment="1">
      <alignment horizontal="center" wrapText="1"/>
    </xf>
    <xf numFmtId="2" fontId="44" fillId="0" borderId="101" xfId="20" applyNumberFormat="1" applyFont="1" applyFill="1" applyBorder="1" applyAlignment="1">
      <alignment horizontal="center" wrapText="1"/>
    </xf>
    <xf numFmtId="1" fontId="44" fillId="0" borderId="101" xfId="20" applyNumberFormat="1" applyFont="1" applyFill="1" applyBorder="1" applyAlignment="1">
      <alignment horizontal="center" wrapText="1"/>
    </xf>
    <xf numFmtId="0" fontId="44" fillId="0" borderId="102" xfId="20" applyFont="1" applyFill="1" applyBorder="1" applyAlignment="1">
      <alignment horizontal="center" wrapText="1"/>
    </xf>
    <xf numFmtId="175" fontId="15" fillId="8" borderId="95" xfId="18" applyNumberFormat="1" applyFont="1" applyFill="1" applyBorder="1" applyAlignment="1">
      <alignment horizontal="center"/>
    </xf>
    <xf numFmtId="0" fontId="44" fillId="0" borderId="103" xfId="20" applyFont="1" applyFill="1" applyBorder="1" applyAlignment="1">
      <alignment horizontal="center" wrapText="1"/>
    </xf>
    <xf numFmtId="2" fontId="44" fillId="0" borderId="0" xfId="20" applyNumberFormat="1" applyFont="1" applyFill="1" applyBorder="1" applyAlignment="1">
      <alignment horizontal="center" wrapText="1"/>
    </xf>
    <xf numFmtId="1" fontId="44" fillId="0" borderId="0" xfId="20" applyNumberFormat="1" applyFont="1" applyFill="1" applyBorder="1" applyAlignment="1">
      <alignment horizontal="center" wrapText="1"/>
    </xf>
    <xf numFmtId="0" fontId="44" fillId="0" borderId="0" xfId="20" applyFont="1" applyFill="1" applyBorder="1" applyAlignment="1">
      <alignment horizontal="center" wrapText="1"/>
    </xf>
    <xf numFmtId="1" fontId="2" fillId="0" borderId="104" xfId="18" applyNumberFormat="1" applyFont="1" applyBorder="1" applyAlignment="1">
      <alignment horizontal="center" wrapText="1"/>
    </xf>
    <xf numFmtId="0" fontId="2" fillId="0" borderId="105" xfId="18" applyFont="1" applyBorder="1" applyAlignment="1">
      <alignment horizontal="center" vertical="center"/>
    </xf>
    <xf numFmtId="1" fontId="2" fillId="0" borderId="105" xfId="18" applyNumberFormat="1" applyFont="1" applyBorder="1" applyAlignment="1">
      <alignment horizontal="center" wrapText="1"/>
    </xf>
    <xf numFmtId="1" fontId="2" fillId="0" borderId="105" xfId="18" applyNumberFormat="1" applyFont="1" applyBorder="1" applyAlignment="1"/>
    <xf numFmtId="175" fontId="2" fillId="0" borderId="105" xfId="18" applyNumberFormat="1" applyFont="1" applyBorder="1" applyAlignment="1"/>
    <xf numFmtId="175" fontId="15" fillId="8" borderId="105" xfId="18" applyNumberFormat="1" applyFont="1" applyFill="1" applyBorder="1" applyAlignment="1"/>
    <xf numFmtId="44" fontId="4" fillId="0" borderId="105" xfId="21" applyFont="1" applyBorder="1" applyAlignment="1"/>
    <xf numFmtId="175" fontId="2" fillId="0" borderId="106" xfId="18" applyNumberFormat="1" applyFont="1" applyBorder="1" applyAlignment="1"/>
    <xf numFmtId="0" fontId="40" fillId="0" borderId="0" xfId="18" applyFont="1" applyFill="1" applyBorder="1"/>
    <xf numFmtId="1" fontId="2" fillId="0" borderId="107" xfId="18" applyNumberFormat="1" applyFont="1" applyBorder="1" applyAlignment="1">
      <alignment horizontal="center" wrapText="1"/>
    </xf>
    <xf numFmtId="0" fontId="2" fillId="0" borderId="108" xfId="18" applyFont="1" applyBorder="1" applyAlignment="1">
      <alignment horizontal="center"/>
    </xf>
    <xf numFmtId="1" fontId="2" fillId="0" borderId="108" xfId="18" applyNumberFormat="1" applyFont="1" applyBorder="1" applyAlignment="1">
      <alignment horizontal="center"/>
    </xf>
    <xf numFmtId="6" fontId="2" fillId="0" borderId="108" xfId="18" applyNumberFormat="1" applyFont="1" applyBorder="1" applyAlignment="1">
      <alignment horizontal="center"/>
    </xf>
    <xf numFmtId="6" fontId="15" fillId="8" borderId="108" xfId="18" applyNumberFormat="1" applyFont="1" applyFill="1" applyBorder="1" applyAlignment="1">
      <alignment horizontal="center"/>
    </xf>
    <xf numFmtId="0" fontId="2" fillId="0" borderId="108" xfId="18" applyFont="1" applyBorder="1" applyAlignment="1">
      <alignment horizontal="left"/>
    </xf>
    <xf numFmtId="0" fontId="2" fillId="0" borderId="108" xfId="18" applyFont="1" applyBorder="1"/>
    <xf numFmtId="175" fontId="2" fillId="0" borderId="108" xfId="18" applyNumberFormat="1" applyFont="1" applyBorder="1"/>
    <xf numFmtId="44" fontId="4" fillId="0" borderId="108" xfId="21" applyFont="1" applyBorder="1"/>
    <xf numFmtId="44" fontId="2" fillId="0" borderId="109" xfId="18" applyNumberFormat="1" applyFont="1" applyBorder="1"/>
    <xf numFmtId="0" fontId="2" fillId="0" borderId="0" xfId="18" applyFont="1" applyFill="1" applyBorder="1" applyAlignment="1">
      <alignment horizontal="left"/>
    </xf>
    <xf numFmtId="2" fontId="2" fillId="0" borderId="0" xfId="18" applyNumberFormat="1" applyFont="1" applyFill="1" applyBorder="1" applyAlignment="1">
      <alignment horizontal="center"/>
    </xf>
    <xf numFmtId="1" fontId="2" fillId="0" borderId="0" xfId="18" applyNumberFormat="1" applyFont="1" applyFill="1" applyBorder="1" applyAlignment="1">
      <alignment horizontal="center"/>
    </xf>
    <xf numFmtId="0" fontId="2" fillId="0" borderId="0" xfId="18" applyFont="1" applyFill="1" applyBorder="1" applyAlignment="1">
      <alignment horizontal="center"/>
    </xf>
    <xf numFmtId="1" fontId="15" fillId="0" borderId="104" xfId="18" applyNumberFormat="1" applyFont="1" applyBorder="1" applyAlignment="1">
      <alignment horizontal="left"/>
    </xf>
    <xf numFmtId="0" fontId="15" fillId="0" borderId="105" xfId="18" applyFont="1" applyBorder="1" applyAlignment="1">
      <alignment horizontal="center"/>
    </xf>
    <xf numFmtId="1" fontId="15" fillId="0" borderId="105" xfId="18" applyNumberFormat="1" applyFont="1" applyBorder="1" applyAlignment="1">
      <alignment horizontal="center"/>
    </xf>
    <xf numFmtId="0" fontId="15" fillId="0" borderId="105" xfId="18" applyFont="1" applyBorder="1" applyAlignment="1">
      <alignment horizontal="left"/>
    </xf>
    <xf numFmtId="0" fontId="15" fillId="0" borderId="105" xfId="18" applyFont="1" applyBorder="1"/>
    <xf numFmtId="44" fontId="15" fillId="0" borderId="106" xfId="18" applyNumberFormat="1" applyFont="1" applyBorder="1"/>
    <xf numFmtId="0" fontId="44" fillId="0" borderId="0" xfId="20" applyFont="1" applyFill="1" applyBorder="1" applyAlignment="1">
      <alignment horizontal="center"/>
    </xf>
    <xf numFmtId="1" fontId="2" fillId="0" borderId="0" xfId="18" applyNumberFormat="1" applyFont="1" applyBorder="1" applyAlignment="1">
      <alignment horizontal="center"/>
    </xf>
    <xf numFmtId="0" fontId="2" fillId="0" borderId="0" xfId="18" applyFont="1" applyBorder="1" applyAlignment="1">
      <alignment horizontal="center"/>
    </xf>
    <xf numFmtId="0" fontId="2" fillId="0" borderId="0" xfId="18" applyFont="1" applyBorder="1" applyAlignment="1">
      <alignment horizontal="left"/>
    </xf>
    <xf numFmtId="0" fontId="2" fillId="0" borderId="88" xfId="18" applyFont="1" applyBorder="1" applyAlignment="1">
      <alignment horizontal="center"/>
    </xf>
    <xf numFmtId="0" fontId="15" fillId="0" borderId="88" xfId="18" applyFont="1" applyFill="1" applyBorder="1" applyAlignment="1">
      <alignment horizontal="center"/>
    </xf>
    <xf numFmtId="8" fontId="15" fillId="8" borderId="108" xfId="18" applyNumberFormat="1" applyFont="1" applyFill="1" applyBorder="1" applyAlignment="1">
      <alignment horizontal="center"/>
    </xf>
    <xf numFmtId="8" fontId="15" fillId="8" borderId="108" xfId="18" applyNumberFormat="1" applyFont="1" applyFill="1" applyBorder="1"/>
    <xf numFmtId="165" fontId="47" fillId="0" borderId="0" xfId="21" applyNumberFormat="1" applyFont="1" applyBorder="1" applyAlignment="1">
      <alignment horizontal="center"/>
    </xf>
    <xf numFmtId="0" fontId="46" fillId="0" borderId="0" xfId="18" applyFont="1" applyAlignment="1">
      <alignment horizontal="right"/>
    </xf>
    <xf numFmtId="0" fontId="46" fillId="0" borderId="0" xfId="18" applyFont="1"/>
    <xf numFmtId="44" fontId="47" fillId="0" borderId="0" xfId="21" applyFont="1" applyBorder="1" applyAlignment="1">
      <alignment horizontal="right"/>
    </xf>
    <xf numFmtId="0" fontId="47" fillId="0" borderId="0" xfId="18" applyFont="1" applyBorder="1"/>
    <xf numFmtId="0" fontId="2" fillId="0" borderId="115" xfId="18" applyFont="1" applyBorder="1"/>
    <xf numFmtId="0" fontId="2" fillId="0" borderId="116" xfId="18" applyFont="1" applyBorder="1"/>
    <xf numFmtId="0" fontId="2" fillId="0" borderId="117" xfId="18" applyFont="1" applyBorder="1"/>
    <xf numFmtId="0" fontId="2" fillId="0" borderId="0" xfId="18" applyFont="1" applyAlignment="1">
      <alignment horizontal="right"/>
    </xf>
    <xf numFmtId="5" fontId="4" fillId="0" borderId="0" xfId="21" applyNumberFormat="1" applyFont="1" applyAlignment="1">
      <alignment horizontal="center"/>
    </xf>
    <xf numFmtId="1" fontId="2" fillId="0" borderId="0" xfId="18" applyNumberFormat="1" applyFont="1" applyAlignment="1">
      <alignment horizontal="center"/>
    </xf>
    <xf numFmtId="0" fontId="48" fillId="22" borderId="0" xfId="22" applyFont="1" applyFill="1" applyAlignment="1"/>
    <xf numFmtId="0" fontId="2" fillId="22" borderId="0" xfId="18" applyFont="1" applyFill="1"/>
    <xf numFmtId="0" fontId="15" fillId="0" borderId="0" xfId="18" applyFont="1"/>
    <xf numFmtId="0" fontId="31" fillId="0" borderId="10" xfId="22" applyNumberFormat="1" applyFont="1" applyBorder="1" applyAlignment="1">
      <alignment horizontal="center" wrapText="1"/>
    </xf>
    <xf numFmtId="0" fontId="2" fillId="0" borderId="3" xfId="23" applyFont="1" applyFill="1" applyBorder="1"/>
    <xf numFmtId="165" fontId="2" fillId="0" borderId="3" xfId="24" applyNumberFormat="1" applyFont="1" applyFill="1" applyBorder="1"/>
    <xf numFmtId="6" fontId="49" fillId="0" borderId="3" xfId="25" applyNumberFormat="1" applyFont="1" applyFill="1" applyBorder="1"/>
    <xf numFmtId="5" fontId="2" fillId="0" borderId="3" xfId="24" applyNumberFormat="1" applyFont="1" applyFill="1" applyBorder="1"/>
    <xf numFmtId="0" fontId="15" fillId="0" borderId="0" xfId="18" applyFont="1" applyAlignment="1">
      <alignment horizontal="center"/>
    </xf>
    <xf numFmtId="0" fontId="15" fillId="0" borderId="0" xfId="18" applyFont="1" applyAlignment="1">
      <alignment horizontal="left"/>
    </xf>
    <xf numFmtId="0" fontId="15" fillId="0" borderId="3" xfId="18" applyFont="1" applyBorder="1"/>
    <xf numFmtId="165" fontId="15" fillId="0" borderId="3" xfId="18" applyNumberFormat="1" applyFont="1" applyBorder="1"/>
    <xf numFmtId="6" fontId="50" fillId="0" borderId="3" xfId="25" applyNumberFormat="1" applyFont="1" applyFill="1" applyBorder="1"/>
    <xf numFmtId="0" fontId="48" fillId="23" borderId="0" xfId="22" applyFont="1" applyFill="1" applyAlignment="1"/>
    <xf numFmtId="0" fontId="2" fillId="23" borderId="0" xfId="18" applyFont="1" applyFill="1"/>
    <xf numFmtId="5" fontId="15" fillId="0" borderId="3" xfId="18" applyNumberFormat="1" applyFont="1" applyBorder="1"/>
    <xf numFmtId="5" fontId="50" fillId="0" borderId="3" xfId="25" applyNumberFormat="1" applyFont="1" applyFill="1" applyBorder="1"/>
    <xf numFmtId="165" fontId="15" fillId="0" borderId="3" xfId="24" applyNumberFormat="1" applyFont="1" applyFill="1" applyBorder="1"/>
    <xf numFmtId="0" fontId="48" fillId="24" borderId="0" xfId="22" applyFont="1" applyFill="1" applyAlignment="1"/>
    <xf numFmtId="0" fontId="2" fillId="24" borderId="0" xfId="18" applyFont="1" applyFill="1"/>
    <xf numFmtId="2" fontId="22" fillId="0" borderId="3" xfId="13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10" fontId="0" fillId="4" borderId="51" xfId="0" applyNumberFormat="1" applyFill="1" applyBorder="1"/>
    <xf numFmtId="10" fontId="0" fillId="4" borderId="54" xfId="0" applyNumberFormat="1" applyFill="1" applyBorder="1"/>
    <xf numFmtId="0" fontId="4" fillId="0" borderId="78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" fontId="4" fillId="4" borderId="27" xfId="2" applyNumberFormat="1" applyFont="1" applyFill="1" applyBorder="1" applyAlignment="1">
      <alignment horizontal="center"/>
    </xf>
    <xf numFmtId="1" fontId="4" fillId="0" borderId="27" xfId="2" applyNumberFormat="1" applyFont="1" applyFill="1" applyBorder="1" applyAlignment="1">
      <alignment horizontal="center"/>
    </xf>
    <xf numFmtId="0" fontId="4" fillId="17" borderId="26" xfId="0" applyFont="1" applyFill="1" applyBorder="1" applyAlignment="1">
      <alignment horizontal="center"/>
    </xf>
    <xf numFmtId="1" fontId="4" fillId="17" borderId="27" xfId="2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1" fontId="4" fillId="0" borderId="30" xfId="2" applyNumberFormat="1" applyFont="1" applyFill="1" applyBorder="1" applyAlignment="1">
      <alignment horizontal="center"/>
    </xf>
    <xf numFmtId="1" fontId="4" fillId="0" borderId="77" xfId="2" applyNumberFormat="1" applyFont="1" applyFill="1" applyBorder="1" applyAlignment="1">
      <alignment horizontal="center"/>
    </xf>
    <xf numFmtId="0" fontId="4" fillId="17" borderId="28" xfId="0" applyFont="1" applyFill="1" applyBorder="1" applyAlignment="1">
      <alignment horizontal="center"/>
    </xf>
    <xf numFmtId="1" fontId="4" fillId="17" borderId="30" xfId="2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center" wrapText="1"/>
    </xf>
    <xf numFmtId="0" fontId="1" fillId="0" borderId="0" xfId="18" applyFont="1"/>
    <xf numFmtId="0" fontId="9" fillId="0" borderId="7" xfId="9" applyFont="1" applyBorder="1" applyAlignment="1">
      <alignment horizontal="center" vertical="center"/>
    </xf>
    <xf numFmtId="0" fontId="13" fillId="0" borderId="12" xfId="9" applyFont="1" applyBorder="1" applyAlignment="1">
      <alignment horizontal="center" vertical="center" wrapText="1"/>
    </xf>
    <xf numFmtId="0" fontId="13" fillId="0" borderId="21" xfId="9" applyFont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14" fillId="6" borderId="5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43" xfId="0" applyFont="1" applyBorder="1" applyAlignment="1">
      <alignment horizontal="right"/>
    </xf>
    <xf numFmtId="0" fontId="4" fillId="0" borderId="44" xfId="0" applyFont="1" applyBorder="1" applyAlignment="1">
      <alignment horizontal="right"/>
    </xf>
    <xf numFmtId="0" fontId="6" fillId="0" borderId="3" xfId="0" applyFont="1" applyBorder="1" applyAlignment="1">
      <alignment horizontal="center" wrapText="1"/>
    </xf>
    <xf numFmtId="0" fontId="6" fillId="16" borderId="14" xfId="0" applyFont="1" applyFill="1" applyBorder="1" applyAlignment="1">
      <alignment horizontal="left" wrapText="1"/>
    </xf>
    <xf numFmtId="0" fontId="6" fillId="16" borderId="11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9" borderId="23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11" xfId="0" applyFont="1" applyBorder="1" applyAlignment="1">
      <alignment horizontal="center" wrapText="1"/>
    </xf>
    <xf numFmtId="0" fontId="6" fillId="9" borderId="31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44" fontId="6" fillId="0" borderId="31" xfId="3" applyFont="1" applyFill="1" applyBorder="1" applyAlignment="1">
      <alignment horizontal="center" wrapText="1"/>
    </xf>
    <xf numFmtId="44" fontId="6" fillId="0" borderId="33" xfId="3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4" fontId="6" fillId="0" borderId="31" xfId="3" applyFont="1" applyFill="1" applyBorder="1" applyAlignment="1">
      <alignment horizontal="center"/>
    </xf>
    <xf numFmtId="44" fontId="6" fillId="0" borderId="33" xfId="3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3" fillId="12" borderId="14" xfId="17" applyFont="1" applyFill="1" applyBorder="1" applyAlignment="1">
      <alignment horizontal="center"/>
    </xf>
    <xf numFmtId="0" fontId="33" fillId="12" borderId="11" xfId="17" applyFont="1" applyFill="1" applyBorder="1" applyAlignment="1">
      <alignment horizontal="center"/>
    </xf>
    <xf numFmtId="0" fontId="33" fillId="12" borderId="2" xfId="17" applyFont="1" applyFill="1" applyBorder="1" applyAlignment="1">
      <alignment horizontal="center"/>
    </xf>
    <xf numFmtId="0" fontId="36" fillId="11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8" fillId="0" borderId="0" xfId="17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4" fillId="15" borderId="11" xfId="0" applyFont="1" applyFill="1" applyBorder="1" applyAlignment="1">
      <alignment horizontal="center"/>
    </xf>
    <xf numFmtId="0" fontId="37" fillId="11" borderId="0" xfId="17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7" xfId="0" applyBorder="1" applyAlignment="1">
      <alignment horizontal="center"/>
    </xf>
    <xf numFmtId="1" fontId="0" fillId="7" borderId="67" xfId="0" applyNumberFormat="1" applyFill="1" applyBorder="1" applyAlignment="1">
      <alignment horizontal="center"/>
    </xf>
    <xf numFmtId="1" fontId="0" fillId="7" borderId="68" xfId="0" applyNumberFormat="1" applyFill="1" applyBorder="1" applyAlignment="1">
      <alignment horizontal="center"/>
    </xf>
    <xf numFmtId="1" fontId="0" fillId="7" borderId="69" xfId="0" applyNumberForma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44" xfId="0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72" fontId="0" fillId="0" borderId="29" xfId="0" applyNumberFormat="1" applyBorder="1" applyAlignment="1">
      <alignment horizontal="center"/>
    </xf>
    <xf numFmtId="1" fontId="0" fillId="0" borderId="75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15" borderId="23" xfId="0" applyFont="1" applyFill="1" applyBorder="1" applyAlignment="1">
      <alignment horizontal="center"/>
    </xf>
    <xf numFmtId="0" fontId="4" fillId="15" borderId="24" xfId="0" applyFont="1" applyFill="1" applyBorder="1" applyAlignment="1">
      <alignment horizontal="center"/>
    </xf>
    <xf numFmtId="0" fontId="4" fillId="15" borderId="25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/>
    </xf>
    <xf numFmtId="0" fontId="4" fillId="0" borderId="118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72" fontId="0" fillId="0" borderId="73" xfId="0" applyNumberFormat="1" applyBorder="1" applyAlignment="1">
      <alignment horizontal="center"/>
    </xf>
    <xf numFmtId="172" fontId="0" fillId="0" borderId="74" xfId="0" applyNumberFormat="1" applyBorder="1" applyAlignment="1">
      <alignment horizontal="center"/>
    </xf>
    <xf numFmtId="172" fontId="0" fillId="0" borderId="44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8" fontId="0" fillId="0" borderId="3" xfId="2" applyNumberFormat="1" applyFont="1" applyFill="1" applyBorder="1" applyAlignment="1">
      <alignment horizontal="center"/>
    </xf>
    <xf numFmtId="44" fontId="0" fillId="0" borderId="10" xfId="0" applyNumberFormat="1" applyFill="1" applyBorder="1" applyAlignment="1">
      <alignment horizontal="center" wrapText="1"/>
    </xf>
    <xf numFmtId="44" fontId="0" fillId="0" borderId="5" xfId="0" applyNumberFormat="1" applyFill="1" applyBorder="1" applyAlignment="1">
      <alignment horizontal="center" wrapText="1"/>
    </xf>
    <xf numFmtId="1" fontId="0" fillId="7" borderId="48" xfId="0" applyNumberFormat="1" applyFill="1" applyBorder="1" applyAlignment="1">
      <alignment horizontal="center"/>
    </xf>
    <xf numFmtId="1" fontId="0" fillId="7" borderId="79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1" fontId="0" fillId="7" borderId="56" xfId="0" applyNumberFormat="1" applyFill="1" applyBorder="1" applyAlignment="1">
      <alignment horizontal="center"/>
    </xf>
    <xf numFmtId="1" fontId="0" fillId="7" borderId="55" xfId="0" applyNumberFormat="1" applyFill="1" applyBorder="1" applyAlignment="1">
      <alignment horizontal="center"/>
    </xf>
    <xf numFmtId="1" fontId="0" fillId="7" borderId="57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15" borderId="7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15" borderId="65" xfId="0" applyFont="1" applyFill="1" applyBorder="1" applyAlignment="1">
      <alignment horizontal="center"/>
    </xf>
    <xf numFmtId="0" fontId="46" fillId="0" borderId="55" xfId="18" applyFont="1" applyBorder="1" applyAlignment="1">
      <alignment horizontal="center"/>
    </xf>
    <xf numFmtId="0" fontId="2" fillId="0" borderId="88" xfId="18" applyFont="1" applyBorder="1" applyAlignment="1">
      <alignment horizontal="center"/>
    </xf>
    <xf numFmtId="0" fontId="2" fillId="0" borderId="113" xfId="18" applyFont="1" applyBorder="1" applyAlignment="1">
      <alignment horizontal="center"/>
    </xf>
    <xf numFmtId="0" fontId="2" fillId="0" borderId="114" xfId="18" applyFont="1" applyBorder="1" applyAlignment="1">
      <alignment horizontal="center"/>
    </xf>
    <xf numFmtId="0" fontId="2" fillId="0" borderId="89" xfId="18" applyFont="1" applyBorder="1" applyAlignment="1">
      <alignment horizontal="center"/>
    </xf>
    <xf numFmtId="1" fontId="2" fillId="0" borderId="87" xfId="18" applyNumberFormat="1" applyFont="1" applyBorder="1" applyAlignment="1">
      <alignment horizontal="center" wrapText="1"/>
    </xf>
    <xf numFmtId="1" fontId="2" fillId="0" borderId="92" xfId="18" applyNumberFormat="1" applyFont="1" applyBorder="1" applyAlignment="1">
      <alignment horizontal="center" wrapText="1"/>
    </xf>
    <xf numFmtId="1" fontId="2" fillId="0" borderId="94" xfId="18" applyNumberFormat="1" applyFont="1" applyBorder="1" applyAlignment="1">
      <alignment horizontal="center" wrapText="1"/>
    </xf>
    <xf numFmtId="0" fontId="2" fillId="0" borderId="88" xfId="18" applyFont="1" applyBorder="1" applyAlignment="1">
      <alignment horizontal="center" vertical="center"/>
    </xf>
    <xf numFmtId="0" fontId="2" fillId="0" borderId="3" xfId="18" applyFont="1" applyBorder="1" applyAlignment="1">
      <alignment horizontal="center" vertical="center"/>
    </xf>
    <xf numFmtId="0" fontId="2" fillId="0" borderId="95" xfId="18" applyFont="1" applyBorder="1" applyAlignment="1">
      <alignment horizontal="center" vertical="center"/>
    </xf>
    <xf numFmtId="1" fontId="2" fillId="0" borderId="88" xfId="18" applyNumberFormat="1" applyFont="1" applyBorder="1" applyAlignment="1">
      <alignment horizontal="center" wrapText="1"/>
    </xf>
    <xf numFmtId="1" fontId="2" fillId="0" borderId="3" xfId="18" applyNumberFormat="1" applyFont="1" applyBorder="1" applyAlignment="1">
      <alignment horizontal="center" wrapText="1"/>
    </xf>
    <xf numFmtId="1" fontId="2" fillId="0" borderId="95" xfId="18" applyNumberFormat="1" applyFont="1" applyBorder="1" applyAlignment="1">
      <alignment horizontal="center" wrapText="1"/>
    </xf>
    <xf numFmtId="0" fontId="43" fillId="0" borderId="110" xfId="18" applyFont="1" applyBorder="1" applyAlignment="1">
      <alignment horizontal="center"/>
    </xf>
    <xf numFmtId="0" fontId="43" fillId="0" borderId="111" xfId="18" applyFont="1" applyBorder="1" applyAlignment="1">
      <alignment horizontal="center"/>
    </xf>
    <xf numFmtId="0" fontId="43" fillId="0" borderId="112" xfId="18" applyFont="1" applyBorder="1" applyAlignment="1">
      <alignment horizontal="center"/>
    </xf>
    <xf numFmtId="0" fontId="20" fillId="18" borderId="81" xfId="18" applyFont="1" applyFill="1" applyBorder="1" applyAlignment="1">
      <alignment horizontal="center"/>
    </xf>
    <xf numFmtId="0" fontId="20" fillId="18" borderId="82" xfId="18" applyFont="1" applyFill="1" applyBorder="1" applyAlignment="1">
      <alignment horizontal="center"/>
    </xf>
    <xf numFmtId="0" fontId="20" fillId="18" borderId="83" xfId="18" applyFont="1" applyFill="1" applyBorder="1" applyAlignment="1">
      <alignment horizontal="center"/>
    </xf>
    <xf numFmtId="0" fontId="43" fillId="0" borderId="87" xfId="18" applyFont="1" applyBorder="1" applyAlignment="1">
      <alignment horizontal="center"/>
    </xf>
    <xf numFmtId="0" fontId="43" fillId="0" borderId="88" xfId="18" applyFont="1" applyBorder="1" applyAlignment="1">
      <alignment horizontal="center"/>
    </xf>
    <xf numFmtId="0" fontId="43" fillId="0" borderId="89" xfId="18" applyFont="1" applyBorder="1" applyAlignment="1">
      <alignment horizontal="center"/>
    </xf>
    <xf numFmtId="0" fontId="6" fillId="7" borderId="39" xfId="13" applyFont="1" applyFill="1" applyBorder="1" applyAlignment="1">
      <alignment horizontal="center" vertical="center"/>
    </xf>
    <xf numFmtId="0" fontId="6" fillId="7" borderId="0" xfId="13" applyFont="1" applyFill="1" applyBorder="1" applyAlignment="1">
      <alignment horizontal="center" vertical="center"/>
    </xf>
    <xf numFmtId="0" fontId="24" fillId="7" borderId="51" xfId="13" applyFont="1" applyFill="1" applyBorder="1" applyAlignment="1">
      <alignment horizontal="center"/>
    </xf>
    <xf numFmtId="0" fontId="24" fillId="7" borderId="52" xfId="13" applyFont="1" applyFill="1" applyBorder="1" applyAlignment="1">
      <alignment horizontal="center"/>
    </xf>
    <xf numFmtId="0" fontId="24" fillId="7" borderId="53" xfId="13" applyFont="1" applyFill="1" applyBorder="1" applyAlignment="1">
      <alignment horizontal="center"/>
    </xf>
    <xf numFmtId="0" fontId="6" fillId="7" borderId="39" xfId="13" applyFont="1" applyFill="1" applyBorder="1" applyAlignment="1">
      <alignment horizontal="center"/>
    </xf>
    <xf numFmtId="0" fontId="6" fillId="7" borderId="0" xfId="13" applyFont="1" applyFill="1" applyBorder="1" applyAlignment="1">
      <alignment horizontal="center"/>
    </xf>
    <xf numFmtId="0" fontId="6" fillId="7" borderId="45" xfId="13" applyFont="1" applyFill="1" applyBorder="1" applyAlignment="1">
      <alignment horizontal="center"/>
    </xf>
    <xf numFmtId="0" fontId="4" fillId="0" borderId="0" xfId="13" applyBorder="1" applyAlignment="1">
      <alignment horizontal="center" wrapText="1"/>
    </xf>
    <xf numFmtId="0" fontId="6" fillId="7" borderId="45" xfId="13" applyFont="1" applyFill="1" applyBorder="1" applyAlignment="1">
      <alignment horizontal="center" vertical="center"/>
    </xf>
  </cellXfs>
  <cellStyles count="26">
    <cellStyle name="active" xfId="1"/>
    <cellStyle name="Comma" xfId="2" builtinId="3"/>
    <cellStyle name="Comma 2" xfId="15"/>
    <cellStyle name="Currency" xfId="3" builtinId="4"/>
    <cellStyle name="Currency 2 2" xfId="24"/>
    <cellStyle name="Currency 3" xfId="25"/>
    <cellStyle name="Currency 8" xfId="21"/>
    <cellStyle name="Grey" xfId="4"/>
    <cellStyle name="Header1" xfId="5"/>
    <cellStyle name="Header2" xfId="6"/>
    <cellStyle name="Hyperlink" xfId="14" builtinId="8"/>
    <cellStyle name="Input [yellow]" xfId="7"/>
    <cellStyle name="Normal" xfId="0" builtinId="0"/>
    <cellStyle name="Normal - Style1" xfId="8"/>
    <cellStyle name="Normal 11" xfId="18"/>
    <cellStyle name="Normal 16" xfId="13"/>
    <cellStyle name="Normal 2" xfId="9"/>
    <cellStyle name="Normal 2 2" xfId="23"/>
    <cellStyle name="Normal 4" xfId="16"/>
    <cellStyle name="Normal 4 2" xfId="17"/>
    <cellStyle name="Normal 4 3" xfId="22"/>
    <cellStyle name="Normal_2015 PQI-Div 1" xfId="19"/>
    <cellStyle name="Normal_Sheet1" xfId="20"/>
    <cellStyle name="Percent" xfId="10" builtinId="5"/>
    <cellStyle name="Percent [2]" xfId="11"/>
    <cellStyle name="PSChar" xfId="1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446314</xdr:colOff>
      <xdr:row>96</xdr:row>
      <xdr:rowOff>108858</xdr:rowOff>
    </xdr:from>
    <xdr:to>
      <xdr:col>8</xdr:col>
      <xdr:colOff>79447</xdr:colOff>
      <xdr:row>127</xdr:row>
      <xdr:rowOff>47001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E970D-A576-4A29-A18F-DE299C923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314" y="16230601"/>
          <a:ext cx="6676190" cy="50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96</xdr:row>
      <xdr:rowOff>130629</xdr:rowOff>
    </xdr:from>
    <xdr:to>
      <xdr:col>18</xdr:col>
      <xdr:colOff>580237</xdr:colOff>
      <xdr:row>104</xdr:row>
      <xdr:rowOff>81486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17F13-C5F4-4BB8-8F75-5B7093AA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199" y="16034658"/>
          <a:ext cx="6295238" cy="12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MCKEN~1\LOCALS~1\Temp\notesE97E9E\Template%20of%20Benefits%20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Project\FTW_TPTO\061018034\xls\Service%20Area%20D\2007_8_11_FTW_RIF_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cow00\KCMDepartments\IPS\ResourceLibrary\Federal%20Grants\Examples_BenefitCostAnalysis_Guidance&amp;Resources\SH28BridgeWidening-BCA-20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nnel Capacity"/>
      <sheetName val="Notes"/>
    </sheetNames>
    <sheetDataSet>
      <sheetData sheetId="0">
        <row r="2">
          <cell r="C2">
            <v>8000</v>
          </cell>
        </row>
        <row r="3">
          <cell r="C3">
            <v>0.57999999999999996</v>
          </cell>
        </row>
        <row r="4">
          <cell r="C4">
            <v>0</v>
          </cell>
        </row>
        <row r="5">
          <cell r="C5">
            <v>63</v>
          </cell>
        </row>
        <row r="6">
          <cell r="C6">
            <v>36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NEW ROAD"/>
      <sheetName val="CCI"/>
      <sheetName val="PayItems"/>
      <sheetName val="Basswood (4)"/>
      <sheetName val="Basswood (5)"/>
      <sheetName val="Basswood (6)"/>
      <sheetName val="Basswood (7)"/>
      <sheetName val="Summerfields"/>
      <sheetName val="NTP (2)"/>
      <sheetName val="NTP (3)"/>
      <sheetName val="NTP (4)"/>
      <sheetName val="Shiver"/>
      <sheetName val="Heritage Trace (5)"/>
      <sheetName val="Heritage Trace (6)"/>
      <sheetName val="Heritage Trace (7)"/>
      <sheetName val="Golden Triangle (2)"/>
      <sheetName val="Golden Triangle (3)"/>
      <sheetName val="Golden Triangle (4)"/>
      <sheetName val="Keller Hicks (2)"/>
      <sheetName val="Keller Hicks (3)"/>
      <sheetName val="Keller Hicks (4)"/>
      <sheetName val="Timberland (1)"/>
      <sheetName val="Timberland (2)"/>
      <sheetName val="Timberland (3)"/>
      <sheetName val="N. Riverside (1)"/>
      <sheetName val="N. Riverside (2)"/>
      <sheetName val="N. Riverside (3)"/>
      <sheetName val="N. Riverside (4)"/>
      <sheetName val="N. Riverside (5)"/>
      <sheetName val="N. Riverside (6)"/>
      <sheetName val="N. Riverside (7)"/>
      <sheetName val="N. Beach (3)"/>
      <sheetName val="N. Beach (4)"/>
      <sheetName val="N. Beach (5)"/>
      <sheetName val="N. Beach (6)"/>
      <sheetName val="N. Beach (7)"/>
      <sheetName val="N. Beach (8)"/>
      <sheetName val="N. Beach (9)"/>
      <sheetName val="N. Beach (10)"/>
      <sheetName val="Park Vista (2)"/>
      <sheetName val="Park Vista (3)"/>
      <sheetName val="Park Vista (4)"/>
      <sheetName val="Park Vista (5)"/>
      <sheetName val="Summary"/>
      <sheetName val="CIP"/>
      <sheetName val="CIP-cost"/>
      <sheetName val="SupD"/>
      <sheetName val="E-D"/>
      <sheetName val="MaxFee"/>
      <sheetName val="PieCharts"/>
      <sheetName val="LUVMET"/>
      <sheetName val="LUVMET (2)"/>
      <sheetName val="10-Yr"/>
    </sheetNames>
    <sheetDataSet>
      <sheetData sheetId="0"/>
      <sheetData sheetId="1">
        <row r="2">
          <cell r="A2" t="str">
            <v>Median</v>
          </cell>
        </row>
        <row r="3">
          <cell r="A3" t="str">
            <v>NEW</v>
          </cell>
        </row>
        <row r="4">
          <cell r="A4" t="str">
            <v>EXISTING</v>
          </cell>
        </row>
      </sheetData>
      <sheetData sheetId="2">
        <row r="6">
          <cell r="B6">
            <v>155.07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-Cost Spreadsheet-7%"/>
      <sheetName val="Direct Input Overview"/>
      <sheetName val="Summary Calculations"/>
      <sheetName val="Green House Gases"/>
    </sheetNames>
    <sheetDataSet>
      <sheetData sheetId="0"/>
      <sheetData sheetId="1"/>
      <sheetData sheetId="2">
        <row r="32">
          <cell r="B32">
            <v>0.1</v>
          </cell>
        </row>
        <row r="46">
          <cell r="B46">
            <v>35</v>
          </cell>
        </row>
        <row r="50">
          <cell r="B50">
            <v>45</v>
          </cell>
        </row>
        <row r="54">
          <cell r="B54">
            <v>67831.599999999991</v>
          </cell>
        </row>
        <row r="55">
          <cell r="B55">
            <v>52757.911111111112</v>
          </cell>
        </row>
        <row r="56">
          <cell r="B56">
            <v>94503.714285714275</v>
          </cell>
        </row>
        <row r="57">
          <cell r="B57">
            <v>73502.888888888891</v>
          </cell>
        </row>
        <row r="68">
          <cell r="G68">
            <v>2374106</v>
          </cell>
        </row>
        <row r="70">
          <cell r="G70">
            <v>3307630</v>
          </cell>
        </row>
        <row r="73">
          <cell r="G73">
            <v>2374106</v>
          </cell>
        </row>
        <row r="75">
          <cell r="G75">
            <v>3307630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energy/greenhouse-gases-equivalencies-calculator-calculations-and-referenc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2:K17"/>
  <sheetViews>
    <sheetView workbookViewId="0">
      <selection activeCell="D11" sqref="D11"/>
    </sheetView>
  </sheetViews>
  <sheetFormatPr defaultRowHeight="12.75" x14ac:dyDescent="0.2"/>
  <cols>
    <col min="2" max="2" width="10.28515625" customWidth="1"/>
    <col min="3" max="3" width="6.28515625" customWidth="1"/>
    <col min="4" max="4" width="18.85546875" customWidth="1"/>
    <col min="5" max="5" width="21" customWidth="1"/>
    <col min="6" max="6" width="22.42578125" customWidth="1"/>
    <col min="7" max="7" width="25" bestFit="1" customWidth="1"/>
    <col min="8" max="8" width="20.140625" bestFit="1" customWidth="1"/>
  </cols>
  <sheetData>
    <row r="2" spans="2:11" ht="15.75" customHeight="1" x14ac:dyDescent="0.2">
      <c r="B2" s="4"/>
      <c r="C2" s="4"/>
      <c r="D2" s="5"/>
      <c r="E2" s="5"/>
      <c r="F2" s="5"/>
      <c r="G2" s="5"/>
      <c r="H2" s="4"/>
    </row>
    <row r="3" spans="2:11" hidden="1" x14ac:dyDescent="0.2"/>
    <row r="4" spans="2:11" ht="75.75" hidden="1" thickBot="1" x14ac:dyDescent="0.25">
      <c r="B4" s="128" t="s">
        <v>11</v>
      </c>
      <c r="C4" s="128" t="s">
        <v>12</v>
      </c>
      <c r="D4" s="128" t="s">
        <v>13</v>
      </c>
      <c r="E4" s="128"/>
      <c r="F4" s="128" t="s">
        <v>14</v>
      </c>
      <c r="G4" s="128" t="s">
        <v>15</v>
      </c>
      <c r="H4" s="128" t="s">
        <v>10</v>
      </c>
    </row>
    <row r="5" spans="2:11" ht="409.6" hidden="1" thickBot="1" x14ac:dyDescent="0.25">
      <c r="B5" s="11" t="s">
        <v>160</v>
      </c>
      <c r="C5" s="8" t="s">
        <v>161</v>
      </c>
      <c r="D5" s="9" t="s">
        <v>162</v>
      </c>
      <c r="E5" s="10"/>
      <c r="F5" s="10" t="s">
        <v>163</v>
      </c>
      <c r="G5" s="161">
        <f>+H8</f>
        <v>1.013775663089151</v>
      </c>
      <c r="H5" s="129" t="s">
        <v>153</v>
      </c>
    </row>
    <row r="7" spans="2:11" ht="32.25" customHeight="1" thickBot="1" x14ac:dyDescent="0.25">
      <c r="B7" s="706" t="s">
        <v>154</v>
      </c>
      <c r="C7" s="706"/>
      <c r="D7" s="160" t="s">
        <v>3</v>
      </c>
      <c r="E7" s="160" t="s">
        <v>515</v>
      </c>
      <c r="F7" s="160" t="s">
        <v>6</v>
      </c>
      <c r="G7" s="160" t="s">
        <v>155</v>
      </c>
      <c r="H7" s="160" t="s">
        <v>15</v>
      </c>
    </row>
    <row r="8" spans="2:11" ht="62.25" customHeight="1" thickTop="1" x14ac:dyDescent="0.2">
      <c r="B8" s="707" t="str">
        <f>'Summary Table'!A1</f>
        <v>2019 BCA SUMMARY - U.S. 81 Realignment</v>
      </c>
      <c r="C8" s="708"/>
      <c r="D8" s="163">
        <f>Costs!C2</f>
        <v>277247000</v>
      </c>
      <c r="E8" s="163">
        <f>'Summary Table'!F93</f>
        <v>200459639.81961465</v>
      </c>
      <c r="F8" s="163">
        <f>'Summary Table'!G50</f>
        <v>905112619.40415359</v>
      </c>
      <c r="G8" s="163">
        <f>'Summary Table'!H50</f>
        <v>203221104.28074223</v>
      </c>
      <c r="H8" s="159">
        <f>'Summary Table'!E7</f>
        <v>1.013775663089151</v>
      </c>
    </row>
    <row r="11" spans="2:11" x14ac:dyDescent="0.2">
      <c r="H11" s="1"/>
      <c r="I11" s="1"/>
      <c r="J11" s="1"/>
      <c r="K11" s="1"/>
    </row>
    <row r="12" spans="2:11" x14ac:dyDescent="0.2">
      <c r="H12" s="1"/>
      <c r="I12" s="1"/>
      <c r="J12" s="1"/>
      <c r="K12" s="1"/>
    </row>
    <row r="13" spans="2:11" x14ac:dyDescent="0.2">
      <c r="H13" s="1"/>
      <c r="I13" s="1"/>
      <c r="J13" s="1"/>
      <c r="K13" s="1"/>
    </row>
    <row r="14" spans="2:11" ht="15.75" x14ac:dyDescent="0.25">
      <c r="H14" s="1"/>
      <c r="I14" s="13"/>
      <c r="J14" s="13"/>
      <c r="K14" s="1"/>
    </row>
    <row r="15" spans="2:11" ht="15.75" x14ac:dyDescent="0.25">
      <c r="H15" s="1"/>
      <c r="I15" s="13"/>
      <c r="J15" s="13"/>
      <c r="K15" s="1"/>
    </row>
    <row r="16" spans="2:11" x14ac:dyDescent="0.2">
      <c r="H16" s="1"/>
      <c r="I16" s="1"/>
      <c r="J16" s="1"/>
      <c r="K16" s="1"/>
    </row>
    <row r="17" spans="8:11" x14ac:dyDescent="0.2">
      <c r="H17" s="1"/>
      <c r="I17" s="1"/>
      <c r="J17" s="1"/>
      <c r="K17" s="1"/>
    </row>
  </sheetData>
  <mergeCells count="2">
    <mergeCell ref="B7:C7"/>
    <mergeCell ref="B8:C8"/>
  </mergeCells>
  <pageMargins left="0.7" right="0.7" top="0.75" bottom="0.75" header="0.3" footer="0.3"/>
  <pageSetup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H42"/>
  <sheetViews>
    <sheetView workbookViewId="0">
      <selection activeCell="F11" sqref="F11"/>
    </sheetView>
  </sheetViews>
  <sheetFormatPr defaultRowHeight="12.75" x14ac:dyDescent="0.2"/>
  <cols>
    <col min="1" max="1" width="30.85546875" bestFit="1" customWidth="1"/>
    <col min="2" max="2" width="9" bestFit="1" customWidth="1"/>
    <col min="5" max="5" width="15.85546875" bestFit="1" customWidth="1"/>
    <col min="6" max="6" width="15.5703125" bestFit="1" customWidth="1"/>
    <col min="7" max="7" width="14" bestFit="1" customWidth="1"/>
    <col min="8" max="8" width="17.7109375" bestFit="1" customWidth="1"/>
    <col min="9" max="9" width="15.7109375" customWidth="1"/>
    <col min="10" max="10" width="16.7109375" customWidth="1"/>
  </cols>
  <sheetData>
    <row r="2" spans="1:8" x14ac:dyDescent="0.2">
      <c r="A2" s="787" t="s">
        <v>156</v>
      </c>
      <c r="B2" s="860"/>
    </row>
    <row r="3" spans="1:8" x14ac:dyDescent="0.2">
      <c r="A3" s="15" t="s">
        <v>181</v>
      </c>
      <c r="B3" s="23">
        <v>0.7329</v>
      </c>
    </row>
    <row r="4" spans="1:8" x14ac:dyDescent="0.2">
      <c r="A4" s="778" t="s">
        <v>116</v>
      </c>
      <c r="B4" s="778"/>
    </row>
    <row r="5" spans="1:8" x14ac:dyDescent="0.2">
      <c r="A5" s="788" t="s">
        <v>148</v>
      </c>
      <c r="B5" s="788"/>
    </row>
    <row r="7" spans="1:8" x14ac:dyDescent="0.2">
      <c r="A7" s="710" t="s">
        <v>257</v>
      </c>
      <c r="B7" s="710"/>
    </row>
    <row r="8" spans="1:8" x14ac:dyDescent="0.2">
      <c r="A8" s="95" t="s">
        <v>146</v>
      </c>
      <c r="B8" s="88">
        <v>2.5299999999999998</v>
      </c>
    </row>
    <row r="10" spans="1:8" ht="39" thickBot="1" x14ac:dyDescent="0.25">
      <c r="D10" s="108" t="s">
        <v>1</v>
      </c>
      <c r="E10" s="442" t="s">
        <v>132</v>
      </c>
      <c r="F10" s="107" t="s">
        <v>131</v>
      </c>
      <c r="G10" s="107" t="s">
        <v>147</v>
      </c>
      <c r="H10" s="107" t="s">
        <v>152</v>
      </c>
    </row>
    <row r="11" spans="1:8" ht="13.5" thickTop="1" x14ac:dyDescent="0.2">
      <c r="D11" s="57">
        <v>2024</v>
      </c>
      <c r="E11" s="155">
        <f>'EC - Travel Time - Intersection'!W41</f>
        <v>15415</v>
      </c>
      <c r="F11" s="155">
        <f t="shared" ref="F11:F41" si="0">$B$3*E11</f>
        <v>11297.6535</v>
      </c>
      <c r="G11" s="157">
        <f>ROUND(F11*$B$8,0)</f>
        <v>28583</v>
      </c>
      <c r="H11" s="157">
        <f>ROUND(G11*NPV!C9,0)</f>
        <v>17800</v>
      </c>
    </row>
    <row r="12" spans="1:8" x14ac:dyDescent="0.2">
      <c r="D12" s="24">
        <f t="shared" ref="D12:D41" si="1">D11+1</f>
        <v>2025</v>
      </c>
      <c r="E12" s="156">
        <f>'EC - Travel Time - Intersection'!W42</f>
        <v>17679</v>
      </c>
      <c r="F12" s="156">
        <f t="shared" si="0"/>
        <v>12956.9391</v>
      </c>
      <c r="G12" s="116">
        <f t="shared" ref="G12:G41" si="2">ROUND(F12*$B$8,0)</f>
        <v>32781</v>
      </c>
      <c r="H12" s="116">
        <f>ROUND(G12*NPV!C10,0)</f>
        <v>19079</v>
      </c>
    </row>
    <row r="13" spans="1:8" x14ac:dyDescent="0.2">
      <c r="D13" s="24">
        <f t="shared" si="1"/>
        <v>2026</v>
      </c>
      <c r="E13" s="156">
        <f>'EC - Travel Time - Intersection'!W43</f>
        <v>20275</v>
      </c>
      <c r="F13" s="156">
        <f t="shared" si="0"/>
        <v>14859.547500000001</v>
      </c>
      <c r="G13" s="116">
        <f t="shared" si="2"/>
        <v>37595</v>
      </c>
      <c r="H13" s="116">
        <f>ROUND(G13*NPV!C11,0)</f>
        <v>20449</v>
      </c>
    </row>
    <row r="14" spans="1:8" x14ac:dyDescent="0.2">
      <c r="D14" s="24">
        <f t="shared" si="1"/>
        <v>2027</v>
      </c>
      <c r="E14" s="156">
        <f>'EC - Travel Time - Intersection'!W44</f>
        <v>23255</v>
      </c>
      <c r="F14" s="156">
        <f t="shared" si="0"/>
        <v>17043.589499999998</v>
      </c>
      <c r="G14" s="116">
        <f t="shared" si="2"/>
        <v>43120</v>
      </c>
      <c r="H14" s="116">
        <f>ROUND(G14*NPV!C12,0)</f>
        <v>21920</v>
      </c>
    </row>
    <row r="15" spans="1:8" x14ac:dyDescent="0.2">
      <c r="D15" s="24">
        <f t="shared" si="1"/>
        <v>2028</v>
      </c>
      <c r="E15" s="156">
        <f>'EC - Travel Time - Intersection'!W45</f>
        <v>26674</v>
      </c>
      <c r="F15" s="156">
        <f t="shared" si="0"/>
        <v>19549.374599999999</v>
      </c>
      <c r="G15" s="116">
        <f t="shared" si="2"/>
        <v>49460</v>
      </c>
      <c r="H15" s="116">
        <f>ROUND(G15*NPV!C13,0)</f>
        <v>23498</v>
      </c>
    </row>
    <row r="16" spans="1:8" x14ac:dyDescent="0.2">
      <c r="D16" s="24">
        <f t="shared" si="1"/>
        <v>2029</v>
      </c>
      <c r="E16" s="156">
        <f>'EC - Travel Time - Intersection'!W46</f>
        <v>30592</v>
      </c>
      <c r="F16" s="156">
        <f t="shared" si="0"/>
        <v>22420.876799999998</v>
      </c>
      <c r="G16" s="116">
        <f t="shared" si="2"/>
        <v>56725</v>
      </c>
      <c r="H16" s="116">
        <f>ROUND(G16*NPV!C14,0)</f>
        <v>25187</v>
      </c>
    </row>
    <row r="17" spans="4:8" x14ac:dyDescent="0.2">
      <c r="D17" s="24">
        <f t="shared" si="1"/>
        <v>2030</v>
      </c>
      <c r="E17" s="156">
        <f>'EC - Travel Time - Intersection'!W47</f>
        <v>35087</v>
      </c>
      <c r="F17" s="156">
        <f t="shared" si="0"/>
        <v>25715.262299999999</v>
      </c>
      <c r="G17" s="116">
        <f t="shared" si="2"/>
        <v>65060</v>
      </c>
      <c r="H17" s="116">
        <f>ROUND(G17*NPV!C15,0)</f>
        <v>26998</v>
      </c>
    </row>
    <row r="18" spans="4:8" x14ac:dyDescent="0.2">
      <c r="D18" s="24">
        <f t="shared" si="1"/>
        <v>2031</v>
      </c>
      <c r="E18" s="156">
        <f>'EC - Travel Time - Intersection'!W48</f>
        <v>40246</v>
      </c>
      <c r="F18" s="156">
        <f t="shared" si="0"/>
        <v>29496.293399999999</v>
      </c>
      <c r="G18" s="116">
        <f t="shared" si="2"/>
        <v>74626</v>
      </c>
      <c r="H18" s="116">
        <f>ROUND(G18*NPV!C16,0)</f>
        <v>28941</v>
      </c>
    </row>
    <row r="19" spans="4:8" x14ac:dyDescent="0.2">
      <c r="D19" s="24">
        <f t="shared" si="1"/>
        <v>2032</v>
      </c>
      <c r="E19" s="156">
        <f>'EC - Travel Time - Intersection'!W49</f>
        <v>46163</v>
      </c>
      <c r="F19" s="156">
        <f t="shared" si="0"/>
        <v>33832.862699999998</v>
      </c>
      <c r="G19" s="116">
        <f t="shared" si="2"/>
        <v>85597</v>
      </c>
      <c r="H19" s="116">
        <f>ROUND(G19*NPV!C17,0)</f>
        <v>31024</v>
      </c>
    </row>
    <row r="20" spans="4:8" x14ac:dyDescent="0.2">
      <c r="D20" s="24">
        <f t="shared" si="1"/>
        <v>2033</v>
      </c>
      <c r="E20" s="156">
        <f>'EC - Travel Time - Intersection'!W50</f>
        <v>52950</v>
      </c>
      <c r="F20" s="156">
        <f t="shared" si="0"/>
        <v>38807.055</v>
      </c>
      <c r="G20" s="116">
        <f t="shared" si="2"/>
        <v>98182</v>
      </c>
      <c r="H20" s="116">
        <f>ROUND(G20*NPV!C18,0)</f>
        <v>33258</v>
      </c>
    </row>
    <row r="21" spans="4:8" x14ac:dyDescent="0.2">
      <c r="D21" s="24">
        <f t="shared" si="1"/>
        <v>2034</v>
      </c>
      <c r="E21" s="156">
        <f>'EC - Travel Time - Intersection'!W51</f>
        <v>60740</v>
      </c>
      <c r="F21" s="156">
        <f t="shared" si="0"/>
        <v>44516.345999999998</v>
      </c>
      <c r="G21" s="116">
        <f t="shared" si="2"/>
        <v>112626</v>
      </c>
      <c r="H21" s="116">
        <f>ROUND(G21*NPV!C19,0)</f>
        <v>35655</v>
      </c>
    </row>
    <row r="22" spans="4:8" x14ac:dyDescent="0.2">
      <c r="D22" s="24">
        <f t="shared" si="1"/>
        <v>2035</v>
      </c>
      <c r="E22" s="156">
        <f>'EC - Travel Time - Intersection'!W52</f>
        <v>69663</v>
      </c>
      <c r="F22" s="156">
        <f t="shared" si="0"/>
        <v>51056.012699999999</v>
      </c>
      <c r="G22" s="116">
        <f t="shared" si="2"/>
        <v>129172</v>
      </c>
      <c r="H22" s="116">
        <f>ROUND(G22*NPV!C20,0)</f>
        <v>38217</v>
      </c>
    </row>
    <row r="23" spans="4:8" x14ac:dyDescent="0.2">
      <c r="D23" s="24">
        <f t="shared" si="1"/>
        <v>2036</v>
      </c>
      <c r="E23" s="156">
        <f>'EC - Travel Time - Intersection'!W53</f>
        <v>79907</v>
      </c>
      <c r="F23" s="156">
        <f t="shared" si="0"/>
        <v>58563.840299999996</v>
      </c>
      <c r="G23" s="116">
        <f t="shared" si="2"/>
        <v>148167</v>
      </c>
      <c r="H23" s="116">
        <f>ROUND(G23*NPV!C21,0)</f>
        <v>40969</v>
      </c>
    </row>
    <row r="24" spans="4:8" x14ac:dyDescent="0.2">
      <c r="D24" s="24">
        <f t="shared" si="1"/>
        <v>2037</v>
      </c>
      <c r="E24" s="156">
        <f>'EC - Travel Time - Intersection'!W54</f>
        <v>91669</v>
      </c>
      <c r="F24" s="156">
        <f t="shared" si="0"/>
        <v>67184.210099999997</v>
      </c>
      <c r="G24" s="116">
        <f t="shared" si="2"/>
        <v>169976</v>
      </c>
      <c r="H24" s="116">
        <f>ROUND(G24*NPV!C22,0)</f>
        <v>43925</v>
      </c>
    </row>
    <row r="25" spans="4:8" x14ac:dyDescent="0.2">
      <c r="D25" s="24">
        <f t="shared" si="1"/>
        <v>2038</v>
      </c>
      <c r="E25" s="156">
        <f>'EC - Travel Time - Intersection'!W55</f>
        <v>105143</v>
      </c>
      <c r="F25" s="156">
        <f t="shared" si="0"/>
        <v>77059.304699999993</v>
      </c>
      <c r="G25" s="116">
        <f t="shared" si="2"/>
        <v>194960</v>
      </c>
      <c r="H25" s="116">
        <f>ROUND(G25*NPV!C23,0)</f>
        <v>47085</v>
      </c>
    </row>
    <row r="26" spans="4:8" x14ac:dyDescent="0.2">
      <c r="D26" s="24">
        <f t="shared" si="1"/>
        <v>2039</v>
      </c>
      <c r="E26" s="156">
        <f>'EC - Travel Time - Intersection'!W56</f>
        <v>120612</v>
      </c>
      <c r="F26" s="156">
        <f t="shared" si="0"/>
        <v>88396.534799999994</v>
      </c>
      <c r="G26" s="116">
        <f t="shared" si="2"/>
        <v>223643</v>
      </c>
      <c r="H26" s="116">
        <f>ROUND(G26*NPV!C24,0)</f>
        <v>50479</v>
      </c>
    </row>
    <row r="27" spans="4:8" x14ac:dyDescent="0.2">
      <c r="D27" s="24">
        <f t="shared" si="1"/>
        <v>2040</v>
      </c>
      <c r="E27" s="156">
        <f>'EC - Travel Time - Intersection'!W57</f>
        <v>136068</v>
      </c>
      <c r="F27" s="156">
        <f t="shared" si="0"/>
        <v>99724.237200000003</v>
      </c>
      <c r="G27" s="116">
        <f t="shared" si="2"/>
        <v>252302</v>
      </c>
      <c r="H27" s="116">
        <f>ROUND(G27*NPV!C25,0)</f>
        <v>53222</v>
      </c>
    </row>
    <row r="28" spans="4:8" x14ac:dyDescent="0.2">
      <c r="D28" s="24">
        <f t="shared" si="1"/>
        <v>2041</v>
      </c>
      <c r="E28" s="156">
        <f>'EC - Travel Time - Intersection'!W58</f>
        <v>158715</v>
      </c>
      <c r="F28" s="156">
        <f t="shared" si="0"/>
        <v>116322.22349999999</v>
      </c>
      <c r="G28" s="116">
        <f t="shared" si="2"/>
        <v>294295</v>
      </c>
      <c r="H28" s="116">
        <f>ROUND(G28*NPV!C26,0)</f>
        <v>58019</v>
      </c>
    </row>
    <row r="29" spans="4:8" x14ac:dyDescent="0.2">
      <c r="D29" s="24">
        <f t="shared" si="1"/>
        <v>2042</v>
      </c>
      <c r="E29" s="156">
        <f>'EC - Travel Time - Intersection'!W59</f>
        <v>182076</v>
      </c>
      <c r="F29" s="156">
        <f t="shared" si="0"/>
        <v>133443.50039999999</v>
      </c>
      <c r="G29" s="116">
        <f t="shared" si="2"/>
        <v>337612</v>
      </c>
      <c r="H29" s="116">
        <f>ROUND(G29*NPV!C27,0)</f>
        <v>62205</v>
      </c>
    </row>
    <row r="30" spans="4:8" x14ac:dyDescent="0.2">
      <c r="D30" s="24">
        <f t="shared" si="1"/>
        <v>2043</v>
      </c>
      <c r="E30" s="156">
        <f>'EC - Travel Time - Intersection'!W60</f>
        <v>208868</v>
      </c>
      <c r="F30" s="156">
        <f t="shared" si="0"/>
        <v>153079.3572</v>
      </c>
      <c r="G30" s="116">
        <f t="shared" si="2"/>
        <v>387291</v>
      </c>
      <c r="H30" s="116">
        <f>ROUND(G30*NPV!C28,0)</f>
        <v>66690</v>
      </c>
    </row>
    <row r="31" spans="4:8" x14ac:dyDescent="0.2">
      <c r="D31" s="24">
        <f t="shared" si="1"/>
        <v>2044</v>
      </c>
      <c r="E31" s="156">
        <f>'EC - Travel Time - Intersection'!W61</f>
        <v>239596</v>
      </c>
      <c r="F31" s="156">
        <f t="shared" si="0"/>
        <v>175599.90839999999</v>
      </c>
      <c r="G31" s="116">
        <f t="shared" si="2"/>
        <v>444268</v>
      </c>
      <c r="H31" s="116">
        <f>ROUND(G31*NPV!C29,0)</f>
        <v>71496</v>
      </c>
    </row>
    <row r="32" spans="4:8" x14ac:dyDescent="0.2">
      <c r="D32" s="24">
        <f t="shared" si="1"/>
        <v>2045</v>
      </c>
      <c r="E32" s="156">
        <f>'EC - Travel Time - Intersection'!W62</f>
        <v>0</v>
      </c>
      <c r="F32" s="156">
        <f t="shared" si="0"/>
        <v>0</v>
      </c>
      <c r="G32" s="116">
        <f t="shared" si="2"/>
        <v>0</v>
      </c>
      <c r="H32" s="116">
        <f>ROUND(G32*NPV!C30,0)</f>
        <v>0</v>
      </c>
    </row>
    <row r="33" spans="4:8" x14ac:dyDescent="0.2">
      <c r="D33" s="24">
        <f t="shared" si="1"/>
        <v>2046</v>
      </c>
      <c r="E33" s="156">
        <f>'EC - Travel Time - Intersection'!W63</f>
        <v>0</v>
      </c>
      <c r="F33" s="156">
        <f t="shared" si="0"/>
        <v>0</v>
      </c>
      <c r="G33" s="116">
        <f t="shared" si="2"/>
        <v>0</v>
      </c>
      <c r="H33" s="116">
        <f>ROUND(G33*NPV!C31,0)</f>
        <v>0</v>
      </c>
    </row>
    <row r="34" spans="4:8" x14ac:dyDescent="0.2">
      <c r="D34" s="24">
        <f t="shared" si="1"/>
        <v>2047</v>
      </c>
      <c r="E34" s="156">
        <f>'EC - Travel Time - Intersection'!W64</f>
        <v>0</v>
      </c>
      <c r="F34" s="156">
        <f t="shared" si="0"/>
        <v>0</v>
      </c>
      <c r="G34" s="116">
        <f t="shared" si="2"/>
        <v>0</v>
      </c>
      <c r="H34" s="116">
        <f>ROUND(G34*NPV!C32,0)</f>
        <v>0</v>
      </c>
    </row>
    <row r="35" spans="4:8" x14ac:dyDescent="0.2">
      <c r="D35" s="24">
        <f t="shared" si="1"/>
        <v>2048</v>
      </c>
      <c r="E35" s="156">
        <f>'EC - Travel Time - Intersection'!W65</f>
        <v>0</v>
      </c>
      <c r="F35" s="156">
        <f t="shared" si="0"/>
        <v>0</v>
      </c>
      <c r="G35" s="116">
        <f t="shared" si="2"/>
        <v>0</v>
      </c>
      <c r="H35" s="116">
        <f>ROUND(G35*NPV!C33,0)</f>
        <v>0</v>
      </c>
    </row>
    <row r="36" spans="4:8" x14ac:dyDescent="0.2">
      <c r="D36" s="24">
        <f t="shared" si="1"/>
        <v>2049</v>
      </c>
      <c r="E36" s="156">
        <f>'EC - Travel Time - Intersection'!W66</f>
        <v>0</v>
      </c>
      <c r="F36" s="156">
        <f t="shared" si="0"/>
        <v>0</v>
      </c>
      <c r="G36" s="116">
        <f t="shared" si="2"/>
        <v>0</v>
      </c>
      <c r="H36" s="116">
        <f>ROUND(G36*NPV!C34,0)</f>
        <v>0</v>
      </c>
    </row>
    <row r="37" spans="4:8" x14ac:dyDescent="0.2">
      <c r="D37" s="24">
        <f t="shared" si="1"/>
        <v>2050</v>
      </c>
      <c r="E37" s="156">
        <f>'EC - Travel Time - Intersection'!W67</f>
        <v>0</v>
      </c>
      <c r="F37" s="156">
        <f t="shared" si="0"/>
        <v>0</v>
      </c>
      <c r="G37" s="116">
        <f t="shared" si="2"/>
        <v>0</v>
      </c>
      <c r="H37" s="116">
        <f>ROUND(G37*NPV!C35,0)</f>
        <v>0</v>
      </c>
    </row>
    <row r="38" spans="4:8" x14ac:dyDescent="0.2">
      <c r="D38" s="24">
        <f t="shared" si="1"/>
        <v>2051</v>
      </c>
      <c r="E38" s="156">
        <f>'EC - Travel Time - Intersection'!W68</f>
        <v>0</v>
      </c>
      <c r="F38" s="156">
        <f t="shared" si="0"/>
        <v>0</v>
      </c>
      <c r="G38" s="116">
        <f t="shared" si="2"/>
        <v>0</v>
      </c>
      <c r="H38" s="116">
        <f>ROUND(G38*NPV!C36,0)</f>
        <v>0</v>
      </c>
    </row>
    <row r="39" spans="4:8" x14ac:dyDescent="0.2">
      <c r="D39" s="24">
        <f t="shared" si="1"/>
        <v>2052</v>
      </c>
      <c r="E39" s="156">
        <f>'EC - Travel Time - Intersection'!W69</f>
        <v>0</v>
      </c>
      <c r="F39" s="156">
        <f t="shared" si="0"/>
        <v>0</v>
      </c>
      <c r="G39" s="116">
        <f t="shared" si="2"/>
        <v>0</v>
      </c>
      <c r="H39" s="116">
        <f>ROUND(G39*NPV!C37,0)</f>
        <v>0</v>
      </c>
    </row>
    <row r="40" spans="4:8" x14ac:dyDescent="0.2">
      <c r="D40" s="24">
        <f t="shared" si="1"/>
        <v>2053</v>
      </c>
      <c r="E40" s="156">
        <f>'EC - Travel Time - Intersection'!W70</f>
        <v>0</v>
      </c>
      <c r="F40" s="156">
        <f t="shared" si="0"/>
        <v>0</v>
      </c>
      <c r="G40" s="116">
        <f t="shared" si="2"/>
        <v>0</v>
      </c>
      <c r="H40" s="116">
        <f>ROUND(G40*NPV!C38,0)</f>
        <v>0</v>
      </c>
    </row>
    <row r="41" spans="4:8" x14ac:dyDescent="0.2">
      <c r="D41" s="24">
        <f t="shared" si="1"/>
        <v>2054</v>
      </c>
      <c r="E41" s="156">
        <f>'EC - Travel Time - Intersection'!W71</f>
        <v>0</v>
      </c>
      <c r="F41" s="156">
        <f t="shared" si="0"/>
        <v>0</v>
      </c>
      <c r="G41" s="116">
        <f t="shared" si="2"/>
        <v>0</v>
      </c>
      <c r="H41" s="116">
        <f>ROUND(G41*NPV!C40,0)</f>
        <v>0</v>
      </c>
    </row>
    <row r="42" spans="4:8" x14ac:dyDescent="0.2">
      <c r="D42" s="745" t="s">
        <v>0</v>
      </c>
      <c r="E42" s="746"/>
      <c r="F42" s="747"/>
      <c r="G42" s="221">
        <f>SUM(G11:G41)</f>
        <v>3266041</v>
      </c>
      <c r="H42" s="221">
        <f>SUM(H11:H41)</f>
        <v>816116</v>
      </c>
    </row>
  </sheetData>
  <mergeCells count="5">
    <mergeCell ref="A4:B4"/>
    <mergeCell ref="A5:B5"/>
    <mergeCell ref="A7:B7"/>
    <mergeCell ref="D42:F42"/>
    <mergeCell ref="A2:B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2:R112"/>
  <sheetViews>
    <sheetView topLeftCell="A79" zoomScale="70" zoomScaleNormal="70" workbookViewId="0">
      <selection activeCell="J113" sqref="J113"/>
    </sheetView>
  </sheetViews>
  <sheetFormatPr defaultRowHeight="12.75" x14ac:dyDescent="0.2"/>
  <cols>
    <col min="1" max="1" width="30.85546875" bestFit="1" customWidth="1"/>
    <col min="2" max="3" width="13.28515625" bestFit="1" customWidth="1"/>
    <col min="4" max="4" width="15.7109375" customWidth="1"/>
    <col min="5" max="6" width="12.28515625" bestFit="1" customWidth="1"/>
    <col min="7" max="7" width="14.28515625" customWidth="1"/>
    <col min="8" max="8" width="14" customWidth="1"/>
    <col min="9" max="9" width="16.7109375" bestFit="1" customWidth="1"/>
    <col min="10" max="10" width="18.42578125" customWidth="1"/>
    <col min="11" max="11" width="16.28515625" customWidth="1"/>
    <col min="12" max="12" width="17.140625" customWidth="1"/>
    <col min="13" max="13" width="18.140625" customWidth="1"/>
    <col min="14" max="14" width="19.28515625" customWidth="1"/>
    <col min="15" max="15" width="19" customWidth="1"/>
    <col min="16" max="16" width="12.7109375" bestFit="1" customWidth="1"/>
  </cols>
  <sheetData>
    <row r="2" spans="1:4" x14ac:dyDescent="0.2">
      <c r="A2" s="787" t="s">
        <v>99</v>
      </c>
      <c r="B2" s="861"/>
    </row>
    <row r="3" spans="1:4" ht="25.5" x14ac:dyDescent="0.2">
      <c r="A3" s="20" t="s">
        <v>100</v>
      </c>
      <c r="B3" s="51" t="s">
        <v>101</v>
      </c>
      <c r="C3" s="14" t="s">
        <v>134</v>
      </c>
    </row>
    <row r="4" spans="1:4" x14ac:dyDescent="0.2">
      <c r="A4" s="16" t="s">
        <v>102</v>
      </c>
      <c r="B4" s="105">
        <v>48.05</v>
      </c>
      <c r="C4" s="2">
        <f>B4/907185</f>
        <v>5.2966043309798992E-5</v>
      </c>
      <c r="D4" s="110" t="s">
        <v>157</v>
      </c>
    </row>
    <row r="5" spans="1:4" x14ac:dyDescent="0.2">
      <c r="A5" s="18" t="s">
        <v>103</v>
      </c>
      <c r="B5" s="102">
        <v>2000</v>
      </c>
      <c r="C5" s="2">
        <f>B5/907185</f>
        <v>2.2046219900020395E-3</v>
      </c>
    </row>
    <row r="6" spans="1:4" x14ac:dyDescent="0.2">
      <c r="A6" s="18" t="s">
        <v>104</v>
      </c>
      <c r="B6" s="102">
        <v>8300</v>
      </c>
      <c r="C6" s="2">
        <f t="shared" ref="C6:C8" si="0">B6/907185</f>
        <v>9.1491812585084622E-3</v>
      </c>
    </row>
    <row r="7" spans="1:4" x14ac:dyDescent="0.2">
      <c r="A7" s="18" t="s">
        <v>105</v>
      </c>
      <c r="B7" s="102">
        <v>377800</v>
      </c>
      <c r="C7" s="2">
        <f t="shared" si="0"/>
        <v>0.41645309391138524</v>
      </c>
    </row>
    <row r="8" spans="1:4" x14ac:dyDescent="0.2">
      <c r="A8" s="17" t="s">
        <v>106</v>
      </c>
      <c r="B8" s="103">
        <v>48900</v>
      </c>
      <c r="C8" s="2">
        <f t="shared" si="0"/>
        <v>5.390300765554986E-2</v>
      </c>
    </row>
    <row r="9" spans="1:4" x14ac:dyDescent="0.2">
      <c r="A9" s="781" t="s">
        <v>107</v>
      </c>
      <c r="B9" s="782"/>
    </row>
    <row r="11" spans="1:4" x14ac:dyDescent="0.2">
      <c r="A11" s="3"/>
      <c r="B11" s="22" t="s">
        <v>38</v>
      </c>
      <c r="C11" s="22" t="s">
        <v>52</v>
      </c>
      <c r="D11" s="488" t="s">
        <v>374</v>
      </c>
    </row>
    <row r="12" spans="1:4" x14ac:dyDescent="0.2">
      <c r="A12" s="15" t="s">
        <v>109</v>
      </c>
      <c r="B12" s="865"/>
      <c r="C12" s="866"/>
      <c r="D12" s="867"/>
    </row>
    <row r="13" spans="1:4" x14ac:dyDescent="0.2">
      <c r="A13" s="15" t="s">
        <v>110</v>
      </c>
      <c r="B13" s="868"/>
      <c r="C13" s="869"/>
      <c r="D13" s="870"/>
    </row>
    <row r="14" spans="1:4" x14ac:dyDescent="0.2">
      <c r="A14" s="15" t="s">
        <v>111</v>
      </c>
      <c r="B14" s="23">
        <f>14*0.5</f>
        <v>7</v>
      </c>
      <c r="C14" s="23">
        <f>14*0.5</f>
        <v>7</v>
      </c>
      <c r="D14" s="419">
        <v>0</v>
      </c>
    </row>
    <row r="15" spans="1:4" x14ac:dyDescent="0.2">
      <c r="A15" s="15" t="s">
        <v>112</v>
      </c>
      <c r="B15" s="23">
        <v>35</v>
      </c>
      <c r="C15" s="23">
        <v>35</v>
      </c>
      <c r="D15" s="419">
        <v>75</v>
      </c>
    </row>
    <row r="16" spans="1:4" x14ac:dyDescent="0.2">
      <c r="A16" s="15" t="s">
        <v>113</v>
      </c>
      <c r="B16" s="23">
        <f>0.075283-0.0015892*B15+0.000015066*B15^2</f>
        <v>3.8116850000000008E-2</v>
      </c>
      <c r="C16" s="23">
        <f>0.075283-0.0015892*C15+0.000015066*C15^2</f>
        <v>3.8116850000000008E-2</v>
      </c>
      <c r="D16" s="419">
        <f>0.075283-0.0015892*D15+0.000015066*D15^2</f>
        <v>4.0839249999999994E-2</v>
      </c>
    </row>
    <row r="17" spans="1:4" x14ac:dyDescent="0.2">
      <c r="A17" s="15" t="s">
        <v>114</v>
      </c>
      <c r="B17" s="23">
        <v>0.7329</v>
      </c>
      <c r="C17" s="23">
        <v>0.7329</v>
      </c>
      <c r="D17" s="419">
        <v>0.7329</v>
      </c>
    </row>
    <row r="18" spans="1:4" x14ac:dyDescent="0.2">
      <c r="A18" s="15" t="s">
        <v>115</v>
      </c>
      <c r="B18" s="23">
        <f>0.0000061411*B15^2</f>
        <v>7.5228475000000006E-3</v>
      </c>
      <c r="C18" s="23">
        <f>0.0000061411*C15^2</f>
        <v>7.5228475000000006E-3</v>
      </c>
      <c r="D18" s="419">
        <f>0.0000061411*D15^2</f>
        <v>3.4543687500000003E-2</v>
      </c>
    </row>
    <row r="19" spans="1:4" x14ac:dyDescent="0.2">
      <c r="A19" s="15" t="s">
        <v>108</v>
      </c>
      <c r="B19" s="23">
        <f>B12*B16+B13*B17+B14*B18</f>
        <v>5.2659932500000006E-2</v>
      </c>
      <c r="C19" s="23">
        <f>C12*C16+C13*C17+C14*C18</f>
        <v>5.2659932500000006E-2</v>
      </c>
      <c r="D19" s="487">
        <f>D12*D16+D13*D17+D14*D18</f>
        <v>0</v>
      </c>
    </row>
    <row r="20" spans="1:4" x14ac:dyDescent="0.2">
      <c r="A20" s="745" t="s">
        <v>116</v>
      </c>
      <c r="B20" s="747"/>
      <c r="C20" s="101">
        <f>B19-C19-D19</f>
        <v>0</v>
      </c>
      <c r="D20" s="430"/>
    </row>
    <row r="21" spans="1:4" x14ac:dyDescent="0.2">
      <c r="A21" s="788" t="s">
        <v>117</v>
      </c>
      <c r="B21" s="788"/>
      <c r="C21" s="788"/>
    </row>
    <row r="22" spans="1:4" x14ac:dyDescent="0.2">
      <c r="A22" s="6"/>
    </row>
    <row r="23" spans="1:4" ht="63.75" x14ac:dyDescent="0.2">
      <c r="A23" s="3"/>
      <c r="B23" s="87" t="s">
        <v>118</v>
      </c>
      <c r="C23" s="19" t="s">
        <v>121</v>
      </c>
      <c r="D23" s="89" t="s">
        <v>119</v>
      </c>
    </row>
    <row r="24" spans="1:4" x14ac:dyDescent="0.2">
      <c r="A24" s="15" t="s">
        <v>102</v>
      </c>
      <c r="B24" s="101">
        <v>8887</v>
      </c>
      <c r="C24" s="15" t="s">
        <v>122</v>
      </c>
      <c r="D24" s="23">
        <f>$C$20*B24</f>
        <v>0</v>
      </c>
    </row>
    <row r="25" spans="1:4" x14ac:dyDescent="0.2">
      <c r="A25" s="15" t="s">
        <v>103</v>
      </c>
      <c r="B25" s="101">
        <v>16.2</v>
      </c>
      <c r="C25" s="15" t="s">
        <v>123</v>
      </c>
      <c r="D25" s="23">
        <f>$C$20*B25</f>
        <v>0</v>
      </c>
    </row>
    <row r="26" spans="1:4" x14ac:dyDescent="0.2">
      <c r="A26" s="15" t="s">
        <v>104</v>
      </c>
      <c r="B26" s="101">
        <v>13.6</v>
      </c>
      <c r="C26" s="15" t="s">
        <v>123</v>
      </c>
      <c r="D26" s="23">
        <f>$C$20*B26</f>
        <v>0</v>
      </c>
    </row>
    <row r="27" spans="1:4" x14ac:dyDescent="0.2">
      <c r="A27" s="15" t="s">
        <v>105</v>
      </c>
      <c r="B27" s="101">
        <f>B31/1000*B32</f>
        <v>0.27279999999999999</v>
      </c>
      <c r="C27" s="3"/>
      <c r="D27" s="23">
        <f>$C$20*B27</f>
        <v>0</v>
      </c>
    </row>
    <row r="28" spans="1:4" x14ac:dyDescent="0.2">
      <c r="A28" s="15" t="s">
        <v>106</v>
      </c>
      <c r="B28" s="101"/>
      <c r="C28" s="3"/>
      <c r="D28" s="23">
        <f>$C$20*B28</f>
        <v>0</v>
      </c>
    </row>
    <row r="30" spans="1:4" x14ac:dyDescent="0.2">
      <c r="A30" s="710" t="s">
        <v>135</v>
      </c>
      <c r="B30" s="710"/>
      <c r="C30" s="710"/>
    </row>
    <row r="31" spans="1:4" ht="25.5" x14ac:dyDescent="0.2">
      <c r="A31" s="47" t="s">
        <v>124</v>
      </c>
      <c r="B31" s="104">
        <v>11</v>
      </c>
      <c r="C31" s="47" t="s">
        <v>368</v>
      </c>
    </row>
    <row r="32" spans="1:4" x14ac:dyDescent="0.2">
      <c r="A32" s="15" t="s">
        <v>125</v>
      </c>
      <c r="B32" s="101">
        <v>24.8</v>
      </c>
      <c r="C32" s="15" t="s">
        <v>369</v>
      </c>
    </row>
    <row r="34" spans="1:18" x14ac:dyDescent="0.2">
      <c r="F34" s="148"/>
      <c r="G34" s="43"/>
      <c r="H34" s="43"/>
      <c r="I34" s="43"/>
      <c r="J34" s="43"/>
      <c r="K34" s="43"/>
      <c r="L34" s="43"/>
      <c r="M34" s="43"/>
      <c r="N34" s="43"/>
      <c r="O34" s="43"/>
    </row>
    <row r="35" spans="1:18" x14ac:dyDescent="0.2">
      <c r="F35" s="430"/>
      <c r="G35" s="485"/>
      <c r="H35" s="485"/>
      <c r="I35" s="485"/>
      <c r="J35" s="485"/>
      <c r="K35" s="485"/>
      <c r="L35" s="485"/>
      <c r="M35" s="430"/>
      <c r="N35" s="486"/>
      <c r="O35" s="486"/>
    </row>
    <row r="36" spans="1:18" x14ac:dyDescent="0.2">
      <c r="F36" s="430"/>
      <c r="G36" s="485"/>
      <c r="H36" s="485"/>
      <c r="I36" s="485"/>
      <c r="J36" s="485"/>
      <c r="K36" s="485"/>
      <c r="L36" s="485"/>
      <c r="M36" s="430"/>
      <c r="N36" s="486"/>
      <c r="O36" s="486"/>
    </row>
    <row r="37" spans="1:18" x14ac:dyDescent="0.2">
      <c r="A37" s="871" t="s">
        <v>1</v>
      </c>
      <c r="B37" s="719" t="s">
        <v>375</v>
      </c>
      <c r="C37" s="719"/>
      <c r="D37" s="719"/>
      <c r="E37" s="528" t="s">
        <v>193</v>
      </c>
      <c r="F37" s="528"/>
      <c r="G37" s="528"/>
      <c r="H37" s="719" t="s">
        <v>378</v>
      </c>
      <c r="I37" s="719"/>
      <c r="J37" s="719"/>
      <c r="K37" s="862" t="s">
        <v>376</v>
      </c>
      <c r="L37" s="862"/>
      <c r="M37" s="862"/>
      <c r="N37" s="863" t="s">
        <v>377</v>
      </c>
      <c r="O37" s="497"/>
      <c r="P37" s="497"/>
      <c r="Q37" s="212"/>
      <c r="R37" s="212"/>
    </row>
    <row r="38" spans="1:18" x14ac:dyDescent="0.2">
      <c r="A38" s="871"/>
      <c r="B38" s="487" t="s">
        <v>38</v>
      </c>
      <c r="C38" s="487" t="s">
        <v>52</v>
      </c>
      <c r="D38" s="487" t="s">
        <v>374</v>
      </c>
      <c r="E38" s="487" t="s">
        <v>38</v>
      </c>
      <c r="F38" s="487" t="s">
        <v>52</v>
      </c>
      <c r="G38" s="487" t="s">
        <v>374</v>
      </c>
      <c r="H38" s="487" t="s">
        <v>38</v>
      </c>
      <c r="I38" s="487" t="s">
        <v>52</v>
      </c>
      <c r="J38" s="487" t="s">
        <v>374</v>
      </c>
      <c r="K38" s="487" t="s">
        <v>38</v>
      </c>
      <c r="L38" s="487" t="s">
        <v>52</v>
      </c>
      <c r="M38" s="487" t="s">
        <v>374</v>
      </c>
      <c r="N38" s="864"/>
      <c r="O38" s="173"/>
      <c r="P38" s="173"/>
      <c r="Q38" s="430"/>
      <c r="R38" s="430"/>
    </row>
    <row r="39" spans="1:18" x14ac:dyDescent="0.2">
      <c r="A39" s="487">
        <f>'Segment AADTs'!C30</f>
        <v>2017</v>
      </c>
      <c r="B39" s="533">
        <f>'Segment AADTs'!D30</f>
        <v>12885.688405797102</v>
      </c>
      <c r="C39" s="533">
        <f>'Segment AADTs'!E30</f>
        <v>9162.1365517241375</v>
      </c>
      <c r="D39" s="533">
        <f>'Segment AADTs'!F30</f>
        <v>4290.7447595561043</v>
      </c>
      <c r="E39" s="534">
        <f>'EC - Travel Time - Roadway'!C88</f>
        <v>38940021.181445122</v>
      </c>
      <c r="F39" s="534">
        <f>'EC - Travel Time - Roadway'!I137</f>
        <v>24245199.068904147</v>
      </c>
      <c r="G39" s="495">
        <f>'EC - Travel Time - Roadway'!C137</f>
        <v>12700970.593211586</v>
      </c>
      <c r="H39" s="495">
        <f>'EC - Travel Time - Roadway'!Q88</f>
        <v>290862.58405608498</v>
      </c>
      <c r="I39" s="495">
        <f>'EC - Travel Time - Roadway'!AO137</f>
        <v>0</v>
      </c>
      <c r="J39" s="495">
        <f>'EC - Travel Time - Roadway'!AO137</f>
        <v>0</v>
      </c>
      <c r="K39" s="496">
        <f>E39*$B$16+H39*$B$17+$B$14*$B$18</f>
        <v>1697444.1868846039</v>
      </c>
      <c r="L39" s="496">
        <f>F39*$C$16+I39*$C$17+$C$14*$C$18</f>
        <v>924150.66878949176</v>
      </c>
      <c r="M39" s="496">
        <f>G39*$D$16+J39*$D$17+$D$14*$D$18</f>
        <v>518698.11329881614</v>
      </c>
      <c r="N39" s="503">
        <f>K39-L39-M39</f>
        <v>254595.40479629603</v>
      </c>
      <c r="O39" s="486"/>
      <c r="P39" s="1"/>
      <c r="Q39" s="212"/>
      <c r="R39" s="212"/>
    </row>
    <row r="40" spans="1:18" x14ac:dyDescent="0.2">
      <c r="A40" s="487">
        <f>A39+1</f>
        <v>2018</v>
      </c>
      <c r="B40" s="533">
        <f>'Segment AADTs'!D31</f>
        <v>13091.859420289857</v>
      </c>
      <c r="C40" s="533">
        <f>'Segment AADTs'!E31</f>
        <v>9308.7307365517245</v>
      </c>
      <c r="D40" s="533">
        <f>'Segment AADTs'!F31</f>
        <v>4359.396675709002</v>
      </c>
      <c r="E40" s="534">
        <f>'EC - Travel Time - Roadway'!C89</f>
        <v>39564071.137168176</v>
      </c>
      <c r="F40" s="534">
        <f>'EC - Travel Time - Roadway'!I138</f>
        <v>24634279.038402312</v>
      </c>
      <c r="G40" s="495">
        <f>'EC - Travel Time - Roadway'!C138</f>
        <v>12904554.127503531</v>
      </c>
      <c r="H40" s="495">
        <f>'EC - Travel Time - Roadway'!Q89</f>
        <v>299560.13636520074</v>
      </c>
      <c r="I40" s="495">
        <f>'EC - Travel Time - Roadway'!AO138</f>
        <v>0</v>
      </c>
      <c r="J40" s="495">
        <f>'EC - Travel Time - Roadway'!AO138</f>
        <v>0</v>
      </c>
      <c r="K40" s="496">
        <f>E40*$B$16+H40*$B$17+$B$14*$B$18</f>
        <v>1727605.4415267571</v>
      </c>
      <c r="L40" s="496">
        <f t="shared" ref="L40:L77" si="1">F40*$C$16+I40*$C$17+$C$14*$C$18</f>
        <v>938981.17162485782</v>
      </c>
      <c r="M40" s="496">
        <f t="shared" ref="M40:M77" si="2">G40*$D$16+J40*$D$17+$D$14*$D$18</f>
        <v>527012.31215164845</v>
      </c>
      <c r="N40" s="503">
        <f t="shared" ref="N40:N77" si="3">K40-L40-M40</f>
        <v>261611.95775025082</v>
      </c>
      <c r="O40" s="486"/>
      <c r="P40" s="1"/>
    </row>
    <row r="41" spans="1:18" x14ac:dyDescent="0.2">
      <c r="A41" s="487">
        <f t="shared" ref="A41:A77" si="4">A40+1</f>
        <v>2019</v>
      </c>
      <c r="B41" s="533">
        <f>'Segment AADTs'!D32</f>
        <v>13301.329171014495</v>
      </c>
      <c r="C41" s="533">
        <f>'Segment AADTs'!E32</f>
        <v>9457.6704283365525</v>
      </c>
      <c r="D41" s="533">
        <f>'Segment AADTs'!F32</f>
        <v>4429.1470225203457</v>
      </c>
      <c r="E41" s="534">
        <f>'EC - Travel Time - Roadway'!C90</f>
        <v>40198125.612136699</v>
      </c>
      <c r="F41" s="534">
        <f>'EC - Travel Time - Roadway'!I139</f>
        <v>25029603.689752836</v>
      </c>
      <c r="G41" s="495">
        <f>'EC - Travel Time - Roadway'!C139</f>
        <v>13111406.728172844</v>
      </c>
      <c r="H41" s="495">
        <f>'EC - Travel Time - Roadway'!Q90</f>
        <v>308659.55039525608</v>
      </c>
      <c r="I41" s="495">
        <f>'EC - Travel Time - Roadway'!AO139</f>
        <v>0</v>
      </c>
      <c r="J41" s="495">
        <f>'EC - Travel Time - Roadway'!AO139</f>
        <v>0</v>
      </c>
      <c r="K41" s="496">
        <f t="shared" ref="K41:K77" si="5">E41*$B$16+H41*$B$17+$B$14*$B$18</f>
        <v>1758442.5613835887</v>
      </c>
      <c r="L41" s="496">
        <f t="shared" si="1"/>
        <v>954049.70206168806</v>
      </c>
      <c r="M41" s="496">
        <f t="shared" si="2"/>
        <v>535460.01722353278</v>
      </c>
      <c r="N41" s="503">
        <f t="shared" si="3"/>
        <v>268932.84209836787</v>
      </c>
      <c r="O41" s="486"/>
      <c r="P41" s="1"/>
    </row>
    <row r="42" spans="1:18" x14ac:dyDescent="0.2">
      <c r="A42" s="487">
        <f t="shared" si="4"/>
        <v>2020</v>
      </c>
      <c r="B42" s="533">
        <f>'Segment AADTs'!D33</f>
        <v>13514.150437750726</v>
      </c>
      <c r="C42" s="533">
        <f>'Segment AADTs'!E33</f>
        <v>9608.9931551899372</v>
      </c>
      <c r="D42" s="533">
        <f>'Segment AADTs'!F33</f>
        <v>4500.0133748806711</v>
      </c>
      <c r="E42" s="534">
        <f>'EC - Travel Time - Roadway'!C91</f>
        <v>40842345.042564794</v>
      </c>
      <c r="F42" s="534">
        <f>'EC - Travel Time - Roadway'!I140</f>
        <v>25431273.262733702</v>
      </c>
      <c r="G42" s="495">
        <f>'EC - Travel Time - Roadway'!C140</f>
        <v>13321580.972784771</v>
      </c>
      <c r="H42" s="495">
        <f>'EC - Travel Time - Roadway'!Q91</f>
        <v>318189.36120862688</v>
      </c>
      <c r="I42" s="495">
        <f>'EC - Travel Time - Roadway'!AO140</f>
        <v>0</v>
      </c>
      <c r="J42" s="495">
        <f>'EC - Travel Time - Roadway'!AO140</f>
        <v>0</v>
      </c>
      <c r="K42" s="496">
        <f t="shared" si="5"/>
        <v>1789982.5751254214</v>
      </c>
      <c r="L42" s="496">
        <f t="shared" si="1"/>
        <v>969360.08092456381</v>
      </c>
      <c r="M42" s="496">
        <f t="shared" si="2"/>
        <v>544043.37574280042</v>
      </c>
      <c r="N42" s="503">
        <f t="shared" si="3"/>
        <v>276579.11845805717</v>
      </c>
      <c r="O42" s="486"/>
      <c r="P42" s="1"/>
    </row>
    <row r="43" spans="1:18" x14ac:dyDescent="0.2">
      <c r="A43" s="487">
        <f t="shared" si="4"/>
        <v>2021</v>
      </c>
      <c r="B43" s="533">
        <f>'Segment AADTs'!D34</f>
        <v>13730.376844754737</v>
      </c>
      <c r="C43" s="533">
        <f>'Segment AADTs'!E34</f>
        <v>9762.7370456729768</v>
      </c>
      <c r="D43" s="533">
        <f>'Segment AADTs'!F34</f>
        <v>4572.0135888787618</v>
      </c>
      <c r="E43" s="534">
        <f>'EC - Travel Time - Roadway'!C92</f>
        <v>41496892.43813248</v>
      </c>
      <c r="F43" s="534">
        <f>'EC - Travel Time - Roadway'!I141</f>
        <v>25839389.606390767</v>
      </c>
      <c r="G43" s="495">
        <f>'EC - Travel Time - Roadway'!C141</f>
        <v>13535130.285772767</v>
      </c>
      <c r="H43" s="495">
        <f>'EC - Travel Time - Roadway'!Q92</f>
        <v>328180.96982560342</v>
      </c>
      <c r="I43" s="495">
        <f>'EC - Travel Time - Roadway'!AO141</f>
        <v>0</v>
      </c>
      <c r="J43" s="495">
        <f>'EC - Travel Time - Roadway'!AO141</f>
        <v>0</v>
      </c>
      <c r="K43" s="496">
        <f t="shared" si="5"/>
        <v>1822254.7099755476</v>
      </c>
      <c r="L43" s="496">
        <f t="shared" si="1"/>
        <v>984916.19037828862</v>
      </c>
      <c r="M43" s="496">
        <f t="shared" si="2"/>
        <v>552764.56952324533</v>
      </c>
      <c r="N43" s="503">
        <f t="shared" si="3"/>
        <v>284573.95007401367</v>
      </c>
      <c r="O43" s="486"/>
      <c r="P43" s="1"/>
    </row>
    <row r="44" spans="1:18" x14ac:dyDescent="0.2">
      <c r="A44" s="487">
        <f t="shared" si="4"/>
        <v>2022</v>
      </c>
      <c r="B44" s="533">
        <f>'Segment AADTs'!D35</f>
        <v>13950.062874270814</v>
      </c>
      <c r="C44" s="533">
        <f>'Segment AADTs'!E35</f>
        <v>9918.9408384037451</v>
      </c>
      <c r="D44" s="533">
        <f>'Segment AADTs'!F35</f>
        <v>4645.1658063008217</v>
      </c>
      <c r="E44" s="534">
        <f>'EC - Travel Time - Roadway'!C93</f>
        <v>42161933.423274294</v>
      </c>
      <c r="F44" s="534">
        <f>'EC - Travel Time - Roadway'!I142</f>
        <v>26254056.204876773</v>
      </c>
      <c r="G44" s="495">
        <f>'EC - Travel Time - Roadway'!C142</f>
        <v>13752108.952097908</v>
      </c>
      <c r="H44" s="495">
        <f>'EC - Travel Time - Roadway'!Q93</f>
        <v>338669.02181788167</v>
      </c>
      <c r="I44" s="495">
        <f>'EC - Travel Time - Roadway'!AO142</f>
        <v>0</v>
      </c>
      <c r="J44" s="495">
        <f>'EC - Travel Time - Roadway'!AO142</f>
        <v>0</v>
      </c>
      <c r="K44" s="496">
        <f t="shared" si="5"/>
        <v>1855290.6707551912</v>
      </c>
      <c r="L44" s="496">
        <f t="shared" si="1"/>
        <v>1000721.97491279</v>
      </c>
      <c r="M44" s="496">
        <f t="shared" si="2"/>
        <v>561625.81552196434</v>
      </c>
      <c r="N44" s="503">
        <f t="shared" si="3"/>
        <v>292942.8803204369</v>
      </c>
      <c r="O44" s="486"/>
      <c r="P44" s="1"/>
    </row>
    <row r="45" spans="1:18" x14ac:dyDescent="0.2">
      <c r="A45" s="487">
        <f t="shared" si="4"/>
        <v>2023</v>
      </c>
      <c r="B45" s="533">
        <f>'Segment AADTs'!D36</f>
        <v>14173.263880259146</v>
      </c>
      <c r="C45" s="533">
        <f>'Segment AADTs'!E36</f>
        <v>10077.643891818205</v>
      </c>
      <c r="D45" s="533">
        <f>'Segment AADTs'!F36</f>
        <v>4719.4884592016351</v>
      </c>
      <c r="E45" s="534">
        <f>'EC - Travel Time - Roadway'!C94</f>
        <v>42837636.279130161</v>
      </c>
      <c r="F45" s="534">
        <f>'EC - Travel Time - Roadway'!I143</f>
        <v>26675378.203705229</v>
      </c>
      <c r="G45" s="495">
        <f>'EC - Travel Time - Roadway'!C143</f>
        <v>13972572.131128881</v>
      </c>
      <c r="H45" s="495">
        <f>'EC - Travel Time - Roadway'!Q94</f>
        <v>349691.84860700287</v>
      </c>
      <c r="I45" s="495">
        <f>'EC - Travel Time - Roadway'!AO143</f>
        <v>0</v>
      </c>
      <c r="J45" s="495">
        <f>'EC - Travel Time - Roadway'!AO143</f>
        <v>0</v>
      </c>
      <c r="K45" s="496">
        <f t="shared" si="5"/>
        <v>1889124.9649101677</v>
      </c>
      <c r="L45" s="496">
        <f t="shared" si="1"/>
        <v>1016781.4423438344</v>
      </c>
      <c r="M45" s="496">
        <f t="shared" si="2"/>
        <v>570629.36640620511</v>
      </c>
      <c r="N45" s="503">
        <f t="shared" si="3"/>
        <v>301714.15616012819</v>
      </c>
      <c r="O45" s="486"/>
      <c r="P45" s="1"/>
    </row>
    <row r="46" spans="1:18" x14ac:dyDescent="0.2">
      <c r="A46" s="487">
        <f t="shared" si="4"/>
        <v>2024</v>
      </c>
      <c r="B46" s="533">
        <f>'Segment AADTs'!D37</f>
        <v>14400.036102343292</v>
      </c>
      <c r="C46" s="533">
        <f>'Segment AADTs'!E37</f>
        <v>10238.886194087296</v>
      </c>
      <c r="D46" s="533">
        <f>'Segment AADTs'!F37</f>
        <v>4795.0002745488609</v>
      </c>
      <c r="E46" s="534">
        <f>'EC - Travel Time - Roadway'!C95</f>
        <v>43524171.986169785</v>
      </c>
      <c r="F46" s="534">
        <f>'EC - Travel Time - Roadway'!I144</f>
        <v>27103462.43642595</v>
      </c>
      <c r="G46" s="495">
        <f>'EC - Travel Time - Roadway'!C144</f>
        <v>14196575.870746162</v>
      </c>
      <c r="H46" s="495">
        <f>'EC - Travel Time - Roadway'!Q95</f>
        <v>361291.98407534958</v>
      </c>
      <c r="I46" s="495">
        <f>'EC - Travel Time - Roadway'!AO144</f>
        <v>0</v>
      </c>
      <c r="J46" s="495">
        <f>'EC - Travel Time - Roadway'!AO144</f>
        <v>0</v>
      </c>
      <c r="K46" s="496">
        <f t="shared" si="5"/>
        <v>1923795.2827597922</v>
      </c>
      <c r="L46" s="496">
        <f t="shared" si="1"/>
        <v>1033098.6648298153</v>
      </c>
      <c r="M46" s="496">
        <f t="shared" si="2"/>
        <v>579777.51112937008</v>
      </c>
      <c r="N46" s="503">
        <f t="shared" si="3"/>
        <v>310919.10680060682</v>
      </c>
      <c r="O46" s="486"/>
      <c r="P46" s="1"/>
    </row>
    <row r="47" spans="1:18" x14ac:dyDescent="0.2">
      <c r="A47" s="487">
        <f t="shared" si="4"/>
        <v>2025</v>
      </c>
      <c r="B47" s="533">
        <f>'Segment AADTs'!D38</f>
        <v>14630.436679980785</v>
      </c>
      <c r="C47" s="533">
        <f>'Segment AADTs'!E38</f>
        <v>10402.708373192692</v>
      </c>
      <c r="D47" s="533">
        <f>'Segment AADTs'!F38</f>
        <v>4871.7202789416424</v>
      </c>
      <c r="E47" s="534">
        <f>'EC - Travel Time - Roadway'!C96</f>
        <v>44221714.267500669</v>
      </c>
      <c r="F47" s="534">
        <f>'EC - Travel Time - Roadway'!I145</f>
        <v>27538417.451728929</v>
      </c>
      <c r="G47" s="495">
        <f>'EC - Travel Time - Roadway'!C145</f>
        <v>14424177.121674001</v>
      </c>
      <c r="H47" s="495">
        <f>'EC - Travel Time - Roadway'!Q96</f>
        <v>373516.77210436255</v>
      </c>
      <c r="I47" s="495">
        <f>'EC - Travel Time - Roadway'!AO145</f>
        <v>0</v>
      </c>
      <c r="J47" s="495">
        <f>'EC - Travel Time - Roadway'!AO145</f>
        <v>0</v>
      </c>
      <c r="K47" s="496">
        <f t="shared" si="5"/>
        <v>1959342.944412403</v>
      </c>
      <c r="L47" s="496">
        <f t="shared" si="1"/>
        <v>1049677.7799048666</v>
      </c>
      <c r="M47" s="496">
        <f t="shared" si="2"/>
        <v>589072.57551632484</v>
      </c>
      <c r="N47" s="503">
        <f t="shared" si="3"/>
        <v>320592.58899121161</v>
      </c>
      <c r="O47" s="486"/>
      <c r="P47" s="1"/>
    </row>
    <row r="48" spans="1:18" x14ac:dyDescent="0.2">
      <c r="A48" s="487">
        <f t="shared" si="4"/>
        <v>2026</v>
      </c>
      <c r="B48" s="533">
        <f>'Segment AADTs'!D39</f>
        <v>14864.523666860478</v>
      </c>
      <c r="C48" s="533">
        <f>'Segment AADTs'!E39</f>
        <v>10569.151707163775</v>
      </c>
      <c r="D48" s="533">
        <f>'Segment AADTs'!F39</f>
        <v>4949.667803404709</v>
      </c>
      <c r="E48" s="534">
        <f>'EC - Travel Time - Roadway'!C97</f>
        <v>44930439.632871427</v>
      </c>
      <c r="F48" s="534">
        <f>'EC - Travel Time - Roadway'!I146</f>
        <v>27980353.540983479</v>
      </c>
      <c r="G48" s="495">
        <f>'EC - Travel Time - Roadway'!C146</f>
        <v>14655433.75204389</v>
      </c>
      <c r="H48" s="495">
        <f>'EC - Travel Time - Roadway'!Q97</f>
        <v>386419.08449804707</v>
      </c>
      <c r="I48" s="495">
        <f>'EC - Travel Time - Roadway'!AO146</f>
        <v>0</v>
      </c>
      <c r="J48" s="495">
        <f>'EC - Travel Time - Roadway'!AO146</f>
        <v>0</v>
      </c>
      <c r="K48" s="496">
        <f t="shared" si="5"/>
        <v>1995813.4276087668</v>
      </c>
      <c r="L48" s="496">
        <f t="shared" si="1"/>
        <v>1066522.9915285688</v>
      </c>
      <c r="M48" s="496">
        <f t="shared" si="2"/>
        <v>598516.92285815836</v>
      </c>
      <c r="N48" s="503">
        <f t="shared" si="3"/>
        <v>330773.51322203968</v>
      </c>
      <c r="O48" s="486"/>
      <c r="P48" s="1"/>
    </row>
    <row r="49" spans="1:16" x14ac:dyDescent="0.2">
      <c r="A49" s="487">
        <f t="shared" si="4"/>
        <v>2027</v>
      </c>
      <c r="B49" s="533">
        <f>'Segment AADTs'!D40</f>
        <v>15102.356045530245</v>
      </c>
      <c r="C49" s="533">
        <f>'Segment AADTs'!E40</f>
        <v>10738.258134478396</v>
      </c>
      <c r="D49" s="533">
        <f>'Segment AADTs'!F40</f>
        <v>5028.8624882591848</v>
      </c>
      <c r="E49" s="534">
        <f>'EC - Travel Time - Roadway'!C98</f>
        <v>45650527.423381023</v>
      </c>
      <c r="F49" s="534">
        <f>'EC - Travel Time - Roadway'!I147</f>
        <v>28429382.766219616</v>
      </c>
      <c r="G49" s="495">
        <f>'EC - Travel Time - Roadway'!C147</f>
        <v>14890404.562193252</v>
      </c>
      <c r="H49" s="495">
        <f>'EC - Travel Time - Roadway'!Q98</f>
        <v>400058.17369729158</v>
      </c>
      <c r="I49" s="495">
        <f>'EC - Travel Time - Roadway'!AO147</f>
        <v>0</v>
      </c>
      <c r="J49" s="495">
        <f>'EC - Travel Time - Roadway'!AO147</f>
        <v>0</v>
      </c>
      <c r="K49" s="496">
        <f t="shared" si="5"/>
        <v>2033256.9943805789</v>
      </c>
      <c r="L49" s="496">
        <f t="shared" si="1"/>
        <v>1083638.5711525108</v>
      </c>
      <c r="M49" s="496">
        <f t="shared" si="2"/>
        <v>608112.95451655064</v>
      </c>
      <c r="N49" s="503">
        <f t="shared" si="3"/>
        <v>341505.4687115174</v>
      </c>
      <c r="O49" s="486"/>
      <c r="P49" s="1"/>
    </row>
    <row r="50" spans="1:16" x14ac:dyDescent="0.2">
      <c r="A50" s="487">
        <f t="shared" si="4"/>
        <v>2028</v>
      </c>
      <c r="B50" s="533">
        <f>'Segment AADTs'!D41</f>
        <v>15343.99374225873</v>
      </c>
      <c r="C50" s="533">
        <f>'Segment AADTs'!E41</f>
        <v>10910.070264630051</v>
      </c>
      <c r="D50" s="533">
        <f>'Segment AADTs'!F41</f>
        <v>5109.3242880713315</v>
      </c>
      <c r="E50" s="534">
        <f>'EC - Travel Time - Roadway'!C99</f>
        <v>46382159.85690549</v>
      </c>
      <c r="F50" s="534">
        <f>'EC - Travel Time - Roadway'!I148</f>
        <v>28885618.988558784</v>
      </c>
      <c r="G50" s="495">
        <f>'EC - Travel Time - Roadway'!C148</f>
        <v>15129149.299703181</v>
      </c>
      <c r="H50" s="495">
        <f>'EC - Travel Time - Roadway'!Q99</f>
        <v>414500.69110740413</v>
      </c>
      <c r="I50" s="495">
        <f>'EC - Travel Time - Roadway'!AO148</f>
        <v>0</v>
      </c>
      <c r="J50" s="495">
        <f>'EC - Travel Time - Roadway'!AO148</f>
        <v>0</v>
      </c>
      <c r="K50" s="496">
        <f t="shared" si="5"/>
        <v>2071729.4391142372</v>
      </c>
      <c r="L50" s="496">
        <f t="shared" si="1"/>
        <v>1101028.8588039796</v>
      </c>
      <c r="M50" s="496">
        <f t="shared" si="2"/>
        <v>617863.11053790303</v>
      </c>
      <c r="N50" s="503">
        <f t="shared" si="3"/>
        <v>352837.46977235458</v>
      </c>
      <c r="O50" s="486"/>
      <c r="P50" s="1"/>
    </row>
    <row r="51" spans="1:16" x14ac:dyDescent="0.2">
      <c r="A51" s="487">
        <f t="shared" si="4"/>
        <v>2029</v>
      </c>
      <c r="B51" s="533">
        <f>'Segment AADTs'!D42</f>
        <v>15589.497642134869</v>
      </c>
      <c r="C51" s="533">
        <f>'Segment AADTs'!E42</f>
        <v>11084.631388864131</v>
      </c>
      <c r="D51" s="533">
        <f>'Segment AADTs'!F42</f>
        <v>5191.0734766804726</v>
      </c>
      <c r="E51" s="534">
        <f>'EC - Travel Time - Roadway'!C100</f>
        <v>47125522.074253745</v>
      </c>
      <c r="F51" s="534">
        <f>'EC - Travel Time - Roadway'!I149</f>
        <v>29349177.897101134</v>
      </c>
      <c r="G51" s="495">
        <f>'EC - Travel Time - Roadway'!C149</f>
        <v>15371728.674679071</v>
      </c>
      <c r="H51" s="495">
        <f>'EC - Travel Time - Roadway'!Q100</f>
        <v>429821.91025080258</v>
      </c>
      <c r="I51" s="495">
        <f>'EC - Travel Time - Roadway'!AO149</f>
        <v>0</v>
      </c>
      <c r="J51" s="495">
        <f>'EC - Travel Time - Roadway'!AO149</f>
        <v>0</v>
      </c>
      <c r="K51" s="496">
        <f t="shared" si="5"/>
        <v>2111292.9867587648</v>
      </c>
      <c r="L51" s="496">
        <f t="shared" si="1"/>
        <v>1118698.2641870521</v>
      </c>
      <c r="M51" s="496">
        <f t="shared" si="2"/>
        <v>627769.87027738709</v>
      </c>
      <c r="N51" s="503">
        <f t="shared" si="3"/>
        <v>364824.8522943256</v>
      </c>
      <c r="O51" s="486"/>
      <c r="P51" s="1"/>
    </row>
    <row r="52" spans="1:16" x14ac:dyDescent="0.2">
      <c r="A52" s="487">
        <f t="shared" si="4"/>
        <v>2030</v>
      </c>
      <c r="B52" s="533">
        <f>'Segment AADTs'!D43</f>
        <v>15838.929604409028</v>
      </c>
      <c r="C52" s="533">
        <f>'Segment AADTs'!E43</f>
        <v>11261.985491085958</v>
      </c>
      <c r="D52" s="533">
        <f>'Segment AADTs'!F43</f>
        <v>5274.1306523073599</v>
      </c>
      <c r="E52" s="534">
        <f>'EC - Travel Time - Roadway'!C101</f>
        <v>47880802.186063915</v>
      </c>
      <c r="F52" s="534">
        <f>'EC - Travel Time - Roadway'!I150</f>
        <v>29820177.038276702</v>
      </c>
      <c r="G52" s="495">
        <f>'EC - Travel Time - Roadway'!C150</f>
        <v>15618204.375278076</v>
      </c>
      <c r="H52" s="495">
        <f>'EC - Travel Time - Roadway'!Q101</f>
        <v>446107.20501902216</v>
      </c>
      <c r="I52" s="495">
        <f>'EC - Travel Time - Roadway'!AO150</f>
        <v>0</v>
      </c>
      <c r="J52" s="495">
        <f>'EC - Travel Time - Roadway'!AO150</f>
        <v>0</v>
      </c>
      <c r="K52" s="496">
        <f t="shared" si="5"/>
        <v>2152017.3780242447</v>
      </c>
      <c r="L52" s="496">
        <f t="shared" si="1"/>
        <v>1136651.26780137</v>
      </c>
      <c r="M52" s="496">
        <f t="shared" si="2"/>
        <v>637835.75303307502</v>
      </c>
      <c r="N52" s="503">
        <f t="shared" si="3"/>
        <v>377530.35718979966</v>
      </c>
      <c r="O52" s="486"/>
      <c r="P52" s="1"/>
    </row>
    <row r="53" spans="1:16" x14ac:dyDescent="0.2">
      <c r="A53" s="487">
        <f t="shared" si="4"/>
        <v>2031</v>
      </c>
      <c r="B53" s="533">
        <f>'Segment AADTs'!D44</f>
        <v>16092.352478079572</v>
      </c>
      <c r="C53" s="533">
        <f>'Segment AADTs'!E44</f>
        <v>11442.177258943333</v>
      </c>
      <c r="D53" s="533">
        <f>'Segment AADTs'!F44</f>
        <v>5358.5167427442775</v>
      </c>
      <c r="E53" s="534">
        <f>'EC - Travel Time - Roadway'!C102</f>
        <v>48648191.32045231</v>
      </c>
      <c r="F53" s="534">
        <f>'EC - Travel Time - Roadway'!I151</f>
        <v>30298735.845667955</v>
      </c>
      <c r="G53" s="495">
        <f>'EC - Travel Time - Roadway'!C151</f>
        <v>15868639.083487403</v>
      </c>
      <c r="H53" s="495">
        <f>'EC - Travel Time - Roadway'!Q102</f>
        <v>463453.84801703424</v>
      </c>
      <c r="I53" s="495">
        <f>'EC - Travel Time - Roadway'!AO151</f>
        <v>0</v>
      </c>
      <c r="J53" s="495">
        <f>'EC - Travel Time - Roadway'!AO151</f>
        <v>0</v>
      </c>
      <c r="K53" s="496">
        <f t="shared" si="5"/>
        <v>2193981.1892045997</v>
      </c>
      <c r="L53" s="496">
        <f t="shared" si="1"/>
        <v>1154892.4220788814</v>
      </c>
      <c r="M53" s="496">
        <f t="shared" si="2"/>
        <v>648063.31869031279</v>
      </c>
      <c r="N53" s="503">
        <f t="shared" si="3"/>
        <v>391025.4484354055</v>
      </c>
      <c r="O53" s="486"/>
      <c r="P53" s="1"/>
    </row>
    <row r="54" spans="1:16" x14ac:dyDescent="0.2">
      <c r="A54" s="487">
        <f t="shared" si="4"/>
        <v>2032</v>
      </c>
      <c r="B54" s="533">
        <f>'Segment AADTs'!D45</f>
        <v>16349.830117728845</v>
      </c>
      <c r="C54" s="533">
        <f>'Segment AADTs'!E45</f>
        <v>11625.252095086427</v>
      </c>
      <c r="D54" s="533">
        <f>'Segment AADTs'!F45</f>
        <v>5444.2530106281856</v>
      </c>
      <c r="E54" s="534">
        <f>'EC - Travel Time - Roadway'!C103</f>
        <v>49427883.671427041</v>
      </c>
      <c r="F54" s="534">
        <f>'EC - Travel Time - Roadway'!I152</f>
        <v>30784975.670311227</v>
      </c>
      <c r="G54" s="495">
        <f>'EC - Travel Time - Roadway'!C152</f>
        <v>16123096.491157455</v>
      </c>
      <c r="H54" s="495">
        <f>'EC - Travel Time - Roadway'!Q103</f>
        <v>481973.21376685152</v>
      </c>
      <c r="I54" s="495">
        <f>'EC - Travel Time - Roadway'!AO152</f>
        <v>0</v>
      </c>
      <c r="J54" s="495">
        <f>'EC - Travel Time - Roadway'!AO152</f>
        <v>0</v>
      </c>
      <c r="K54" s="496">
        <f t="shared" si="5"/>
        <v>2237273.4487508922</v>
      </c>
      <c r="L54" s="496">
        <f t="shared" si="1"/>
        <v>1173426.3525388353</v>
      </c>
      <c r="M54" s="496">
        <f t="shared" si="2"/>
        <v>658455.168376502</v>
      </c>
      <c r="N54" s="503">
        <f t="shared" si="3"/>
        <v>405391.92783555493</v>
      </c>
      <c r="O54" s="486"/>
      <c r="P54" s="1"/>
    </row>
    <row r="55" spans="1:16" x14ac:dyDescent="0.2">
      <c r="A55" s="487">
        <f t="shared" si="4"/>
        <v>2033</v>
      </c>
      <c r="B55" s="533">
        <f>'Segment AADTs'!D46</f>
        <v>16611.427399612508</v>
      </c>
      <c r="C55" s="533">
        <f>'Segment AADTs'!E46</f>
        <v>11811.256128607811</v>
      </c>
      <c r="D55" s="533">
        <f>'Segment AADTs'!F46</f>
        <v>5531.3610587982366</v>
      </c>
      <c r="E55" s="534">
        <f>'EC - Travel Time - Roadway'!C104</f>
        <v>50220076.54807853</v>
      </c>
      <c r="F55" s="534">
        <f>'EC - Travel Time - Roadway'!I153</f>
        <v>31279019.811484765</v>
      </c>
      <c r="G55" s="495">
        <f>'EC - Travel Time - Roadway'!C153</f>
        <v>16381641.316294013</v>
      </c>
      <c r="H55" s="495">
        <f>'EC - Travel Time - Roadway'!Q104</f>
        <v>501793.49837795342</v>
      </c>
      <c r="I55" s="495">
        <f>'EC - Travel Time - Roadway'!AO153</f>
        <v>0</v>
      </c>
      <c r="J55" s="495">
        <f>'EC - Travel Time - Roadway'!AO153</f>
        <v>0</v>
      </c>
      <c r="K55" s="496">
        <f t="shared" si="5"/>
        <v>2281995.6323927622</v>
      </c>
      <c r="L55" s="496">
        <f t="shared" si="1"/>
        <v>1192257.7589613257</v>
      </c>
      <c r="M55" s="496">
        <f t="shared" si="2"/>
        <v>669013.94512646017</v>
      </c>
      <c r="N55" s="503">
        <f t="shared" si="3"/>
        <v>420723.92830497632</v>
      </c>
      <c r="O55" s="486"/>
      <c r="P55" s="1"/>
    </row>
    <row r="56" spans="1:16" x14ac:dyDescent="0.2">
      <c r="A56" s="487">
        <f t="shared" si="4"/>
        <v>2034</v>
      </c>
      <c r="B56" s="533">
        <f>'Segment AADTs'!D47</f>
        <v>16877.210238006308</v>
      </c>
      <c r="C56" s="533">
        <f>'Segment AADTs'!E47</f>
        <v>12000.236226665536</v>
      </c>
      <c r="D56" s="533">
        <f>'Segment AADTs'!F47</f>
        <v>5619.8628357390089</v>
      </c>
      <c r="E56" s="534">
        <f>'EC - Travel Time - Roadway'!C105</f>
        <v>51024970.42455934</v>
      </c>
      <c r="F56" s="534">
        <f>'EC - Travel Time - Roadway'!I154</f>
        <v>31780993.547991198</v>
      </c>
      <c r="G56" s="495">
        <f>'EC - Travel Time - Roadway'!C154</f>
        <v>16644339.319613595</v>
      </c>
      <c r="H56" s="495">
        <f>'EC - Travel Time - Roadway'!Q105</f>
        <v>523063.1041292494</v>
      </c>
      <c r="I56" s="495">
        <f>'EC - Travel Time - Roadway'!AO154</f>
        <v>0</v>
      </c>
      <c r="J56" s="495">
        <f>'EC - Travel Time - Roadway'!AO154</f>
        <v>0</v>
      </c>
      <c r="K56" s="496">
        <f t="shared" si="5"/>
        <v>2328264.1456036246</v>
      </c>
      <c r="L56" s="496">
        <f t="shared" si="1"/>
        <v>1211391.416579681</v>
      </c>
      <c r="M56" s="496">
        <f t="shared" si="2"/>
        <v>679742.33455852943</v>
      </c>
      <c r="N56" s="503">
        <f t="shared" si="3"/>
        <v>437130.39446541423</v>
      </c>
      <c r="O56" s="486"/>
      <c r="P56" s="1"/>
    </row>
    <row r="57" spans="1:16" x14ac:dyDescent="0.2">
      <c r="A57" s="487">
        <f t="shared" si="4"/>
        <v>2035</v>
      </c>
      <c r="B57" s="533">
        <f>'Segment AADTs'!D48</f>
        <v>17147.245601814408</v>
      </c>
      <c r="C57" s="533">
        <f>'Segment AADTs'!E48</f>
        <v>12192.240006292184</v>
      </c>
      <c r="D57" s="533">
        <f>'Segment AADTs'!F48</f>
        <v>5709.7806411108331</v>
      </c>
      <c r="E57" s="534">
        <f>'EC - Travel Time - Roadway'!C106</f>
        <v>51842768.990866177</v>
      </c>
      <c r="F57" s="534">
        <f>'EC - Travel Time - Roadway'!I155</f>
        <v>32291024.16994236</v>
      </c>
      <c r="G57" s="495">
        <f>'EC - Travel Time - Roadway'!C155</f>
        <v>16911257.321366239</v>
      </c>
      <c r="H57" s="495">
        <f>'EC - Travel Time - Roadway'!Q106</f>
        <v>545954.88856767886</v>
      </c>
      <c r="I57" s="495">
        <f>'EC - Travel Time - Roadway'!AO155</f>
        <v>0</v>
      </c>
      <c r="J57" s="495">
        <f>'EC - Travel Time - Roadway'!AO155</f>
        <v>0</v>
      </c>
      <c r="K57" s="496">
        <f t="shared" si="5"/>
        <v>2376213.4397006822</v>
      </c>
      <c r="L57" s="496">
        <f t="shared" si="1"/>
        <v>1230832.1772920003</v>
      </c>
      <c r="M57" s="496">
        <f t="shared" si="2"/>
        <v>690643.06556160608</v>
      </c>
      <c r="N57" s="503">
        <f t="shared" si="3"/>
        <v>454738.19684707583</v>
      </c>
      <c r="O57" s="486"/>
      <c r="P57" s="1"/>
    </row>
    <row r="58" spans="1:16" x14ac:dyDescent="0.2">
      <c r="A58" s="487">
        <f t="shared" si="4"/>
        <v>2036</v>
      </c>
      <c r="B58" s="533">
        <f>'Segment AADTs'!D49</f>
        <v>17421.601531443437</v>
      </c>
      <c r="C58" s="533">
        <f>'Segment AADTs'!E49</f>
        <v>12387.315846392859</v>
      </c>
      <c r="D58" s="533">
        <f>'Segment AADTs'!F49</f>
        <v>5801.1371313686068</v>
      </c>
      <c r="E58" s="534">
        <f>'EC - Travel Time - Roadway'!C107</f>
        <v>52673679.204436705</v>
      </c>
      <c r="F58" s="534">
        <f>'EC - Travel Time - Roadway'!I156</f>
        <v>32809241.011054628</v>
      </c>
      <c r="G58" s="495">
        <f>'EC - Travel Time - Roadway'!C156</f>
        <v>17182463.218430076</v>
      </c>
      <c r="H58" s="495">
        <f>'EC - Travel Time - Roadway'!Q107</f>
        <v>570671.54969505884</v>
      </c>
      <c r="I58" s="495">
        <f>'EC - Travel Time - Roadway'!AO156</f>
        <v>0</v>
      </c>
      <c r="J58" s="495">
        <f>'EC - Travel Time - Roadway'!AO156</f>
        <v>0</v>
      </c>
      <c r="K58" s="496">
        <f t="shared" si="5"/>
        <v>2425999.9606150747</v>
      </c>
      <c r="L58" s="496">
        <f t="shared" si="1"/>
        <v>1250584.9708921504</v>
      </c>
      <c r="M58" s="496">
        <f t="shared" si="2"/>
        <v>701718.91099327034</v>
      </c>
      <c r="N58" s="503">
        <f t="shared" si="3"/>
        <v>473696.07872965396</v>
      </c>
      <c r="O58" s="486"/>
      <c r="P58" s="1"/>
    </row>
    <row r="59" spans="1:16" x14ac:dyDescent="0.2">
      <c r="A59" s="487">
        <f t="shared" si="4"/>
        <v>2037</v>
      </c>
      <c r="B59" s="533">
        <f>'Segment AADTs'!D50</f>
        <v>17700.347155946532</v>
      </c>
      <c r="C59" s="533">
        <f>'Segment AADTs'!E50</f>
        <v>12585.512899935145</v>
      </c>
      <c r="D59" s="533">
        <f>'Segment AADTs'!F50</f>
        <v>5893.9553254705042</v>
      </c>
      <c r="E59" s="534">
        <f>'EC - Travel Time - Roadway'!C108</f>
        <v>53517911.342574447</v>
      </c>
      <c r="F59" s="534">
        <f>'EC - Travel Time - Roadway'!I157</f>
        <v>33335775.481462721</v>
      </c>
      <c r="G59" s="495">
        <f>'EC - Travel Time - Roadway'!C157</f>
        <v>17458026.001682106</v>
      </c>
      <c r="H59" s="495">
        <f>'EC - Travel Time - Roadway'!Q108</f>
        <v>597452.52145597595</v>
      </c>
      <c r="I59" s="495">
        <f>'EC - Travel Time - Roadway'!AO157</f>
        <v>0</v>
      </c>
      <c r="J59" s="495">
        <f>'EC - Travel Time - Roadway'!AO157</f>
        <v>0</v>
      </c>
      <c r="K59" s="496">
        <f t="shared" si="5"/>
        <v>2477807.2045932263</v>
      </c>
      <c r="L59" s="496">
        <f t="shared" si="1"/>
        <v>1270654.806320525</v>
      </c>
      <c r="M59" s="496">
        <f t="shared" si="2"/>
        <v>712972.68838919583</v>
      </c>
      <c r="N59" s="503">
        <f t="shared" si="3"/>
        <v>494179.70988350548</v>
      </c>
      <c r="O59" s="486"/>
      <c r="P59" s="1"/>
    </row>
    <row r="60" spans="1:16" x14ac:dyDescent="0.2">
      <c r="A60" s="487">
        <f t="shared" si="4"/>
        <v>2038</v>
      </c>
      <c r="B60" s="533">
        <f>'Segment AADTs'!D51</f>
        <v>17983.552710441676</v>
      </c>
      <c r="C60" s="533">
        <f>'Segment AADTs'!E51</f>
        <v>12786.881106334107</v>
      </c>
      <c r="D60" s="533">
        <f>'Segment AADTs'!F51</f>
        <v>5988.2586106780327</v>
      </c>
      <c r="E60" s="534">
        <f>'EC - Travel Time - Roadway'!C109</f>
        <v>54375679.055714913</v>
      </c>
      <c r="F60" s="534">
        <f>'EC - Travel Time - Roadway'!I158</f>
        <v>33870761.101060659</v>
      </c>
      <c r="G60" s="495">
        <f>'EC - Travel Time - Roadway'!C158</f>
        <v>17738015.773649562</v>
      </c>
      <c r="H60" s="495">
        <f>'EC - Travel Time - Roadway'!Q109</f>
        <v>626582.90233616275</v>
      </c>
      <c r="I60" s="495">
        <f>'EC - Travel Time - Roadway'!AO158</f>
        <v>0</v>
      </c>
      <c r="J60" s="495">
        <f>'EC - Travel Time - Roadway'!AO158</f>
        <v>0</v>
      </c>
      <c r="K60" s="496">
        <f t="shared" si="5"/>
        <v>2531852.2639969336</v>
      </c>
      <c r="L60" s="496">
        <f t="shared" si="1"/>
        <v>1291046.7729348966</v>
      </c>
      <c r="M60" s="496">
        <f t="shared" si="2"/>
        <v>724407.26068401779</v>
      </c>
      <c r="N60" s="503">
        <f t="shared" si="3"/>
        <v>516398.23037801916</v>
      </c>
      <c r="O60" s="486"/>
      <c r="P60" s="1"/>
    </row>
    <row r="61" spans="1:16" x14ac:dyDescent="0.2">
      <c r="A61" s="487">
        <f t="shared" si="4"/>
        <v>2039</v>
      </c>
      <c r="B61" s="533">
        <f>'Segment AADTs'!D52</f>
        <v>18271.289553808743</v>
      </c>
      <c r="C61" s="533">
        <f>'Segment AADTs'!E52</f>
        <v>12991.471204035453</v>
      </c>
      <c r="D61" s="533">
        <f>'Segment AADTs'!F52</f>
        <v>6084.0707484488812</v>
      </c>
      <c r="E61" s="534">
        <f>'EC - Travel Time - Roadway'!C110</f>
        <v>55247199.421546519</v>
      </c>
      <c r="F61" s="534">
        <f>'EC - Travel Time - Roadway'!I159</f>
        <v>34414333.533377938</v>
      </c>
      <c r="G61" s="495">
        <f>'EC - Travel Time - Roadway'!C159</f>
        <v>18022503.766446471</v>
      </c>
      <c r="H61" s="495">
        <f>'EC - Travel Time - Roadway'!Q110</f>
        <v>658405.15853642847</v>
      </c>
      <c r="I61" s="495">
        <f>'EC - Travel Time - Roadway'!AO159</f>
        <v>0</v>
      </c>
      <c r="J61" s="495">
        <f>'EC - Travel Time - Roadway'!AO159</f>
        <v>0</v>
      </c>
      <c r="K61" s="496">
        <f t="shared" si="5"/>
        <v>2588394.4066224569</v>
      </c>
      <c r="L61" s="496">
        <f t="shared" si="1"/>
        <v>1311766.0418016696</v>
      </c>
      <c r="M61" s="496">
        <f t="shared" si="2"/>
        <v>736025.53694384894</v>
      </c>
      <c r="N61" s="503">
        <f t="shared" si="3"/>
        <v>540602.82787693827</v>
      </c>
      <c r="O61" s="486"/>
      <c r="P61" s="1"/>
    </row>
    <row r="62" spans="1:16" x14ac:dyDescent="0.2">
      <c r="A62" s="487">
        <f t="shared" si="4"/>
        <v>2040</v>
      </c>
      <c r="B62" s="533">
        <f>'Segment AADTs'!D53</f>
        <v>18563.630186669685</v>
      </c>
      <c r="C62" s="533">
        <f>'Segment AADTs'!E53</f>
        <v>13199.334743300022</v>
      </c>
      <c r="D62" s="533">
        <f>'Segment AADTs'!F53</f>
        <v>6181.4158804240633</v>
      </c>
      <c r="E62" s="534">
        <f>'EC - Travel Time - Roadway'!C111</f>
        <v>56132693.000000007</v>
      </c>
      <c r="F62" s="534">
        <f>'EC - Travel Time - Roadway'!I160</f>
        <v>34966630.619999997</v>
      </c>
      <c r="G62" s="495">
        <f>'EC - Travel Time - Roadway'!C160</f>
        <v>18311562.360000003</v>
      </c>
      <c r="H62" s="495">
        <f>'EC - Travel Time - Roadway'!Q111</f>
        <v>693334.67069719033</v>
      </c>
      <c r="I62" s="495">
        <f>'EC - Travel Time - Roadway'!AO160</f>
        <v>0</v>
      </c>
      <c r="J62" s="495">
        <f>'EC - Travel Time - Roadway'!AO160</f>
        <v>0</v>
      </c>
      <c r="K62" s="496">
        <f t="shared" si="5"/>
        <v>2647746.4719909541</v>
      </c>
      <c r="L62" s="496">
        <f t="shared" si="1"/>
        <v>1332817.8670078798</v>
      </c>
      <c r="M62" s="496">
        <f t="shared" si="2"/>
        <v>747830.47311063006</v>
      </c>
      <c r="N62" s="503">
        <f t="shared" si="3"/>
        <v>567098.1318724443</v>
      </c>
      <c r="O62" s="486"/>
      <c r="P62" s="1"/>
    </row>
    <row r="63" spans="1:16" x14ac:dyDescent="0.2">
      <c r="A63" s="487">
        <f t="shared" si="4"/>
        <v>2041</v>
      </c>
      <c r="B63" s="533">
        <f>'Segment AADTs'!D54</f>
        <v>18730.702858349709</v>
      </c>
      <c r="C63" s="533">
        <f>'Segment AADTs'!E54</f>
        <v>13318.128755989721</v>
      </c>
      <c r="D63" s="533">
        <f>'Segment AADTs'!F54</f>
        <v>6237.0486233478796</v>
      </c>
      <c r="E63" s="534">
        <f>'EC - Travel Time - Roadway'!C112</f>
        <v>56622562.211102374</v>
      </c>
      <c r="F63" s="534">
        <f>'EC - Travel Time - Roadway'!I161</f>
        <v>35286365.307743013</v>
      </c>
      <c r="G63" s="495">
        <f>'EC - Travel Time - Roadway'!C161</f>
        <v>18477268.192407779</v>
      </c>
      <c r="H63" s="495">
        <f>'EC - Travel Time - Roadway'!Q112</f>
        <v>714610.21717494668</v>
      </c>
      <c r="I63" s="495">
        <f>'EC - Travel Time - Roadway'!AO161</f>
        <v>0</v>
      </c>
      <c r="J63" s="495">
        <f>'EC - Travel Time - Roadway'!AO161</f>
        <v>0</v>
      </c>
      <c r="K63" s="496">
        <f t="shared" si="5"/>
        <v>2682011.591243709</v>
      </c>
      <c r="L63" s="496">
        <f t="shared" si="1"/>
        <v>1345005.146140377</v>
      </c>
      <c r="M63" s="496">
        <f t="shared" si="2"/>
        <v>754597.77502678928</v>
      </c>
      <c r="N63" s="503">
        <f t="shared" si="3"/>
        <v>582408.67007654265</v>
      </c>
      <c r="O63" s="486"/>
      <c r="P63" s="1"/>
    </row>
    <row r="64" spans="1:16" x14ac:dyDescent="0.2">
      <c r="A64" s="487">
        <f t="shared" si="4"/>
        <v>2042</v>
      </c>
      <c r="B64" s="533">
        <f>'Segment AADTs'!D55</f>
        <v>18899.279184074854</v>
      </c>
      <c r="C64" s="533">
        <f>'Segment AADTs'!E55</f>
        <v>13437.991914793627</v>
      </c>
      <c r="D64" s="533">
        <f>'Segment AADTs'!F55</f>
        <v>6293.18206095801</v>
      </c>
      <c r="E64" s="534">
        <f>'EC - Travel Time - Roadway'!C113</f>
        <v>57116818.286425486</v>
      </c>
      <c r="F64" s="534">
        <f>'EC - Travel Time - Roadway'!I162</f>
        <v>35609023.941848941</v>
      </c>
      <c r="G64" s="495">
        <f>'EC - Travel Time - Roadway'!C162</f>
        <v>18644479.313508876</v>
      </c>
      <c r="H64" s="495">
        <f>'EC - Travel Time - Roadway'!Q113</f>
        <v>737143.55048794451</v>
      </c>
      <c r="I64" s="495">
        <f>'EC - Travel Time - Roadway'!AO162</f>
        <v>0</v>
      </c>
      <c r="J64" s="495">
        <f>'EC - Travel Time - Roadway'!AO162</f>
        <v>0</v>
      </c>
      <c r="K64" s="496">
        <f t="shared" si="5"/>
        <v>2717365.7559134848</v>
      </c>
      <c r="L64" s="496">
        <f t="shared" si="1"/>
        <v>1357303.8768977977</v>
      </c>
      <c r="M64" s="496">
        <f t="shared" si="2"/>
        <v>761426.55180421728</v>
      </c>
      <c r="N64" s="503">
        <f t="shared" si="3"/>
        <v>598635.32721146988</v>
      </c>
      <c r="O64" s="486"/>
      <c r="P64" s="1"/>
    </row>
    <row r="65" spans="1:16" x14ac:dyDescent="0.2">
      <c r="A65" s="487">
        <f t="shared" si="4"/>
        <v>2043</v>
      </c>
      <c r="B65" s="533">
        <f>'Segment AADTs'!D56</f>
        <v>19069.372696731527</v>
      </c>
      <c r="C65" s="533">
        <f>'Segment AADTs'!E56</f>
        <v>13558.933842026769</v>
      </c>
      <c r="D65" s="533">
        <f>'Segment AADTs'!F56</f>
        <v>6349.8206995066312</v>
      </c>
      <c r="E65" s="534">
        <f>'EC - Travel Time - Roadway'!C114</f>
        <v>57615500.930575021</v>
      </c>
      <c r="F65" s="534">
        <f>'EC - Travel Time - Roadway'!I163</f>
        <v>35934633.264300026</v>
      </c>
      <c r="G65" s="495">
        <f>'EC - Travel Time - Roadway'!C163</f>
        <v>18813209.442741025</v>
      </c>
      <c r="H65" s="495">
        <f>'EC - Travel Time - Roadway'!Q114</f>
        <v>761056.81868359307</v>
      </c>
      <c r="I65" s="495">
        <f>'EC - Travel Time - Roadway'!AO163</f>
        <v>0</v>
      </c>
      <c r="J65" s="495">
        <f>'EC - Travel Time - Roadway'!AO163</f>
        <v>0</v>
      </c>
      <c r="K65" s="496">
        <f t="shared" si="5"/>
        <v>2753900.0017187269</v>
      </c>
      <c r="L65" s="496">
        <f t="shared" si="1"/>
        <v>1369715.0786002672</v>
      </c>
      <c r="M65" s="496">
        <f t="shared" si="2"/>
        <v>768317.36373446125</v>
      </c>
      <c r="N65" s="503">
        <f t="shared" si="3"/>
        <v>615867.55938399851</v>
      </c>
      <c r="O65" s="486"/>
      <c r="P65" s="1"/>
    </row>
    <row r="66" spans="1:16" x14ac:dyDescent="0.2">
      <c r="A66" s="487">
        <f>A65+1</f>
        <v>2044</v>
      </c>
      <c r="B66" s="533">
        <f>'Segment AADTs'!D57</f>
        <v>19240.997051002108</v>
      </c>
      <c r="C66" s="533">
        <f>'Segment AADTs'!E57</f>
        <v>13680.964246605008</v>
      </c>
      <c r="D66" s="533">
        <f>'Segment AADTs'!F57</f>
        <v>6406.9690858021904</v>
      </c>
      <c r="E66" s="534">
        <f>'EC - Travel Time - Roadway'!C115</f>
        <v>58118650.209074914</v>
      </c>
      <c r="F66" s="534">
        <f>'EC - Travel Time - Roadway'!I164</f>
        <v>36263220.261682354</v>
      </c>
      <c r="G66" s="495">
        <f>'EC - Travel Time - Roadway'!C164</f>
        <v>18983472.424952921</v>
      </c>
      <c r="H66" s="495">
        <f>'EC - Travel Time - Roadway'!Q115</f>
        <v>786489.11714836094</v>
      </c>
      <c r="I66" s="495">
        <f>'EC - Travel Time - Roadway'!AO164</f>
        <v>0</v>
      </c>
      <c r="J66" s="495">
        <f>'EC - Travel Time - Roadway'!AO164</f>
        <v>0</v>
      </c>
      <c r="K66" s="496">
        <f t="shared" si="5"/>
        <v>2791717.7988397442</v>
      </c>
      <c r="L66" s="496">
        <f t="shared" si="1"/>
        <v>1382239.7798914399</v>
      </c>
      <c r="M66" s="496">
        <f t="shared" si="2"/>
        <v>775270.77623075841</v>
      </c>
      <c r="N66" s="503">
        <f t="shared" si="3"/>
        <v>634207.24271754583</v>
      </c>
      <c r="O66" s="486"/>
      <c r="P66" s="1"/>
    </row>
    <row r="67" spans="1:16" x14ac:dyDescent="0.2">
      <c r="A67" s="487">
        <f t="shared" si="4"/>
        <v>2045</v>
      </c>
      <c r="B67" s="533">
        <f>'Segment AADTs'!D58</f>
        <v>19414.166024461127</v>
      </c>
      <c r="C67" s="533">
        <f>'Segment AADTs'!E58</f>
        <v>13804.092924824452</v>
      </c>
      <c r="D67" s="533">
        <f>'Segment AADTs'!F58</f>
        <v>6464.6318075744093</v>
      </c>
      <c r="E67" s="534">
        <f>'EC - Travel Time - Roadway'!C116</f>
        <v>58626306.551653981</v>
      </c>
      <c r="F67" s="534">
        <f>'EC - Travel Time - Roadway'!I165</f>
        <v>36594812.167423502</v>
      </c>
      <c r="G67" s="495">
        <f>'EC - Travel Time - Roadway'!C165</f>
        <v>19155282.231553793</v>
      </c>
      <c r="H67" s="495">
        <f>'EC - Travel Time - Roadway'!Q116</f>
        <v>813599.58752079424</v>
      </c>
      <c r="I67" s="495">
        <f>'EC - Travel Time - Roadway'!AO165</f>
        <v>0</v>
      </c>
      <c r="J67" s="495">
        <f>'EC - Travel Time - Roadway'!AO165</f>
        <v>0</v>
      </c>
      <c r="K67" s="496">
        <f t="shared" si="5"/>
        <v>2830937.3232373348</v>
      </c>
      <c r="L67" s="496">
        <f t="shared" si="1"/>
        <v>1394879.0188237892</v>
      </c>
      <c r="M67" s="496">
        <f t="shared" si="2"/>
        <v>782287.35987498309</v>
      </c>
      <c r="N67" s="503">
        <f t="shared" si="3"/>
        <v>653770.94453856256</v>
      </c>
      <c r="O67" s="1"/>
      <c r="P67" s="1"/>
    </row>
    <row r="68" spans="1:16" x14ac:dyDescent="0.2">
      <c r="A68" s="487">
        <f t="shared" si="4"/>
        <v>2046</v>
      </c>
      <c r="B68" s="533">
        <f>'Segment AADTs'!D59</f>
        <v>19588.893518681274</v>
      </c>
      <c r="C68" s="533">
        <f>'Segment AADTs'!E59</f>
        <v>13928.32976114787</v>
      </c>
      <c r="D68" s="533">
        <f>'Segment AADTs'!F59</f>
        <v>6522.8134938425783</v>
      </c>
      <c r="E68" s="534">
        <f>'EC - Travel Time - Roadway'!C117</f>
        <v>59138510.755562745</v>
      </c>
      <c r="F68" s="534">
        <f>'EC - Travel Time - Roadway'!I166</f>
        <v>36929436.464050397</v>
      </c>
      <c r="G68" s="495">
        <f>'EC - Travel Time - Roadway'!C166</f>
        <v>19328652.961673513</v>
      </c>
      <c r="H68" s="495">
        <f>'EC - Travel Time - Roadway'!Q117</f>
        <v>842571.22843236465</v>
      </c>
      <c r="I68" s="495">
        <f>'EC - Travel Time - Roadway'!AO166</f>
        <v>0</v>
      </c>
      <c r="J68" s="495">
        <f>'EC - Travel Time - Roadway'!AO166</f>
        <v>0</v>
      </c>
      <c r="K68" s="496">
        <f t="shared" si="5"/>
        <v>2871694.2496711849</v>
      </c>
      <c r="L68" s="496">
        <f t="shared" si="1"/>
        <v>1407633.8429446721</v>
      </c>
      <c r="M68" s="496">
        <f t="shared" si="2"/>
        <v>789367.69046502491</v>
      </c>
      <c r="N68" s="503">
        <f t="shared" si="3"/>
        <v>674692.71626148792</v>
      </c>
      <c r="O68" s="1"/>
      <c r="P68" s="1"/>
    </row>
    <row r="69" spans="1:16" x14ac:dyDescent="0.2">
      <c r="A69" s="487">
        <f t="shared" si="4"/>
        <v>2047</v>
      </c>
      <c r="B69" s="533">
        <f>'Segment AADTs'!D60</f>
        <v>19765.193560349402</v>
      </c>
      <c r="C69" s="533">
        <f>'Segment AADTs'!E60</f>
        <v>14053.6847289982</v>
      </c>
      <c r="D69" s="533">
        <f>'Segment AADTs'!F60</f>
        <v>6581.5188152871606</v>
      </c>
      <c r="E69" s="534">
        <f>'EC - Travel Time - Roadway'!C118</f>
        <v>59655303.988920256</v>
      </c>
      <c r="F69" s="534">
        <f>'EC - Travel Time - Roadway'!I167</f>
        <v>37267120.885468237</v>
      </c>
      <c r="G69" s="495">
        <f>'EC - Travel Time - Roadway'!C167</f>
        <v>19503598.843333401</v>
      </c>
      <c r="H69" s="495">
        <f>'EC - Travel Time - Roadway'!Q118</f>
        <v>873615.61723820574</v>
      </c>
      <c r="I69" s="495">
        <f>'EC - Travel Time - Roadway'!AO167</f>
        <v>0</v>
      </c>
      <c r="J69" s="495">
        <f>'EC - Travel Time - Roadway'!AO167</f>
        <v>0</v>
      </c>
      <c r="K69" s="496">
        <f t="shared" si="5"/>
        <v>2914145.2123838887</v>
      </c>
      <c r="L69" s="496">
        <f t="shared" si="1"/>
        <v>1420505.3093831928</v>
      </c>
      <c r="M69" s="496">
        <f t="shared" si="2"/>
        <v>796512.34906260343</v>
      </c>
      <c r="N69" s="503">
        <f t="shared" si="3"/>
        <v>697127.55393809243</v>
      </c>
      <c r="O69" s="1"/>
      <c r="P69" s="1"/>
    </row>
    <row r="70" spans="1:16" x14ac:dyDescent="0.2">
      <c r="A70" s="487">
        <f t="shared" si="4"/>
        <v>2048</v>
      </c>
      <c r="B70" s="533">
        <f>'Segment AADTs'!D61</f>
        <v>19943.080302392544</v>
      </c>
      <c r="C70" s="533">
        <f>'Segment AADTs'!E61</f>
        <v>14180.167891559182</v>
      </c>
      <c r="D70" s="533">
        <f>'Segment AADTs'!F61</f>
        <v>6640.7524846247443</v>
      </c>
      <c r="E70" s="534">
        <f>'EC - Travel Time - Roadway'!C119</f>
        <v>60176727.794091552</v>
      </c>
      <c r="F70" s="534">
        <f>'EC - Travel Time - Roadway'!I168</f>
        <v>37607893.419259913</v>
      </c>
      <c r="G70" s="495">
        <f>'EC - Travel Time - Roadway'!C168</f>
        <v>19680134.234627742</v>
      </c>
      <c r="H70" s="495">
        <f>'EC - Travel Time - Roadway'!Q119</f>
        <v>906978.80836205336</v>
      </c>
      <c r="I70" s="495">
        <f>'EC - Travel Time - Roadway'!AO168</f>
        <v>0</v>
      </c>
      <c r="J70" s="495">
        <f>'EC - Travel Time - Roadway'!AO168</f>
        <v>0</v>
      </c>
      <c r="K70" s="496">
        <f t="shared" si="5"/>
        <v>2958472.1281267004</v>
      </c>
      <c r="L70" s="496">
        <f t="shared" si="1"/>
        <v>1433494.4849378502</v>
      </c>
      <c r="M70" s="496">
        <f t="shared" si="2"/>
        <v>803721.92204152094</v>
      </c>
      <c r="N70" s="503">
        <f t="shared" si="3"/>
        <v>721255.72114732931</v>
      </c>
      <c r="O70" s="1"/>
      <c r="P70" s="1"/>
    </row>
    <row r="71" spans="1:16" x14ac:dyDescent="0.2">
      <c r="A71" s="487">
        <f t="shared" si="4"/>
        <v>2049</v>
      </c>
      <c r="B71" s="533">
        <f>'Segment AADTs'!D62</f>
        <v>20122.568025114073</v>
      </c>
      <c r="C71" s="533">
        <f>'Segment AADTs'!E62</f>
        <v>14307.789402583214</v>
      </c>
      <c r="D71" s="533">
        <f>'Segment AADTs'!F62</f>
        <v>6700.5192569863666</v>
      </c>
      <c r="E71" s="534">
        <f>'EC - Travel Time - Roadway'!C120</f>
        <v>60702824.091095895</v>
      </c>
      <c r="F71" s="534">
        <f>'EC - Travel Time - Roadway'!I169</f>
        <v>37951782.309006698</v>
      </c>
      <c r="G71" s="495">
        <f>'EC - Travel Time - Roadway'!C169</f>
        <v>19858273.624916255</v>
      </c>
      <c r="H71" s="495">
        <f>'EC - Travel Time - Roadway'!Q120</f>
        <v>942948.76640237728</v>
      </c>
      <c r="I71" s="495">
        <f>'EC - Travel Time - Roadway'!AO169</f>
        <v>0</v>
      </c>
      <c r="J71" s="495">
        <f>'EC - Travel Time - Roadway'!AO169</f>
        <v>0</v>
      </c>
      <c r="K71" s="496">
        <f t="shared" si="5"/>
        <v>3004887.6440129238</v>
      </c>
      <c r="L71" s="496">
        <f t="shared" si="1"/>
        <v>1446602.4461649947</v>
      </c>
      <c r="M71" s="496">
        <f t="shared" si="2"/>
        <v>810997.00113636104</v>
      </c>
      <c r="N71" s="503">
        <f t="shared" si="3"/>
        <v>747288.19671156805</v>
      </c>
      <c r="O71" s="1"/>
      <c r="P71" s="1"/>
    </row>
    <row r="72" spans="1:16" x14ac:dyDescent="0.2">
      <c r="A72" s="487">
        <f t="shared" si="4"/>
        <v>2050</v>
      </c>
      <c r="B72" s="533">
        <f>'Segment AADTs'!D63</f>
        <v>20303.671137340098</v>
      </c>
      <c r="C72" s="533">
        <f>'Segment AADTs'!E63</f>
        <v>14436.559507206461</v>
      </c>
      <c r="D72" s="533">
        <f>'Segment AADTs'!F63</f>
        <v>6760.8239302992433</v>
      </c>
      <c r="E72" s="534">
        <f>'EC - Travel Time - Roadway'!C121</f>
        <v>61233635.181046039</v>
      </c>
      <c r="F72" s="534">
        <f>'EC - Travel Time - Roadway'!I170</f>
        <v>38298816.056630008</v>
      </c>
      <c r="G72" s="495">
        <f>'EC - Travel Time - Roadway'!C170</f>
        <v>20038031.636027414</v>
      </c>
      <c r="H72" s="495">
        <f>'EC - Travel Time - Roadway'!Q121</f>
        <v>981864.82260575669</v>
      </c>
      <c r="I72" s="495">
        <f>'EC - Travel Time - Roadway'!AO170</f>
        <v>0</v>
      </c>
      <c r="J72" s="495">
        <f>'EC - Travel Time - Roadway'!AO170</f>
        <v>0</v>
      </c>
      <c r="K72" s="496">
        <f t="shared" si="5"/>
        <v>3053642.0682983473</v>
      </c>
      <c r="L72" s="496">
        <f t="shared" si="1"/>
        <v>1459830.2794680903</v>
      </c>
      <c r="M72" s="496">
        <f t="shared" si="2"/>
        <v>818338.18349163246</v>
      </c>
      <c r="N72" s="503">
        <f t="shared" si="3"/>
        <v>775473.60533862456</v>
      </c>
      <c r="O72" s="1"/>
      <c r="P72" s="1"/>
    </row>
    <row r="73" spans="1:16" x14ac:dyDescent="0.2">
      <c r="A73" s="487">
        <f t="shared" si="4"/>
        <v>2051</v>
      </c>
      <c r="B73" s="533">
        <f>'Segment AADTs'!D64</f>
        <v>20486.404177576158</v>
      </c>
      <c r="C73" s="533">
        <f>'Segment AADTs'!E64</f>
        <v>14566.488542771318</v>
      </c>
      <c r="D73" s="533">
        <f>'Segment AADTs'!F64</f>
        <v>6821.6713456719363</v>
      </c>
      <c r="E73" s="534">
        <f>'EC - Travel Time - Roadway'!C122</f>
        <v>61769203.749618873</v>
      </c>
      <c r="F73" s="534">
        <f>'EC - Travel Time - Roadway'!I171</f>
        <v>38649023.424754716</v>
      </c>
      <c r="G73" s="495">
        <f>'EC - Travel Time - Roadway'!C171</f>
        <v>20219423.023472905</v>
      </c>
      <c r="H73" s="495">
        <f>'EC - Travel Time - Roadway'!Q122</f>
        <v>1024129.8298231036</v>
      </c>
      <c r="I73" s="495">
        <f>'EC - Travel Time - Roadway'!AO171</f>
        <v>0</v>
      </c>
      <c r="J73" s="495">
        <f>'EC - Travel Time - Roadway'!AO171</f>
        <v>0</v>
      </c>
      <c r="K73" s="496">
        <f t="shared" si="5"/>
        <v>3105032.2788809454</v>
      </c>
      <c r="L73" s="496">
        <f t="shared" si="1"/>
        <v>1473179.0811877947</v>
      </c>
      <c r="M73" s="496">
        <f t="shared" si="2"/>
        <v>825746.07171136572</v>
      </c>
      <c r="N73" s="503">
        <f t="shared" si="3"/>
        <v>806107.12598178501</v>
      </c>
      <c r="O73" s="1"/>
      <c r="P73" s="1"/>
    </row>
    <row r="74" spans="1:16" x14ac:dyDescent="0.2">
      <c r="A74" s="487">
        <f t="shared" si="4"/>
        <v>2052</v>
      </c>
      <c r="B74" s="533">
        <f>'Segment AADTs'!D65</f>
        <v>20670.781815174341</v>
      </c>
      <c r="C74" s="533">
        <f>'Segment AADTs'!E65</f>
        <v>14697.586939656258</v>
      </c>
      <c r="D74" s="533">
        <f>'Segment AADTs'!F65</f>
        <v>6883.0663877829829</v>
      </c>
      <c r="E74" s="534">
        <f>'EC - Travel Time - Roadway'!C123</f>
        <v>62309572.870557599</v>
      </c>
      <c r="F74" s="534">
        <f>'EC - Travel Time - Roadway'!I172</f>
        <v>39002433.439093947</v>
      </c>
      <c r="G74" s="495">
        <f>'EC - Travel Time - Roadway'!C172</f>
        <v>20402462.677673224</v>
      </c>
      <c r="H74" s="495">
        <f>'EC - Travel Time - Roadway'!Q123</f>
        <v>1070225.9617315833</v>
      </c>
      <c r="I74" s="495">
        <f>'EC - Travel Time - Roadway'!AO172</f>
        <v>0</v>
      </c>
      <c r="J74" s="495">
        <f>'EC - Travel Time - Roadway'!AO172</f>
        <v>0</v>
      </c>
      <c r="K74" s="496">
        <f t="shared" si="5"/>
        <v>3159413.3026841236</v>
      </c>
      <c r="L74" s="496">
        <f t="shared" si="1"/>
        <v>1486649.9576928609</v>
      </c>
      <c r="M74" s="496">
        <f t="shared" si="2"/>
        <v>833221.27390916611</v>
      </c>
      <c r="N74" s="503">
        <f t="shared" si="3"/>
        <v>839542.07108209666</v>
      </c>
      <c r="O74" s="1"/>
      <c r="P74" s="1"/>
    </row>
    <row r="75" spans="1:16" x14ac:dyDescent="0.2">
      <c r="A75" s="487">
        <f t="shared" si="4"/>
        <v>2053</v>
      </c>
      <c r="B75" s="533">
        <f>'Segment AADTs'!D66</f>
        <v>20856.818851510907</v>
      </c>
      <c r="C75" s="533">
        <f>'Segment AADTs'!E66</f>
        <v>14829.865222113162</v>
      </c>
      <c r="D75" s="533">
        <f>'Segment AADTs'!F66</f>
        <v>6945.013985273029</v>
      </c>
      <c r="E75" s="534">
        <f>'EC - Travel Time - Roadway'!C124</f>
        <v>62854786.009205937</v>
      </c>
      <c r="F75" s="534">
        <f>'EC - Travel Time - Roadway'!I173</f>
        <v>39359075.390855901</v>
      </c>
      <c r="G75" s="495">
        <f>'EC - Travel Time - Roadway'!C173</f>
        <v>20587165.625194535</v>
      </c>
      <c r="H75" s="495">
        <f>'EC - Travel Time - Roadway'!Q124</f>
        <v>1120735.5013615864</v>
      </c>
      <c r="I75" s="495">
        <f>'EC - Travel Time - Roadway'!AO173</f>
        <v>0</v>
      </c>
      <c r="J75" s="495">
        <f>'EC - Travel Time - Roadway'!AO173</f>
        <v>0</v>
      </c>
      <c r="K75" s="496">
        <f t="shared" si="5"/>
        <v>3217213.5517028407</v>
      </c>
      <c r="L75" s="496">
        <f t="shared" si="1"/>
        <v>1500244.0254718785</v>
      </c>
      <c r="M75" s="496">
        <f t="shared" si="2"/>
        <v>840764.40375872573</v>
      </c>
      <c r="N75" s="503">
        <f t="shared" si="3"/>
        <v>876205.12247223652</v>
      </c>
      <c r="O75" s="1"/>
      <c r="P75" s="1"/>
    </row>
    <row r="76" spans="1:16" x14ac:dyDescent="0.2">
      <c r="A76" s="487">
        <f t="shared" si="4"/>
        <v>2054</v>
      </c>
      <c r="B76" s="533">
        <f>'Segment AADTs'!D67</f>
        <v>21044.530221174504</v>
      </c>
      <c r="C76" s="533">
        <f>'Segment AADTs'!E67</f>
        <v>14963.334009112179</v>
      </c>
      <c r="D76" s="533">
        <f>'Segment AADTs'!F67</f>
        <v>7007.5191111404856</v>
      </c>
      <c r="E76" s="534">
        <f>'EC - Travel Time - Roadway'!C125</f>
        <v>63404887.026074618</v>
      </c>
      <c r="F76" s="534">
        <f>'EC - Travel Time - Roadway'!I174</f>
        <v>39718978.839172423</v>
      </c>
      <c r="G76" s="495">
        <f>'EC - Travel Time - Roadway'!C174</f>
        <v>20773547.029996891</v>
      </c>
      <c r="H76" s="495">
        <f>'EC - Travel Time - Roadway'!Q125</f>
        <v>1176368.5634905517</v>
      </c>
      <c r="I76" s="495">
        <f>'EC - Travel Time - Roadway'!AO174</f>
        <v>0</v>
      </c>
      <c r="J76" s="495">
        <f>'EC - Travel Time - Roadway'!AO174</f>
        <v>0</v>
      </c>
      <c r="K76" s="496">
        <f t="shared" si="5"/>
        <v>3278955.1408819905</v>
      </c>
      <c r="L76" s="496">
        <f t="shared" si="1"/>
        <v>1513962.4112258423</v>
      </c>
      <c r="M76" s="496">
        <f t="shared" si="2"/>
        <v>848376.08054480038</v>
      </c>
      <c r="N76" s="503">
        <f t="shared" si="3"/>
        <v>916616.64911134786</v>
      </c>
      <c r="O76" s="1"/>
      <c r="P76" s="1"/>
    </row>
    <row r="77" spans="1:16" x14ac:dyDescent="0.2">
      <c r="A77" s="487">
        <f t="shared" si="4"/>
        <v>2055</v>
      </c>
      <c r="B77" s="533">
        <f>'Segment AADTs'!D68</f>
        <v>21233.930993165071</v>
      </c>
      <c r="C77" s="533">
        <f>'Segment AADTs'!E68</f>
        <v>15098.004015194187</v>
      </c>
      <c r="D77" s="533">
        <f>'Segment AADTs'!F68</f>
        <v>7070.5867831407495</v>
      </c>
      <c r="E77" s="534">
        <f>'EC - Travel Time - Roadway'!C126</f>
        <v>63959920.180440173</v>
      </c>
      <c r="F77" s="534">
        <f>'EC - Travel Time - Roadway'!I175</f>
        <v>40082173.613550059</v>
      </c>
      <c r="G77" s="495">
        <f>'EC - Travel Time - Roadway'!C175</f>
        <v>20961622.194693979</v>
      </c>
      <c r="H77" s="495">
        <f>'EC - Travel Time - Roadway'!Q126</f>
        <v>1238000.6134768</v>
      </c>
      <c r="I77" s="495">
        <f>'EC - Travel Time - Roadway'!AO175</f>
        <v>0</v>
      </c>
      <c r="J77" s="495">
        <f>'EC - Travel Time - Roadway'!AO175</f>
        <v>0</v>
      </c>
      <c r="K77" s="496">
        <f t="shared" si="5"/>
        <v>3345281.3858068907</v>
      </c>
      <c r="L77" s="496">
        <f t="shared" si="1"/>
        <v>1527806.2519615784</v>
      </c>
      <c r="M77" s="496">
        <f t="shared" si="2"/>
        <v>856056.92921465589</v>
      </c>
      <c r="N77" s="503">
        <f t="shared" si="3"/>
        <v>961418.2046306564</v>
      </c>
      <c r="O77" s="1"/>
      <c r="P77" s="1"/>
    </row>
    <row r="80" spans="1:16" ht="77.25" thickBot="1" x14ac:dyDescent="0.25">
      <c r="A80" s="60" t="s">
        <v>1</v>
      </c>
      <c r="B80" s="421" t="s">
        <v>132</v>
      </c>
      <c r="C80" s="421" t="s">
        <v>131</v>
      </c>
      <c r="D80" s="421" t="s">
        <v>126</v>
      </c>
      <c r="E80" s="84" t="s">
        <v>130</v>
      </c>
      <c r="F80" s="84" t="s">
        <v>127</v>
      </c>
      <c r="G80" s="84" t="s">
        <v>128</v>
      </c>
      <c r="H80" s="84" t="s">
        <v>129</v>
      </c>
      <c r="I80" s="84" t="s">
        <v>133</v>
      </c>
      <c r="J80" s="84" t="s">
        <v>151</v>
      </c>
    </row>
    <row r="81" spans="1:10" ht="13.5" thickTop="1" x14ac:dyDescent="0.2">
      <c r="A81" s="57">
        <v>2025</v>
      </c>
      <c r="B81" s="155">
        <f>'EC - Travel Time - Roadway'!Q6+'EC - Travel Time - Roadway'!R6</f>
        <v>644122.72224535514</v>
      </c>
      <c r="C81" s="564">
        <f t="shared" ref="C81:C111" si="6">N47</f>
        <v>320592.58899121161</v>
      </c>
      <c r="D81" s="156">
        <f>C81*$B$24</f>
        <v>2849106338.3648977</v>
      </c>
      <c r="E81" s="156">
        <f>C81*$B$25</f>
        <v>5193599.9416576279</v>
      </c>
      <c r="F81" s="155">
        <f t="shared" ref="F81:F111" si="7">C81*$B$26</f>
        <v>4360059.210280478</v>
      </c>
      <c r="G81" s="155">
        <f t="shared" ref="G81:G111" si="8">C81*$B$27</f>
        <v>87457.658276802526</v>
      </c>
      <c r="H81" s="92">
        <f t="shared" ref="H81:H111" si="9">C81*$B$28</f>
        <v>0</v>
      </c>
      <c r="I81" s="93">
        <f>D81*$C$4+E81*$C$5+F81*$C$6+G81*$C$7+H81*$C$8</f>
        <v>238668.79873901416</v>
      </c>
      <c r="J81" s="155">
        <f>I81*NPV!C10</f>
        <v>138907.41384170699</v>
      </c>
    </row>
    <row r="82" spans="1:10" x14ac:dyDescent="0.2">
      <c r="A82" s="24">
        <f>A81+1</f>
        <v>2026</v>
      </c>
      <c r="B82" s="156">
        <f>'EC - Travel Time - Roadway'!Q7+'EC - Travel Time - Roadway'!R7</f>
        <v>661343.91923707584</v>
      </c>
      <c r="C82" s="156">
        <f t="shared" si="6"/>
        <v>330773.51322203968</v>
      </c>
      <c r="D82" s="156">
        <f t="shared" ref="D82:D111" si="10">C82*$B$24</f>
        <v>2939584212.0042667</v>
      </c>
      <c r="E82" s="156">
        <f t="shared" ref="E82:E111" si="11">C82*$B$25</f>
        <v>5358530.9141970426</v>
      </c>
      <c r="F82" s="156">
        <f t="shared" si="7"/>
        <v>4498519.7798197391</v>
      </c>
      <c r="G82" s="156">
        <f t="shared" si="8"/>
        <v>90235.014406972419</v>
      </c>
      <c r="H82" s="24">
        <f t="shared" si="9"/>
        <v>0</v>
      </c>
      <c r="I82" s="94">
        <f t="shared" ref="I82:I111" si="12">D82*$C$4+E82*$C$5+F82*$C$6+G82*$C$7+H82*$C$8</f>
        <v>246248.10356284233</v>
      </c>
      <c r="J82" s="156">
        <f>I82*NPV!C11</f>
        <v>133942.6525751857</v>
      </c>
    </row>
    <row r="83" spans="1:10" x14ac:dyDescent="0.2">
      <c r="A83" s="24">
        <f t="shared" ref="A83:A111" si="13">A82+1</f>
        <v>2027</v>
      </c>
      <c r="B83" s="156">
        <f>'EC - Travel Time - Roadway'!Q8+'EC - Travel Time - Roadway'!R8</f>
        <v>679370.81301342859</v>
      </c>
      <c r="C83" s="156">
        <f t="shared" si="6"/>
        <v>341505.4687115174</v>
      </c>
      <c r="D83" s="156">
        <f t="shared" si="10"/>
        <v>3034959100.4392552</v>
      </c>
      <c r="E83" s="156">
        <f t="shared" si="11"/>
        <v>5532388.593126582</v>
      </c>
      <c r="F83" s="156">
        <f t="shared" si="7"/>
        <v>4644474.3744766368</v>
      </c>
      <c r="G83" s="156">
        <f t="shared" si="8"/>
        <v>93162.691864501947</v>
      </c>
      <c r="H83" s="24">
        <f t="shared" si="9"/>
        <v>0</v>
      </c>
      <c r="I83" s="94">
        <f t="shared" si="12"/>
        <v>254237.62987364683</v>
      </c>
      <c r="J83" s="156">
        <f>I83*NPV!C12</f>
        <v>129241.51918027675</v>
      </c>
    </row>
    <row r="84" spans="1:10" x14ac:dyDescent="0.2">
      <c r="A84" s="24">
        <f t="shared" si="13"/>
        <v>2028</v>
      </c>
      <c r="B84" s="156">
        <f>'EC - Travel Time - Roadway'!Q9+'EC - Travel Time - Roadway'!R9</f>
        <v>698271.15449297917</v>
      </c>
      <c r="C84" s="156">
        <f t="shared" si="6"/>
        <v>352837.46977235458</v>
      </c>
      <c r="D84" s="156">
        <f t="shared" si="10"/>
        <v>3135666593.8669152</v>
      </c>
      <c r="E84" s="156">
        <f t="shared" si="11"/>
        <v>5715967.0103121437</v>
      </c>
      <c r="F84" s="156">
        <f t="shared" si="7"/>
        <v>4798589.5889040222</v>
      </c>
      <c r="G84" s="156">
        <f t="shared" si="8"/>
        <v>96254.061753898321</v>
      </c>
      <c r="H84" s="24">
        <f t="shared" si="9"/>
        <v>0</v>
      </c>
      <c r="I84" s="94">
        <f t="shared" si="12"/>
        <v>262673.86693392828</v>
      </c>
      <c r="J84" s="156">
        <f>I84*NPV!C13</f>
        <v>124794.46197958082</v>
      </c>
    </row>
    <row r="85" spans="1:10" x14ac:dyDescent="0.2">
      <c r="A85" s="24">
        <f t="shared" si="13"/>
        <v>2029</v>
      </c>
      <c r="B85" s="156">
        <f>'EC - Travel Time - Roadway'!Q10+'EC - Travel Time - Roadway'!R10</f>
        <v>718121.33424546209</v>
      </c>
      <c r="C85" s="156">
        <f t="shared" si="6"/>
        <v>364824.8522943256</v>
      </c>
      <c r="D85" s="156">
        <f t="shared" si="10"/>
        <v>3242198462.3396716</v>
      </c>
      <c r="E85" s="156">
        <f t="shared" si="11"/>
        <v>5910162.6071680747</v>
      </c>
      <c r="F85" s="156">
        <f t="shared" si="7"/>
        <v>4961617.9912028275</v>
      </c>
      <c r="G85" s="156">
        <f t="shared" si="8"/>
        <v>99524.219705892014</v>
      </c>
      <c r="H85" s="24">
        <f t="shared" si="9"/>
        <v>0</v>
      </c>
      <c r="I85" s="94">
        <f t="shared" si="12"/>
        <v>271598.01017612376</v>
      </c>
      <c r="J85" s="156">
        <f>I85*NPV!C14</f>
        <v>120592.76462418587</v>
      </c>
    </row>
    <row r="86" spans="1:10" x14ac:dyDescent="0.2">
      <c r="A86" s="24">
        <f t="shared" si="13"/>
        <v>2030</v>
      </c>
      <c r="B86" s="156">
        <f>'EC - Travel Time - Roadway'!Q11+'EC - Travel Time - Roadway'!R11</f>
        <v>739007.86102325551</v>
      </c>
      <c r="C86" s="156">
        <f t="shared" si="6"/>
        <v>377530.35718979966</v>
      </c>
      <c r="D86" s="156">
        <f t="shared" si="10"/>
        <v>3355112284.3457494</v>
      </c>
      <c r="E86" s="156">
        <f t="shared" si="11"/>
        <v>6115991.7864747541</v>
      </c>
      <c r="F86" s="156">
        <f t="shared" si="7"/>
        <v>5134412.8577812752</v>
      </c>
      <c r="G86" s="156">
        <f t="shared" si="8"/>
        <v>102990.28144137734</v>
      </c>
      <c r="H86" s="24">
        <f t="shared" si="9"/>
        <v>0</v>
      </c>
      <c r="I86" s="94">
        <f t="shared" si="12"/>
        <v>281056.76778595295</v>
      </c>
      <c r="J86" s="156">
        <f>I86*NPV!C15</f>
        <v>116628.56646963488</v>
      </c>
    </row>
    <row r="87" spans="1:10" x14ac:dyDescent="0.2">
      <c r="A87" s="24">
        <f t="shared" si="13"/>
        <v>2031</v>
      </c>
      <c r="B87" s="156">
        <f>'EC - Travel Time - Roadway'!Q12+'EC - Travel Time - Roadway'!R12</f>
        <v>761029.16038962442</v>
      </c>
      <c r="C87" s="156">
        <f t="shared" si="6"/>
        <v>391025.4484354055</v>
      </c>
      <c r="D87" s="156">
        <f t="shared" si="10"/>
        <v>3475043160.2454486</v>
      </c>
      <c r="E87" s="156">
        <f t="shared" si="11"/>
        <v>6334612.2646535691</v>
      </c>
      <c r="F87" s="156">
        <f t="shared" si="7"/>
        <v>5317946.0987215145</v>
      </c>
      <c r="G87" s="156">
        <f t="shared" si="8"/>
        <v>106671.74233317861</v>
      </c>
      <c r="H87" s="24">
        <f t="shared" si="9"/>
        <v>0</v>
      </c>
      <c r="I87" s="94">
        <f t="shared" si="12"/>
        <v>291103.34193352441</v>
      </c>
      <c r="J87" s="156">
        <f>I87*NPV!C16</f>
        <v>112894.89491958238</v>
      </c>
    </row>
    <row r="88" spans="1:10" x14ac:dyDescent="0.2">
      <c r="A88" s="24">
        <f t="shared" si="13"/>
        <v>2032</v>
      </c>
      <c r="B88" s="156">
        <f>'EC - Travel Time - Roadway'!Q13+'EC - Travel Time - Roadway'!R13</f>
        <v>784297.77821076848</v>
      </c>
      <c r="C88" s="156">
        <f t="shared" si="6"/>
        <v>405391.92783555493</v>
      </c>
      <c r="D88" s="156">
        <f t="shared" si="10"/>
        <v>3602718062.6745768</v>
      </c>
      <c r="E88" s="156">
        <f t="shared" si="11"/>
        <v>6567349.2309359899</v>
      </c>
      <c r="F88" s="156">
        <f t="shared" si="7"/>
        <v>5513330.2185635474</v>
      </c>
      <c r="G88" s="156">
        <f t="shared" si="8"/>
        <v>110590.91791353938</v>
      </c>
      <c r="H88" s="24">
        <f t="shared" si="9"/>
        <v>0</v>
      </c>
      <c r="I88" s="94">
        <f t="shared" si="12"/>
        <v>301798.63090240466</v>
      </c>
      <c r="J88" s="156">
        <f>I88*NPV!C17</f>
        <v>109385.71250409022</v>
      </c>
    </row>
    <row r="89" spans="1:10" x14ac:dyDescent="0.2">
      <c r="A89" s="24">
        <f t="shared" si="13"/>
        <v>2033</v>
      </c>
      <c r="B89" s="156">
        <f>'EC - Travel Time - Roadway'!Q14+'EC - Travel Time - Roadway'!R14</f>
        <v>808943.10061928933</v>
      </c>
      <c r="C89" s="156">
        <f t="shared" si="6"/>
        <v>420723.92830497632</v>
      </c>
      <c r="D89" s="156">
        <f t="shared" si="10"/>
        <v>3738973550.8463244</v>
      </c>
      <c r="E89" s="156">
        <f t="shared" si="11"/>
        <v>6815727.6385406163</v>
      </c>
      <c r="F89" s="156">
        <f t="shared" si="7"/>
        <v>5721845.4249476781</v>
      </c>
      <c r="G89" s="156">
        <f t="shared" si="8"/>
        <v>114773.48764159753</v>
      </c>
      <c r="H89" s="24">
        <f t="shared" si="9"/>
        <v>0</v>
      </c>
      <c r="I89" s="94">
        <f t="shared" si="12"/>
        <v>313212.71301146777</v>
      </c>
      <c r="J89" s="156">
        <f>I89*NPV!C18</f>
        <v>106095.98236672077</v>
      </c>
    </row>
    <row r="90" spans="1:10" x14ac:dyDescent="0.2">
      <c r="A90" s="24">
        <f t="shared" si="13"/>
        <v>2034</v>
      </c>
      <c r="B90" s="156">
        <f>'EC - Travel Time - Roadway'!Q15+'EC - Travel Time - Roadway'!R15</f>
        <v>835114.73889385909</v>
      </c>
      <c r="C90" s="156">
        <f t="shared" si="6"/>
        <v>437130.39446541423</v>
      </c>
      <c r="D90" s="156">
        <f t="shared" si="10"/>
        <v>3884777815.6141362</v>
      </c>
      <c r="E90" s="156">
        <f t="shared" si="11"/>
        <v>7081512.3903397098</v>
      </c>
      <c r="F90" s="156">
        <f t="shared" si="7"/>
        <v>5944973.3647296336</v>
      </c>
      <c r="G90" s="156">
        <f t="shared" si="8"/>
        <v>119249.17161016499</v>
      </c>
      <c r="H90" s="24">
        <f t="shared" si="9"/>
        <v>0</v>
      </c>
      <c r="I90" s="94">
        <f t="shared" si="12"/>
        <v>325426.69332331879</v>
      </c>
      <c r="J90" s="156">
        <f>I90*NPV!C19</f>
        <v>103021.75707958057</v>
      </c>
    </row>
    <row r="91" spans="1:10" x14ac:dyDescent="0.2">
      <c r="A91" s="24">
        <f t="shared" si="13"/>
        <v>2035</v>
      </c>
      <c r="B91" s="156">
        <f>'EC - Travel Time - Roadway'!Q16+'EC - Travel Time - Roadway'!R16</f>
        <v>862986.77886026993</v>
      </c>
      <c r="C91" s="156">
        <f t="shared" si="6"/>
        <v>454738.19684707583</v>
      </c>
      <c r="D91" s="156">
        <f t="shared" si="10"/>
        <v>4041258355.3799629</v>
      </c>
      <c r="E91" s="156">
        <f t="shared" si="11"/>
        <v>7366758.7889226284</v>
      </c>
      <c r="F91" s="156">
        <f t="shared" si="7"/>
        <v>6184439.4771202309</v>
      </c>
      <c r="G91" s="156">
        <f t="shared" si="8"/>
        <v>124052.58009988228</v>
      </c>
      <c r="H91" s="24">
        <f t="shared" si="9"/>
        <v>0</v>
      </c>
      <c r="I91" s="94">
        <f t="shared" si="12"/>
        <v>338535.02204697597</v>
      </c>
      <c r="J91" s="156">
        <f>I91*NPV!C20</f>
        <v>100160.29743483692</v>
      </c>
    </row>
    <row r="92" spans="1:10" x14ac:dyDescent="0.2">
      <c r="A92" s="24">
        <f t="shared" si="13"/>
        <v>2036</v>
      </c>
      <c r="B92" s="156">
        <f>'EC - Travel Time - Roadway'!Q17+'EC - Travel Time - Roadway'!R17</f>
        <v>892763.16638554598</v>
      </c>
      <c r="C92" s="156">
        <f t="shared" si="6"/>
        <v>473696.07872965396</v>
      </c>
      <c r="D92" s="156">
        <f t="shared" si="10"/>
        <v>4209737051.670435</v>
      </c>
      <c r="E92" s="156">
        <f t="shared" si="11"/>
        <v>7673876.475420394</v>
      </c>
      <c r="F92" s="156">
        <f t="shared" si="7"/>
        <v>6442266.6707232939</v>
      </c>
      <c r="G92" s="156">
        <f t="shared" si="8"/>
        <v>129224.29027744959</v>
      </c>
      <c r="H92" s="24">
        <f t="shared" si="9"/>
        <v>0</v>
      </c>
      <c r="I92" s="94">
        <f t="shared" si="12"/>
        <v>352648.43280855502</v>
      </c>
      <c r="J92" s="156">
        <f>I92*NPV!C21</f>
        <v>97510.230294778594</v>
      </c>
    </row>
    <row r="93" spans="1:10" x14ac:dyDescent="0.2">
      <c r="A93" s="24">
        <f t="shared" si="13"/>
        <v>2037</v>
      </c>
      <c r="B93" s="156">
        <f>'EC - Travel Time - Roadway'!Q18+'EC - Travel Time - Roadway'!R18</f>
        <v>924684.60317799542</v>
      </c>
      <c r="C93" s="156">
        <f t="shared" si="6"/>
        <v>494179.70988350548</v>
      </c>
      <c r="D93" s="156">
        <f t="shared" si="10"/>
        <v>4391775081.7347136</v>
      </c>
      <c r="E93" s="156">
        <f t="shared" si="11"/>
        <v>8005711.3001127886</v>
      </c>
      <c r="F93" s="156">
        <f t="shared" si="7"/>
        <v>6720844.0544156739</v>
      </c>
      <c r="G93" s="156">
        <f t="shared" si="8"/>
        <v>134812.2248562203</v>
      </c>
      <c r="H93" s="24">
        <f t="shared" si="9"/>
        <v>0</v>
      </c>
      <c r="I93" s="94">
        <f t="shared" si="12"/>
        <v>367897.70496636152</v>
      </c>
      <c r="J93" s="156">
        <f>I93*NPV!C22</f>
        <v>95071.758054918013</v>
      </c>
    </row>
    <row r="94" spans="1:10" x14ac:dyDescent="0.2">
      <c r="A94" s="24">
        <f t="shared" si="13"/>
        <v>2038</v>
      </c>
      <c r="B94" s="156">
        <f>'EC - Travel Time - Roadway'!Q19+'EC - Travel Time - Roadway'!R19</f>
        <v>959037.4757027193</v>
      </c>
      <c r="C94" s="156">
        <f t="shared" si="6"/>
        <v>516398.23037801916</v>
      </c>
      <c r="D94" s="156">
        <f t="shared" si="10"/>
        <v>4589231073.3694563</v>
      </c>
      <c r="E94" s="156">
        <f t="shared" si="11"/>
        <v>8365651.3321239101</v>
      </c>
      <c r="F94" s="156">
        <f t="shared" si="7"/>
        <v>7023015.9331410602</v>
      </c>
      <c r="G94" s="156">
        <f t="shared" si="8"/>
        <v>140873.43724712363</v>
      </c>
      <c r="H94" s="24">
        <f t="shared" si="9"/>
        <v>0</v>
      </c>
      <c r="I94" s="94">
        <f t="shared" si="12"/>
        <v>384438.53522344871</v>
      </c>
      <c r="J94" s="156">
        <f>I94*NPV!C23</f>
        <v>92846.937304362567</v>
      </c>
    </row>
    <row r="95" spans="1:10" x14ac:dyDescent="0.2">
      <c r="A95" s="24">
        <f t="shared" si="13"/>
        <v>2039</v>
      </c>
      <c r="B95" s="156">
        <f>'EC - Travel Time - Roadway'!Q20+'EC - Travel Time - Roadway'!R20</f>
        <v>996165.5586777241</v>
      </c>
      <c r="C95" s="156">
        <f t="shared" si="6"/>
        <v>540602.82787693827</v>
      </c>
      <c r="D95" s="156">
        <f t="shared" si="10"/>
        <v>4804337331.34235</v>
      </c>
      <c r="E95" s="156">
        <f t="shared" si="11"/>
        <v>8757765.8116063997</v>
      </c>
      <c r="F95" s="156">
        <f t="shared" si="7"/>
        <v>7352198.4591263607</v>
      </c>
      <c r="G95" s="156">
        <f t="shared" si="8"/>
        <v>147476.45144482877</v>
      </c>
      <c r="H95" s="24">
        <f t="shared" si="9"/>
        <v>0</v>
      </c>
      <c r="I95" s="94">
        <f t="shared" si="12"/>
        <v>402457.9230926634</v>
      </c>
      <c r="J95" s="156">
        <f>I95*NPV!C24</f>
        <v>90840.051672763337</v>
      </c>
    </row>
    <row r="96" spans="1:10" x14ac:dyDescent="0.2">
      <c r="A96" s="24">
        <f t="shared" si="13"/>
        <v>2040</v>
      </c>
      <c r="B96" s="156">
        <f>'EC - Travel Time - Roadway'!Q21+'EC - Travel Time - Roadway'!R21</f>
        <v>1036485.562125762</v>
      </c>
      <c r="C96" s="156">
        <f t="shared" si="6"/>
        <v>567098.1318724443</v>
      </c>
      <c r="D96" s="156">
        <f t="shared" si="10"/>
        <v>5039801097.9504128</v>
      </c>
      <c r="E96" s="156">
        <f t="shared" si="11"/>
        <v>9186989.7363335975</v>
      </c>
      <c r="F96" s="156">
        <f t="shared" si="7"/>
        <v>7712534.5934652425</v>
      </c>
      <c r="G96" s="156">
        <f t="shared" si="8"/>
        <v>154704.37037480279</v>
      </c>
      <c r="H96" s="24">
        <f t="shared" si="9"/>
        <v>0</v>
      </c>
      <c r="I96" s="94">
        <f t="shared" si="12"/>
        <v>422182.65346378804</v>
      </c>
      <c r="J96" s="156">
        <f>I96*NPV!C25</f>
        <v>89058.11495059781</v>
      </c>
    </row>
    <row r="97" spans="1:10" x14ac:dyDescent="0.2">
      <c r="A97" s="24">
        <f t="shared" si="13"/>
        <v>2041</v>
      </c>
      <c r="B97" s="156">
        <f>'EC - Travel Time - Roadway'!Q22+'EC - Travel Time - Roadway'!R22</f>
        <v>1060254.8688079603</v>
      </c>
      <c r="C97" s="156">
        <f t="shared" si="6"/>
        <v>582408.67007654265</v>
      </c>
      <c r="D97" s="156">
        <f t="shared" si="10"/>
        <v>5175865850.9702349</v>
      </c>
      <c r="E97" s="156">
        <f t="shared" si="11"/>
        <v>9435020.4552399907</v>
      </c>
      <c r="F97" s="156">
        <f t="shared" si="7"/>
        <v>7920757.9130409798</v>
      </c>
      <c r="G97" s="156">
        <f t="shared" si="8"/>
        <v>158881.08519688083</v>
      </c>
      <c r="H97" s="24">
        <f t="shared" si="9"/>
        <v>0</v>
      </c>
      <c r="I97" s="94">
        <f t="shared" si="12"/>
        <v>433580.75774535671</v>
      </c>
      <c r="J97" s="156">
        <f>I97*NPV!C26</f>
        <v>85478.980864334982</v>
      </c>
    </row>
    <row r="98" spans="1:10" x14ac:dyDescent="0.2">
      <c r="A98" s="24">
        <f t="shared" si="13"/>
        <v>2042</v>
      </c>
      <c r="B98" s="156">
        <f>'EC - Travel Time - Roadway'!Q23+'EC - Travel Time - Roadway'!R23</f>
        <v>1085302.2558542907</v>
      </c>
      <c r="C98" s="156">
        <f t="shared" si="6"/>
        <v>598635.32721146988</v>
      </c>
      <c r="D98" s="156">
        <f t="shared" si="10"/>
        <v>5320072152.9283323</v>
      </c>
      <c r="E98" s="156">
        <f t="shared" si="11"/>
        <v>9697892.3008258119</v>
      </c>
      <c r="F98" s="156">
        <f t="shared" si="7"/>
        <v>8141440.4500759905</v>
      </c>
      <c r="G98" s="156">
        <f t="shared" si="8"/>
        <v>163307.71726328897</v>
      </c>
      <c r="H98" s="24">
        <f t="shared" si="9"/>
        <v>0</v>
      </c>
      <c r="I98" s="94">
        <f t="shared" si="12"/>
        <v>445660.87718333001</v>
      </c>
      <c r="J98" s="156">
        <f>I98*NPV!C27</f>
        <v>82112.650074868376</v>
      </c>
    </row>
    <row r="99" spans="1:10" x14ac:dyDescent="0.2">
      <c r="A99" s="24">
        <f t="shared" si="13"/>
        <v>2043</v>
      </c>
      <c r="B99" s="156">
        <f>'EC - Travel Time - Roadway'!Q24+'EC - Travel Time - Roadway'!R24</f>
        <v>1111750.045680864</v>
      </c>
      <c r="C99" s="156">
        <f t="shared" si="6"/>
        <v>615867.55938399851</v>
      </c>
      <c r="D99" s="156">
        <f t="shared" si="10"/>
        <v>5473215000.245595</v>
      </c>
      <c r="E99" s="156">
        <f t="shared" si="11"/>
        <v>9977054.4620207753</v>
      </c>
      <c r="F99" s="156">
        <f t="shared" si="7"/>
        <v>8375798.8076223796</v>
      </c>
      <c r="G99" s="156">
        <f t="shared" si="8"/>
        <v>168008.67019995479</v>
      </c>
      <c r="H99" s="24">
        <f t="shared" si="9"/>
        <v>0</v>
      </c>
      <c r="I99" s="94">
        <f t="shared" si="12"/>
        <v>458489.60839371366</v>
      </c>
      <c r="J99" s="156">
        <f>I99*NPV!C28</f>
        <v>78949.844157977073</v>
      </c>
    </row>
    <row r="100" spans="1:10" x14ac:dyDescent="0.2">
      <c r="A100" s="24">
        <f t="shared" si="13"/>
        <v>2044</v>
      </c>
      <c r="B100" s="156">
        <f>'EC - Travel Time - Roadway'!Q25+'EC - Travel Time - Roadway'!R25</f>
        <v>1139737.5095745353</v>
      </c>
      <c r="C100" s="156">
        <f t="shared" si="6"/>
        <v>634207.24271754583</v>
      </c>
      <c r="D100" s="156">
        <f t="shared" si="10"/>
        <v>5636199766.0308294</v>
      </c>
      <c r="E100" s="156">
        <f t="shared" si="11"/>
        <v>10274157.332024243</v>
      </c>
      <c r="F100" s="156">
        <f t="shared" si="7"/>
        <v>8625218.5009586234</v>
      </c>
      <c r="G100" s="156">
        <f t="shared" si="8"/>
        <v>173011.73581334649</v>
      </c>
      <c r="H100" s="24">
        <f t="shared" si="9"/>
        <v>0</v>
      </c>
      <c r="I100" s="94">
        <f t="shared" si="12"/>
        <v>472142.79421514767</v>
      </c>
      <c r="J100" s="156">
        <f>I100*NPV!C29</f>
        <v>75982.11329128567</v>
      </c>
    </row>
    <row r="101" spans="1:10" x14ac:dyDescent="0.2">
      <c r="A101" s="24">
        <f t="shared" si="13"/>
        <v>2045</v>
      </c>
      <c r="B101" s="156">
        <f>'EC - Travel Time - Roadway'!Q26+'EC - Travel Time - Roadway'!R26</f>
        <v>1169423.9666194681</v>
      </c>
      <c r="C101" s="156">
        <f t="shared" si="6"/>
        <v>653770.94453856256</v>
      </c>
      <c r="D101" s="156">
        <f t="shared" si="10"/>
        <v>5810062384.1142054</v>
      </c>
      <c r="E101" s="156">
        <f t="shared" si="11"/>
        <v>10591089.301524714</v>
      </c>
      <c r="F101" s="156">
        <f t="shared" si="7"/>
        <v>8891284.8457244504</v>
      </c>
      <c r="G101" s="156">
        <f t="shared" si="8"/>
        <v>178348.71367011985</v>
      </c>
      <c r="H101" s="24">
        <f t="shared" si="9"/>
        <v>0</v>
      </c>
      <c r="I101" s="94">
        <f t="shared" si="12"/>
        <v>486707.21451944334</v>
      </c>
      <c r="J101" s="156">
        <f>I101*NPV!C30</f>
        <v>73201.841869507974</v>
      </c>
    </row>
    <row r="102" spans="1:10" x14ac:dyDescent="0.2">
      <c r="A102" s="24">
        <f t="shared" si="13"/>
        <v>2046</v>
      </c>
      <c r="B102" s="156">
        <f>'EC - Travel Time - Roadway'!Q27+'EC - Travel Time - Roadway'!R27</f>
        <v>1200992.5944516673</v>
      </c>
      <c r="C102" s="156">
        <f t="shared" si="6"/>
        <v>674692.71626148792</v>
      </c>
      <c r="D102" s="156">
        <f t="shared" si="10"/>
        <v>5995994169.415843</v>
      </c>
      <c r="E102" s="156">
        <f t="shared" si="11"/>
        <v>10930022.003436103</v>
      </c>
      <c r="F102" s="156">
        <f t="shared" si="7"/>
        <v>9175820.9411562346</v>
      </c>
      <c r="G102" s="156">
        <f t="shared" si="8"/>
        <v>184056.17299613389</v>
      </c>
      <c r="H102" s="24">
        <f t="shared" si="9"/>
        <v>0</v>
      </c>
      <c r="I102" s="94">
        <f t="shared" si="12"/>
        <v>502282.66540654836</v>
      </c>
      <c r="J102" s="156">
        <f>I102*NPV!C31</f>
        <v>70602.265553764388</v>
      </c>
    </row>
    <row r="103" spans="1:10" x14ac:dyDescent="0.2">
      <c r="A103" s="24">
        <f t="shared" si="13"/>
        <v>2047</v>
      </c>
      <c r="B103" s="156">
        <f>'EC - Travel Time - Roadway'!Q28+'EC - Travel Time - Roadway'!R28</f>
        <v>1234655.1510035004</v>
      </c>
      <c r="C103" s="156">
        <f t="shared" si="6"/>
        <v>697127.55393809243</v>
      </c>
      <c r="D103" s="156">
        <f t="shared" si="10"/>
        <v>6195372571.8478279</v>
      </c>
      <c r="E103" s="156">
        <f t="shared" si="11"/>
        <v>11293466.373797096</v>
      </c>
      <c r="F103" s="156">
        <f t="shared" si="7"/>
        <v>9480934.7335580569</v>
      </c>
      <c r="G103" s="156">
        <f t="shared" si="8"/>
        <v>190176.39671431162</v>
      </c>
      <c r="H103" s="24">
        <f t="shared" si="9"/>
        <v>0</v>
      </c>
      <c r="I103" s="94">
        <f t="shared" si="12"/>
        <v>518984.5354498598</v>
      </c>
      <c r="J103" s="156">
        <f>I103*NPV!C32</f>
        <v>68177.502269862103</v>
      </c>
    </row>
    <row r="104" spans="1:10" x14ac:dyDescent="0.2">
      <c r="A104" s="24">
        <f t="shared" si="13"/>
        <v>2048</v>
      </c>
      <c r="B104" s="156">
        <f>'EC - Travel Time - Roadway'!Q29+'EC - Travel Time - Roadway'!R29</f>
        <v>1270657.8728625609</v>
      </c>
      <c r="C104" s="156">
        <f t="shared" si="6"/>
        <v>721255.72114732931</v>
      </c>
      <c r="D104" s="156">
        <f t="shared" si="10"/>
        <v>6409799593.8363152</v>
      </c>
      <c r="E104" s="156">
        <f t="shared" si="11"/>
        <v>11684342.682586735</v>
      </c>
      <c r="F104" s="156">
        <f t="shared" si="7"/>
        <v>9809077.8076036777</v>
      </c>
      <c r="G104" s="156">
        <f t="shared" si="8"/>
        <v>196758.56072899143</v>
      </c>
      <c r="H104" s="24">
        <f t="shared" si="9"/>
        <v>0</v>
      </c>
      <c r="I104" s="94">
        <f t="shared" si="12"/>
        <v>536947.02392073488</v>
      </c>
      <c r="J104" s="156">
        <f>I104*NPV!C33</f>
        <v>65922.600558134116</v>
      </c>
    </row>
    <row r="105" spans="1:10" x14ac:dyDescent="0.2">
      <c r="A105" s="24">
        <f t="shared" si="13"/>
        <v>2049</v>
      </c>
      <c r="B105" s="156">
        <f>'EC - Travel Time - Roadway'!Q30+'EC - Travel Time - Roadway'!R30</f>
        <v>1309288.9083918363</v>
      </c>
      <c r="C105" s="156">
        <f t="shared" si="6"/>
        <v>747288.19671156805</v>
      </c>
      <c r="D105" s="156">
        <f t="shared" si="10"/>
        <v>6641150204.175705</v>
      </c>
      <c r="E105" s="156">
        <f t="shared" si="11"/>
        <v>12106068.786727402</v>
      </c>
      <c r="F105" s="156">
        <f t="shared" si="7"/>
        <v>10163119.475277325</v>
      </c>
      <c r="G105" s="156">
        <f t="shared" si="8"/>
        <v>203860.22006291576</v>
      </c>
      <c r="H105" s="24">
        <f t="shared" si="9"/>
        <v>0</v>
      </c>
      <c r="I105" s="94">
        <f t="shared" si="12"/>
        <v>556327.19640279422</v>
      </c>
      <c r="J105" s="156">
        <f>I105*NPV!C34</f>
        <v>63833.609910149666</v>
      </c>
    </row>
    <row r="106" spans="1:10" x14ac:dyDescent="0.2">
      <c r="A106" s="24">
        <f t="shared" si="13"/>
        <v>2050</v>
      </c>
      <c r="B106" s="156">
        <f>'EC - Travel Time - Roadway'!Q31+'EC - Travel Time - Roadway'!R31</f>
        <v>1350887.7742172515</v>
      </c>
      <c r="C106" s="156">
        <f t="shared" si="6"/>
        <v>775473.60533862456</v>
      </c>
      <c r="D106" s="156">
        <f t="shared" si="10"/>
        <v>6891633930.6443567</v>
      </c>
      <c r="E106" s="156">
        <f t="shared" si="11"/>
        <v>12562672.406485718</v>
      </c>
      <c r="F106" s="156">
        <f t="shared" si="7"/>
        <v>10546441.032605294</v>
      </c>
      <c r="G106" s="156">
        <f t="shared" si="8"/>
        <v>211549.19953637678</v>
      </c>
      <c r="H106" s="24">
        <f t="shared" si="9"/>
        <v>0</v>
      </c>
      <c r="I106" s="94">
        <f t="shared" si="12"/>
        <v>577310.14438719756</v>
      </c>
      <c r="J106" s="156">
        <f>I106*NPV!C35</f>
        <v>61907.679462881002</v>
      </c>
    </row>
    <row r="107" spans="1:10" x14ac:dyDescent="0.2">
      <c r="A107" s="24">
        <f t="shared" si="13"/>
        <v>2051</v>
      </c>
      <c r="B107" s="156">
        <f>'EC - Travel Time - Roadway'!Q32+'EC - Travel Time - Roadway'!R32</f>
        <v>1395857.5101981808</v>
      </c>
      <c r="C107" s="156">
        <f t="shared" si="6"/>
        <v>806107.12598178501</v>
      </c>
      <c r="D107" s="156">
        <f t="shared" si="10"/>
        <v>7163874028.6001234</v>
      </c>
      <c r="E107" s="156">
        <f t="shared" si="11"/>
        <v>13058935.440904917</v>
      </c>
      <c r="F107" s="156">
        <f t="shared" si="7"/>
        <v>10963056.913352275</v>
      </c>
      <c r="G107" s="156">
        <f t="shared" si="8"/>
        <v>219906.02396783093</v>
      </c>
      <c r="H107" s="24">
        <f t="shared" si="9"/>
        <v>0</v>
      </c>
      <c r="I107" s="94">
        <f t="shared" si="12"/>
        <v>600115.61720257287</v>
      </c>
      <c r="J107" s="156">
        <f>I107*NPV!C36</f>
        <v>60143.19389891137</v>
      </c>
    </row>
    <row r="108" spans="1:10" x14ac:dyDescent="0.2">
      <c r="A108" s="24">
        <f t="shared" si="13"/>
        <v>2052</v>
      </c>
      <c r="B108" s="156">
        <f>'EC - Travel Time - Roadway'!Q33+'EC - Travel Time - Roadway'!R33</f>
        <v>1444680.4786637847</v>
      </c>
      <c r="C108" s="156">
        <f t="shared" si="6"/>
        <v>839542.07108209666</v>
      </c>
      <c r="D108" s="156">
        <f t="shared" si="10"/>
        <v>7461010385.7065935</v>
      </c>
      <c r="E108" s="156">
        <f t="shared" si="11"/>
        <v>13600581.551529964</v>
      </c>
      <c r="F108" s="156">
        <f t="shared" si="7"/>
        <v>11417772.166716514</v>
      </c>
      <c r="G108" s="156">
        <f t="shared" si="8"/>
        <v>229027.07699119597</v>
      </c>
      <c r="H108" s="24">
        <f t="shared" si="9"/>
        <v>0</v>
      </c>
      <c r="I108" s="94">
        <f t="shared" si="12"/>
        <v>625006.64231362147</v>
      </c>
      <c r="J108" s="156">
        <f>I108*NPV!C37</f>
        <v>58539.958994761881</v>
      </c>
    </row>
    <row r="109" spans="1:10" x14ac:dyDescent="0.2">
      <c r="A109" s="24">
        <f t="shared" si="13"/>
        <v>2053</v>
      </c>
      <c r="B109" s="156">
        <f>'EC - Travel Time - Roadway'!Q34+'EC - Travel Time - Roadway'!R34</f>
        <v>1497939.1529545225</v>
      </c>
      <c r="C109" s="156">
        <f t="shared" si="6"/>
        <v>876205.12247223652</v>
      </c>
      <c r="D109" s="156">
        <f t="shared" si="10"/>
        <v>7786834923.4107656</v>
      </c>
      <c r="E109" s="156">
        <f t="shared" si="11"/>
        <v>14194522.984050231</v>
      </c>
      <c r="F109" s="156">
        <f t="shared" si="7"/>
        <v>11916389.665622417</v>
      </c>
      <c r="G109" s="156">
        <f t="shared" si="8"/>
        <v>239028.7574104261</v>
      </c>
      <c r="H109" s="24">
        <f t="shared" si="9"/>
        <v>0</v>
      </c>
      <c r="I109" s="94">
        <f t="shared" si="12"/>
        <v>652300.86786301876</v>
      </c>
      <c r="J109" s="156">
        <f>I109*NPV!C38</f>
        <v>57099.4545575925</v>
      </c>
    </row>
    <row r="110" spans="1:10" x14ac:dyDescent="0.2">
      <c r="A110" s="24">
        <f t="shared" si="13"/>
        <v>2054</v>
      </c>
      <c r="B110" s="156">
        <f>'EC - Travel Time - Roadway'!Q35+'EC - Travel Time - Roadway'!R35</f>
        <v>1556343.8398306589</v>
      </c>
      <c r="C110" s="156">
        <f t="shared" si="6"/>
        <v>916616.64911134786</v>
      </c>
      <c r="D110" s="156">
        <f t="shared" si="10"/>
        <v>8145972160.6525488</v>
      </c>
      <c r="E110" s="156">
        <f t="shared" si="11"/>
        <v>14849189.715603834</v>
      </c>
      <c r="F110" s="156">
        <f t="shared" si="7"/>
        <v>12465986.427914331</v>
      </c>
      <c r="G110" s="156">
        <f t="shared" si="8"/>
        <v>250053.02187757569</v>
      </c>
      <c r="H110" s="24">
        <f t="shared" si="9"/>
        <v>0</v>
      </c>
      <c r="I110" s="94">
        <f t="shared" si="12"/>
        <v>682385.68844017433</v>
      </c>
      <c r="J110" s="156">
        <f>I110*NPV!C39</f>
        <v>55825.18044393442</v>
      </c>
    </row>
    <row r="111" spans="1:10" x14ac:dyDescent="0.2">
      <c r="A111" s="24">
        <f t="shared" si="13"/>
        <v>2055</v>
      </c>
      <c r="B111" s="156">
        <f>'EC - Travel Time - Roadway'!Q36+'EC - Travel Time - Roadway'!R36</f>
        <v>1620770.1983208894</v>
      </c>
      <c r="C111" s="156">
        <f t="shared" si="6"/>
        <v>961418.2046306564</v>
      </c>
      <c r="D111" s="156">
        <f t="shared" si="10"/>
        <v>8544123584.5526438</v>
      </c>
      <c r="E111" s="156">
        <f t="shared" si="11"/>
        <v>15574974.915016633</v>
      </c>
      <c r="F111" s="156">
        <f t="shared" si="7"/>
        <v>13075287.582976926</v>
      </c>
      <c r="G111" s="156">
        <f t="shared" si="8"/>
        <v>262274.88622324303</v>
      </c>
      <c r="H111" s="24">
        <f t="shared" si="9"/>
        <v>0</v>
      </c>
      <c r="I111" s="94">
        <f t="shared" si="12"/>
        <v>715738.71594177315</v>
      </c>
      <c r="J111" s="156">
        <f>I111*NPV!C40</f>
        <v>54723.133530498097</v>
      </c>
    </row>
    <row r="112" spans="1:10" x14ac:dyDescent="0.2">
      <c r="A112" s="778" t="s">
        <v>0</v>
      </c>
      <c r="B112" s="778"/>
      <c r="C112" s="778"/>
      <c r="D112" s="778"/>
      <c r="E112" s="778"/>
      <c r="F112" s="778"/>
      <c r="G112" s="778"/>
      <c r="H112" s="778"/>
      <c r="I112" s="91">
        <f>SUM(I81:I111)</f>
        <v>13318165.177229302</v>
      </c>
      <c r="J112" s="91">
        <f>SUM(J81:J111)</f>
        <v>2773493.1246912666</v>
      </c>
    </row>
  </sheetData>
  <mergeCells count="12">
    <mergeCell ref="K37:M37"/>
    <mergeCell ref="N37:N38"/>
    <mergeCell ref="B12:D13"/>
    <mergeCell ref="B37:D37"/>
    <mergeCell ref="A37:A38"/>
    <mergeCell ref="H37:J37"/>
    <mergeCell ref="A112:H112"/>
    <mergeCell ref="A9:B9"/>
    <mergeCell ref="A2:B2"/>
    <mergeCell ref="A20:B20"/>
    <mergeCell ref="A21:C21"/>
    <mergeCell ref="A30:C30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M95"/>
  <sheetViews>
    <sheetView zoomScale="70" zoomScaleNormal="70" workbookViewId="0"/>
  </sheetViews>
  <sheetFormatPr defaultRowHeight="12.75" x14ac:dyDescent="0.2"/>
  <cols>
    <col min="1" max="1" width="24.42578125" bestFit="1" customWidth="1"/>
    <col min="2" max="3" width="8.7109375" customWidth="1"/>
    <col min="4" max="4" width="13.7109375" bestFit="1" customWidth="1"/>
    <col min="5" max="5" width="10.5703125" customWidth="1"/>
    <col min="6" max="6" width="18.85546875" bestFit="1" customWidth="1"/>
    <col min="7" max="21" width="8.7109375" customWidth="1"/>
    <col min="22" max="22" width="16.85546875" bestFit="1" customWidth="1"/>
    <col min="23" max="23" width="10.85546875" customWidth="1"/>
    <col min="24" max="24" width="11.28515625" customWidth="1"/>
    <col min="25" max="25" width="10.5703125" customWidth="1"/>
    <col min="26" max="26" width="8.28515625" bestFit="1" customWidth="1"/>
    <col min="28" max="28" width="8.7109375" bestFit="1" customWidth="1"/>
  </cols>
  <sheetData>
    <row r="1" spans="1:39" ht="13.5" thickBot="1" x14ac:dyDescent="0.25">
      <c r="C1" s="535" t="s">
        <v>387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</row>
    <row r="2" spans="1:39" x14ac:dyDescent="0.2">
      <c r="C2" s="872" t="s">
        <v>391</v>
      </c>
      <c r="D2" s="849"/>
      <c r="E2" s="849"/>
      <c r="F2" s="849"/>
      <c r="G2" s="876" t="s">
        <v>408</v>
      </c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 t="s">
        <v>420</v>
      </c>
      <c r="T2" s="827"/>
      <c r="U2" s="543"/>
      <c r="V2" s="872" t="s">
        <v>410</v>
      </c>
      <c r="W2" s="849"/>
      <c r="X2" s="849"/>
      <c r="Y2" s="883"/>
      <c r="Z2" s="876" t="s">
        <v>408</v>
      </c>
      <c r="AA2" s="827"/>
      <c r="AB2" s="827"/>
      <c r="AC2" s="827"/>
      <c r="AD2" s="827"/>
      <c r="AE2" s="827"/>
      <c r="AF2" s="827"/>
      <c r="AG2" s="827"/>
      <c r="AH2" s="827"/>
      <c r="AI2" s="827"/>
      <c r="AJ2" s="827"/>
      <c r="AK2" s="827"/>
      <c r="AL2" s="827" t="s">
        <v>420</v>
      </c>
      <c r="AM2" s="827"/>
    </row>
    <row r="3" spans="1:39" ht="13.5" thickBot="1" x14ac:dyDescent="0.25">
      <c r="D3" s="721" t="s">
        <v>392</v>
      </c>
      <c r="E3" s="873"/>
      <c r="F3" s="873"/>
      <c r="G3" s="874" t="s">
        <v>393</v>
      </c>
      <c r="H3" s="875"/>
      <c r="I3" s="874" t="s">
        <v>409</v>
      </c>
      <c r="J3" s="875"/>
      <c r="K3" s="874" t="s">
        <v>407</v>
      </c>
      <c r="L3" s="875"/>
      <c r="M3" s="874" t="s">
        <v>405</v>
      </c>
      <c r="N3" s="875"/>
      <c r="O3" s="874" t="s">
        <v>406</v>
      </c>
      <c r="P3" s="875"/>
      <c r="Q3" s="874" t="s">
        <v>404</v>
      </c>
      <c r="R3" s="874"/>
      <c r="S3" s="874" t="s">
        <v>404</v>
      </c>
      <c r="T3" s="874"/>
      <c r="U3" s="148"/>
      <c r="V3" s="3"/>
      <c r="W3" s="874" t="s">
        <v>392</v>
      </c>
      <c r="X3" s="874"/>
      <c r="Y3" s="874"/>
      <c r="Z3" s="874" t="s">
        <v>393</v>
      </c>
      <c r="AA3" s="875"/>
      <c r="AB3" s="874" t="s">
        <v>409</v>
      </c>
      <c r="AC3" s="875"/>
      <c r="AD3" s="874" t="s">
        <v>407</v>
      </c>
      <c r="AE3" s="875"/>
      <c r="AF3" s="874" t="s">
        <v>405</v>
      </c>
      <c r="AG3" s="875"/>
      <c r="AH3" s="874" t="s">
        <v>406</v>
      </c>
      <c r="AI3" s="875"/>
      <c r="AJ3" s="874" t="s">
        <v>404</v>
      </c>
      <c r="AK3" s="874"/>
      <c r="AL3" s="874" t="s">
        <v>404</v>
      </c>
      <c r="AM3" s="874"/>
    </row>
    <row r="4" spans="1:39" ht="25.5" x14ac:dyDescent="0.2">
      <c r="A4" s="414" t="s">
        <v>323</v>
      </c>
      <c r="B4" s="416">
        <v>1.6E-2</v>
      </c>
      <c r="C4" s="413" t="s">
        <v>1</v>
      </c>
      <c r="D4" s="523" t="s">
        <v>0</v>
      </c>
      <c r="E4" s="305" t="s">
        <v>384</v>
      </c>
      <c r="F4" s="305" t="s">
        <v>186</v>
      </c>
      <c r="G4" s="120" t="s">
        <v>394</v>
      </c>
      <c r="H4" s="120" t="s">
        <v>395</v>
      </c>
      <c r="I4" s="120" t="s">
        <v>396</v>
      </c>
      <c r="J4" s="120" t="s">
        <v>397</v>
      </c>
      <c r="K4" s="120" t="s">
        <v>400</v>
      </c>
      <c r="L4" s="120" t="s">
        <v>401</v>
      </c>
      <c r="M4" s="120" t="s">
        <v>399</v>
      </c>
      <c r="N4" s="120" t="s">
        <v>398</v>
      </c>
      <c r="O4" s="120" t="s">
        <v>402</v>
      </c>
      <c r="P4" s="120" t="s">
        <v>403</v>
      </c>
      <c r="Q4" s="120" t="s">
        <v>384</v>
      </c>
      <c r="R4" s="510" t="s">
        <v>186</v>
      </c>
      <c r="S4" s="120" t="s">
        <v>384</v>
      </c>
      <c r="T4" s="120" t="s">
        <v>186</v>
      </c>
      <c r="U4" s="120"/>
      <c r="V4" s="305" t="s">
        <v>1</v>
      </c>
      <c r="W4" s="523" t="s">
        <v>0</v>
      </c>
      <c r="X4" s="305" t="s">
        <v>384</v>
      </c>
      <c r="Y4" s="305" t="s">
        <v>186</v>
      </c>
      <c r="Z4" s="120" t="s">
        <v>394</v>
      </c>
      <c r="AA4" s="120" t="s">
        <v>395</v>
      </c>
      <c r="AB4" s="120" t="s">
        <v>396</v>
      </c>
      <c r="AC4" s="120" t="s">
        <v>397</v>
      </c>
      <c r="AD4" s="120" t="s">
        <v>400</v>
      </c>
      <c r="AE4" s="120" t="s">
        <v>401</v>
      </c>
      <c r="AF4" s="120" t="s">
        <v>399</v>
      </c>
      <c r="AG4" s="120" t="s">
        <v>398</v>
      </c>
      <c r="AH4" s="120" t="s">
        <v>402</v>
      </c>
      <c r="AI4" s="120" t="s">
        <v>403</v>
      </c>
      <c r="AJ4" s="120" t="s">
        <v>384</v>
      </c>
      <c r="AK4" s="510" t="s">
        <v>186</v>
      </c>
      <c r="AL4" s="120" t="s">
        <v>384</v>
      </c>
      <c r="AM4" s="120" t="s">
        <v>186</v>
      </c>
    </row>
    <row r="5" spans="1:39" ht="13.5" thickBot="1" x14ac:dyDescent="0.25">
      <c r="A5" s="415" t="s">
        <v>342</v>
      </c>
      <c r="B5" s="417">
        <v>8.9999999999999993E-3</v>
      </c>
      <c r="C5" s="413">
        <v>2017</v>
      </c>
      <c r="D5" s="388">
        <f>'Segment AADTs'!N5</f>
        <v>12212</v>
      </c>
      <c r="E5" s="388">
        <f>D5-F5</f>
        <v>10135.959999999999</v>
      </c>
      <c r="F5" s="388">
        <f>'Segment AADTs'!N4</f>
        <v>2076.04</v>
      </c>
      <c r="G5" s="503">
        <f>E5/(24)</f>
        <v>422.33166666666665</v>
      </c>
      <c r="H5" s="503">
        <f>F5/(24)</f>
        <v>86.501666666666665</v>
      </c>
      <c r="I5" s="507">
        <f>1800*0.45</f>
        <v>810</v>
      </c>
      <c r="J5" s="507">
        <f>900*0.45</f>
        <v>405</v>
      </c>
      <c r="K5" s="540">
        <f>('EC - Travel Time - Roadway'!$D$74/60)</f>
        <v>0.99776500638569621</v>
      </c>
      <c r="L5" s="540">
        <f>('EC - Travel Time - Roadway'!$D$74/60)</f>
        <v>0.99776500638569621</v>
      </c>
      <c r="M5" s="507">
        <f>G5*(K5)</f>
        <v>421.38775808854837</v>
      </c>
      <c r="N5" s="507">
        <f>H5*(L5)</f>
        <v>86.308335994040036</v>
      </c>
      <c r="O5" s="540">
        <f>M5/(I5-G5)</f>
        <v>1.0869800854387084</v>
      </c>
      <c r="P5" s="540">
        <f>N5/(J5-H5)</f>
        <v>0.27098520450878349</v>
      </c>
      <c r="Q5" s="547">
        <f>0.5*K5*G5*(K5+O5)</f>
        <v>439.24303021499543</v>
      </c>
      <c r="R5" s="548">
        <f>0.5*L5*H5*(L5+P5)</f>
        <v>54.751859747194956</v>
      </c>
      <c r="S5" s="557">
        <f>Q5*365</f>
        <v>160323.70602847333</v>
      </c>
      <c r="T5" s="503">
        <f>R5*365</f>
        <v>19984.428807726159</v>
      </c>
      <c r="U5" s="559"/>
      <c r="V5" s="413">
        <v>2017</v>
      </c>
      <c r="W5" s="388">
        <f>'Segment AADTs'!P5</f>
        <v>9223</v>
      </c>
      <c r="X5" s="388">
        <f>W5-Y5</f>
        <v>7655.09</v>
      </c>
      <c r="Y5" s="388">
        <f>'Segment AADTs'!P4</f>
        <v>1567.91</v>
      </c>
      <c r="Z5" s="503">
        <f>X5/(24)</f>
        <v>318.96208333333334</v>
      </c>
      <c r="AA5" s="503">
        <f>Y5/(24)</f>
        <v>65.329583333333332</v>
      </c>
      <c r="AB5" s="507">
        <f>1800*0.45</f>
        <v>810</v>
      </c>
      <c r="AC5" s="507">
        <f>900*0.45</f>
        <v>405</v>
      </c>
      <c r="AD5" s="540">
        <f>('EC - Travel Time - Roadway'!$D$74/60)</f>
        <v>0.99776500638569621</v>
      </c>
      <c r="AE5" s="540">
        <f>('EC - Travel Time - Roadway'!$D$74/60)</f>
        <v>0.99776500638569621</v>
      </c>
      <c r="AF5" s="507">
        <f>Z5*(AD5)</f>
        <v>318.2492051138783</v>
      </c>
      <c r="AG5" s="507">
        <f>AA5*(AE5)</f>
        <v>65.183572131758211</v>
      </c>
      <c r="AH5" s="540">
        <f>AF5/(AB5-Z5)</f>
        <v>0.64811533755735762</v>
      </c>
      <c r="AI5" s="540">
        <f>AG5/(AC5-AA5)</f>
        <v>0.191902411671387</v>
      </c>
      <c r="AJ5" s="507">
        <f>0.5*AD5*Z5*(AD5+AH5)</f>
        <v>261.90005558621675</v>
      </c>
      <c r="AK5" s="507">
        <f>0.5*AE5*AA5*(AE5+AI5)</f>
        <v>38.773385978863217</v>
      </c>
      <c r="AL5" s="557">
        <f>AJ5*365</f>
        <v>95593.520288969114</v>
      </c>
      <c r="AM5" s="503">
        <f>AK5*365</f>
        <v>14152.285882285074</v>
      </c>
    </row>
    <row r="6" spans="1:39" x14ac:dyDescent="0.2">
      <c r="C6" s="305">
        <v>2018</v>
      </c>
      <c r="D6" s="308">
        <f>D5*(1+$B$4)</f>
        <v>12407.392</v>
      </c>
      <c r="E6" s="308">
        <f>D6-F6</f>
        <v>10298.13536</v>
      </c>
      <c r="F6" s="308">
        <f>F5*(1+$B$4)</f>
        <v>2109.2566400000001</v>
      </c>
      <c r="G6" s="503">
        <f>E6/(24)</f>
        <v>429.08897333333334</v>
      </c>
      <c r="H6" s="503">
        <f>F6/(24)</f>
        <v>87.885693333333336</v>
      </c>
      <c r="I6" s="507">
        <f t="shared" ref="I6:I43" si="0">1800*0.45</f>
        <v>810</v>
      </c>
      <c r="J6" s="507">
        <f t="shared" ref="J6:J43" si="1">900*0.45</f>
        <v>405</v>
      </c>
      <c r="K6" s="540">
        <f>('EC - Travel Time - Roadway'!$D$74/60)</f>
        <v>0.99776500638569621</v>
      </c>
      <c r="L6" s="540">
        <f>('EC - Travel Time - Roadway'!$D$74/60)</f>
        <v>0.99776500638569621</v>
      </c>
      <c r="M6" s="507">
        <f t="shared" ref="M6:M43" si="2">G6*(K6)</f>
        <v>428.12996221796516</v>
      </c>
      <c r="N6" s="507">
        <f t="shared" ref="N6:N43" si="3">H6*(L6)</f>
        <v>87.689269369944668</v>
      </c>
      <c r="O6" s="540">
        <f t="shared" ref="O6:O43" si="4">M6/(I6-G6)</f>
        <v>1.1239631626432793</v>
      </c>
      <c r="P6" s="540">
        <f t="shared" ref="P6:P43" si="5">N6/(J6-H6)</f>
        <v>0.27652258988781248</v>
      </c>
      <c r="Q6" s="547">
        <f t="shared" ref="Q6:Q43" si="6">0.5*K6*G6*(K6+O6)</f>
        <v>454.18770042158388</v>
      </c>
      <c r="R6" s="548">
        <f t="shared" ref="R6:R43" si="7">0.5*L6*H6*(L6+P6)</f>
        <v>55.870674142203505</v>
      </c>
      <c r="S6" s="503">
        <f t="shared" ref="S6:S43" si="8">Q6*365</f>
        <v>165778.51065387813</v>
      </c>
      <c r="T6" s="503">
        <f t="shared" ref="T6:T43" si="9">R6*365</f>
        <v>20392.796061904279</v>
      </c>
      <c r="U6" s="503"/>
      <c r="V6" s="305">
        <v>2018</v>
      </c>
      <c r="W6" s="308">
        <f t="shared" ref="W6:W28" si="10">W5*(1+$B$4)</f>
        <v>9370.5679999999993</v>
      </c>
      <c r="X6" s="308">
        <f t="shared" ref="X6:X43" si="11">W6-Y6</f>
        <v>7777.5714399999997</v>
      </c>
      <c r="Y6" s="308">
        <f>Y5*(1+$B$4)</f>
        <v>1592.99656</v>
      </c>
      <c r="Z6" s="503">
        <f>X6/(24)</f>
        <v>324.06547666666665</v>
      </c>
      <c r="AA6" s="503">
        <f>Y6/(24)</f>
        <v>66.374856666666673</v>
      </c>
      <c r="AB6" s="507">
        <f t="shared" ref="AB6:AB43" si="12">1800*0.45</f>
        <v>810</v>
      </c>
      <c r="AC6" s="507">
        <f t="shared" ref="AC6:AC43" si="13">900*0.45</f>
        <v>405</v>
      </c>
      <c r="AD6" s="540">
        <f>('EC - Travel Time - Roadway'!$D$74/60)</f>
        <v>0.99776500638569621</v>
      </c>
      <c r="AE6" s="540">
        <f>('EC - Travel Time - Roadway'!$D$74/60)</f>
        <v>0.99776500638569621</v>
      </c>
      <c r="AF6" s="507">
        <f t="shared" ref="AF6:AF43" si="14">Z6*(AD6)</f>
        <v>323.34119239570032</v>
      </c>
      <c r="AG6" s="507">
        <f t="shared" ref="AG6:AG43" si="15">AA6*(AE6)</f>
        <v>66.226509285866342</v>
      </c>
      <c r="AH6" s="540">
        <f t="shared" ref="AH6:AH43" si="16">AF6/(AB6-Z6)</f>
        <v>0.66540074201293176</v>
      </c>
      <c r="AI6" s="540">
        <f t="shared" ref="AI6:AI43" si="17">AG6/(AC6-AA6)</f>
        <v>0.19557469546989539</v>
      </c>
      <c r="AJ6" s="507">
        <f t="shared" ref="AJ6:AJ43" si="18">0.5*AD6*Z6*(AD6+AH6)</f>
        <v>268.88499811944985</v>
      </c>
      <c r="AK6" s="511">
        <f t="shared" ref="AK6:AK43" si="19">0.5*AE6*AA6*(AE6+AI6)</f>
        <v>39.515361423066153</v>
      </c>
      <c r="AL6" s="503">
        <f t="shared" ref="AL6:AL43" si="20">AJ6*365</f>
        <v>98143.024313599191</v>
      </c>
      <c r="AM6" s="503">
        <f t="shared" ref="AM6:AM43" si="21">AK6*365</f>
        <v>14423.106919419146</v>
      </c>
    </row>
    <row r="7" spans="1:39" x14ac:dyDescent="0.2">
      <c r="C7" s="305">
        <v>2019</v>
      </c>
      <c r="D7" s="308">
        <f t="shared" ref="D7:D28" si="22">D6*(1+$B$4)</f>
        <v>12605.910271999999</v>
      </c>
      <c r="E7" s="308">
        <f t="shared" ref="E7:E43" si="23">D7-F7</f>
        <v>10462.905525759999</v>
      </c>
      <c r="F7" s="308">
        <f>F6*(1+$B$4)</f>
        <v>2143.0047462400003</v>
      </c>
      <c r="G7" s="503">
        <f t="shared" ref="G7:G43" si="24">E7/(24)</f>
        <v>435.95439690666666</v>
      </c>
      <c r="H7" s="503">
        <f t="shared" ref="H7:H43" si="25">F7/(24)</f>
        <v>89.291864426666677</v>
      </c>
      <c r="I7" s="507">
        <f t="shared" si="0"/>
        <v>810</v>
      </c>
      <c r="J7" s="507">
        <f t="shared" si="1"/>
        <v>405</v>
      </c>
      <c r="K7" s="540">
        <f>('EC - Travel Time - Roadway'!$D$74/60)</f>
        <v>0.99776500638569621</v>
      </c>
      <c r="L7" s="540">
        <f>('EC - Travel Time - Roadway'!$D$74/60)</f>
        <v>0.99776500638569621</v>
      </c>
      <c r="M7" s="507">
        <f t="shared" si="2"/>
        <v>434.98004161345261</v>
      </c>
      <c r="N7" s="507">
        <f t="shared" si="3"/>
        <v>89.09229767986379</v>
      </c>
      <c r="O7" s="540">
        <f t="shared" si="4"/>
        <v>1.1629064424663607</v>
      </c>
      <c r="P7" s="540">
        <f t="shared" si="5"/>
        <v>0.28219829532764529</v>
      </c>
      <c r="Q7" s="547">
        <f t="shared" si="6"/>
        <v>469.92447836733328</v>
      </c>
      <c r="R7" s="548">
        <f t="shared" si="7"/>
        <v>57.017435747773163</v>
      </c>
      <c r="S7" s="503">
        <f t="shared" si="8"/>
        <v>171522.43460407664</v>
      </c>
      <c r="T7" s="503">
        <f t="shared" si="9"/>
        <v>20811.364047937204</v>
      </c>
      <c r="U7" s="503"/>
      <c r="V7" s="305">
        <v>2019</v>
      </c>
      <c r="W7" s="308">
        <f t="shared" si="10"/>
        <v>9520.4970880000001</v>
      </c>
      <c r="X7" s="308">
        <f t="shared" si="11"/>
        <v>7902.0125830400002</v>
      </c>
      <c r="Y7" s="308">
        <f t="shared" ref="Y7:Y28" si="26">Y6*(1+$B$4)</f>
        <v>1618.4845049600001</v>
      </c>
      <c r="Z7" s="503">
        <f t="shared" ref="Z7:Z43" si="27">X7/(24)</f>
        <v>329.25052429333334</v>
      </c>
      <c r="AA7" s="503">
        <f t="shared" ref="AA7:AA43" si="28">Y7/(24)</f>
        <v>67.436854373333333</v>
      </c>
      <c r="AB7" s="507">
        <f t="shared" si="12"/>
        <v>810</v>
      </c>
      <c r="AC7" s="507">
        <f t="shared" si="13"/>
        <v>405</v>
      </c>
      <c r="AD7" s="540">
        <f>('EC - Travel Time - Roadway'!$D$74/60)</f>
        <v>0.99776500638569621</v>
      </c>
      <c r="AE7" s="540">
        <f>('EC - Travel Time - Roadway'!$D$74/60)</f>
        <v>0.99776500638569621</v>
      </c>
      <c r="AF7" s="507">
        <f t="shared" si="14"/>
        <v>328.51465147403155</v>
      </c>
      <c r="AG7" s="507">
        <f t="shared" si="15"/>
        <v>67.286133434440202</v>
      </c>
      <c r="AH7" s="540">
        <f t="shared" si="16"/>
        <v>0.68333855380942221</v>
      </c>
      <c r="AI7" s="540">
        <f t="shared" si="17"/>
        <v>0.19932902719438567</v>
      </c>
      <c r="AJ7" s="507">
        <f t="shared" si="18"/>
        <v>276.1335750846265</v>
      </c>
      <c r="AK7" s="511">
        <f t="shared" si="19"/>
        <v>40.273914438520819</v>
      </c>
      <c r="AL7" s="503">
        <f t="shared" si="20"/>
        <v>100788.75490588867</v>
      </c>
      <c r="AM7" s="503">
        <f t="shared" si="21"/>
        <v>14699.978770060099</v>
      </c>
    </row>
    <row r="8" spans="1:39" x14ac:dyDescent="0.2">
      <c r="C8" s="305">
        <v>2020</v>
      </c>
      <c r="D8" s="308">
        <f t="shared" si="22"/>
        <v>12807.604836351999</v>
      </c>
      <c r="E8" s="308">
        <f t="shared" si="23"/>
        <v>10630.312014172159</v>
      </c>
      <c r="F8" s="308">
        <f>F7*(1+$B$4)</f>
        <v>2177.2928221798402</v>
      </c>
      <c r="G8" s="503">
        <f t="shared" si="24"/>
        <v>442.92966725717332</v>
      </c>
      <c r="H8" s="503">
        <f t="shared" si="25"/>
        <v>90.720534257493341</v>
      </c>
      <c r="I8" s="507">
        <f t="shared" si="0"/>
        <v>810</v>
      </c>
      <c r="J8" s="507">
        <f t="shared" si="1"/>
        <v>405</v>
      </c>
      <c r="K8" s="540">
        <f>('EC - Travel Time - Roadway'!$D$74/60)</f>
        <v>0.99776500638569621</v>
      </c>
      <c r="L8" s="540">
        <f>('EC - Travel Time - Roadway'!$D$74/60)</f>
        <v>0.99776500638569621</v>
      </c>
      <c r="M8" s="507">
        <f t="shared" si="2"/>
        <v>441.93972227926781</v>
      </c>
      <c r="N8" s="507">
        <f t="shared" si="3"/>
        <v>90.517774442741612</v>
      </c>
      <c r="O8" s="540">
        <f t="shared" si="4"/>
        <v>1.2039646979285994</v>
      </c>
      <c r="P8" s="540">
        <f t="shared" si="5"/>
        <v>0.28801682677195345</v>
      </c>
      <c r="Q8" s="547">
        <f t="shared" si="6"/>
        <v>486.51590702933714</v>
      </c>
      <c r="R8" s="548">
        <f t="shared" si="7"/>
        <v>58.193054978169478</v>
      </c>
      <c r="S8" s="503">
        <f t="shared" si="8"/>
        <v>177578.30606570805</v>
      </c>
      <c r="T8" s="503">
        <f t="shared" si="9"/>
        <v>21240.465067031859</v>
      </c>
      <c r="U8" s="503"/>
      <c r="V8" s="305">
        <v>2020</v>
      </c>
      <c r="W8" s="308">
        <f t="shared" si="10"/>
        <v>9672.8250414079994</v>
      </c>
      <c r="X8" s="308">
        <f t="shared" si="11"/>
        <v>8028.4447843686394</v>
      </c>
      <c r="Y8" s="308">
        <f t="shared" si="26"/>
        <v>1644.3802570393602</v>
      </c>
      <c r="Z8" s="503">
        <f t="shared" si="27"/>
        <v>334.51853268202666</v>
      </c>
      <c r="AA8" s="503">
        <f t="shared" si="28"/>
        <v>68.515844043306672</v>
      </c>
      <c r="AB8" s="507">
        <f t="shared" si="12"/>
        <v>810</v>
      </c>
      <c r="AC8" s="507">
        <f t="shared" si="13"/>
        <v>405</v>
      </c>
      <c r="AD8" s="540">
        <f>('EC - Travel Time - Roadway'!$D$74/60)</f>
        <v>0.99776500638569621</v>
      </c>
      <c r="AE8" s="540">
        <f>('EC - Travel Time - Roadway'!$D$74/60)</f>
        <v>0.99776500638569621</v>
      </c>
      <c r="AF8" s="507">
        <f t="shared" si="14"/>
        <v>333.77088589761604</v>
      </c>
      <c r="AG8" s="507">
        <f t="shared" si="15"/>
        <v>68.362711569391251</v>
      </c>
      <c r="AH8" s="540">
        <f t="shared" si="16"/>
        <v>0.70196402770501709</v>
      </c>
      <c r="AI8" s="540">
        <f t="shared" si="17"/>
        <v>0.20316769856524766</v>
      </c>
      <c r="AJ8" s="507">
        <f t="shared" si="18"/>
        <v>283.66003274717832</v>
      </c>
      <c r="AK8" s="511">
        <f t="shared" si="19"/>
        <v>41.049508061405113</v>
      </c>
      <c r="AL8" s="503">
        <f t="shared" si="20"/>
        <v>103535.91195272008</v>
      </c>
      <c r="AM8" s="503">
        <f t="shared" si="21"/>
        <v>14983.070442412867</v>
      </c>
    </row>
    <row r="9" spans="1:39" x14ac:dyDescent="0.2">
      <c r="C9" s="305">
        <v>2021</v>
      </c>
      <c r="D9" s="308">
        <f t="shared" si="22"/>
        <v>13012.52651373363</v>
      </c>
      <c r="E9" s="308">
        <f t="shared" si="23"/>
        <v>10800.397006398913</v>
      </c>
      <c r="F9" s="308">
        <f t="shared" ref="F9:F28" si="29">F8*(1+$B$4)</f>
        <v>2212.1295073347178</v>
      </c>
      <c r="G9" s="503">
        <f t="shared" si="24"/>
        <v>450.01654193328801</v>
      </c>
      <c r="H9" s="503">
        <f t="shared" si="25"/>
        <v>92.172062805613237</v>
      </c>
      <c r="I9" s="507">
        <f t="shared" si="0"/>
        <v>810</v>
      </c>
      <c r="J9" s="507">
        <f t="shared" si="1"/>
        <v>405</v>
      </c>
      <c r="K9" s="540">
        <f>('EC - Travel Time - Roadway'!$D$74/60)</f>
        <v>0.99776500638569621</v>
      </c>
      <c r="L9" s="540">
        <f>('EC - Travel Time - Roadway'!$D$74/60)</f>
        <v>0.99776500638569621</v>
      </c>
      <c r="M9" s="507">
        <f t="shared" si="2"/>
        <v>449.01075783573606</v>
      </c>
      <c r="N9" s="507">
        <f t="shared" si="3"/>
        <v>91.966058833825485</v>
      </c>
      <c r="O9" s="540">
        <f t="shared" si="4"/>
        <v>1.2473094187359175</v>
      </c>
      <c r="P9" s="540">
        <f t="shared" si="5"/>
        <v>0.29398288291841113</v>
      </c>
      <c r="Q9" s="547">
        <f t="shared" si="6"/>
        <v>504.03128451074264</v>
      </c>
      <c r="R9" s="548">
        <f t="shared" si="7"/>
        <v>59.39848119310571</v>
      </c>
      <c r="S9" s="503">
        <f t="shared" si="8"/>
        <v>183971.41884642106</v>
      </c>
      <c r="T9" s="503">
        <f t="shared" si="9"/>
        <v>21680.445635483586</v>
      </c>
      <c r="U9" s="503"/>
      <c r="V9" s="305">
        <v>2021</v>
      </c>
      <c r="W9" s="308">
        <f t="shared" si="10"/>
        <v>9827.5902420705279</v>
      </c>
      <c r="X9" s="308">
        <f t="shared" si="11"/>
        <v>8156.8999009185382</v>
      </c>
      <c r="Y9" s="308">
        <f t="shared" si="26"/>
        <v>1670.69034115199</v>
      </c>
      <c r="Z9" s="503">
        <f t="shared" si="27"/>
        <v>339.87082920493907</v>
      </c>
      <c r="AA9" s="503">
        <f t="shared" si="28"/>
        <v>69.612097547999582</v>
      </c>
      <c r="AB9" s="507">
        <f t="shared" si="12"/>
        <v>810</v>
      </c>
      <c r="AC9" s="507">
        <f t="shared" si="13"/>
        <v>405</v>
      </c>
      <c r="AD9" s="540">
        <f>('EC - Travel Time - Roadway'!$D$74/60)</f>
        <v>0.99776500638569621</v>
      </c>
      <c r="AE9" s="540">
        <f>('EC - Travel Time - Roadway'!$D$74/60)</f>
        <v>0.99776500638569621</v>
      </c>
      <c r="AF9" s="507">
        <f t="shared" si="14"/>
        <v>339.11122007197787</v>
      </c>
      <c r="AG9" s="507">
        <f t="shared" si="15"/>
        <v>69.456514954501515</v>
      </c>
      <c r="AH9" s="540">
        <f t="shared" si="16"/>
        <v>0.72131499412914224</v>
      </c>
      <c r="AI9" s="540">
        <f t="shared" si="17"/>
        <v>0.20709308370012511</v>
      </c>
      <c r="AJ9" s="507">
        <f t="shared" si="18"/>
        <v>291.4796581879616</v>
      </c>
      <c r="AK9" s="511">
        <f t="shared" si="19"/>
        <v>41.842621976048989</v>
      </c>
      <c r="AL9" s="503">
        <f t="shared" si="20"/>
        <v>106390.07523860599</v>
      </c>
      <c r="AM9" s="503">
        <f t="shared" si="21"/>
        <v>15272.55702125788</v>
      </c>
    </row>
    <row r="10" spans="1:39" x14ac:dyDescent="0.2">
      <c r="C10" s="305">
        <v>2022</v>
      </c>
      <c r="D10" s="308">
        <f t="shared" si="22"/>
        <v>13220.726937953368</v>
      </c>
      <c r="E10" s="308">
        <f t="shared" si="23"/>
        <v>10973.203358501294</v>
      </c>
      <c r="F10" s="308">
        <f t="shared" si="29"/>
        <v>2247.5235794520731</v>
      </c>
      <c r="G10" s="503">
        <f t="shared" si="24"/>
        <v>457.21680660422061</v>
      </c>
      <c r="H10" s="503">
        <f t="shared" si="25"/>
        <v>93.646815810503043</v>
      </c>
      <c r="I10" s="507">
        <f t="shared" si="0"/>
        <v>810</v>
      </c>
      <c r="J10" s="507">
        <f t="shared" si="1"/>
        <v>405</v>
      </c>
      <c r="K10" s="540">
        <f>('EC - Travel Time - Roadway'!$D$74/60)</f>
        <v>0.99776500638569621</v>
      </c>
      <c r="L10" s="540">
        <f>('EC - Travel Time - Roadway'!$D$74/60)</f>
        <v>0.99776500638569621</v>
      </c>
      <c r="M10" s="507">
        <f t="shared" si="2"/>
        <v>456.19492996110779</v>
      </c>
      <c r="N10" s="507">
        <f t="shared" si="3"/>
        <v>93.437515775166688</v>
      </c>
      <c r="O10" s="540">
        <f t="shared" si="4"/>
        <v>1.2931311312478344</v>
      </c>
      <c r="P10" s="540">
        <f t="shared" si="5"/>
        <v>0.30010136565135748</v>
      </c>
      <c r="Q10" s="547">
        <f t="shared" si="6"/>
        <v>522.54760152795041</v>
      </c>
      <c r="R10" s="548">
        <f t="shared" si="7"/>
        <v>60.634704805635273</v>
      </c>
      <c r="S10" s="503">
        <f t="shared" si="8"/>
        <v>190729.8745577019</v>
      </c>
      <c r="T10" s="503">
        <f t="shared" si="9"/>
        <v>22131.667254056876</v>
      </c>
      <c r="U10" s="503"/>
      <c r="V10" s="305">
        <v>2022</v>
      </c>
      <c r="W10" s="308">
        <f t="shared" si="10"/>
        <v>9984.8316859436563</v>
      </c>
      <c r="X10" s="308">
        <f t="shared" si="11"/>
        <v>8287.4102993332344</v>
      </c>
      <c r="Y10" s="308">
        <f t="shared" si="26"/>
        <v>1697.4213866104219</v>
      </c>
      <c r="Z10" s="503">
        <f t="shared" si="27"/>
        <v>345.30876247221812</v>
      </c>
      <c r="AA10" s="503">
        <f t="shared" si="28"/>
        <v>70.725891108767584</v>
      </c>
      <c r="AB10" s="507">
        <f t="shared" si="12"/>
        <v>810</v>
      </c>
      <c r="AC10" s="507">
        <f t="shared" si="13"/>
        <v>405</v>
      </c>
      <c r="AD10" s="540">
        <f>('EC - Travel Time - Roadway'!$D$74/60)</f>
        <v>0.99776500638569621</v>
      </c>
      <c r="AE10" s="540">
        <f>('EC - Travel Time - Roadway'!$D$74/60)</f>
        <v>0.99776500638569621</v>
      </c>
      <c r="AF10" s="507">
        <f t="shared" si="14"/>
        <v>344.53699959312956</v>
      </c>
      <c r="AG10" s="507">
        <f t="shared" si="15"/>
        <v>70.567819193773545</v>
      </c>
      <c r="AH10" s="540">
        <f t="shared" si="16"/>
        <v>0.74143209892683026</v>
      </c>
      <c r="AI10" s="540">
        <f t="shared" si="17"/>
        <v>0.21110764284988406</v>
      </c>
      <c r="AJ10" s="507">
        <f t="shared" si="18"/>
        <v>299.60887618271704</v>
      </c>
      <c r="AK10" s="511">
        <f t="shared" si="19"/>
        <v>42.653753269777233</v>
      </c>
      <c r="AL10" s="503">
        <f t="shared" si="20"/>
        <v>109357.23980669172</v>
      </c>
      <c r="AM10" s="503">
        <f t="shared" si="21"/>
        <v>15568.61994346869</v>
      </c>
    </row>
    <row r="11" spans="1:39" x14ac:dyDescent="0.2">
      <c r="C11" s="305">
        <v>2023</v>
      </c>
      <c r="D11" s="308">
        <f t="shared" si="22"/>
        <v>13432.258568960622</v>
      </c>
      <c r="E11" s="308">
        <f t="shared" si="23"/>
        <v>11148.774612237316</v>
      </c>
      <c r="F11" s="308">
        <f t="shared" si="29"/>
        <v>2283.4839567233062</v>
      </c>
      <c r="G11" s="503">
        <f t="shared" si="24"/>
        <v>464.53227550988817</v>
      </c>
      <c r="H11" s="503">
        <f t="shared" si="25"/>
        <v>95.145164863471095</v>
      </c>
      <c r="I11" s="507">
        <f t="shared" si="0"/>
        <v>810</v>
      </c>
      <c r="J11" s="507">
        <f t="shared" si="1"/>
        <v>405</v>
      </c>
      <c r="K11" s="540">
        <f>('EC - Travel Time - Roadway'!$D$74/60)</f>
        <v>0.99776500638569621</v>
      </c>
      <c r="L11" s="540">
        <f>('EC - Travel Time - Roadway'!$D$74/60)</f>
        <v>0.99776500638569621</v>
      </c>
      <c r="M11" s="507">
        <f t="shared" si="2"/>
        <v>463.49404884048556</v>
      </c>
      <c r="N11" s="507">
        <f t="shared" si="3"/>
        <v>94.932516027569349</v>
      </c>
      <c r="O11" s="540">
        <f t="shared" si="4"/>
        <v>1.3416421158433049</v>
      </c>
      <c r="P11" s="540">
        <f t="shared" si="5"/>
        <v>0.30637739116041218</v>
      </c>
      <c r="Q11" s="547">
        <f t="shared" si="6"/>
        <v>542.1506394840942</v>
      </c>
      <c r="R11" s="548">
        <f t="shared" si="7"/>
        <v>61.902759528639329</v>
      </c>
      <c r="S11" s="503">
        <f t="shared" si="8"/>
        <v>197884.98341169438</v>
      </c>
      <c r="T11" s="503">
        <f t="shared" si="9"/>
        <v>22594.507227953356</v>
      </c>
      <c r="U11" s="503"/>
      <c r="V11" s="305">
        <v>2023</v>
      </c>
      <c r="W11" s="308">
        <f t="shared" si="10"/>
        <v>10144.588992918754</v>
      </c>
      <c r="X11" s="308">
        <f t="shared" si="11"/>
        <v>8420.0088641225648</v>
      </c>
      <c r="Y11" s="308">
        <f t="shared" si="26"/>
        <v>1724.5801287961888</v>
      </c>
      <c r="Z11" s="503">
        <f t="shared" si="27"/>
        <v>350.83370267177355</v>
      </c>
      <c r="AA11" s="503">
        <f t="shared" si="28"/>
        <v>71.857505366507866</v>
      </c>
      <c r="AB11" s="507">
        <f t="shared" si="12"/>
        <v>810</v>
      </c>
      <c r="AC11" s="507">
        <f t="shared" si="13"/>
        <v>405</v>
      </c>
      <c r="AD11" s="540">
        <f>('EC - Travel Time - Roadway'!$D$74/60)</f>
        <v>0.99776500638569621</v>
      </c>
      <c r="AE11" s="540">
        <f>('EC - Travel Time - Roadway'!$D$74/60)</f>
        <v>0.99776500638569621</v>
      </c>
      <c r="AF11" s="507">
        <f t="shared" si="14"/>
        <v>350.04959158661956</v>
      </c>
      <c r="AG11" s="507">
        <f t="shared" si="15"/>
        <v>71.696904300873925</v>
      </c>
      <c r="AH11" s="540">
        <f t="shared" si="16"/>
        <v>0.76235907039229656</v>
      </c>
      <c r="AI11" s="540">
        <f t="shared" si="17"/>
        <v>0.21521392634029329</v>
      </c>
      <c r="AJ11" s="507">
        <f t="shared" si="18"/>
        <v>308.06535710895605</v>
      </c>
      <c r="AK11" s="511">
        <f t="shared" si="19"/>
        <v>43.483417229315727</v>
      </c>
      <c r="AL11" s="503">
        <f t="shared" si="20"/>
        <v>112443.85534476896</v>
      </c>
      <c r="AM11" s="503">
        <f t="shared" si="21"/>
        <v>15871.447288700239</v>
      </c>
    </row>
    <row r="12" spans="1:39" x14ac:dyDescent="0.2">
      <c r="C12" s="305">
        <v>2024</v>
      </c>
      <c r="D12" s="308">
        <f t="shared" si="22"/>
        <v>13647.174706063992</v>
      </c>
      <c r="E12" s="308">
        <f t="shared" si="23"/>
        <v>11327.155006033114</v>
      </c>
      <c r="F12" s="308">
        <f t="shared" si="29"/>
        <v>2320.019700030879</v>
      </c>
      <c r="G12" s="503">
        <f t="shared" si="24"/>
        <v>471.96479191804639</v>
      </c>
      <c r="H12" s="503">
        <f t="shared" si="25"/>
        <v>96.667487501286629</v>
      </c>
      <c r="I12" s="507">
        <f t="shared" si="0"/>
        <v>810</v>
      </c>
      <c r="J12" s="507">
        <f t="shared" si="1"/>
        <v>405</v>
      </c>
      <c r="K12" s="540">
        <f>('EC - Travel Time - Roadway'!$D$74/60)</f>
        <v>0.99776500638569621</v>
      </c>
      <c r="L12" s="540">
        <f>('EC - Travel Time - Roadway'!$D$74/60)</f>
        <v>0.99776500638569621</v>
      </c>
      <c r="M12" s="507">
        <f t="shared" si="2"/>
        <v>470.90995362193331</v>
      </c>
      <c r="N12" s="507">
        <f t="shared" si="3"/>
        <v>96.451436284010455</v>
      </c>
      <c r="O12" s="540">
        <f t="shared" si="4"/>
        <v>1.3930796034351707</v>
      </c>
      <c r="P12" s="540">
        <f t="shared" si="5"/>
        <v>0.31281630179825082</v>
      </c>
      <c r="Q12" s="547">
        <f t="shared" si="6"/>
        <v>562.93626216399684</v>
      </c>
      <c r="R12" s="548">
        <f t="shared" si="7"/>
        <v>63.20372477065952</v>
      </c>
      <c r="S12" s="503">
        <f t="shared" si="8"/>
        <v>205471.73568985885</v>
      </c>
      <c r="T12" s="503">
        <f t="shared" si="9"/>
        <v>23069.359541290723</v>
      </c>
      <c r="U12" s="503"/>
      <c r="V12" s="305">
        <v>2024</v>
      </c>
      <c r="W12" s="308">
        <f t="shared" si="10"/>
        <v>10306.902416805455</v>
      </c>
      <c r="X12" s="308">
        <f t="shared" si="11"/>
        <v>8554.7290059485276</v>
      </c>
      <c r="Y12" s="308">
        <f t="shared" si="26"/>
        <v>1752.1734108569278</v>
      </c>
      <c r="Z12" s="503">
        <f t="shared" si="27"/>
        <v>356.447041914522</v>
      </c>
      <c r="AA12" s="503">
        <f t="shared" si="28"/>
        <v>73.007225452371998</v>
      </c>
      <c r="AB12" s="507">
        <f t="shared" si="12"/>
        <v>810</v>
      </c>
      <c r="AC12" s="507">
        <f t="shared" si="13"/>
        <v>405</v>
      </c>
      <c r="AD12" s="540">
        <f>('EC - Travel Time - Roadway'!$D$74/60)</f>
        <v>0.99776500638569621</v>
      </c>
      <c r="AE12" s="540">
        <f>('EC - Travel Time - Roadway'!$D$74/60)</f>
        <v>0.99776500638569621</v>
      </c>
      <c r="AF12" s="507">
        <f t="shared" si="14"/>
        <v>355.65038505200556</v>
      </c>
      <c r="AG12" s="507">
        <f t="shared" si="15"/>
        <v>72.844054769687915</v>
      </c>
      <c r="AH12" s="540">
        <f t="shared" si="16"/>
        <v>0.78414301728570934</v>
      </c>
      <c r="AI12" s="540">
        <f t="shared" si="17"/>
        <v>0.21941457873275985</v>
      </c>
      <c r="AJ12" s="507">
        <f t="shared" si="18"/>
        <v>316.86813737299678</v>
      </c>
      <c r="AK12" s="511">
        <f t="shared" si="19"/>
        <v>44.33214818145742</v>
      </c>
      <c r="AL12" s="503">
        <f t="shared" si="20"/>
        <v>115656.87014114382</v>
      </c>
      <c r="AM12" s="503">
        <f t="shared" si="21"/>
        <v>16181.234086231958</v>
      </c>
    </row>
    <row r="13" spans="1:39" x14ac:dyDescent="0.2">
      <c r="C13" s="418">
        <v>2025</v>
      </c>
      <c r="D13" s="411">
        <f t="shared" si="22"/>
        <v>13865.529501361016</v>
      </c>
      <c r="E13" s="411">
        <f t="shared" si="23"/>
        <v>11508.389486129643</v>
      </c>
      <c r="F13" s="411">
        <f t="shared" si="29"/>
        <v>2357.1400152313731</v>
      </c>
      <c r="G13" s="503">
        <f t="shared" si="24"/>
        <v>479.51622858873515</v>
      </c>
      <c r="H13" s="503">
        <f t="shared" si="25"/>
        <v>98.214167301307214</v>
      </c>
      <c r="I13" s="507">
        <f t="shared" si="0"/>
        <v>810</v>
      </c>
      <c r="J13" s="507">
        <f t="shared" si="1"/>
        <v>405</v>
      </c>
      <c r="K13" s="540">
        <f>('EC - Travel Time - Roadway'!$D$74/60)</f>
        <v>0.99776500638569621</v>
      </c>
      <c r="L13" s="540">
        <f>('EC - Travel Time - Roadway'!$D$74/60)</f>
        <v>0.99776500638569621</v>
      </c>
      <c r="M13" s="507">
        <f t="shared" si="2"/>
        <v>478.44451287988426</v>
      </c>
      <c r="N13" s="507">
        <f t="shared" si="3"/>
        <v>97.994659264554627</v>
      </c>
      <c r="O13" s="540">
        <f t="shared" si="4"/>
        <v>1.4477095526863017</v>
      </c>
      <c r="P13" s="540">
        <f t="shared" si="5"/>
        <v>0.31942367873551475</v>
      </c>
      <c r="Q13" s="549">
        <f t="shared" si="6"/>
        <v>585.01194208767595</v>
      </c>
      <c r="R13" s="550">
        <f t="shared" si="7"/>
        <v>64.538728192789904</v>
      </c>
      <c r="S13" s="508">
        <f t="shared" si="8"/>
        <v>213529.35886200171</v>
      </c>
      <c r="T13" s="508">
        <f t="shared" si="9"/>
        <v>23556.635790368317</v>
      </c>
      <c r="U13" s="508"/>
      <c r="V13" s="418">
        <v>2025</v>
      </c>
      <c r="W13" s="411">
        <f t="shared" si="10"/>
        <v>10471.812855474342</v>
      </c>
      <c r="X13" s="411">
        <f t="shared" si="11"/>
        <v>8691.6046700437037</v>
      </c>
      <c r="Y13" s="411">
        <f t="shared" si="26"/>
        <v>1780.2081854306387</v>
      </c>
      <c r="Z13" s="503">
        <f t="shared" si="27"/>
        <v>362.15019458515434</v>
      </c>
      <c r="AA13" s="503">
        <f t="shared" si="28"/>
        <v>74.175341059609949</v>
      </c>
      <c r="AB13" s="507">
        <f t="shared" si="12"/>
        <v>810</v>
      </c>
      <c r="AC13" s="507">
        <f t="shared" si="13"/>
        <v>405</v>
      </c>
      <c r="AD13" s="540">
        <f>('EC - Travel Time - Roadway'!$D$74/60)</f>
        <v>0.99776500638569621</v>
      </c>
      <c r="AE13" s="540">
        <f>('EC - Travel Time - Roadway'!$D$74/60)</f>
        <v>0.99776500638569621</v>
      </c>
      <c r="AF13" s="507">
        <f t="shared" si="14"/>
        <v>361.34079121283764</v>
      </c>
      <c r="AG13" s="507">
        <f t="shared" si="15"/>
        <v>74.009559646002913</v>
      </c>
      <c r="AH13" s="540">
        <f t="shared" si="16"/>
        <v>0.80683476210986793</v>
      </c>
      <c r="AI13" s="540">
        <f t="shared" si="17"/>
        <v>0.2237123432184612</v>
      </c>
      <c r="AJ13" s="509">
        <f t="shared" si="18"/>
        <v>326.0377540853454</v>
      </c>
      <c r="AK13" s="512">
        <f t="shared" si="19"/>
        <v>45.200500380885217</v>
      </c>
      <c r="AL13" s="508">
        <f t="shared" si="20"/>
        <v>119003.78024115106</v>
      </c>
      <c r="AM13" s="508">
        <f t="shared" si="21"/>
        <v>16498.182639023104</v>
      </c>
    </row>
    <row r="14" spans="1:39" x14ac:dyDescent="0.2">
      <c r="C14" s="305">
        <v>2026</v>
      </c>
      <c r="D14" s="308">
        <f t="shared" si="22"/>
        <v>14087.377973382792</v>
      </c>
      <c r="E14" s="308">
        <f t="shared" si="23"/>
        <v>11692.523717907718</v>
      </c>
      <c r="F14" s="308">
        <f t="shared" si="29"/>
        <v>2394.8542554750752</v>
      </c>
      <c r="G14" s="503">
        <f t="shared" si="24"/>
        <v>487.18848824615492</v>
      </c>
      <c r="H14" s="503">
        <f t="shared" si="25"/>
        <v>99.785593978128134</v>
      </c>
      <c r="I14" s="507">
        <f t="shared" si="0"/>
        <v>810</v>
      </c>
      <c r="J14" s="507">
        <f t="shared" si="1"/>
        <v>405</v>
      </c>
      <c r="K14" s="540">
        <f>('EC - Travel Time - Roadway'!$D$74/60)</f>
        <v>0.99776500638569621</v>
      </c>
      <c r="L14" s="540">
        <f>('EC - Travel Time - Roadway'!$D$74/60)</f>
        <v>0.99776500638569621</v>
      </c>
      <c r="M14" s="507">
        <f t="shared" si="2"/>
        <v>486.09962508596243</v>
      </c>
      <c r="N14" s="507">
        <f t="shared" si="3"/>
        <v>99.562573812787505</v>
      </c>
      <c r="O14" s="540">
        <f t="shared" si="4"/>
        <v>1.5058311348469822</v>
      </c>
      <c r="P14" s="540">
        <f t="shared" si="5"/>
        <v>0.32620535547608714</v>
      </c>
      <c r="Q14" s="547">
        <f t="shared" si="6"/>
        <v>608.49857280993365</v>
      </c>
      <c r="R14" s="548">
        <f t="shared" si="7"/>
        <v>65.908948439403389</v>
      </c>
      <c r="S14" s="503">
        <f t="shared" si="8"/>
        <v>222101.97907562577</v>
      </c>
      <c r="T14" s="503">
        <f t="shared" si="9"/>
        <v>24056.766180382238</v>
      </c>
      <c r="U14" s="503"/>
      <c r="V14" s="305">
        <v>2026</v>
      </c>
      <c r="W14" s="308">
        <f t="shared" si="10"/>
        <v>10639.361861161931</v>
      </c>
      <c r="X14" s="308">
        <f t="shared" si="11"/>
        <v>8830.6703447644031</v>
      </c>
      <c r="Y14" s="308">
        <f t="shared" si="26"/>
        <v>1808.6915163975289</v>
      </c>
      <c r="Z14" s="503">
        <f t="shared" si="27"/>
        <v>367.94459769851682</v>
      </c>
      <c r="AA14" s="503">
        <f t="shared" si="28"/>
        <v>75.362146516563698</v>
      </c>
      <c r="AB14" s="507">
        <f t="shared" si="12"/>
        <v>810</v>
      </c>
      <c r="AC14" s="507">
        <f t="shared" si="13"/>
        <v>405</v>
      </c>
      <c r="AD14" s="540">
        <f>('EC - Travel Time - Roadway'!$D$74/60)</f>
        <v>0.99776500638569621</v>
      </c>
      <c r="AE14" s="540">
        <f>('EC - Travel Time - Roadway'!$D$74/60)</f>
        <v>0.99776500638569621</v>
      </c>
      <c r="AF14" s="507">
        <f t="shared" si="14"/>
        <v>367.12224387224308</v>
      </c>
      <c r="AG14" s="507">
        <f t="shared" si="15"/>
        <v>75.193712600338955</v>
      </c>
      <c r="AH14" s="540">
        <f t="shared" si="16"/>
        <v>0.83048921461175707</v>
      </c>
      <c r="AI14" s="540">
        <f t="shared" si="17"/>
        <v>0.22811006626129879</v>
      </c>
      <c r="AJ14" s="507">
        <f t="shared" si="18"/>
        <v>335.59639599074239</v>
      </c>
      <c r="AK14" s="511">
        <f t="shared" si="19"/>
        <v>46.089048948268889</v>
      </c>
      <c r="AL14" s="503">
        <f t="shared" si="20"/>
        <v>122492.68453662097</v>
      </c>
      <c r="AM14" s="503">
        <f t="shared" si="21"/>
        <v>16822.502866118146</v>
      </c>
    </row>
    <row r="15" spans="1:39" x14ac:dyDescent="0.2">
      <c r="C15" s="305">
        <v>2027</v>
      </c>
      <c r="D15" s="308">
        <f t="shared" si="22"/>
        <v>14312.776020956917</v>
      </c>
      <c r="E15" s="308">
        <f t="shared" si="23"/>
        <v>11879.60409739424</v>
      </c>
      <c r="F15" s="308">
        <f t="shared" si="29"/>
        <v>2433.1719235626765</v>
      </c>
      <c r="G15" s="503">
        <f t="shared" si="24"/>
        <v>494.98350405809333</v>
      </c>
      <c r="H15" s="503">
        <f t="shared" si="25"/>
        <v>101.38216348177819</v>
      </c>
      <c r="I15" s="507">
        <f t="shared" si="0"/>
        <v>810</v>
      </c>
      <c r="J15" s="507">
        <f t="shared" si="1"/>
        <v>405</v>
      </c>
      <c r="K15" s="540">
        <f>('EC - Travel Time - Roadway'!$D$74/60)</f>
        <v>0.99776500638569621</v>
      </c>
      <c r="L15" s="540">
        <f>('EC - Travel Time - Roadway'!$D$74/60)</f>
        <v>0.99776500638569621</v>
      </c>
      <c r="M15" s="507">
        <f t="shared" si="2"/>
        <v>493.87721908733778</v>
      </c>
      <c r="N15" s="507">
        <f t="shared" si="3"/>
        <v>101.15557499379211</v>
      </c>
      <c r="O15" s="540">
        <f t="shared" si="4"/>
        <v>1.5677820858575466</v>
      </c>
      <c r="P15" s="540">
        <f t="shared" si="5"/>
        <v>0.33316743230176205</v>
      </c>
      <c r="Q15" s="547">
        <f t="shared" si="6"/>
        <v>633.53263167734917</v>
      </c>
      <c r="R15" s="548">
        <f t="shared" si="7"/>
        <v>67.315618056659901</v>
      </c>
      <c r="S15" s="503">
        <f t="shared" si="8"/>
        <v>231239.41056223246</v>
      </c>
      <c r="T15" s="503">
        <f t="shared" si="9"/>
        <v>24570.200590680863</v>
      </c>
      <c r="U15" s="503"/>
      <c r="V15" s="305">
        <v>2027</v>
      </c>
      <c r="W15" s="308">
        <f t="shared" si="10"/>
        <v>10809.591650940522</v>
      </c>
      <c r="X15" s="308">
        <f t="shared" si="11"/>
        <v>8971.9610702806312</v>
      </c>
      <c r="Y15" s="308">
        <f t="shared" si="26"/>
        <v>1837.6305806598893</v>
      </c>
      <c r="Z15" s="503">
        <f t="shared" si="27"/>
        <v>373.83171126169299</v>
      </c>
      <c r="AA15" s="503">
        <f t="shared" si="28"/>
        <v>76.567940860828728</v>
      </c>
      <c r="AB15" s="507">
        <f t="shared" si="12"/>
        <v>810</v>
      </c>
      <c r="AC15" s="507">
        <f t="shared" si="13"/>
        <v>405</v>
      </c>
      <c r="AD15" s="540">
        <f>('EC - Travel Time - Roadway'!$D$74/60)</f>
        <v>0.99776500638569621</v>
      </c>
      <c r="AE15" s="540">
        <f>('EC - Travel Time - Roadway'!$D$74/60)</f>
        <v>0.99776500638569621</v>
      </c>
      <c r="AF15" s="507">
        <f t="shared" si="14"/>
        <v>372.99619977419883</v>
      </c>
      <c r="AG15" s="507">
        <f t="shared" si="15"/>
        <v>76.396812001944383</v>
      </c>
      <c r="AH15" s="540">
        <f t="shared" si="16"/>
        <v>0.85516579128931058</v>
      </c>
      <c r="AI15" s="540">
        <f t="shared" si="17"/>
        <v>0.23261070250627286</v>
      </c>
      <c r="AJ15" s="507">
        <f t="shared" si="18"/>
        <v>345.56807298867619</v>
      </c>
      <c r="AK15" s="511">
        <f t="shared" si="19"/>
        <v>46.998390861989407</v>
      </c>
      <c r="AL15" s="503">
        <f t="shared" si="20"/>
        <v>126132.34664086682</v>
      </c>
      <c r="AM15" s="503">
        <f t="shared" si="21"/>
        <v>17154.412664626132</v>
      </c>
    </row>
    <row r="16" spans="1:39" x14ac:dyDescent="0.2">
      <c r="C16" s="305">
        <v>2028</v>
      </c>
      <c r="D16" s="308">
        <f t="shared" si="22"/>
        <v>14541.780437292227</v>
      </c>
      <c r="E16" s="308">
        <f t="shared" si="23"/>
        <v>12069.677762952548</v>
      </c>
      <c r="F16" s="308">
        <f t="shared" si="29"/>
        <v>2472.1026743396792</v>
      </c>
      <c r="G16" s="503">
        <f t="shared" si="24"/>
        <v>502.90324012302284</v>
      </c>
      <c r="H16" s="503">
        <f t="shared" si="25"/>
        <v>103.00427809748663</v>
      </c>
      <c r="I16" s="507">
        <f t="shared" si="0"/>
        <v>810</v>
      </c>
      <c r="J16" s="507">
        <f t="shared" si="1"/>
        <v>405</v>
      </c>
      <c r="K16" s="540">
        <f>('EC - Travel Time - Roadway'!$D$74/60)</f>
        <v>0.99776500638569621</v>
      </c>
      <c r="L16" s="540">
        <f>('EC - Travel Time - Roadway'!$D$74/60)</f>
        <v>0.99776500638569621</v>
      </c>
      <c r="M16" s="507">
        <f t="shared" si="2"/>
        <v>501.77925459273519</v>
      </c>
      <c r="N16" s="507">
        <f t="shared" si="3"/>
        <v>102.77406419369278</v>
      </c>
      <c r="O16" s="540">
        <f t="shared" si="4"/>
        <v>1.633945127893071</v>
      </c>
      <c r="P16" s="540">
        <f t="shared" si="5"/>
        <v>0.34031629172173861</v>
      </c>
      <c r="Q16" s="547">
        <f t="shared" si="6"/>
        <v>660.26877474127343</v>
      </c>
      <c r="R16" s="548">
        <f t="shared" si="7"/>
        <v>68.760026614036633</v>
      </c>
      <c r="S16" s="503">
        <f t="shared" si="8"/>
        <v>240998.1027805648</v>
      </c>
      <c r="T16" s="503">
        <f t="shared" si="9"/>
        <v>25097.409714123372</v>
      </c>
      <c r="U16" s="503"/>
      <c r="V16" s="305">
        <v>2028</v>
      </c>
      <c r="W16" s="308">
        <f t="shared" si="10"/>
        <v>10982.54511735557</v>
      </c>
      <c r="X16" s="308">
        <f t="shared" si="11"/>
        <v>9115.5124474051227</v>
      </c>
      <c r="Y16" s="308">
        <f t="shared" si="26"/>
        <v>1867.0326699504476</v>
      </c>
      <c r="Z16" s="503">
        <f t="shared" si="27"/>
        <v>379.81301864188009</v>
      </c>
      <c r="AA16" s="503">
        <f t="shared" si="28"/>
        <v>77.793027914601979</v>
      </c>
      <c r="AB16" s="507">
        <f t="shared" si="12"/>
        <v>810</v>
      </c>
      <c r="AC16" s="507">
        <f t="shared" si="13"/>
        <v>405</v>
      </c>
      <c r="AD16" s="540">
        <f>('EC - Travel Time - Roadway'!$D$74/60)</f>
        <v>0.99776500638569621</v>
      </c>
      <c r="AE16" s="540">
        <f>('EC - Travel Time - Roadway'!$D$74/60)</f>
        <v>0.99776500638569621</v>
      </c>
      <c r="AF16" s="507">
        <f t="shared" si="14"/>
        <v>378.96413897058602</v>
      </c>
      <c r="AG16" s="507">
        <f t="shared" si="15"/>
        <v>77.619160993975484</v>
      </c>
      <c r="AH16" s="540">
        <f t="shared" si="16"/>
        <v>0.8809288876529433</v>
      </c>
      <c r="AI16" s="540">
        <f t="shared" si="17"/>
        <v>0.23721731997115755</v>
      </c>
      <c r="AJ16" s="507">
        <f t="shared" si="18"/>
        <v>355.97880697182518</v>
      </c>
      <c r="AK16" s="511">
        <f t="shared" si="19"/>
        <v>47.929146007103505</v>
      </c>
      <c r="AL16" s="503">
        <f t="shared" si="20"/>
        <v>129932.26454471619</v>
      </c>
      <c r="AM16" s="503">
        <f t="shared" si="21"/>
        <v>17494.138292592779</v>
      </c>
    </row>
    <row r="17" spans="3:39" x14ac:dyDescent="0.2">
      <c r="C17" s="305">
        <v>2029</v>
      </c>
      <c r="D17" s="308">
        <f t="shared" si="22"/>
        <v>14774.448924288903</v>
      </c>
      <c r="E17" s="308">
        <f t="shared" si="23"/>
        <v>12262.792607159789</v>
      </c>
      <c r="F17" s="308">
        <f t="shared" si="29"/>
        <v>2511.6563171291141</v>
      </c>
      <c r="G17" s="503">
        <f t="shared" si="24"/>
        <v>510.94969196499119</v>
      </c>
      <c r="H17" s="503">
        <f t="shared" si="25"/>
        <v>104.65234654704642</v>
      </c>
      <c r="I17" s="507">
        <f t="shared" si="0"/>
        <v>810</v>
      </c>
      <c r="J17" s="507">
        <f t="shared" si="1"/>
        <v>405</v>
      </c>
      <c r="K17" s="540">
        <f>('EC - Travel Time - Roadway'!$D$74/60)</f>
        <v>0.99776500638569621</v>
      </c>
      <c r="L17" s="540">
        <f>('EC - Travel Time - Roadway'!$D$74/60)</f>
        <v>0.99776500638569621</v>
      </c>
      <c r="M17" s="507">
        <f t="shared" si="2"/>
        <v>509.80772266621892</v>
      </c>
      <c r="N17" s="507">
        <f t="shared" si="3"/>
        <v>104.41844922079187</v>
      </c>
      <c r="O17" s="540">
        <f t="shared" si="4"/>
        <v>1.7047557182470363</v>
      </c>
      <c r="P17" s="540">
        <f t="shared" si="5"/>
        <v>0.34765861500944928</v>
      </c>
      <c r="Q17" s="547">
        <f t="shared" si="6"/>
        <v>688.88296804163645</v>
      </c>
      <c r="R17" s="548">
        <f t="shared" si="7"/>
        <v>70.243524045551453</v>
      </c>
      <c r="S17" s="503">
        <f t="shared" si="8"/>
        <v>251442.28333519731</v>
      </c>
      <c r="T17" s="503">
        <f t="shared" si="9"/>
        <v>25638.886276626279</v>
      </c>
      <c r="U17" s="503"/>
      <c r="V17" s="305">
        <v>2029</v>
      </c>
      <c r="W17" s="308">
        <f t="shared" si="10"/>
        <v>11158.26583923326</v>
      </c>
      <c r="X17" s="308">
        <f t="shared" si="11"/>
        <v>9261.360646563604</v>
      </c>
      <c r="Y17" s="308">
        <f t="shared" si="26"/>
        <v>1896.9051926696548</v>
      </c>
      <c r="Z17" s="503">
        <f t="shared" si="27"/>
        <v>385.89002694015016</v>
      </c>
      <c r="AA17" s="503">
        <f t="shared" si="28"/>
        <v>79.03771636123561</v>
      </c>
      <c r="AB17" s="507">
        <f t="shared" si="12"/>
        <v>810</v>
      </c>
      <c r="AC17" s="507">
        <f t="shared" si="13"/>
        <v>405</v>
      </c>
      <c r="AD17" s="540">
        <f>('EC - Travel Time - Roadway'!$D$74/60)</f>
        <v>0.99776500638569621</v>
      </c>
      <c r="AE17" s="540">
        <f>('EC - Travel Time - Roadway'!$D$74/60)</f>
        <v>0.99776500638569621</v>
      </c>
      <c r="AF17" s="507">
        <f t="shared" si="14"/>
        <v>385.02756519411543</v>
      </c>
      <c r="AG17" s="507">
        <f t="shared" si="15"/>
        <v>78.861067569879097</v>
      </c>
      <c r="AH17" s="540">
        <f t="shared" si="16"/>
        <v>0.9078484111473154</v>
      </c>
      <c r="AI17" s="540">
        <f t="shared" si="17"/>
        <v>0.24193310554074393</v>
      </c>
      <c r="AJ17" s="507">
        <f t="shared" si="18"/>
        <v>366.85684717698632</v>
      </c>
      <c r="AK17" s="511">
        <f t="shared" si="19"/>
        <v>48.881958285441264</v>
      </c>
      <c r="AL17" s="503">
        <f t="shared" si="20"/>
        <v>133902.74921959999</v>
      </c>
      <c r="AM17" s="503">
        <f t="shared" si="21"/>
        <v>17841.914774186062</v>
      </c>
    </row>
    <row r="18" spans="3:39" x14ac:dyDescent="0.2">
      <c r="C18" s="305">
        <v>2030</v>
      </c>
      <c r="D18" s="308">
        <f t="shared" si="22"/>
        <v>15010.840107077525</v>
      </c>
      <c r="E18" s="308">
        <f t="shared" si="23"/>
        <v>12458.997288874345</v>
      </c>
      <c r="F18" s="308">
        <f t="shared" si="29"/>
        <v>2551.8428182031798</v>
      </c>
      <c r="G18" s="503">
        <f t="shared" si="24"/>
        <v>519.12488703643101</v>
      </c>
      <c r="H18" s="503">
        <f t="shared" si="25"/>
        <v>106.32678409179915</v>
      </c>
      <c r="I18" s="507">
        <f t="shared" si="0"/>
        <v>810</v>
      </c>
      <c r="J18" s="507">
        <f t="shared" si="1"/>
        <v>405</v>
      </c>
      <c r="K18" s="540">
        <f>('EC - Travel Time - Roadway'!$D$74/60)</f>
        <v>0.99776500638569621</v>
      </c>
      <c r="L18" s="540">
        <f>('EC - Travel Time - Roadway'!$D$74/60)</f>
        <v>0.99776500638569621</v>
      </c>
      <c r="M18" s="507">
        <f t="shared" si="2"/>
        <v>517.96464622887845</v>
      </c>
      <c r="N18" s="507">
        <f t="shared" si="3"/>
        <v>106.08914440832453</v>
      </c>
      <c r="O18" s="540">
        <f t="shared" si="4"/>
        <v>1.7807114570635389</v>
      </c>
      <c r="P18" s="540">
        <f t="shared" si="5"/>
        <v>0.35520139991706423</v>
      </c>
      <c r="Q18" s="547">
        <f t="shared" si="6"/>
        <v>719.57628922287415</v>
      </c>
      <c r="R18" s="548">
        <f t="shared" si="7"/>
        <v>71.767524228932714</v>
      </c>
      <c r="S18" s="503">
        <f t="shared" si="8"/>
        <v>262645.34556634905</v>
      </c>
      <c r="T18" s="503">
        <f t="shared" si="9"/>
        <v>26195.146343560442</v>
      </c>
      <c r="U18" s="503"/>
      <c r="V18" s="305">
        <v>2030</v>
      </c>
      <c r="W18" s="308">
        <f t="shared" si="10"/>
        <v>11336.798092660993</v>
      </c>
      <c r="X18" s="308">
        <f t="shared" si="11"/>
        <v>9409.5424169086236</v>
      </c>
      <c r="Y18" s="308">
        <f t="shared" si="26"/>
        <v>1927.2556757523691</v>
      </c>
      <c r="Z18" s="503">
        <f t="shared" si="27"/>
        <v>392.06426737119267</v>
      </c>
      <c r="AA18" s="503">
        <f t="shared" si="28"/>
        <v>80.302319823015381</v>
      </c>
      <c r="AB18" s="507">
        <f t="shared" si="12"/>
        <v>810</v>
      </c>
      <c r="AC18" s="507">
        <f t="shared" si="13"/>
        <v>405</v>
      </c>
      <c r="AD18" s="540">
        <f>('EC - Travel Time - Roadway'!$D$74/60)</f>
        <v>0.99776500638569621</v>
      </c>
      <c r="AE18" s="540">
        <f>('EC - Travel Time - Roadway'!$D$74/60)</f>
        <v>0.99776500638569621</v>
      </c>
      <c r="AF18" s="507">
        <f t="shared" si="14"/>
        <v>391.18800623722137</v>
      </c>
      <c r="AG18" s="507">
        <f t="shared" si="15"/>
        <v>80.122844650997166</v>
      </c>
      <c r="AH18" s="540">
        <f t="shared" si="16"/>
        <v>0.93600038402233932</v>
      </c>
      <c r="AI18" s="540">
        <f t="shared" si="17"/>
        <v>0.24676137078443003</v>
      </c>
      <c r="AJ18" s="507">
        <f t="shared" si="18"/>
        <v>378.23291380213067</v>
      </c>
      <c r="AK18" s="511">
        <f t="shared" si="19"/>
        <v>49.857496791035167</v>
      </c>
      <c r="AL18" s="503">
        <f t="shared" si="20"/>
        <v>138055.0135377777</v>
      </c>
      <c r="AM18" s="503">
        <f t="shared" si="21"/>
        <v>18197.986328727835</v>
      </c>
    </row>
    <row r="19" spans="3:39" x14ac:dyDescent="0.2">
      <c r="C19" s="305">
        <v>2031</v>
      </c>
      <c r="D19" s="308">
        <f t="shared" si="22"/>
        <v>15251.013548790766</v>
      </c>
      <c r="E19" s="308">
        <f t="shared" si="23"/>
        <v>12658.341245496336</v>
      </c>
      <c r="F19" s="308">
        <f t="shared" si="29"/>
        <v>2592.6723032944305</v>
      </c>
      <c r="G19" s="503">
        <f t="shared" si="24"/>
        <v>527.43088522901405</v>
      </c>
      <c r="H19" s="503">
        <f t="shared" si="25"/>
        <v>108.02801263726793</v>
      </c>
      <c r="I19" s="507">
        <f t="shared" si="0"/>
        <v>810</v>
      </c>
      <c r="J19" s="507">
        <f t="shared" si="1"/>
        <v>405</v>
      </c>
      <c r="K19" s="540">
        <f>('EC - Travel Time - Roadway'!$D$74/60)</f>
        <v>0.99776500638569621</v>
      </c>
      <c r="L19" s="540">
        <f>('EC - Travel Time - Roadway'!$D$74/60)</f>
        <v>0.99776500638569621</v>
      </c>
      <c r="M19" s="507">
        <f t="shared" si="2"/>
        <v>526.25208056854058</v>
      </c>
      <c r="N19" s="507">
        <f t="shared" si="3"/>
        <v>107.78657071885772</v>
      </c>
      <c r="O19" s="540">
        <f t="shared" si="4"/>
        <v>1.8623835835528331</v>
      </c>
      <c r="P19" s="540">
        <f t="shared" si="5"/>
        <v>0.36295197966669962</v>
      </c>
      <c r="Q19" s="547">
        <f t="shared" si="6"/>
        <v>752.57957309516428</v>
      </c>
      <c r="R19" s="548">
        <f t="shared" si="7"/>
        <v>73.333508822743738</v>
      </c>
      <c r="S19" s="503">
        <f t="shared" si="8"/>
        <v>274691.54417973495</v>
      </c>
      <c r="T19" s="503">
        <f t="shared" si="9"/>
        <v>26766.730720301464</v>
      </c>
      <c r="U19" s="503"/>
      <c r="V19" s="305">
        <v>2031</v>
      </c>
      <c r="W19" s="308">
        <f t="shared" si="10"/>
        <v>11518.186862143568</v>
      </c>
      <c r="X19" s="308">
        <f t="shared" si="11"/>
        <v>9560.0950955791614</v>
      </c>
      <c r="Y19" s="308">
        <f t="shared" si="26"/>
        <v>1958.0917665644072</v>
      </c>
      <c r="Z19" s="503">
        <f t="shared" si="27"/>
        <v>398.3372956491317</v>
      </c>
      <c r="AA19" s="503">
        <f t="shared" si="28"/>
        <v>81.587156940183633</v>
      </c>
      <c r="AB19" s="507">
        <f t="shared" si="12"/>
        <v>810</v>
      </c>
      <c r="AC19" s="507">
        <f t="shared" si="13"/>
        <v>405</v>
      </c>
      <c r="AD19" s="540">
        <f>('EC - Travel Time - Roadway'!$D$74/60)</f>
        <v>0.99776500638569621</v>
      </c>
      <c r="AE19" s="540">
        <f>('EC - Travel Time - Roadway'!$D$74/60)</f>
        <v>0.99776500638569621</v>
      </c>
      <c r="AF19" s="507">
        <f t="shared" si="14"/>
        <v>397.44701433701687</v>
      </c>
      <c r="AG19" s="507">
        <f t="shared" si="15"/>
        <v>81.404810165413124</v>
      </c>
      <c r="AH19" s="540">
        <f t="shared" si="16"/>
        <v>0.96546762710440948</v>
      </c>
      <c r="AI19" s="540">
        <f t="shared" si="17"/>
        <v>0.25170555811958589</v>
      </c>
      <c r="AJ19" s="507">
        <f t="shared" si="18"/>
        <v>390.14047431482072</v>
      </c>
      <c r="AK19" s="511">
        <f t="shared" si="19"/>
        <v>50.856457055412037</v>
      </c>
      <c r="AL19" s="503">
        <f t="shared" si="20"/>
        <v>142401.27312490955</v>
      </c>
      <c r="AM19" s="503">
        <f t="shared" si="21"/>
        <v>18562.606825225394</v>
      </c>
    </row>
    <row r="20" spans="3:39" x14ac:dyDescent="0.2">
      <c r="C20" s="305">
        <v>2032</v>
      </c>
      <c r="D20" s="308">
        <f t="shared" si="22"/>
        <v>15495.029765571418</v>
      </c>
      <c r="E20" s="308">
        <f t="shared" si="23"/>
        <v>12860.874705424278</v>
      </c>
      <c r="F20" s="308">
        <f t="shared" si="29"/>
        <v>2634.1550601471413</v>
      </c>
      <c r="G20" s="503">
        <f t="shared" si="24"/>
        <v>535.8697793926782</v>
      </c>
      <c r="H20" s="503">
        <f t="shared" si="25"/>
        <v>109.75646083946422</v>
      </c>
      <c r="I20" s="507">
        <f t="shared" si="0"/>
        <v>810</v>
      </c>
      <c r="J20" s="507">
        <f t="shared" si="1"/>
        <v>405</v>
      </c>
      <c r="K20" s="540">
        <f>('EC - Travel Time - Roadway'!$D$74/60)</f>
        <v>0.99776500638569621</v>
      </c>
      <c r="L20" s="540">
        <f>('EC - Travel Time - Roadway'!$D$74/60)</f>
        <v>0.99776500638569621</v>
      </c>
      <c r="M20" s="507">
        <f t="shared" si="2"/>
        <v>534.67211385763721</v>
      </c>
      <c r="N20" s="507">
        <f t="shared" si="3"/>
        <v>109.51115585035944</v>
      </c>
      <c r="O20" s="540">
        <f t="shared" si="4"/>
        <v>1.9504311223808082</v>
      </c>
      <c r="P20" s="540">
        <f t="shared" si="5"/>
        <v>0.37091804332698314</v>
      </c>
      <c r="Q20" s="547">
        <f t="shared" si="6"/>
        <v>788.1591281172449</v>
      </c>
      <c r="R20" s="548">
        <f t="shared" si="7"/>
        <v>74.943031383415246</v>
      </c>
      <c r="S20" s="503">
        <f t="shared" si="8"/>
        <v>287678.08176279441</v>
      </c>
      <c r="T20" s="503">
        <f t="shared" si="9"/>
        <v>27354.206454946565</v>
      </c>
      <c r="U20" s="503"/>
      <c r="V20" s="305">
        <v>2032</v>
      </c>
      <c r="W20" s="308">
        <f t="shared" si="10"/>
        <v>11702.477851937865</v>
      </c>
      <c r="X20" s="308">
        <f t="shared" si="11"/>
        <v>9713.0566171084283</v>
      </c>
      <c r="Y20" s="308">
        <f t="shared" si="26"/>
        <v>1989.4212348294377</v>
      </c>
      <c r="Z20" s="503">
        <f t="shared" si="27"/>
        <v>404.71069237951787</v>
      </c>
      <c r="AA20" s="503">
        <f t="shared" si="28"/>
        <v>82.892551451226566</v>
      </c>
      <c r="AB20" s="507">
        <f t="shared" si="12"/>
        <v>810</v>
      </c>
      <c r="AC20" s="507">
        <f t="shared" si="13"/>
        <v>405</v>
      </c>
      <c r="AD20" s="540">
        <f>('EC - Travel Time - Roadway'!$D$74/60)</f>
        <v>0.99776500638569621</v>
      </c>
      <c r="AE20" s="540">
        <f>('EC - Travel Time - Roadway'!$D$74/60)</f>
        <v>0.99776500638569621</v>
      </c>
      <c r="AF20" s="507">
        <f t="shared" si="14"/>
        <v>403.80616656640916</v>
      </c>
      <c r="AG20" s="507">
        <f t="shared" si="15"/>
        <v>82.707287128059733</v>
      </c>
      <c r="AH20" s="540">
        <f t="shared" si="16"/>
        <v>0.99634053742305528</v>
      </c>
      <c r="AI20" s="540">
        <f t="shared" si="17"/>
        <v>0.25676924734491574</v>
      </c>
      <c r="AJ20" s="507">
        <f t="shared" si="18"/>
        <v>402.61605768711831</v>
      </c>
      <c r="AK20" s="511">
        <f t="shared" si="19"/>
        <v>51.879562367641931</v>
      </c>
      <c r="AL20" s="503">
        <f t="shared" si="20"/>
        <v>146954.86105579819</v>
      </c>
      <c r="AM20" s="503">
        <f t="shared" si="21"/>
        <v>18936.040264189305</v>
      </c>
    </row>
    <row r="21" spans="3:39" x14ac:dyDescent="0.2">
      <c r="C21" s="305">
        <v>2033</v>
      </c>
      <c r="D21" s="308">
        <f t="shared" si="22"/>
        <v>15742.950241820561</v>
      </c>
      <c r="E21" s="308">
        <f t="shared" si="23"/>
        <v>13066.648700711066</v>
      </c>
      <c r="F21" s="308">
        <f t="shared" si="29"/>
        <v>2676.3015411094957</v>
      </c>
      <c r="G21" s="503">
        <f t="shared" si="24"/>
        <v>544.44369586296114</v>
      </c>
      <c r="H21" s="503">
        <f t="shared" si="25"/>
        <v>111.51256421289565</v>
      </c>
      <c r="I21" s="507">
        <f t="shared" si="0"/>
        <v>810</v>
      </c>
      <c r="J21" s="507">
        <f t="shared" si="1"/>
        <v>405</v>
      </c>
      <c r="K21" s="540">
        <f>('EC - Travel Time - Roadway'!$D$74/60)</f>
        <v>0.99776500638569621</v>
      </c>
      <c r="L21" s="540">
        <f>('EC - Travel Time - Roadway'!$D$74/60)</f>
        <v>0.99776500638569621</v>
      </c>
      <c r="M21" s="507">
        <f t="shared" si="2"/>
        <v>543.22686767935943</v>
      </c>
      <c r="N21" s="507">
        <f t="shared" si="3"/>
        <v>111.26333434396518</v>
      </c>
      <c r="O21" s="540">
        <f t="shared" si="4"/>
        <v>2.0456184214667719</v>
      </c>
      <c r="P21" s="540">
        <f t="shared" si="5"/>
        <v>0.3791076576943333</v>
      </c>
      <c r="Q21" s="547">
        <f t="shared" si="6"/>
        <v>826.62382332978405</v>
      </c>
      <c r="R21" s="548">
        <f t="shared" si="7"/>
        <v>76.597721786301193</v>
      </c>
      <c r="S21" s="503">
        <f t="shared" si="8"/>
        <v>301717.69551537116</v>
      </c>
      <c r="T21" s="503">
        <f t="shared" si="9"/>
        <v>27958.168451999936</v>
      </c>
      <c r="U21" s="503"/>
      <c r="V21" s="305">
        <v>2033</v>
      </c>
      <c r="W21" s="308">
        <f t="shared" si="10"/>
        <v>11889.71749756887</v>
      </c>
      <c r="X21" s="308">
        <f t="shared" si="11"/>
        <v>9868.4655229821619</v>
      </c>
      <c r="Y21" s="308">
        <f t="shared" si="26"/>
        <v>2021.2519745867087</v>
      </c>
      <c r="Z21" s="503">
        <f t="shared" si="27"/>
        <v>411.18606345759008</v>
      </c>
      <c r="AA21" s="503">
        <f t="shared" si="28"/>
        <v>84.2188322744462</v>
      </c>
      <c r="AB21" s="507">
        <f t="shared" si="12"/>
        <v>810</v>
      </c>
      <c r="AC21" s="507">
        <f t="shared" si="13"/>
        <v>405</v>
      </c>
      <c r="AD21" s="540">
        <f>('EC - Travel Time - Roadway'!$D$74/60)</f>
        <v>0.99776500638569621</v>
      </c>
      <c r="AE21" s="540">
        <f>('EC - Travel Time - Roadway'!$D$74/60)</f>
        <v>0.99776500638569621</v>
      </c>
      <c r="AF21" s="507">
        <f t="shared" si="14"/>
        <v>410.26706523147163</v>
      </c>
      <c r="AG21" s="507">
        <f t="shared" si="15"/>
        <v>84.030603722108694</v>
      </c>
      <c r="AH21" s="540">
        <f t="shared" si="16"/>
        <v>1.0287179750746844</v>
      </c>
      <c r="AI21" s="540">
        <f t="shared" si="17"/>
        <v>0.26195616256999715</v>
      </c>
      <c r="AJ21" s="507">
        <f t="shared" si="18"/>
        <v>415.69961277263656</v>
      </c>
      <c r="AK21" s="511">
        <f t="shared" si="19"/>
        <v>52.927565174433695</v>
      </c>
      <c r="AL21" s="503">
        <f t="shared" si="20"/>
        <v>151730.35866201235</v>
      </c>
      <c r="AM21" s="503">
        <f t="shared" si="21"/>
        <v>19318.561288668297</v>
      </c>
    </row>
    <row r="22" spans="3:39" x14ac:dyDescent="0.2">
      <c r="C22" s="305">
        <v>2034</v>
      </c>
      <c r="D22" s="308">
        <f t="shared" si="22"/>
        <v>15994.837445689691</v>
      </c>
      <c r="E22" s="308">
        <f t="shared" si="23"/>
        <v>13275.715079922444</v>
      </c>
      <c r="F22" s="308">
        <f t="shared" si="29"/>
        <v>2719.1223657672476</v>
      </c>
      <c r="G22" s="503">
        <f t="shared" si="24"/>
        <v>553.15479499676849</v>
      </c>
      <c r="H22" s="503">
        <f t="shared" si="25"/>
        <v>113.29676524030198</v>
      </c>
      <c r="I22" s="507">
        <f t="shared" si="0"/>
        <v>810</v>
      </c>
      <c r="J22" s="507">
        <f t="shared" si="1"/>
        <v>405</v>
      </c>
      <c r="K22" s="540">
        <f>('EC - Travel Time - Roadway'!$D$74/60)</f>
        <v>0.99776500638569621</v>
      </c>
      <c r="L22" s="540">
        <f>('EC - Travel Time - Roadway'!$D$74/60)</f>
        <v>0.99776500638569621</v>
      </c>
      <c r="M22" s="507">
        <f t="shared" si="2"/>
        <v>551.91849756222916</v>
      </c>
      <c r="N22" s="507">
        <f t="shared" si="3"/>
        <v>113.04354769346862</v>
      </c>
      <c r="O22" s="540">
        <f t="shared" si="4"/>
        <v>2.1488370692195136</v>
      </c>
      <c r="P22" s="540">
        <f t="shared" si="5"/>
        <v>0.38752929081020537</v>
      </c>
      <c r="Q22" s="547">
        <f t="shared" si="6"/>
        <v>868.3339449971096</v>
      </c>
      <c r="R22" s="548">
        <f t="shared" si="7"/>
        <v>78.299290977277508</v>
      </c>
      <c r="S22" s="503">
        <f t="shared" si="8"/>
        <v>316941.88992394501</v>
      </c>
      <c r="T22" s="503">
        <f t="shared" si="9"/>
        <v>28579.241206706291</v>
      </c>
      <c r="U22" s="503"/>
      <c r="V22" s="305">
        <v>2034</v>
      </c>
      <c r="W22" s="308">
        <f t="shared" si="10"/>
        <v>12079.952977529972</v>
      </c>
      <c r="X22" s="308">
        <f t="shared" si="11"/>
        <v>10026.360971349877</v>
      </c>
      <c r="Y22" s="308">
        <f t="shared" si="26"/>
        <v>2053.5920061800962</v>
      </c>
      <c r="Z22" s="503">
        <f t="shared" si="27"/>
        <v>417.76504047291155</v>
      </c>
      <c r="AA22" s="503">
        <f t="shared" si="28"/>
        <v>85.566333590837345</v>
      </c>
      <c r="AB22" s="507">
        <f t="shared" si="12"/>
        <v>810</v>
      </c>
      <c r="AC22" s="507">
        <f t="shared" si="13"/>
        <v>405</v>
      </c>
      <c r="AD22" s="540">
        <f>('EC - Travel Time - Roadway'!$D$74/60)</f>
        <v>0.99776500638569621</v>
      </c>
      <c r="AE22" s="540">
        <f>('EC - Travel Time - Roadway'!$D$74/60)</f>
        <v>0.99776500638569621</v>
      </c>
      <c r="AF22" s="507">
        <f t="shared" si="14"/>
        <v>416.83133827517526</v>
      </c>
      <c r="AG22" s="507">
        <f t="shared" si="15"/>
        <v>85.375093381662438</v>
      </c>
      <c r="AH22" s="540">
        <f t="shared" si="16"/>
        <v>1.0627082776551644</v>
      </c>
      <c r="AI22" s="540">
        <f t="shared" si="17"/>
        <v>0.26727017956931776</v>
      </c>
      <c r="AJ22" s="507">
        <f t="shared" si="18"/>
        <v>429.43491823349859</v>
      </c>
      <c r="AK22" s="511">
        <f t="shared" si="19"/>
        <v>54.001248565999013</v>
      </c>
      <c r="AL22" s="503">
        <f t="shared" si="20"/>
        <v>156743.74515522699</v>
      </c>
      <c r="AM22" s="503">
        <f t="shared" si="21"/>
        <v>19710.45572658964</v>
      </c>
    </row>
    <row r="23" spans="3:39" x14ac:dyDescent="0.2">
      <c r="C23" s="305">
        <v>2035</v>
      </c>
      <c r="D23" s="308">
        <f t="shared" si="22"/>
        <v>16250.754844820725</v>
      </c>
      <c r="E23" s="308">
        <f t="shared" si="23"/>
        <v>13488.126521201202</v>
      </c>
      <c r="F23" s="308">
        <f t="shared" si="29"/>
        <v>2762.6283236195236</v>
      </c>
      <c r="G23" s="503">
        <f t="shared" si="24"/>
        <v>562.00527171671672</v>
      </c>
      <c r="H23" s="503">
        <f t="shared" si="25"/>
        <v>115.10951348414682</v>
      </c>
      <c r="I23" s="507">
        <f t="shared" si="0"/>
        <v>810</v>
      </c>
      <c r="J23" s="507">
        <f t="shared" si="1"/>
        <v>405</v>
      </c>
      <c r="K23" s="540">
        <f>('EC - Travel Time - Roadway'!$D$74/60)</f>
        <v>0.99776500638569621</v>
      </c>
      <c r="L23" s="540">
        <f>('EC - Travel Time - Roadway'!$D$74/60)</f>
        <v>0.99776500638569621</v>
      </c>
      <c r="M23" s="507">
        <f t="shared" si="2"/>
        <v>560.74919352322479</v>
      </c>
      <c r="N23" s="507">
        <f t="shared" si="3"/>
        <v>114.85224445656414</v>
      </c>
      <c r="O23" s="540">
        <f t="shared" si="4"/>
        <v>2.2611335224944114</v>
      </c>
      <c r="P23" s="540">
        <f t="shared" si="5"/>
        <v>0.39619183725880303</v>
      </c>
      <c r="Q23" s="547">
        <f t="shared" si="6"/>
        <v>913.71236092177196</v>
      </c>
      <c r="R23" s="548">
        <f t="shared" si="7"/>
        <v>80.049536084079293</v>
      </c>
      <c r="S23" s="503">
        <f t="shared" si="8"/>
        <v>333505.01173644676</v>
      </c>
      <c r="T23" s="503">
        <f t="shared" si="9"/>
        <v>29218.080670688942</v>
      </c>
      <c r="U23" s="503"/>
      <c r="V23" s="305">
        <v>2035</v>
      </c>
      <c r="W23" s="308">
        <f t="shared" si="10"/>
        <v>12273.232225170452</v>
      </c>
      <c r="X23" s="308">
        <f t="shared" si="11"/>
        <v>10186.782746891473</v>
      </c>
      <c r="Y23" s="308">
        <f t="shared" si="26"/>
        <v>2086.4494782789779</v>
      </c>
      <c r="Z23" s="503">
        <f t="shared" si="27"/>
        <v>424.44928112047802</v>
      </c>
      <c r="AA23" s="503">
        <f t="shared" si="28"/>
        <v>86.935394928290748</v>
      </c>
      <c r="AB23" s="507">
        <f t="shared" si="12"/>
        <v>810</v>
      </c>
      <c r="AC23" s="507">
        <f t="shared" si="13"/>
        <v>405</v>
      </c>
      <c r="AD23" s="540">
        <f>('EC - Travel Time - Roadway'!$D$74/60)</f>
        <v>0.99776500638569621</v>
      </c>
      <c r="AE23" s="540">
        <f>('EC - Travel Time - Roadway'!$D$74/60)</f>
        <v>0.99776500638569621</v>
      </c>
      <c r="AF23" s="507">
        <f t="shared" si="14"/>
        <v>423.50063968757792</v>
      </c>
      <c r="AG23" s="507">
        <f t="shared" si="15"/>
        <v>86.741094875769036</v>
      </c>
      <c r="AH23" s="540">
        <f t="shared" si="16"/>
        <v>1.0984304241951488</v>
      </c>
      <c r="AI23" s="540">
        <f t="shared" si="17"/>
        <v>0.27271533359146588</v>
      </c>
      <c r="AJ23" s="507">
        <f t="shared" si="18"/>
        <v>443.87005288058282</v>
      </c>
      <c r="AK23" s="511">
        <f t="shared" si="19"/>
        <v>55.101427853879159</v>
      </c>
      <c r="AL23" s="503">
        <f t="shared" si="20"/>
        <v>162012.56930141273</v>
      </c>
      <c r="AM23" s="503">
        <f t="shared" si="21"/>
        <v>20112.021166665894</v>
      </c>
    </row>
    <row r="24" spans="3:39" x14ac:dyDescent="0.2">
      <c r="C24" s="305">
        <v>2036</v>
      </c>
      <c r="D24" s="308">
        <f t="shared" si="22"/>
        <v>16510.766922337858</v>
      </c>
      <c r="E24" s="308">
        <f t="shared" si="23"/>
        <v>13703.936545540422</v>
      </c>
      <c r="F24" s="308">
        <f t="shared" si="29"/>
        <v>2806.8303767974362</v>
      </c>
      <c r="G24" s="503">
        <f t="shared" si="24"/>
        <v>570.99735606418426</v>
      </c>
      <c r="H24" s="503">
        <f t="shared" si="25"/>
        <v>116.95126569989317</v>
      </c>
      <c r="I24" s="507">
        <f t="shared" si="0"/>
        <v>810</v>
      </c>
      <c r="J24" s="507">
        <f t="shared" si="1"/>
        <v>405</v>
      </c>
      <c r="K24" s="540">
        <f>('EC - Travel Time - Roadway'!$D$74/60)</f>
        <v>0.99776500638569621</v>
      </c>
      <c r="L24" s="540">
        <f>('EC - Travel Time - Roadway'!$D$74/60)</f>
        <v>0.99776500638569621</v>
      </c>
      <c r="M24" s="507">
        <f t="shared" si="2"/>
        <v>569.72118061959645</v>
      </c>
      <c r="N24" s="507">
        <f t="shared" si="3"/>
        <v>116.68988036786916</v>
      </c>
      <c r="O24" s="540">
        <f t="shared" si="4"/>
        <v>2.3837442600534384</v>
      </c>
      <c r="P24" s="540">
        <f t="shared" si="5"/>
        <v>0.40510464540453245</v>
      </c>
      <c r="Q24" s="547">
        <f t="shared" si="6"/>
        <v>963.25872577590462</v>
      </c>
      <c r="R24" s="548">
        <f t="shared" si="7"/>
        <v>81.850345919558023</v>
      </c>
      <c r="S24" s="503">
        <f t="shared" si="8"/>
        <v>351589.43490820518</v>
      </c>
      <c r="T24" s="503">
        <f t="shared" si="9"/>
        <v>29875.376260638677</v>
      </c>
      <c r="U24" s="503"/>
      <c r="V24" s="305">
        <v>2036</v>
      </c>
      <c r="W24" s="308">
        <f t="shared" si="10"/>
        <v>12469.603940773179</v>
      </c>
      <c r="X24" s="308">
        <f t="shared" si="11"/>
        <v>10349.771270841737</v>
      </c>
      <c r="Y24" s="308">
        <f t="shared" si="26"/>
        <v>2119.8326699314416</v>
      </c>
      <c r="Z24" s="503">
        <f t="shared" si="27"/>
        <v>431.24046961840571</v>
      </c>
      <c r="AA24" s="503">
        <f t="shared" si="28"/>
        <v>88.326361247143396</v>
      </c>
      <c r="AB24" s="507">
        <f t="shared" si="12"/>
        <v>810</v>
      </c>
      <c r="AC24" s="507">
        <f t="shared" si="13"/>
        <v>405</v>
      </c>
      <c r="AD24" s="540">
        <f>('EC - Travel Time - Roadway'!$D$74/60)</f>
        <v>0.99776500638569621</v>
      </c>
      <c r="AE24" s="540">
        <f>('EC - Travel Time - Roadway'!$D$74/60)</f>
        <v>0.99776500638569621</v>
      </c>
      <c r="AF24" s="507">
        <f t="shared" si="14"/>
        <v>430.27664992257922</v>
      </c>
      <c r="AG24" s="507">
        <f t="shared" si="15"/>
        <v>88.128952393781347</v>
      </c>
      <c r="AH24" s="540">
        <f t="shared" si="16"/>
        <v>1.1360153749506507</v>
      </c>
      <c r="AI24" s="540">
        <f t="shared" si="17"/>
        <v>0.27829582765668825</v>
      </c>
      <c r="AJ24" s="507">
        <f t="shared" si="18"/>
        <v>459.05793707596354</v>
      </c>
      <c r="AK24" s="511">
        <f t="shared" si="19"/>
        <v>56.228952247445108</v>
      </c>
      <c r="AL24" s="503">
        <f t="shared" si="20"/>
        <v>167556.1470327267</v>
      </c>
      <c r="AM24" s="503">
        <f t="shared" si="21"/>
        <v>20523.567570317464</v>
      </c>
    </row>
    <row r="25" spans="3:39" x14ac:dyDescent="0.2">
      <c r="C25" s="305">
        <v>2037</v>
      </c>
      <c r="D25" s="308">
        <f t="shared" si="22"/>
        <v>16774.939193095262</v>
      </c>
      <c r="E25" s="308">
        <f t="shared" si="23"/>
        <v>13923.199530269067</v>
      </c>
      <c r="F25" s="308">
        <f t="shared" si="29"/>
        <v>2851.7396628261954</v>
      </c>
      <c r="G25" s="503">
        <f t="shared" si="24"/>
        <v>580.13331376121107</v>
      </c>
      <c r="H25" s="503">
        <f t="shared" si="25"/>
        <v>118.82248595109148</v>
      </c>
      <c r="I25" s="507">
        <f t="shared" si="0"/>
        <v>810</v>
      </c>
      <c r="J25" s="507">
        <f t="shared" si="1"/>
        <v>405</v>
      </c>
      <c r="K25" s="540">
        <f>('EC - Travel Time - Roadway'!$D$74/60)</f>
        <v>0.99776500638569621</v>
      </c>
      <c r="L25" s="540">
        <f>('EC - Travel Time - Roadway'!$D$74/60)</f>
        <v>0.99776500638569621</v>
      </c>
      <c r="M25" s="507">
        <f t="shared" si="2"/>
        <v>578.83671950950986</v>
      </c>
      <c r="N25" s="507">
        <f t="shared" si="3"/>
        <v>118.55691845375509</v>
      </c>
      <c r="O25" s="540">
        <f t="shared" si="4"/>
        <v>2.5181409667523798</v>
      </c>
      <c r="P25" s="540">
        <f t="shared" si="5"/>
        <v>0.41427754674496681</v>
      </c>
      <c r="Q25" s="547">
        <f t="shared" si="6"/>
        <v>1017.5677397975674</v>
      </c>
      <c r="R25" s="548">
        <f t="shared" si="7"/>
        <v>83.703706912372084</v>
      </c>
      <c r="S25" s="503">
        <f t="shared" si="8"/>
        <v>371412.22502611211</v>
      </c>
      <c r="T25" s="503">
        <f t="shared" si="9"/>
        <v>30551.85302301581</v>
      </c>
      <c r="U25" s="503"/>
      <c r="V25" s="305">
        <v>2037</v>
      </c>
      <c r="W25" s="308">
        <f t="shared" si="10"/>
        <v>12669.117603825549</v>
      </c>
      <c r="X25" s="308">
        <f t="shared" si="11"/>
        <v>10515.367611175205</v>
      </c>
      <c r="Y25" s="308">
        <f t="shared" si="26"/>
        <v>2153.7499926503447</v>
      </c>
      <c r="Z25" s="503">
        <f t="shared" si="27"/>
        <v>438.1403171323002</v>
      </c>
      <c r="AA25" s="503">
        <f t="shared" si="28"/>
        <v>89.739583027097694</v>
      </c>
      <c r="AB25" s="507">
        <f t="shared" si="12"/>
        <v>810</v>
      </c>
      <c r="AC25" s="507">
        <f t="shared" si="13"/>
        <v>405</v>
      </c>
      <c r="AD25" s="540">
        <f>('EC - Travel Time - Roadway'!$D$74/60)</f>
        <v>0.99776500638569621</v>
      </c>
      <c r="AE25" s="540">
        <f>('EC - Travel Time - Roadway'!$D$74/60)</f>
        <v>0.99776500638569621</v>
      </c>
      <c r="AF25" s="507">
        <f t="shared" si="14"/>
        <v>437.16107632134049</v>
      </c>
      <c r="AG25" s="507">
        <f t="shared" si="15"/>
        <v>89.539015632081842</v>
      </c>
      <c r="AH25" s="540">
        <f t="shared" si="16"/>
        <v>1.1756076188471165</v>
      </c>
      <c r="AI25" s="540">
        <f t="shared" si="17"/>
        <v>0.28401604137882625</v>
      </c>
      <c r="AJ25" s="507">
        <f t="shared" si="18"/>
        <v>475.05695804705687</v>
      </c>
      <c r="AK25" s="511">
        <f t="shared" si="19"/>
        <v>57.384706636346905</v>
      </c>
      <c r="AL25" s="503">
        <f t="shared" si="20"/>
        <v>173395.78968717577</v>
      </c>
      <c r="AM25" s="503">
        <f t="shared" si="21"/>
        <v>20945.417922266621</v>
      </c>
    </row>
    <row r="26" spans="3:39" x14ac:dyDescent="0.2">
      <c r="C26" s="305">
        <v>2038</v>
      </c>
      <c r="D26" s="308">
        <f t="shared" si="22"/>
        <v>17043.338220184785</v>
      </c>
      <c r="E26" s="308">
        <f t="shared" si="23"/>
        <v>14145.970722753371</v>
      </c>
      <c r="F26" s="308">
        <f t="shared" si="29"/>
        <v>2897.3674974314144</v>
      </c>
      <c r="G26" s="503">
        <f t="shared" si="24"/>
        <v>589.41544678139041</v>
      </c>
      <c r="H26" s="503">
        <f t="shared" si="25"/>
        <v>120.72364572630893</v>
      </c>
      <c r="I26" s="507">
        <f t="shared" si="0"/>
        <v>810</v>
      </c>
      <c r="J26" s="507">
        <f t="shared" si="1"/>
        <v>405</v>
      </c>
      <c r="K26" s="540">
        <f>('EC - Travel Time - Roadway'!$D$74/60)</f>
        <v>0.99776500638569621</v>
      </c>
      <c r="L26" s="540">
        <f>('EC - Travel Time - Roadway'!$D$74/60)</f>
        <v>0.99776500638569621</v>
      </c>
      <c r="M26" s="507">
        <f t="shared" si="2"/>
        <v>588.09810702166203</v>
      </c>
      <c r="N26" s="507">
        <f t="shared" si="3"/>
        <v>120.45382914901516</v>
      </c>
      <c r="O26" s="540">
        <f t="shared" si="4"/>
        <v>2.6660892543950228</v>
      </c>
      <c r="P26" s="540">
        <f t="shared" si="5"/>
        <v>0.42372088757352833</v>
      </c>
      <c r="Q26" s="547">
        <f t="shared" si="6"/>
        <v>1077.3528775841958</v>
      </c>
      <c r="R26" s="548">
        <f t="shared" si="7"/>
        <v>85.611709504349761</v>
      </c>
      <c r="S26" s="503">
        <f t="shared" si="8"/>
        <v>393233.80031823146</v>
      </c>
      <c r="T26" s="503">
        <f t="shared" si="9"/>
        <v>31248.273969087662</v>
      </c>
      <c r="U26" s="503"/>
      <c r="V26" s="305">
        <v>2038</v>
      </c>
      <c r="W26" s="308">
        <f t="shared" si="10"/>
        <v>12871.823485486759</v>
      </c>
      <c r="X26" s="308">
        <f t="shared" si="11"/>
        <v>10683.613492954009</v>
      </c>
      <c r="Y26" s="308">
        <f t="shared" si="26"/>
        <v>2188.2099925327502</v>
      </c>
      <c r="Z26" s="503">
        <f t="shared" si="27"/>
        <v>445.15056220641708</v>
      </c>
      <c r="AA26" s="503">
        <f t="shared" si="28"/>
        <v>91.175416355531254</v>
      </c>
      <c r="AB26" s="507">
        <f t="shared" si="12"/>
        <v>810</v>
      </c>
      <c r="AC26" s="507">
        <f t="shared" si="13"/>
        <v>405</v>
      </c>
      <c r="AD26" s="540">
        <f>('EC - Travel Time - Roadway'!$D$74/60)</f>
        <v>0.99776500638569621</v>
      </c>
      <c r="AE26" s="540">
        <f>('EC - Travel Time - Roadway'!$D$74/60)</f>
        <v>0.99776500638569621</v>
      </c>
      <c r="AF26" s="507">
        <f t="shared" si="14"/>
        <v>444.15565354248201</v>
      </c>
      <c r="AG26" s="507">
        <f t="shared" si="15"/>
        <v>90.971639882195149</v>
      </c>
      <c r="AH26" s="540">
        <f t="shared" si="16"/>
        <v>1.2173669671207423</v>
      </c>
      <c r="AI26" s="540">
        <f t="shared" si="17"/>
        <v>0.28988054035070987</v>
      </c>
      <c r="AJ26" s="507">
        <f t="shared" si="18"/>
        <v>491.93169468780007</v>
      </c>
      <c r="AK26" s="511">
        <f t="shared" si="19"/>
        <v>58.569613486808308</v>
      </c>
      <c r="AL26" s="503">
        <f t="shared" si="20"/>
        <v>179555.06856104702</v>
      </c>
      <c r="AM26" s="503">
        <f t="shared" si="21"/>
        <v>21377.908922685034</v>
      </c>
    </row>
    <row r="27" spans="3:39" x14ac:dyDescent="0.2">
      <c r="C27" s="305">
        <v>2039</v>
      </c>
      <c r="D27" s="308">
        <f t="shared" si="22"/>
        <v>17316.031631707741</v>
      </c>
      <c r="E27" s="308">
        <f t="shared" si="23"/>
        <v>14372.306254317424</v>
      </c>
      <c r="F27" s="308">
        <f t="shared" si="29"/>
        <v>2943.7253773903171</v>
      </c>
      <c r="G27" s="503">
        <f t="shared" si="24"/>
        <v>598.84609392989262</v>
      </c>
      <c r="H27" s="503">
        <f t="shared" si="25"/>
        <v>122.65522405792989</v>
      </c>
      <c r="I27" s="507">
        <f t="shared" si="0"/>
        <v>810</v>
      </c>
      <c r="J27" s="507">
        <f t="shared" si="1"/>
        <v>405</v>
      </c>
      <c r="K27" s="540">
        <f>('EC - Travel Time - Roadway'!$D$74/60)</f>
        <v>0.99776500638569621</v>
      </c>
      <c r="L27" s="540">
        <f>('EC - Travel Time - Roadway'!$D$74/60)</f>
        <v>0.99776500638569621</v>
      </c>
      <c r="M27" s="507">
        <f t="shared" si="2"/>
        <v>597.50767673400856</v>
      </c>
      <c r="N27" s="507">
        <f t="shared" si="3"/>
        <v>122.38109041539941</v>
      </c>
      <c r="O27" s="540">
        <f t="shared" si="4"/>
        <v>2.8297258992482188</v>
      </c>
      <c r="P27" s="540">
        <f t="shared" si="5"/>
        <v>0.43344556316674643</v>
      </c>
      <c r="Q27" s="547">
        <f t="shared" si="6"/>
        <v>1143.4775993729336</v>
      </c>
      <c r="R27" s="548">
        <f t="shared" si="7"/>
        <v>87.576555057936389</v>
      </c>
      <c r="S27" s="503">
        <f t="shared" si="8"/>
        <v>417369.32377112075</v>
      </c>
      <c r="T27" s="503">
        <f t="shared" si="9"/>
        <v>31965.442596146782</v>
      </c>
      <c r="U27" s="503"/>
      <c r="V27" s="305">
        <v>2039</v>
      </c>
      <c r="W27" s="308">
        <f t="shared" si="10"/>
        <v>13077.772661254547</v>
      </c>
      <c r="X27" s="308">
        <f t="shared" si="11"/>
        <v>10854.551308841272</v>
      </c>
      <c r="Y27" s="308">
        <f t="shared" si="26"/>
        <v>2223.2213524132744</v>
      </c>
      <c r="Z27" s="503">
        <f t="shared" si="27"/>
        <v>452.27297120171966</v>
      </c>
      <c r="AA27" s="503">
        <f t="shared" si="28"/>
        <v>92.634223017219767</v>
      </c>
      <c r="AB27" s="507">
        <f t="shared" si="12"/>
        <v>810</v>
      </c>
      <c r="AC27" s="507">
        <f t="shared" si="13"/>
        <v>405</v>
      </c>
      <c r="AD27" s="540">
        <f>('EC - Travel Time - Roadway'!$D$74/60)</f>
        <v>0.99776500638569621</v>
      </c>
      <c r="AE27" s="540">
        <f>('EC - Travel Time - Roadway'!$D$74/60)</f>
        <v>0.99776500638569621</v>
      </c>
      <c r="AF27" s="507">
        <f t="shared" si="14"/>
        <v>451.26214399916159</v>
      </c>
      <c r="AG27" s="507">
        <f t="shared" si="15"/>
        <v>92.427186120310282</v>
      </c>
      <c r="AH27" s="540">
        <f t="shared" si="16"/>
        <v>1.2614706400997868</v>
      </c>
      <c r="AI27" s="540">
        <f t="shared" si="17"/>
        <v>0.29589408613545237</v>
      </c>
      <c r="AJ27" s="507">
        <f t="shared" si="18"/>
        <v>509.75376081618555</v>
      </c>
      <c r="AK27" s="511">
        <f t="shared" si="19"/>
        <v>59.784634860341953</v>
      </c>
      <c r="AL27" s="503">
        <f t="shared" si="20"/>
        <v>186060.12269790773</v>
      </c>
      <c r="AM27" s="503">
        <f t="shared" si="21"/>
        <v>21821.391724024812</v>
      </c>
    </row>
    <row r="28" spans="3:39" ht="13.5" thickBot="1" x14ac:dyDescent="0.25">
      <c r="C28" s="409">
        <v>2040</v>
      </c>
      <c r="D28" s="410">
        <f t="shared" si="22"/>
        <v>17593.088137815066</v>
      </c>
      <c r="E28" s="410">
        <f t="shared" si="23"/>
        <v>14602.263154386505</v>
      </c>
      <c r="F28" s="410">
        <f t="shared" si="29"/>
        <v>2990.8249834285621</v>
      </c>
      <c r="G28" s="515">
        <f t="shared" si="24"/>
        <v>608.42763143277102</v>
      </c>
      <c r="H28" s="515">
        <f t="shared" si="25"/>
        <v>124.61770764285676</v>
      </c>
      <c r="I28" s="519">
        <f t="shared" si="0"/>
        <v>810</v>
      </c>
      <c r="J28" s="519">
        <f t="shared" si="1"/>
        <v>405</v>
      </c>
      <c r="K28" s="541">
        <f>('EC - Travel Time - Roadway'!$D$74/60)</f>
        <v>0.99776500638569621</v>
      </c>
      <c r="L28" s="541">
        <f>('EC - Travel Time - Roadway'!$D$74/60)</f>
        <v>0.99776500638569621</v>
      </c>
      <c r="M28" s="519">
        <f t="shared" si="2"/>
        <v>607.06779956175285</v>
      </c>
      <c r="N28" s="519">
        <f t="shared" si="3"/>
        <v>124.33918786204579</v>
      </c>
      <c r="O28" s="541">
        <f t="shared" si="4"/>
        <v>3.0116617861702704</v>
      </c>
      <c r="P28" s="541">
        <f t="shared" si="5"/>
        <v>0.44346305473409126</v>
      </c>
      <c r="Q28" s="551">
        <f t="shared" si="6"/>
        <v>1216.9969502304436</v>
      </c>
      <c r="R28" s="552">
        <f t="shared" si="7"/>
        <v>89.600563321812629</v>
      </c>
      <c r="S28" s="515">
        <f t="shared" si="8"/>
        <v>444203.88683411194</v>
      </c>
      <c r="T28" s="515">
        <f t="shared" si="9"/>
        <v>32704.20561246161</v>
      </c>
      <c r="U28" s="515"/>
      <c r="V28" s="409">
        <v>2040</v>
      </c>
      <c r="W28" s="410">
        <f t="shared" si="10"/>
        <v>13287.01702383462</v>
      </c>
      <c r="X28" s="410">
        <f t="shared" si="11"/>
        <v>11028.224129782733</v>
      </c>
      <c r="Y28" s="410">
        <f t="shared" si="26"/>
        <v>2258.7928940518868</v>
      </c>
      <c r="Z28" s="515">
        <f t="shared" si="27"/>
        <v>459.50933874094721</v>
      </c>
      <c r="AA28" s="515">
        <f t="shared" si="28"/>
        <v>94.116370585495289</v>
      </c>
      <c r="AB28" s="519">
        <f t="shared" si="12"/>
        <v>810</v>
      </c>
      <c r="AC28" s="519">
        <f t="shared" si="13"/>
        <v>405</v>
      </c>
      <c r="AD28" s="541">
        <f>('EC - Travel Time - Roadway'!$D$74/60)</f>
        <v>0.99776500638569621</v>
      </c>
      <c r="AE28" s="541">
        <f>('EC - Travel Time - Roadway'!$D$74/60)</f>
        <v>0.99776500638569621</v>
      </c>
      <c r="AF28" s="519">
        <f t="shared" si="14"/>
        <v>458.48233830314825</v>
      </c>
      <c r="AG28" s="519">
        <f t="shared" si="15"/>
        <v>93.906021098235257</v>
      </c>
      <c r="AH28" s="541">
        <f t="shared" si="16"/>
        <v>1.3081157045844289</v>
      </c>
      <c r="AI28" s="541">
        <f t="shared" si="17"/>
        <v>0.30206164690978077</v>
      </c>
      <c r="AJ28" s="519">
        <f t="shared" si="18"/>
        <v>528.60279010685451</v>
      </c>
      <c r="AK28" s="520">
        <f t="shared" si="19"/>
        <v>61.030774564206794</v>
      </c>
      <c r="AL28" s="515">
        <f t="shared" si="20"/>
        <v>192940.0183890019</v>
      </c>
      <c r="AM28" s="515">
        <f t="shared" si="21"/>
        <v>22276.232715935479</v>
      </c>
    </row>
    <row r="29" spans="3:39" x14ac:dyDescent="0.2">
      <c r="C29" s="524">
        <v>2041</v>
      </c>
      <c r="D29" s="408">
        <f>D28*(1+$B$5)</f>
        <v>17751.425931055401</v>
      </c>
      <c r="E29" s="308">
        <f t="shared" si="23"/>
        <v>14733.683522775982</v>
      </c>
      <c r="F29" s="308">
        <f>F28*(1+$B$5)</f>
        <v>3017.7424082794187</v>
      </c>
      <c r="G29" s="516">
        <f t="shared" si="24"/>
        <v>613.90348011566596</v>
      </c>
      <c r="H29" s="516">
        <f t="shared" si="25"/>
        <v>125.73926701164244</v>
      </c>
      <c r="I29" s="517">
        <f t="shared" si="0"/>
        <v>810</v>
      </c>
      <c r="J29" s="517">
        <f t="shared" si="1"/>
        <v>405</v>
      </c>
      <c r="K29" s="542">
        <f>('EC - Travel Time - Roadway'!$D$74/60)</f>
        <v>0.99776500638569621</v>
      </c>
      <c r="L29" s="542">
        <f>('EC - Travel Time - Roadway'!$D$74/60)</f>
        <v>0.99776500638569621</v>
      </c>
      <c r="M29" s="517">
        <f t="shared" si="2"/>
        <v>612.53140975780855</v>
      </c>
      <c r="N29" s="517">
        <f t="shared" si="3"/>
        <v>125.45824055280418</v>
      </c>
      <c r="O29" s="542">
        <f t="shared" si="4"/>
        <v>3.123622031227812</v>
      </c>
      <c r="P29" s="542">
        <f t="shared" si="5"/>
        <v>0.44925127571742984</v>
      </c>
      <c r="Q29" s="553">
        <f t="shared" si="6"/>
        <v>1262.2395061534803</v>
      </c>
      <c r="R29" s="554">
        <f t="shared" si="7"/>
        <v>90.770058401959176</v>
      </c>
      <c r="S29" s="516">
        <f t="shared" si="8"/>
        <v>460717.41974602028</v>
      </c>
      <c r="T29" s="516">
        <f t="shared" si="9"/>
        <v>33131.071316715097</v>
      </c>
      <c r="U29" s="516"/>
      <c r="V29" s="524">
        <v>2041</v>
      </c>
      <c r="W29" s="408">
        <f>W28*(1+$B$5)</f>
        <v>13406.600177049129</v>
      </c>
      <c r="X29" s="308">
        <f t="shared" si="11"/>
        <v>11127.478146950776</v>
      </c>
      <c r="Y29" s="308">
        <f>Y28*(1+$B$5)</f>
        <v>2279.1220300983537</v>
      </c>
      <c r="Z29" s="516">
        <f t="shared" si="27"/>
        <v>463.64492278961569</v>
      </c>
      <c r="AA29" s="516">
        <f t="shared" si="28"/>
        <v>94.963417920764741</v>
      </c>
      <c r="AB29" s="517">
        <f t="shared" si="12"/>
        <v>810</v>
      </c>
      <c r="AC29" s="517">
        <f t="shared" si="13"/>
        <v>405</v>
      </c>
      <c r="AD29" s="542">
        <f>('EC - Travel Time - Roadway'!$D$74/60)</f>
        <v>0.99776500638569621</v>
      </c>
      <c r="AE29" s="542">
        <f>('EC - Travel Time - Roadway'!$D$74/60)</f>
        <v>0.99776500638569621</v>
      </c>
      <c r="AF29" s="517">
        <f t="shared" si="14"/>
        <v>462.60867934787655</v>
      </c>
      <c r="AG29" s="517">
        <f t="shared" si="15"/>
        <v>94.75117528811937</v>
      </c>
      <c r="AH29" s="542">
        <f t="shared" si="16"/>
        <v>1.3356486155012448</v>
      </c>
      <c r="AI29" s="542">
        <f t="shared" si="17"/>
        <v>0.30561288817170634</v>
      </c>
      <c r="AJ29" s="517">
        <f t="shared" si="18"/>
        <v>539.72869699673163</v>
      </c>
      <c r="AK29" s="518">
        <f t="shared" si="19"/>
        <v>61.74829367693421</v>
      </c>
      <c r="AL29" s="516">
        <f t="shared" si="20"/>
        <v>197000.97440380705</v>
      </c>
      <c r="AM29" s="516">
        <f t="shared" si="21"/>
        <v>22538.127192080985</v>
      </c>
    </row>
    <row r="30" spans="3:39" x14ac:dyDescent="0.2">
      <c r="C30" s="305">
        <v>2042</v>
      </c>
      <c r="D30" s="308">
        <f t="shared" ref="D30:D43" si="30">D29*(1+$B$5)</f>
        <v>17911.188764434897</v>
      </c>
      <c r="E30" s="308">
        <f t="shared" si="23"/>
        <v>14866.286674480963</v>
      </c>
      <c r="F30" s="308">
        <f t="shared" ref="F30:F43" si="31">F29*(1+$B$5)</f>
        <v>3044.9020899539332</v>
      </c>
      <c r="G30" s="503">
        <f t="shared" si="24"/>
        <v>619.42861143670677</v>
      </c>
      <c r="H30" s="503">
        <f t="shared" si="25"/>
        <v>126.87092041474722</v>
      </c>
      <c r="I30" s="507">
        <f t="shared" si="0"/>
        <v>810</v>
      </c>
      <c r="J30" s="507">
        <f t="shared" si="1"/>
        <v>405</v>
      </c>
      <c r="K30" s="540">
        <f>('EC - Travel Time - Roadway'!$D$74/60)</f>
        <v>0.99776500638569621</v>
      </c>
      <c r="L30" s="540">
        <f>('EC - Travel Time - Roadway'!$D$74/60)</f>
        <v>0.99776500638569621</v>
      </c>
      <c r="M30" s="507">
        <f t="shared" si="2"/>
        <v>618.04419244562871</v>
      </c>
      <c r="N30" s="507">
        <f t="shared" si="3"/>
        <v>126.58736471777941</v>
      </c>
      <c r="O30" s="540">
        <f t="shared" si="4"/>
        <v>3.2431111359634226</v>
      </c>
      <c r="P30" s="540">
        <f t="shared" si="5"/>
        <v>0.4551389049521431</v>
      </c>
      <c r="Q30" s="547">
        <f t="shared" si="6"/>
        <v>1310.5244353300473</v>
      </c>
      <c r="R30" s="548">
        <f t="shared" si="7"/>
        <v>91.959638662205649</v>
      </c>
      <c r="S30" s="503">
        <f t="shared" si="8"/>
        <v>478341.41889546724</v>
      </c>
      <c r="T30" s="503">
        <f t="shared" si="9"/>
        <v>33565.26811170506</v>
      </c>
      <c r="U30" s="503"/>
      <c r="V30" s="305">
        <v>2042</v>
      </c>
      <c r="W30" s="308">
        <f t="shared" ref="W30" si="32">W29*(1+$B$5)</f>
        <v>13527.25957864257</v>
      </c>
      <c r="X30" s="308">
        <f t="shared" si="11"/>
        <v>11227.625450273332</v>
      </c>
      <c r="Y30" s="308">
        <f t="shared" ref="Y30:Y43" si="33">Y29*(1+$B$5)</f>
        <v>2299.6341283692386</v>
      </c>
      <c r="Z30" s="503">
        <f t="shared" si="27"/>
        <v>467.81772709472216</v>
      </c>
      <c r="AA30" s="503">
        <f t="shared" si="28"/>
        <v>95.818088682051609</v>
      </c>
      <c r="AB30" s="507">
        <f t="shared" si="12"/>
        <v>810</v>
      </c>
      <c r="AC30" s="507">
        <f t="shared" si="13"/>
        <v>405</v>
      </c>
      <c r="AD30" s="540">
        <f>('EC - Travel Time - Roadway'!$D$74/60)</f>
        <v>0.99776500638569621</v>
      </c>
      <c r="AE30" s="540">
        <f>('EC - Travel Time - Roadway'!$D$74/60)</f>
        <v>0.99776500638569621</v>
      </c>
      <c r="AF30" s="507">
        <f t="shared" si="14"/>
        <v>466.77215746200733</v>
      </c>
      <c r="AG30" s="507">
        <f t="shared" si="15"/>
        <v>95.60393586571243</v>
      </c>
      <c r="AH30" s="540">
        <f t="shared" si="16"/>
        <v>1.3641038546471347</v>
      </c>
      <c r="AI30" s="540">
        <f t="shared" si="17"/>
        <v>0.30921581232932399</v>
      </c>
      <c r="AJ30" s="507">
        <f t="shared" si="18"/>
        <v>551.22731195331426</v>
      </c>
      <c r="AK30" s="511">
        <f t="shared" si="19"/>
        <v>62.476255185073562</v>
      </c>
      <c r="AL30" s="503">
        <f t="shared" si="20"/>
        <v>201197.96886295971</v>
      </c>
      <c r="AM30" s="503">
        <f t="shared" si="21"/>
        <v>22803.833142551852</v>
      </c>
    </row>
    <row r="31" spans="3:39" x14ac:dyDescent="0.2">
      <c r="C31" s="305">
        <v>2043</v>
      </c>
      <c r="D31" s="308">
        <f t="shared" si="30"/>
        <v>18072.389463314808</v>
      </c>
      <c r="E31" s="308">
        <f t="shared" si="23"/>
        <v>15000.083254551289</v>
      </c>
      <c r="F31" s="308">
        <f t="shared" si="31"/>
        <v>3072.3062087635185</v>
      </c>
      <c r="G31" s="503">
        <f t="shared" si="24"/>
        <v>625.00346893963706</v>
      </c>
      <c r="H31" s="503">
        <f t="shared" si="25"/>
        <v>128.01275869847993</v>
      </c>
      <c r="I31" s="507">
        <f t="shared" si="0"/>
        <v>810</v>
      </c>
      <c r="J31" s="507">
        <f t="shared" si="1"/>
        <v>405</v>
      </c>
      <c r="K31" s="540">
        <f>('EC - Travel Time - Roadway'!$D$74/60)</f>
        <v>0.99776500638569621</v>
      </c>
      <c r="L31" s="540">
        <f>('EC - Travel Time - Roadway'!$D$74/60)</f>
        <v>0.99776500638569621</v>
      </c>
      <c r="M31" s="507">
        <f t="shared" si="2"/>
        <v>623.6065901776393</v>
      </c>
      <c r="N31" s="507">
        <f t="shared" si="3"/>
        <v>127.72665100023941</v>
      </c>
      <c r="O31" s="540">
        <f t="shared" si="4"/>
        <v>3.3709096414038235</v>
      </c>
      <c r="P31" s="540">
        <f t="shared" si="5"/>
        <v>0.46112828302152731</v>
      </c>
      <c r="Q31" s="547">
        <f t="shared" si="6"/>
        <v>1362.1671503517609</v>
      </c>
      <c r="R31" s="548">
        <f t="shared" si="7"/>
        <v>93.169777011353858</v>
      </c>
      <c r="S31" s="503">
        <f t="shared" si="8"/>
        <v>497191.00987839274</v>
      </c>
      <c r="T31" s="503">
        <f t="shared" si="9"/>
        <v>34006.968609144162</v>
      </c>
      <c r="U31" s="503"/>
      <c r="V31" s="305">
        <v>2043</v>
      </c>
      <c r="W31" s="308">
        <f t="shared" ref="W31" si="34">W30*(1+$B$5)</f>
        <v>13649.004914850351</v>
      </c>
      <c r="X31" s="308">
        <f t="shared" si="11"/>
        <v>11328.674079325789</v>
      </c>
      <c r="Y31" s="308">
        <f t="shared" si="33"/>
        <v>2320.3308355245617</v>
      </c>
      <c r="Z31" s="503">
        <f t="shared" si="27"/>
        <v>472.02808663857451</v>
      </c>
      <c r="AA31" s="503">
        <f t="shared" si="28"/>
        <v>96.680451480190072</v>
      </c>
      <c r="AB31" s="507">
        <f t="shared" si="12"/>
        <v>810</v>
      </c>
      <c r="AC31" s="507">
        <f t="shared" si="13"/>
        <v>405</v>
      </c>
      <c r="AD31" s="540">
        <f>('EC - Travel Time - Roadway'!$D$74/60)</f>
        <v>0.99776500638569621</v>
      </c>
      <c r="AE31" s="540">
        <f>('EC - Travel Time - Roadway'!$D$74/60)</f>
        <v>0.99776500638569621</v>
      </c>
      <c r="AF31" s="507">
        <f t="shared" si="14"/>
        <v>470.97310687916524</v>
      </c>
      <c r="AG31" s="507">
        <f t="shared" si="15"/>
        <v>96.464371288503841</v>
      </c>
      <c r="AH31" s="540">
        <f t="shared" si="16"/>
        <v>1.3935273561489974</v>
      </c>
      <c r="AI31" s="540">
        <f t="shared" si="17"/>
        <v>0.31287140809466346</v>
      </c>
      <c r="AJ31" s="507">
        <f t="shared" si="18"/>
        <v>563.11719671969195</v>
      </c>
      <c r="AK31" s="511">
        <f t="shared" si="19"/>
        <v>63.214858855333418</v>
      </c>
      <c r="AL31" s="503">
        <f t="shared" si="20"/>
        <v>205537.77680268756</v>
      </c>
      <c r="AM31" s="503">
        <f t="shared" si="21"/>
        <v>23073.423482196697</v>
      </c>
    </row>
    <row r="32" spans="3:39" x14ac:dyDescent="0.2">
      <c r="C32" s="305">
        <v>2044</v>
      </c>
      <c r="D32" s="308">
        <f t="shared" si="30"/>
        <v>18235.040968484638</v>
      </c>
      <c r="E32" s="308">
        <f t="shared" si="23"/>
        <v>15135.084003842248</v>
      </c>
      <c r="F32" s="308">
        <f t="shared" si="31"/>
        <v>3099.9569646423897</v>
      </c>
      <c r="G32" s="503">
        <f t="shared" si="24"/>
        <v>630.62850016009372</v>
      </c>
      <c r="H32" s="503">
        <f t="shared" si="25"/>
        <v>129.16487352676623</v>
      </c>
      <c r="I32" s="507">
        <f t="shared" si="0"/>
        <v>810</v>
      </c>
      <c r="J32" s="507">
        <f t="shared" si="1"/>
        <v>405</v>
      </c>
      <c r="K32" s="540">
        <f>('EC - Travel Time - Roadway'!$D$74/60)</f>
        <v>0.99776500638569621</v>
      </c>
      <c r="L32" s="540">
        <f>('EC - Travel Time - Roadway'!$D$74/60)</f>
        <v>0.99776500638569621</v>
      </c>
      <c r="M32" s="507">
        <f t="shared" si="2"/>
        <v>629.21904948923793</v>
      </c>
      <c r="N32" s="507">
        <f t="shared" si="3"/>
        <v>128.87619085924155</v>
      </c>
      <c r="O32" s="540">
        <f t="shared" si="4"/>
        <v>3.5079098410328968</v>
      </c>
      <c r="P32" s="540">
        <f t="shared" si="5"/>
        <v>0.46722182380113686</v>
      </c>
      <c r="Q32" s="547">
        <f t="shared" si="6"/>
        <v>1417.5282224001471</v>
      </c>
      <c r="R32" s="548">
        <f t="shared" si="7"/>
        <v>94.400961166716797</v>
      </c>
      <c r="S32" s="503">
        <f t="shared" si="8"/>
        <v>517397.8011760537</v>
      </c>
      <c r="T32" s="503">
        <f t="shared" si="9"/>
        <v>34456.35082585163</v>
      </c>
      <c r="U32" s="503"/>
      <c r="V32" s="305">
        <v>2044</v>
      </c>
      <c r="W32" s="308">
        <f t="shared" ref="W32" si="35">W31*(1+$B$5)</f>
        <v>13771.845959084003</v>
      </c>
      <c r="X32" s="308">
        <f t="shared" si="11"/>
        <v>11430.632146039719</v>
      </c>
      <c r="Y32" s="308">
        <f t="shared" si="33"/>
        <v>2341.2138130442827</v>
      </c>
      <c r="Z32" s="503">
        <f t="shared" si="27"/>
        <v>476.27633941832164</v>
      </c>
      <c r="AA32" s="503">
        <f t="shared" si="28"/>
        <v>97.550575543511783</v>
      </c>
      <c r="AB32" s="507">
        <f t="shared" si="12"/>
        <v>810</v>
      </c>
      <c r="AC32" s="507">
        <f t="shared" si="13"/>
        <v>405</v>
      </c>
      <c r="AD32" s="540">
        <f>('EC - Travel Time - Roadway'!$D$74/60)</f>
        <v>0.99776500638569621</v>
      </c>
      <c r="AE32" s="540">
        <f>('EC - Travel Time - Roadway'!$D$74/60)</f>
        <v>0.99776500638569621</v>
      </c>
      <c r="AF32" s="507">
        <f t="shared" si="14"/>
        <v>475.21186484107773</v>
      </c>
      <c r="AG32" s="507">
        <f t="shared" si="15"/>
        <v>97.332550630100371</v>
      </c>
      <c r="AH32" s="540">
        <f t="shared" si="16"/>
        <v>1.4239681538096107</v>
      </c>
      <c r="AI32" s="540">
        <f t="shared" si="17"/>
        <v>0.31658068900979636</v>
      </c>
      <c r="AJ32" s="507">
        <f t="shared" si="18"/>
        <v>575.41816560194411</v>
      </c>
      <c r="AK32" s="511">
        <f t="shared" si="19"/>
        <v>63.96430947126813</v>
      </c>
      <c r="AL32" s="503">
        <f t="shared" si="20"/>
        <v>210027.63044470959</v>
      </c>
      <c r="AM32" s="503">
        <f t="shared" si="21"/>
        <v>23346.972957012869</v>
      </c>
    </row>
    <row r="33" spans="3:39" x14ac:dyDescent="0.2">
      <c r="C33" s="418">
        <v>2045</v>
      </c>
      <c r="D33" s="411">
        <f t="shared" si="30"/>
        <v>18399.156337200999</v>
      </c>
      <c r="E33" s="411">
        <f t="shared" si="23"/>
        <v>15271.299759876827</v>
      </c>
      <c r="F33" s="411">
        <f t="shared" si="31"/>
        <v>3127.8565773241708</v>
      </c>
      <c r="G33" s="503">
        <f t="shared" si="24"/>
        <v>636.30415666153442</v>
      </c>
      <c r="H33" s="503">
        <f t="shared" si="25"/>
        <v>130.32735738850712</v>
      </c>
      <c r="I33" s="507">
        <f t="shared" si="0"/>
        <v>810</v>
      </c>
      <c r="J33" s="507">
        <f t="shared" si="1"/>
        <v>405</v>
      </c>
      <c r="K33" s="540">
        <f>('EC - Travel Time - Roadway'!$D$74/60)</f>
        <v>0.99776500638569621</v>
      </c>
      <c r="L33" s="540">
        <f>('EC - Travel Time - Roadway'!$D$74/60)</f>
        <v>0.99776500638569621</v>
      </c>
      <c r="M33" s="507">
        <f t="shared" si="2"/>
        <v>634.88202093464088</v>
      </c>
      <c r="N33" s="507">
        <f t="shared" si="3"/>
        <v>130.03607657697472</v>
      </c>
      <c r="O33" s="540">
        <f t="shared" si="4"/>
        <v>3.6551365233162372</v>
      </c>
      <c r="P33" s="540">
        <f t="shared" si="5"/>
        <v>0.47342201735359046</v>
      </c>
      <c r="Q33" s="549">
        <f t="shared" si="6"/>
        <v>1477.0217631935229</v>
      </c>
      <c r="R33" s="550">
        <f t="shared" si="7"/>
        <v>95.653694239006697</v>
      </c>
      <c r="S33" s="508">
        <f t="shared" si="8"/>
        <v>539112.94356563583</v>
      </c>
      <c r="T33" s="508">
        <f t="shared" si="9"/>
        <v>34913.598397237445</v>
      </c>
      <c r="U33" s="508"/>
      <c r="V33" s="418">
        <v>2045</v>
      </c>
      <c r="W33" s="411">
        <f t="shared" ref="W33" si="36">W32*(1+$B$5)</f>
        <v>13895.792572715758</v>
      </c>
      <c r="X33" s="411">
        <f t="shared" si="11"/>
        <v>11533.507835354078</v>
      </c>
      <c r="Y33" s="411">
        <f t="shared" si="33"/>
        <v>2362.284737361681</v>
      </c>
      <c r="Z33" s="503">
        <f t="shared" si="27"/>
        <v>480.56282647308655</v>
      </c>
      <c r="AA33" s="503">
        <f t="shared" si="28"/>
        <v>98.42853072340337</v>
      </c>
      <c r="AB33" s="507">
        <f t="shared" si="12"/>
        <v>810</v>
      </c>
      <c r="AC33" s="507">
        <f t="shared" si="13"/>
        <v>405</v>
      </c>
      <c r="AD33" s="540">
        <f>('EC - Travel Time - Roadway'!$D$74/60)</f>
        <v>0.99776500638569621</v>
      </c>
      <c r="AE33" s="540">
        <f>('EC - Travel Time - Roadway'!$D$74/60)</f>
        <v>0.99776500638569621</v>
      </c>
      <c r="AF33" s="507">
        <f t="shared" si="14"/>
        <v>479.48877162464743</v>
      </c>
      <c r="AG33" s="507">
        <f t="shared" si="15"/>
        <v>98.208543585771253</v>
      </c>
      <c r="AH33" s="540">
        <f t="shared" si="16"/>
        <v>1.4554786470855738</v>
      </c>
      <c r="AI33" s="540">
        <f t="shared" si="17"/>
        <v>0.32034469423234224</v>
      </c>
      <c r="AJ33" s="509">
        <f t="shared" si="18"/>
        <v>588.15139294945072</v>
      </c>
      <c r="AK33" s="512">
        <f t="shared" si="19"/>
        <v>64.724816991987268</v>
      </c>
      <c r="AL33" s="508">
        <f t="shared" si="20"/>
        <v>214675.25842654952</v>
      </c>
      <c r="AM33" s="508">
        <f t="shared" si="21"/>
        <v>23624.558202075354</v>
      </c>
    </row>
    <row r="34" spans="3:39" x14ac:dyDescent="0.2">
      <c r="C34" s="305">
        <v>2046</v>
      </c>
      <c r="D34" s="308">
        <f t="shared" si="30"/>
        <v>18564.748744235807</v>
      </c>
      <c r="E34" s="308">
        <f t="shared" si="23"/>
        <v>15408.74145771572</v>
      </c>
      <c r="F34" s="308">
        <f t="shared" si="31"/>
        <v>3156.0072865200877</v>
      </c>
      <c r="G34" s="503">
        <f t="shared" si="24"/>
        <v>642.03089407148832</v>
      </c>
      <c r="H34" s="503">
        <f t="shared" si="25"/>
        <v>131.50030360500367</v>
      </c>
      <c r="I34" s="507">
        <f t="shared" si="0"/>
        <v>810</v>
      </c>
      <c r="J34" s="507">
        <f t="shared" si="1"/>
        <v>405</v>
      </c>
      <c r="K34" s="540">
        <f>('EC - Travel Time - Roadway'!$D$74/60)</f>
        <v>0.99776500638569621</v>
      </c>
      <c r="L34" s="540">
        <f>('EC - Travel Time - Roadway'!$D$74/60)</f>
        <v>0.99776500638569621</v>
      </c>
      <c r="M34" s="507">
        <f t="shared" si="2"/>
        <v>640.59595912305281</v>
      </c>
      <c r="N34" s="507">
        <f t="shared" si="3"/>
        <v>131.20640126616746</v>
      </c>
      <c r="O34" s="540">
        <f t="shared" si="4"/>
        <v>3.8137725124029238</v>
      </c>
      <c r="P34" s="540">
        <f t="shared" si="5"/>
        <v>0.47973143296172177</v>
      </c>
      <c r="Q34" s="547">
        <f t="shared" si="6"/>
        <v>1541.1257458524751</v>
      </c>
      <c r="R34" s="548">
        <f t="shared" si="7"/>
        <v>96.928495345175492</v>
      </c>
      <c r="S34" s="503">
        <f t="shared" si="8"/>
        <v>562510.89723615337</v>
      </c>
      <c r="T34" s="503">
        <f t="shared" si="9"/>
        <v>35378.900800989053</v>
      </c>
      <c r="U34" s="503"/>
      <c r="V34" s="305">
        <v>2046</v>
      </c>
      <c r="W34" s="308">
        <f t="shared" ref="W34" si="37">W33*(1+$B$5)</f>
        <v>14020.854705870199</v>
      </c>
      <c r="X34" s="308">
        <f t="shared" si="11"/>
        <v>11637.309405872264</v>
      </c>
      <c r="Y34" s="308">
        <f t="shared" si="33"/>
        <v>2383.5452999979357</v>
      </c>
      <c r="Z34" s="503">
        <f t="shared" si="27"/>
        <v>484.8878919113443</v>
      </c>
      <c r="AA34" s="503">
        <f t="shared" si="28"/>
        <v>99.314387499913991</v>
      </c>
      <c r="AB34" s="507">
        <f t="shared" si="12"/>
        <v>810</v>
      </c>
      <c r="AC34" s="507">
        <f t="shared" si="13"/>
        <v>405</v>
      </c>
      <c r="AD34" s="540">
        <f>('EC - Travel Time - Roadway'!$D$74/60)</f>
        <v>0.99776500638569621</v>
      </c>
      <c r="AE34" s="540">
        <f>('EC - Travel Time - Roadway'!$D$74/60)</f>
        <v>0.99776500638569621</v>
      </c>
      <c r="AF34" s="507">
        <f t="shared" si="14"/>
        <v>483.80417056926922</v>
      </c>
      <c r="AG34" s="507">
        <f t="shared" si="15"/>
        <v>99.092420478043195</v>
      </c>
      <c r="AH34" s="540">
        <f t="shared" si="16"/>
        <v>1.4881148949313796</v>
      </c>
      <c r="AI34" s="540">
        <f t="shared" si="17"/>
        <v>0.32416448935101688</v>
      </c>
      <c r="AJ34" s="507">
        <f t="shared" si="18"/>
        <v>601.33953189576232</v>
      </c>
      <c r="AK34" s="511">
        <f t="shared" si="19"/>
        <v>65.496596716934988</v>
      </c>
      <c r="AL34" s="503">
        <f t="shared" si="20"/>
        <v>219488.92914195324</v>
      </c>
      <c r="AM34" s="503">
        <f t="shared" si="21"/>
        <v>23906.257801681269</v>
      </c>
    </row>
    <row r="35" spans="3:39" x14ac:dyDescent="0.2">
      <c r="C35" s="305">
        <v>2047</v>
      </c>
      <c r="D35" s="308">
        <f t="shared" si="30"/>
        <v>18731.831482933929</v>
      </c>
      <c r="E35" s="308">
        <f t="shared" si="23"/>
        <v>15547.42013083516</v>
      </c>
      <c r="F35" s="308">
        <f t="shared" si="31"/>
        <v>3184.411352098768</v>
      </c>
      <c r="G35" s="503">
        <f t="shared" si="24"/>
        <v>647.80917211813164</v>
      </c>
      <c r="H35" s="503">
        <f t="shared" si="25"/>
        <v>132.68380633744866</v>
      </c>
      <c r="I35" s="507">
        <f t="shared" si="0"/>
        <v>810</v>
      </c>
      <c r="J35" s="507">
        <f t="shared" si="1"/>
        <v>405</v>
      </c>
      <c r="K35" s="540">
        <f>('EC - Travel Time - Roadway'!$D$74/60)</f>
        <v>0.99776500638569621</v>
      </c>
      <c r="L35" s="540">
        <f>('EC - Travel Time - Roadway'!$D$74/60)</f>
        <v>0.99776500638569621</v>
      </c>
      <c r="M35" s="507">
        <f t="shared" si="2"/>
        <v>646.36132275516024</v>
      </c>
      <c r="N35" s="507">
        <f t="shared" si="3"/>
        <v>132.38725887756294</v>
      </c>
      <c r="O35" s="540">
        <f t="shared" si="4"/>
        <v>3.9851903538339255</v>
      </c>
      <c r="P35" s="540">
        <f t="shared" si="5"/>
        <v>0.48615272230785711</v>
      </c>
      <c r="Q35" s="547">
        <f t="shared" si="6"/>
        <v>1610.3948089307353</v>
      </c>
      <c r="R35" s="548">
        <f t="shared" si="7"/>
        <v>98.225900250779333</v>
      </c>
      <c r="S35" s="503">
        <f t="shared" si="8"/>
        <v>587794.10525971837</v>
      </c>
      <c r="T35" s="503">
        <f t="shared" si="9"/>
        <v>35852.453591534453</v>
      </c>
      <c r="U35" s="503"/>
      <c r="V35" s="305">
        <v>2047</v>
      </c>
      <c r="W35" s="308">
        <f t="shared" ref="W35" si="38">W34*(1+$B$5)</f>
        <v>14147.04239822303</v>
      </c>
      <c r="X35" s="308">
        <f t="shared" si="11"/>
        <v>11742.045190525112</v>
      </c>
      <c r="Y35" s="308">
        <f t="shared" si="33"/>
        <v>2404.997207697917</v>
      </c>
      <c r="Z35" s="503">
        <f t="shared" si="27"/>
        <v>489.25188293854632</v>
      </c>
      <c r="AA35" s="503">
        <f t="shared" si="28"/>
        <v>100.20821698741321</v>
      </c>
      <c r="AB35" s="507">
        <f t="shared" si="12"/>
        <v>810</v>
      </c>
      <c r="AC35" s="507">
        <f t="shared" si="13"/>
        <v>405</v>
      </c>
      <c r="AD35" s="540">
        <f>('EC - Travel Time - Roadway'!$D$74/60)</f>
        <v>0.99776500638569621</v>
      </c>
      <c r="AE35" s="540">
        <f>('EC - Travel Time - Roadway'!$D$74/60)</f>
        <v>0.99776500638569621</v>
      </c>
      <c r="AF35" s="507">
        <f t="shared" si="14"/>
        <v>488.15840810439255</v>
      </c>
      <c r="AG35" s="507">
        <f t="shared" si="15"/>
        <v>99.984252262345578</v>
      </c>
      <c r="AH35" s="540">
        <f t="shared" si="16"/>
        <v>1.5219369409762238</v>
      </c>
      <c r="AI35" s="540">
        <f t="shared" si="17"/>
        <v>0.32804116723257132</v>
      </c>
      <c r="AJ35" s="507">
        <f t="shared" si="18"/>
        <v>615.00684576086644</v>
      </c>
      <c r="AK35" s="511">
        <f t="shared" si="19"/>
        <v>66.279869457011998</v>
      </c>
      <c r="AL35" s="503">
        <f t="shared" si="20"/>
        <v>224477.49870271626</v>
      </c>
      <c r="AM35" s="503">
        <f t="shared" si="21"/>
        <v>24192.152351809378</v>
      </c>
    </row>
    <row r="36" spans="3:39" x14ac:dyDescent="0.2">
      <c r="C36" s="305">
        <v>2048</v>
      </c>
      <c r="D36" s="308">
        <f t="shared" si="30"/>
        <v>18900.417966280333</v>
      </c>
      <c r="E36" s="308">
        <f t="shared" si="23"/>
        <v>15687.346912012676</v>
      </c>
      <c r="F36" s="308">
        <f t="shared" si="31"/>
        <v>3213.0710542676566</v>
      </c>
      <c r="G36" s="503">
        <f t="shared" si="24"/>
        <v>653.63945466719485</v>
      </c>
      <c r="H36" s="503">
        <f t="shared" si="25"/>
        <v>133.8779605944857</v>
      </c>
      <c r="I36" s="507">
        <f t="shared" si="0"/>
        <v>810</v>
      </c>
      <c r="J36" s="507">
        <f t="shared" si="1"/>
        <v>405</v>
      </c>
      <c r="K36" s="540">
        <f>('EC - Travel Time - Roadway'!$D$74/60)</f>
        <v>0.99776500638569621</v>
      </c>
      <c r="L36" s="540">
        <f>('EC - Travel Time - Roadway'!$D$74/60)</f>
        <v>0.99776500638569621</v>
      </c>
      <c r="M36" s="507">
        <f t="shared" si="2"/>
        <v>652.17857465995667</v>
      </c>
      <c r="N36" s="507">
        <f t="shared" si="3"/>
        <v>133.578744207461</v>
      </c>
      <c r="O36" s="540">
        <f t="shared" si="4"/>
        <v>4.1709919421925079</v>
      </c>
      <c r="P36" s="540">
        <f t="shared" si="5"/>
        <v>0.49268862280749043</v>
      </c>
      <c r="Q36" s="547">
        <f t="shared" si="6"/>
        <v>1685.4762697437402</v>
      </c>
      <c r="R36" s="548">
        <f t="shared" si="7"/>
        <v>99.546462043539307</v>
      </c>
      <c r="S36" s="503">
        <f t="shared" si="8"/>
        <v>615198.83845646516</v>
      </c>
      <c r="T36" s="503">
        <f t="shared" si="9"/>
        <v>36334.458645891849</v>
      </c>
      <c r="U36" s="503"/>
      <c r="V36" s="305">
        <v>2048</v>
      </c>
      <c r="W36" s="308">
        <f t="shared" ref="W36" si="39">W35*(1+$B$5)</f>
        <v>14274.365779807036</v>
      </c>
      <c r="X36" s="308">
        <f t="shared" si="11"/>
        <v>11847.723597239838</v>
      </c>
      <c r="Y36" s="308">
        <f t="shared" si="33"/>
        <v>2426.6421825671982</v>
      </c>
      <c r="Z36" s="503">
        <f t="shared" si="27"/>
        <v>493.65514988499325</v>
      </c>
      <c r="AA36" s="503">
        <f t="shared" si="28"/>
        <v>101.11009094029993</v>
      </c>
      <c r="AB36" s="507">
        <f t="shared" si="12"/>
        <v>810</v>
      </c>
      <c r="AC36" s="507">
        <f t="shared" si="13"/>
        <v>405</v>
      </c>
      <c r="AD36" s="540">
        <f>('EC - Travel Time - Roadway'!$D$74/60)</f>
        <v>0.99776500638569621</v>
      </c>
      <c r="AE36" s="540">
        <f>('EC - Travel Time - Roadway'!$D$74/60)</f>
        <v>0.99776500638569621</v>
      </c>
      <c r="AF36" s="507">
        <f t="shared" si="14"/>
        <v>492.55183377733209</v>
      </c>
      <c r="AG36" s="507">
        <f t="shared" si="15"/>
        <v>100.88411053270669</v>
      </c>
      <c r="AH36" s="540">
        <f t="shared" si="16"/>
        <v>1.5570091740019334</v>
      </c>
      <c r="AI36" s="540">
        <f t="shared" si="17"/>
        <v>0.33197584890154319</v>
      </c>
      <c r="AJ36" s="507">
        <f t="shared" si="18"/>
        <v>629.17935371845374</v>
      </c>
      <c r="AK36" s="511">
        <f t="shared" si="19"/>
        <v>67.074861712326893</v>
      </c>
      <c r="AL36" s="503">
        <f t="shared" si="20"/>
        <v>229650.4641072356</v>
      </c>
      <c r="AM36" s="503">
        <f t="shared" si="21"/>
        <v>24482.324524999316</v>
      </c>
    </row>
    <row r="37" spans="3:39" x14ac:dyDescent="0.2">
      <c r="C37" s="305">
        <v>2049</v>
      </c>
      <c r="D37" s="308">
        <f t="shared" si="30"/>
        <v>19070.521727976855</v>
      </c>
      <c r="E37" s="308">
        <f t="shared" si="23"/>
        <v>15828.533034220789</v>
      </c>
      <c r="F37" s="308">
        <f t="shared" si="31"/>
        <v>3241.988693756065</v>
      </c>
      <c r="G37" s="503">
        <f t="shared" si="24"/>
        <v>659.52220975919954</v>
      </c>
      <c r="H37" s="503">
        <f t="shared" si="25"/>
        <v>135.08286223983603</v>
      </c>
      <c r="I37" s="507">
        <f t="shared" si="0"/>
        <v>810</v>
      </c>
      <c r="J37" s="507">
        <f t="shared" si="1"/>
        <v>405</v>
      </c>
      <c r="K37" s="540">
        <f>('EC - Travel Time - Roadway'!$D$74/60)</f>
        <v>0.99776500638569621</v>
      </c>
      <c r="L37" s="540">
        <f>('EC - Travel Time - Roadway'!$D$74/60)</f>
        <v>0.99776500638569621</v>
      </c>
      <c r="M37" s="507">
        <f t="shared" si="2"/>
        <v>658.04818183189616</v>
      </c>
      <c r="N37" s="507">
        <f t="shared" si="3"/>
        <v>134.78095290532812</v>
      </c>
      <c r="O37" s="540">
        <f t="shared" si="4"/>
        <v>4.3730585143419614</v>
      </c>
      <c r="P37" s="540">
        <f t="shared" si="5"/>
        <v>0.49934196110618329</v>
      </c>
      <c r="Q37" s="547">
        <f t="shared" si="6"/>
        <v>1767.1303263774093</v>
      </c>
      <c r="R37" s="548">
        <f t="shared" si="7"/>
        <v>100.89075183988081</v>
      </c>
      <c r="S37" s="503">
        <f t="shared" si="8"/>
        <v>645002.56912775442</v>
      </c>
      <c r="T37" s="503">
        <f t="shared" si="9"/>
        <v>36825.124421556495</v>
      </c>
      <c r="U37" s="503"/>
      <c r="V37" s="305">
        <v>2049</v>
      </c>
      <c r="W37" s="308">
        <f t="shared" ref="W37" si="40">W36*(1+$B$5)</f>
        <v>14402.835071825299</v>
      </c>
      <c r="X37" s="308">
        <f t="shared" si="11"/>
        <v>11954.353109614996</v>
      </c>
      <c r="Y37" s="308">
        <f t="shared" si="33"/>
        <v>2448.4819622103028</v>
      </c>
      <c r="Z37" s="503">
        <f t="shared" si="27"/>
        <v>498.0980462339582</v>
      </c>
      <c r="AA37" s="503">
        <f t="shared" si="28"/>
        <v>102.02008175876261</v>
      </c>
      <c r="AB37" s="507">
        <f t="shared" si="12"/>
        <v>810</v>
      </c>
      <c r="AC37" s="507">
        <f t="shared" si="13"/>
        <v>405</v>
      </c>
      <c r="AD37" s="540">
        <f>('EC - Travel Time - Roadway'!$D$74/60)</f>
        <v>0.99776500638569621</v>
      </c>
      <c r="AE37" s="540">
        <f>('EC - Travel Time - Roadway'!$D$74/60)</f>
        <v>0.99776500638569621</v>
      </c>
      <c r="AF37" s="507">
        <f t="shared" si="14"/>
        <v>496.98480028132809</v>
      </c>
      <c r="AG37" s="507">
        <f t="shared" si="15"/>
        <v>101.79206752750103</v>
      </c>
      <c r="AH37" s="540">
        <f t="shared" si="16"/>
        <v>1.5934007282753901</v>
      </c>
      <c r="AI37" s="540">
        <f t="shared" si="17"/>
        <v>0.33596968445430958</v>
      </c>
      <c r="AJ37" s="507">
        <f t="shared" si="18"/>
        <v>643.88499256818034</v>
      </c>
      <c r="AK37" s="511">
        <f t="shared" si="19"/>
        <v>67.881805856878287</v>
      </c>
      <c r="AL37" s="503">
        <f t="shared" si="20"/>
        <v>235018.02228738583</v>
      </c>
      <c r="AM37" s="503">
        <f t="shared" si="21"/>
        <v>24776.859137760574</v>
      </c>
    </row>
    <row r="38" spans="3:39" x14ac:dyDescent="0.2">
      <c r="C38" s="305">
        <v>2050</v>
      </c>
      <c r="D38" s="308">
        <f t="shared" si="30"/>
        <v>19242.156423528646</v>
      </c>
      <c r="E38" s="308">
        <f t="shared" si="23"/>
        <v>15970.989831528777</v>
      </c>
      <c r="F38" s="308">
        <f t="shared" si="31"/>
        <v>3271.1665919998691</v>
      </c>
      <c r="G38" s="503">
        <f t="shared" si="24"/>
        <v>665.45790964703235</v>
      </c>
      <c r="H38" s="503">
        <f t="shared" si="25"/>
        <v>136.29860799999454</v>
      </c>
      <c r="I38" s="507">
        <f t="shared" si="0"/>
        <v>810</v>
      </c>
      <c r="J38" s="507">
        <f t="shared" si="1"/>
        <v>405</v>
      </c>
      <c r="K38" s="540">
        <f>('EC - Travel Time - Roadway'!$D$74/60)</f>
        <v>0.99776500638569621</v>
      </c>
      <c r="L38" s="540">
        <f>('EC - Travel Time - Roadway'!$D$74/60)</f>
        <v>0.99776500638569621</v>
      </c>
      <c r="M38" s="507">
        <f t="shared" si="2"/>
        <v>663.97061546838324</v>
      </c>
      <c r="N38" s="507">
        <f t="shared" si="3"/>
        <v>135.99398148147606</v>
      </c>
      <c r="O38" s="540">
        <f t="shared" si="4"/>
        <v>4.5936143157123714</v>
      </c>
      <c r="P38" s="540">
        <f t="shared" si="5"/>
        <v>0.50611565674908487</v>
      </c>
      <c r="Q38" s="547">
        <f t="shared" si="6"/>
        <v>1856.2557849053226</v>
      </c>
      <c r="R38" s="548">
        <f t="shared" si="7"/>
        <v>102.25935952635066</v>
      </c>
      <c r="S38" s="503">
        <f t="shared" si="8"/>
        <v>677533.36149044277</v>
      </c>
      <c r="T38" s="503">
        <f t="shared" si="9"/>
        <v>37324.666227117996</v>
      </c>
      <c r="U38" s="503"/>
      <c r="V38" s="305">
        <v>2050</v>
      </c>
      <c r="W38" s="308">
        <f t="shared" ref="W38" si="41">W37*(1+$B$5)</f>
        <v>14532.460587471725</v>
      </c>
      <c r="X38" s="308">
        <f t="shared" si="11"/>
        <v>12061.942287601531</v>
      </c>
      <c r="Y38" s="308">
        <f t="shared" si="33"/>
        <v>2470.5182998701953</v>
      </c>
      <c r="Z38" s="503">
        <f t="shared" si="27"/>
        <v>502.58092865006375</v>
      </c>
      <c r="AA38" s="503">
        <f t="shared" si="28"/>
        <v>102.93826249459147</v>
      </c>
      <c r="AB38" s="507">
        <f t="shared" si="12"/>
        <v>810</v>
      </c>
      <c r="AC38" s="507">
        <f t="shared" si="13"/>
        <v>405</v>
      </c>
      <c r="AD38" s="540">
        <f>('EC - Travel Time - Roadway'!$D$74/60)</f>
        <v>0.99776500638569621</v>
      </c>
      <c r="AE38" s="540">
        <f>('EC - Travel Time - Roadway'!$D$74/60)</f>
        <v>0.99776500638569621</v>
      </c>
      <c r="AF38" s="507">
        <f t="shared" si="14"/>
        <v>501.45766348386002</v>
      </c>
      <c r="AG38" s="507">
        <f t="shared" si="15"/>
        <v>102.70819613524853</v>
      </c>
      <c r="AH38" s="540">
        <f t="shared" si="16"/>
        <v>1.631185928972666</v>
      </c>
      <c r="AI38" s="540">
        <f t="shared" si="17"/>
        <v>0.3400238540090153</v>
      </c>
      <c r="AJ38" s="507">
        <f t="shared" si="18"/>
        <v>659.15379672925621</v>
      </c>
      <c r="AK38" s="511">
        <f t="shared" si="19"/>
        <v>68.700940330485324</v>
      </c>
      <c r="AL38" s="503">
        <f t="shared" si="20"/>
        <v>240591.13580617853</v>
      </c>
      <c r="AM38" s="503">
        <f t="shared" si="21"/>
        <v>25075.843220627143</v>
      </c>
    </row>
    <row r="39" spans="3:39" x14ac:dyDescent="0.2">
      <c r="C39" s="305">
        <v>2051</v>
      </c>
      <c r="D39" s="308">
        <f t="shared" si="30"/>
        <v>19415.335831340402</v>
      </c>
      <c r="E39" s="308">
        <f t="shared" si="23"/>
        <v>16114.728740012535</v>
      </c>
      <c r="F39" s="308">
        <f t="shared" si="31"/>
        <v>3300.6070913278677</v>
      </c>
      <c r="G39" s="503">
        <f t="shared" si="24"/>
        <v>671.44703083385559</v>
      </c>
      <c r="H39" s="503">
        <f t="shared" si="25"/>
        <v>137.5252954719945</v>
      </c>
      <c r="I39" s="507">
        <f t="shared" si="0"/>
        <v>810</v>
      </c>
      <c r="J39" s="507">
        <f t="shared" si="1"/>
        <v>405</v>
      </c>
      <c r="K39" s="540">
        <f>('EC - Travel Time - Roadway'!$D$74/60)</f>
        <v>0.99776500638569621</v>
      </c>
      <c r="L39" s="540">
        <f>('EC - Travel Time - Roadway'!$D$74/60)</f>
        <v>0.99776500638569621</v>
      </c>
      <c r="M39" s="507">
        <f t="shared" si="2"/>
        <v>669.94635100759865</v>
      </c>
      <c r="N39" s="507">
        <f t="shared" si="3"/>
        <v>137.21792731480934</v>
      </c>
      <c r="O39" s="540">
        <f t="shared" si="4"/>
        <v>4.8353085108139338</v>
      </c>
      <c r="P39" s="540">
        <f t="shared" si="5"/>
        <v>0.51301272603309722</v>
      </c>
      <c r="Q39" s="547">
        <f t="shared" si="6"/>
        <v>1953.9231590034756</v>
      </c>
      <c r="R39" s="548">
        <f t="shared" si="7"/>
        <v>103.65289453793724</v>
      </c>
      <c r="S39" s="503">
        <f t="shared" si="8"/>
        <v>713181.95303626859</v>
      </c>
      <c r="T39" s="503">
        <f t="shared" si="9"/>
        <v>37833.306506347093</v>
      </c>
      <c r="U39" s="503"/>
      <c r="V39" s="305">
        <v>2051</v>
      </c>
      <c r="W39" s="308">
        <f t="shared" ref="W39" si="42">W38*(1+$B$5)</f>
        <v>14663.252732758969</v>
      </c>
      <c r="X39" s="308">
        <f t="shared" si="11"/>
        <v>12170.499768189942</v>
      </c>
      <c r="Y39" s="308">
        <f t="shared" si="33"/>
        <v>2492.752964569027</v>
      </c>
      <c r="Z39" s="503">
        <f t="shared" si="27"/>
        <v>507.10415700791424</v>
      </c>
      <c r="AA39" s="503">
        <f t="shared" si="28"/>
        <v>103.86470685704279</v>
      </c>
      <c r="AB39" s="507">
        <f t="shared" si="12"/>
        <v>810</v>
      </c>
      <c r="AC39" s="507">
        <f t="shared" si="13"/>
        <v>405</v>
      </c>
      <c r="AD39" s="540">
        <f>('EC - Travel Time - Roadway'!$D$74/60)</f>
        <v>0.99776500638569621</v>
      </c>
      <c r="AE39" s="540">
        <f>('EC - Travel Time - Roadway'!$D$74/60)</f>
        <v>0.99776500638569621</v>
      </c>
      <c r="AF39" s="507">
        <f t="shared" si="14"/>
        <v>505.97078245521465</v>
      </c>
      <c r="AG39" s="507">
        <f t="shared" si="15"/>
        <v>103.63256990046577</v>
      </c>
      <c r="AH39" s="540">
        <f t="shared" si="16"/>
        <v>1.6704447887336471</v>
      </c>
      <c r="AI39" s="540">
        <f t="shared" si="17"/>
        <v>0.34413956869302775</v>
      </c>
      <c r="AJ39" s="507">
        <f t="shared" si="18"/>
        <v>675.01809889560104</v>
      </c>
      <c r="AK39" s="511">
        <f t="shared" si="19"/>
        <v>69.532509838300342</v>
      </c>
      <c r="AL39" s="503">
        <f t="shared" si="20"/>
        <v>246381.60609689439</v>
      </c>
      <c r="AM39" s="503">
        <f t="shared" si="21"/>
        <v>25379.366090979624</v>
      </c>
    </row>
    <row r="40" spans="3:39" x14ac:dyDescent="0.2">
      <c r="C40" s="305">
        <v>2052</v>
      </c>
      <c r="D40" s="308">
        <f t="shared" si="30"/>
        <v>19590.073853822465</v>
      </c>
      <c r="E40" s="308">
        <f t="shared" si="23"/>
        <v>16259.761298672647</v>
      </c>
      <c r="F40" s="308">
        <f t="shared" si="31"/>
        <v>3330.3125551498183</v>
      </c>
      <c r="G40" s="503">
        <f t="shared" si="24"/>
        <v>677.49005411136034</v>
      </c>
      <c r="H40" s="503">
        <f t="shared" si="25"/>
        <v>138.76302313124242</v>
      </c>
      <c r="I40" s="507">
        <f t="shared" si="0"/>
        <v>810</v>
      </c>
      <c r="J40" s="507">
        <f t="shared" si="1"/>
        <v>405</v>
      </c>
      <c r="K40" s="540">
        <f>('EC - Travel Time - Roadway'!$D$74/60)</f>
        <v>0.99776500638569621</v>
      </c>
      <c r="L40" s="540">
        <f>('EC - Travel Time - Roadway'!$D$74/60)</f>
        <v>0.99776500638569621</v>
      </c>
      <c r="M40" s="507">
        <f t="shared" si="2"/>
        <v>675.97586816666717</v>
      </c>
      <c r="N40" s="507">
        <f t="shared" si="3"/>
        <v>138.4528886606426</v>
      </c>
      <c r="O40" s="540">
        <f t="shared" si="4"/>
        <v>5.1013217433108915</v>
      </c>
      <c r="P40" s="540">
        <f t="shared" si="5"/>
        <v>0.52003628605238195</v>
      </c>
      <c r="Q40" s="547">
        <f t="shared" si="6"/>
        <v>2061.4177303249835</v>
      </c>
      <c r="R40" s="548">
        <f t="shared" si="7"/>
        <v>105.07198667545434</v>
      </c>
      <c r="S40" s="503">
        <f t="shared" si="8"/>
        <v>752417.47156861902</v>
      </c>
      <c r="T40" s="503">
        <f t="shared" si="9"/>
        <v>38351.275136540833</v>
      </c>
      <c r="U40" s="503"/>
      <c r="V40" s="305">
        <v>2052</v>
      </c>
      <c r="W40" s="308">
        <f t="shared" ref="W40" si="43">W39*(1+$B$5)</f>
        <v>14795.222007353797</v>
      </c>
      <c r="X40" s="308">
        <f t="shared" si="11"/>
        <v>12280.034266103648</v>
      </c>
      <c r="Y40" s="308">
        <f t="shared" si="33"/>
        <v>2515.1877412501481</v>
      </c>
      <c r="Z40" s="503">
        <f t="shared" si="27"/>
        <v>511.66809442098537</v>
      </c>
      <c r="AA40" s="503">
        <f t="shared" si="28"/>
        <v>104.79948921875616</v>
      </c>
      <c r="AB40" s="507">
        <f t="shared" si="12"/>
        <v>810</v>
      </c>
      <c r="AC40" s="507">
        <f t="shared" si="13"/>
        <v>405</v>
      </c>
      <c r="AD40" s="540">
        <f>('EC - Travel Time - Roadway'!$D$74/60)</f>
        <v>0.99776500638569621</v>
      </c>
      <c r="AE40" s="540">
        <f>('EC - Travel Time - Roadway'!$D$74/60)</f>
        <v>0.99776500638569621</v>
      </c>
      <c r="AF40" s="507">
        <f t="shared" si="14"/>
        <v>510.52451949731147</v>
      </c>
      <c r="AG40" s="507">
        <f t="shared" si="15"/>
        <v>104.56526302956995</v>
      </c>
      <c r="AH40" s="540">
        <f t="shared" si="16"/>
        <v>1.7112635623282224</v>
      </c>
      <c r="AI40" s="540">
        <f t="shared" si="17"/>
        <v>0.34831807166966039</v>
      </c>
      <c r="AJ40" s="507">
        <f t="shared" si="18"/>
        <v>691.51275417358136</v>
      </c>
      <c r="AK40" s="511">
        <f t="shared" si="19"/>
        <v>70.376765558255741</v>
      </c>
      <c r="AL40" s="503">
        <f t="shared" si="20"/>
        <v>252402.1552733572</v>
      </c>
      <c r="AM40" s="503">
        <f t="shared" si="21"/>
        <v>25687.519428763346</v>
      </c>
    </row>
    <row r="41" spans="3:39" x14ac:dyDescent="0.2">
      <c r="C41" s="305">
        <v>2053</v>
      </c>
      <c r="D41" s="308">
        <f t="shared" si="30"/>
        <v>19766.384518506864</v>
      </c>
      <c r="E41" s="308">
        <f t="shared" si="23"/>
        <v>16406.099150360697</v>
      </c>
      <c r="F41" s="308">
        <f t="shared" si="31"/>
        <v>3360.2853681461665</v>
      </c>
      <c r="G41" s="503">
        <f t="shared" si="24"/>
        <v>683.58746459836232</v>
      </c>
      <c r="H41" s="503">
        <f t="shared" si="25"/>
        <v>140.01189033942362</v>
      </c>
      <c r="I41" s="507">
        <f t="shared" si="0"/>
        <v>810</v>
      </c>
      <c r="J41" s="507">
        <f t="shared" si="1"/>
        <v>405</v>
      </c>
      <c r="K41" s="540">
        <f>('EC - Travel Time - Roadway'!$D$74/60)</f>
        <v>0.99776500638569621</v>
      </c>
      <c r="L41" s="540">
        <f>('EC - Travel Time - Roadway'!$D$74/60)</f>
        <v>0.99776500638569621</v>
      </c>
      <c r="M41" s="507">
        <f t="shared" si="2"/>
        <v>682.05965098016691</v>
      </c>
      <c r="N41" s="507">
        <f t="shared" si="3"/>
        <v>139.69896465858841</v>
      </c>
      <c r="O41" s="540">
        <f t="shared" si="4"/>
        <v>5.3955064568013622</v>
      </c>
      <c r="P41" s="540">
        <f t="shared" si="5"/>
        <v>0.52718955894862229</v>
      </c>
      <c r="Q41" s="547">
        <f t="shared" si="6"/>
        <v>2180.296251401413</v>
      </c>
      <c r="R41" s="548">
        <f t="shared" si="7"/>
        <v>106.51728696429601</v>
      </c>
      <c r="S41" s="503">
        <f t="shared" si="8"/>
        <v>795808.13176151575</v>
      </c>
      <c r="T41" s="503">
        <f t="shared" si="9"/>
        <v>38878.809741968042</v>
      </c>
      <c r="U41" s="503"/>
      <c r="V41" s="305">
        <v>2053</v>
      </c>
      <c r="W41" s="308">
        <f t="shared" ref="W41" si="44">W40*(1+$B$5)</f>
        <v>14928.37900541998</v>
      </c>
      <c r="X41" s="308">
        <f t="shared" si="11"/>
        <v>12390.554574498581</v>
      </c>
      <c r="Y41" s="308">
        <f t="shared" si="33"/>
        <v>2537.8244309213992</v>
      </c>
      <c r="Z41" s="503">
        <f t="shared" si="27"/>
        <v>516.27310727077418</v>
      </c>
      <c r="AA41" s="503">
        <f t="shared" si="28"/>
        <v>105.74268462172496</v>
      </c>
      <c r="AB41" s="507">
        <f t="shared" si="12"/>
        <v>810</v>
      </c>
      <c r="AC41" s="507">
        <f t="shared" si="13"/>
        <v>405</v>
      </c>
      <c r="AD41" s="540">
        <f>('EC - Travel Time - Roadway'!$D$74/60)</f>
        <v>0.99776500638569621</v>
      </c>
      <c r="AE41" s="540">
        <f>('EC - Travel Time - Roadway'!$D$74/60)</f>
        <v>0.99776500638569621</v>
      </c>
      <c r="AF41" s="507">
        <f t="shared" si="14"/>
        <v>515.11924017278727</v>
      </c>
      <c r="AG41" s="507">
        <f t="shared" si="15"/>
        <v>105.50635039683607</v>
      </c>
      <c r="AH41" s="540">
        <f t="shared" si="16"/>
        <v>1.7537353675260969</v>
      </c>
      <c r="AI41" s="540">
        <f t="shared" si="17"/>
        <v>0.35256063920599962</v>
      </c>
      <c r="AJ41" s="507">
        <f t="shared" si="18"/>
        <v>708.67539097229144</v>
      </c>
      <c r="AK41" s="511">
        <f t="shared" si="19"/>
        <v>71.233965356815673</v>
      </c>
      <c r="AL41" s="503">
        <f t="shared" si="20"/>
        <v>258666.51770488638</v>
      </c>
      <c r="AM41" s="503">
        <f t="shared" si="21"/>
        <v>26000.397355237721</v>
      </c>
    </row>
    <row r="42" spans="3:39" x14ac:dyDescent="0.2">
      <c r="C42" s="305">
        <v>2054</v>
      </c>
      <c r="D42" s="308">
        <f t="shared" si="30"/>
        <v>19944.281979173425</v>
      </c>
      <c r="E42" s="308">
        <f t="shared" si="23"/>
        <v>16553.754042713943</v>
      </c>
      <c r="F42" s="308">
        <f t="shared" si="31"/>
        <v>3390.5279364594817</v>
      </c>
      <c r="G42" s="503">
        <f t="shared" si="24"/>
        <v>689.73975177974762</v>
      </c>
      <c r="H42" s="503">
        <f t="shared" si="25"/>
        <v>141.27199735247839</v>
      </c>
      <c r="I42" s="507">
        <f t="shared" si="0"/>
        <v>810</v>
      </c>
      <c r="J42" s="507">
        <f t="shared" si="1"/>
        <v>405</v>
      </c>
      <c r="K42" s="540">
        <f>('EC - Travel Time - Roadway'!$D$74/60)</f>
        <v>0.99776500638569621</v>
      </c>
      <c r="L42" s="540">
        <f>('EC - Travel Time - Roadway'!$D$74/60)</f>
        <v>0.99776500638569621</v>
      </c>
      <c r="M42" s="507">
        <f t="shared" si="2"/>
        <v>688.19818783898836</v>
      </c>
      <c r="N42" s="507">
        <f t="shared" si="3"/>
        <v>140.95625534051567</v>
      </c>
      <c r="O42" s="540">
        <f t="shared" si="4"/>
        <v>5.7225741508414139</v>
      </c>
      <c r="P42" s="540">
        <f t="shared" si="5"/>
        <v>0.53447587637823524</v>
      </c>
      <c r="Q42" s="547">
        <f t="shared" si="6"/>
        <v>2312.462614833546</v>
      </c>
      <c r="R42" s="548">
        <f t="shared" si="7"/>
        <v>107.98946855702494</v>
      </c>
      <c r="S42" s="503">
        <f t="shared" si="8"/>
        <v>844048.8544142443</v>
      </c>
      <c r="T42" s="503">
        <f t="shared" si="9"/>
        <v>39416.156023314099</v>
      </c>
      <c r="U42" s="503"/>
      <c r="V42" s="305">
        <v>2054</v>
      </c>
      <c r="W42" s="308">
        <f t="shared" ref="W42" si="45">W41*(1+$B$5)</f>
        <v>15062.734416468758</v>
      </c>
      <c r="X42" s="308">
        <f t="shared" si="11"/>
        <v>12502.069565669066</v>
      </c>
      <c r="Y42" s="308">
        <f t="shared" si="33"/>
        <v>2560.6648507996915</v>
      </c>
      <c r="Z42" s="503">
        <f t="shared" si="27"/>
        <v>520.91956523621104</v>
      </c>
      <c r="AA42" s="503">
        <f t="shared" si="28"/>
        <v>106.69436878332048</v>
      </c>
      <c r="AB42" s="507">
        <f t="shared" si="12"/>
        <v>810</v>
      </c>
      <c r="AC42" s="507">
        <f t="shared" si="13"/>
        <v>405</v>
      </c>
      <c r="AD42" s="540">
        <f>('EC - Travel Time - Roadway'!$D$74/60)</f>
        <v>0.99776500638569621</v>
      </c>
      <c r="AE42" s="540">
        <f>('EC - Travel Time - Roadway'!$D$74/60)</f>
        <v>0.99776500638569621</v>
      </c>
      <c r="AF42" s="507">
        <f t="shared" si="14"/>
        <v>519.75531333434219</v>
      </c>
      <c r="AG42" s="507">
        <f t="shared" si="15"/>
        <v>106.45590755040759</v>
      </c>
      <c r="AH42" s="540">
        <f t="shared" si="16"/>
        <v>1.7979608815762311</v>
      </c>
      <c r="AI42" s="540">
        <f t="shared" si="17"/>
        <v>0.35686858178376618</v>
      </c>
      <c r="AJ42" s="507">
        <f t="shared" si="18"/>
        <v>726.54669244729178</v>
      </c>
      <c r="AK42" s="511">
        <f t="shared" si="19"/>
        <v>72.1043740134226</v>
      </c>
      <c r="AL42" s="503">
        <f t="shared" si="20"/>
        <v>265189.5427432615</v>
      </c>
      <c r="AM42" s="503">
        <f t="shared" si="21"/>
        <v>26318.096514899247</v>
      </c>
    </row>
    <row r="43" spans="3:39" ht="13.5" thickBot="1" x14ac:dyDescent="0.25">
      <c r="C43" s="538">
        <v>2055</v>
      </c>
      <c r="D43" s="539">
        <f t="shared" si="30"/>
        <v>20123.780516985986</v>
      </c>
      <c r="E43" s="539">
        <f t="shared" si="23"/>
        <v>16702.737829098369</v>
      </c>
      <c r="F43" s="539">
        <f t="shared" si="31"/>
        <v>3421.0426878876165</v>
      </c>
      <c r="G43" s="515">
        <f t="shared" si="24"/>
        <v>695.94740954576537</v>
      </c>
      <c r="H43" s="515">
        <f t="shared" si="25"/>
        <v>142.54344532865068</v>
      </c>
      <c r="I43" s="519">
        <f t="shared" si="0"/>
        <v>810</v>
      </c>
      <c r="J43" s="519">
        <f t="shared" si="1"/>
        <v>405</v>
      </c>
      <c r="K43" s="541">
        <f>('EC - Travel Time - Roadway'!$D$74/60)</f>
        <v>0.99776500638569621</v>
      </c>
      <c r="L43" s="541">
        <f>('EC - Travel Time - Roadway'!$D$74/60)</f>
        <v>0.99776500638569621</v>
      </c>
      <c r="M43" s="519">
        <f t="shared" si="2"/>
        <v>694.39197152953932</v>
      </c>
      <c r="N43" s="519">
        <f t="shared" si="3"/>
        <v>142.22486163858028</v>
      </c>
      <c r="O43" s="541">
        <f t="shared" si="4"/>
        <v>6.0883489692255157</v>
      </c>
      <c r="P43" s="541">
        <f t="shared" si="5"/>
        <v>0.54189868420956633</v>
      </c>
      <c r="Q43" s="555">
        <f t="shared" si="6"/>
        <v>2460.270327003846</v>
      </c>
      <c r="R43" s="556">
        <f t="shared" si="7"/>
        <v>109.48922768242855</v>
      </c>
      <c r="S43" s="558">
        <f t="shared" si="8"/>
        <v>897998.66935640376</v>
      </c>
      <c r="T43" s="508">
        <f t="shared" si="9"/>
        <v>39963.568104086422</v>
      </c>
      <c r="U43" s="560"/>
      <c r="V43" s="538">
        <v>2055</v>
      </c>
      <c r="W43" s="539">
        <f t="shared" ref="W43" si="46">W42*(1+$B$5)</f>
        <v>15198.299026216975</v>
      </c>
      <c r="X43" s="539">
        <f t="shared" si="11"/>
        <v>12614.588191760087</v>
      </c>
      <c r="Y43" s="539">
        <f t="shared" si="33"/>
        <v>2583.7108344568883</v>
      </c>
      <c r="Z43" s="515">
        <f t="shared" si="27"/>
        <v>525.60784132333697</v>
      </c>
      <c r="AA43" s="515">
        <f t="shared" si="28"/>
        <v>107.65461810237035</v>
      </c>
      <c r="AB43" s="519">
        <f t="shared" si="12"/>
        <v>810</v>
      </c>
      <c r="AC43" s="519">
        <f t="shared" si="13"/>
        <v>405</v>
      </c>
      <c r="AD43" s="541">
        <f>('EC - Travel Time - Roadway'!$D$74/60)</f>
        <v>0.99776500638569621</v>
      </c>
      <c r="AE43" s="541">
        <f>('EC - Travel Time - Roadway'!$D$74/60)</f>
        <v>0.99776500638569621</v>
      </c>
      <c r="AF43" s="519">
        <f t="shared" si="14"/>
        <v>524.43311115435131</v>
      </c>
      <c r="AG43" s="519">
        <f t="shared" si="15"/>
        <v>107.41401071836124</v>
      </c>
      <c r="AH43" s="541">
        <f t="shared" si="16"/>
        <v>1.8440491242608434</v>
      </c>
      <c r="AI43" s="541">
        <f t="shared" si="17"/>
        <v>0.36124324525524948</v>
      </c>
      <c r="AJ43" s="513">
        <f t="shared" si="18"/>
        <v>745.1707129286815</v>
      </c>
      <c r="AK43" s="514">
        <f t="shared" si="19"/>
        <v>72.988263454050951</v>
      </c>
      <c r="AL43" s="558">
        <f t="shared" si="20"/>
        <v>271987.31021896872</v>
      </c>
      <c r="AM43" s="508">
        <f t="shared" si="21"/>
        <v>26640.716160728596</v>
      </c>
    </row>
    <row r="44" spans="3:39" x14ac:dyDescent="0.2">
      <c r="H44" t="s">
        <v>389</v>
      </c>
    </row>
    <row r="45" spans="3:39" x14ac:dyDescent="0.2">
      <c r="H45" s="6" t="s">
        <v>390</v>
      </c>
    </row>
    <row r="46" spans="3:39" x14ac:dyDescent="0.2">
      <c r="H46" s="6" t="s">
        <v>411</v>
      </c>
    </row>
    <row r="47" spans="3:39" x14ac:dyDescent="0.2">
      <c r="H47" s="133" t="s">
        <v>412</v>
      </c>
    </row>
    <row r="49" spans="3:32" ht="13.5" thickBot="1" x14ac:dyDescent="0.25"/>
    <row r="50" spans="3:32" ht="13.5" thickBot="1" x14ac:dyDescent="0.25">
      <c r="C50" s="535" t="s">
        <v>413</v>
      </c>
      <c r="D50" s="536"/>
      <c r="E50" s="536"/>
      <c r="F50" s="536"/>
      <c r="G50" s="536"/>
      <c r="H50" s="536"/>
      <c r="I50" s="536"/>
      <c r="J50" s="536"/>
      <c r="K50" s="536"/>
      <c r="L50" s="536"/>
      <c r="M50" s="536"/>
      <c r="N50" s="536"/>
      <c r="O50" s="536"/>
      <c r="P50" s="536"/>
      <c r="Q50" s="536"/>
      <c r="R50" s="536"/>
      <c r="S50" s="536"/>
      <c r="T50" s="536"/>
      <c r="U50" s="536"/>
      <c r="V50" s="536"/>
    </row>
    <row r="51" spans="3:32" x14ac:dyDescent="0.2">
      <c r="C51" s="872" t="s">
        <v>414</v>
      </c>
      <c r="D51" s="849"/>
      <c r="E51" s="849"/>
      <c r="F51" s="849"/>
      <c r="G51" s="880" t="s">
        <v>408</v>
      </c>
      <c r="H51" s="880"/>
      <c r="I51" s="880"/>
      <c r="J51" s="880"/>
      <c r="K51" s="880"/>
      <c r="L51" s="880"/>
      <c r="M51" s="880"/>
      <c r="N51" s="880"/>
      <c r="O51" s="880"/>
      <c r="P51" s="880"/>
      <c r="Q51" s="880"/>
      <c r="R51" s="880"/>
      <c r="S51" s="880"/>
      <c r="T51" s="880"/>
      <c r="U51" s="719" t="s">
        <v>420</v>
      </c>
      <c r="V51" s="719"/>
    </row>
    <row r="52" spans="3:32" x14ac:dyDescent="0.2">
      <c r="D52" s="721" t="s">
        <v>392</v>
      </c>
      <c r="E52" s="873"/>
      <c r="F52" s="882"/>
      <c r="G52" s="877" t="s">
        <v>393</v>
      </c>
      <c r="H52" s="878"/>
      <c r="I52" s="877" t="s">
        <v>409</v>
      </c>
      <c r="J52" s="878"/>
      <c r="K52" s="881" t="s">
        <v>417</v>
      </c>
      <c r="L52" s="878"/>
      <c r="M52" s="877" t="s">
        <v>407</v>
      </c>
      <c r="N52" s="878"/>
      <c r="O52" s="877" t="s">
        <v>405</v>
      </c>
      <c r="P52" s="878"/>
      <c r="Q52" s="877" t="s">
        <v>406</v>
      </c>
      <c r="R52" s="878"/>
      <c r="S52" s="877" t="s">
        <v>404</v>
      </c>
      <c r="T52" s="879"/>
      <c r="U52" s="874" t="s">
        <v>404</v>
      </c>
      <c r="V52" s="874"/>
      <c r="Z52" s="205"/>
      <c r="AA52" s="544"/>
      <c r="AB52" s="544"/>
      <c r="AC52" s="544"/>
      <c r="AD52" s="544"/>
      <c r="AE52" s="544"/>
      <c r="AF52" s="544"/>
    </row>
    <row r="53" spans="3:32" ht="25.5" x14ac:dyDescent="0.2">
      <c r="C53" s="537" t="s">
        <v>1</v>
      </c>
      <c r="D53" s="532" t="s">
        <v>0</v>
      </c>
      <c r="E53" s="305" t="s">
        <v>384</v>
      </c>
      <c r="F53" s="305" t="s">
        <v>186</v>
      </c>
      <c r="G53" s="120" t="s">
        <v>394</v>
      </c>
      <c r="H53" s="120" t="s">
        <v>395</v>
      </c>
      <c r="I53" s="120" t="s">
        <v>396</v>
      </c>
      <c r="J53" s="120" t="s">
        <v>397</v>
      </c>
      <c r="K53" s="120" t="s">
        <v>415</v>
      </c>
      <c r="L53" s="120" t="s">
        <v>416</v>
      </c>
      <c r="M53" s="120" t="s">
        <v>400</v>
      </c>
      <c r="N53" s="120" t="s">
        <v>401</v>
      </c>
      <c r="O53" s="120" t="s">
        <v>399</v>
      </c>
      <c r="P53" s="120" t="s">
        <v>398</v>
      </c>
      <c r="Q53" s="120" t="s">
        <v>402</v>
      </c>
      <c r="R53" s="120" t="s">
        <v>403</v>
      </c>
      <c r="S53" s="120" t="s">
        <v>384</v>
      </c>
      <c r="T53" s="510" t="s">
        <v>186</v>
      </c>
      <c r="U53" s="120" t="s">
        <v>384</v>
      </c>
      <c r="V53" s="120" t="s">
        <v>186</v>
      </c>
      <c r="Z53" s="205"/>
      <c r="AA53" s="205"/>
      <c r="AB53" s="205"/>
      <c r="AC53" s="205"/>
      <c r="AD53" s="205"/>
      <c r="AE53" s="205"/>
      <c r="AF53" s="205"/>
    </row>
    <row r="54" spans="3:32" x14ac:dyDescent="0.2">
      <c r="C54" s="537">
        <v>2017</v>
      </c>
      <c r="D54" s="388">
        <f>'Segment AADTs'!Q5</f>
        <v>4482</v>
      </c>
      <c r="E54" s="388">
        <f>D54-F54</f>
        <v>3720.06</v>
      </c>
      <c r="F54" s="388">
        <f>'Segment AADTs'!Q4</f>
        <v>761.94</v>
      </c>
      <c r="G54" s="503">
        <f>E54/(24)</f>
        <v>155.0025</v>
      </c>
      <c r="H54" s="503">
        <f>F54/(24)</f>
        <v>31.747500000000002</v>
      </c>
      <c r="I54" s="507">
        <f>1800</f>
        <v>1800</v>
      </c>
      <c r="J54" s="507">
        <f>900</f>
        <v>900</v>
      </c>
      <c r="K54" s="545">
        <v>2</v>
      </c>
      <c r="L54" s="545">
        <v>2</v>
      </c>
      <c r="M54" s="540">
        <f>(K54*'EC - Travel Time - Roadway'!$D$49/60)+(L54*'EC - Travel Time - Roadway'!$D$63/60)</f>
        <v>0.14791666666666664</v>
      </c>
      <c r="N54" s="540">
        <f>(K54*'EC - Travel Time - Roadway'!$D$49/60)+(L54*'EC - Travel Time - Roadway'!$D$63/60)</f>
        <v>0.14791666666666664</v>
      </c>
      <c r="O54" s="507">
        <f t="shared" ref="O54:O92" si="47">G54*(M54)</f>
        <v>22.927453124999996</v>
      </c>
      <c r="P54" s="507">
        <f t="shared" ref="P54:P92" si="48">H54*(N54)</f>
        <v>4.6959843749999992</v>
      </c>
      <c r="Q54" s="540">
        <f>O54/(I54-G54)</f>
        <v>1.3937682656052667E-2</v>
      </c>
      <c r="R54" s="540">
        <f>P54/(J54-H54)</f>
        <v>5.408546908877313E-3</v>
      </c>
      <c r="S54" s="547">
        <f>0.5*M54*G54*(M54+Q54)</f>
        <v>1.8554540035870108</v>
      </c>
      <c r="T54" s="548">
        <f>0.5*N54*H54*(N54+R54)</f>
        <v>0.36000640362214609</v>
      </c>
      <c r="U54" s="546">
        <f>S54*365</f>
        <v>677.24071130925893</v>
      </c>
      <c r="V54" s="546">
        <f>T54*365</f>
        <v>131.40233732208333</v>
      </c>
      <c r="Z54" s="205"/>
      <c r="AA54" s="205"/>
      <c r="AB54" s="205"/>
      <c r="AC54" s="205"/>
      <c r="AD54" s="205"/>
      <c r="AE54" s="205"/>
      <c r="AF54" s="205"/>
    </row>
    <row r="55" spans="3:32" x14ac:dyDescent="0.2">
      <c r="C55" s="305">
        <v>2018</v>
      </c>
      <c r="D55" s="308">
        <f>D54*(1+$B$4)</f>
        <v>4553.7120000000004</v>
      </c>
      <c r="E55" s="308">
        <f t="shared" ref="E55:E92" si="49">D55-F55</f>
        <v>3779.5809600000002</v>
      </c>
      <c r="F55" s="308">
        <f>F54*(1+$B$4)</f>
        <v>774.1310400000001</v>
      </c>
      <c r="G55" s="503">
        <f>E55/(24)</f>
        <v>157.48254</v>
      </c>
      <c r="H55" s="503">
        <f>F55/(24)</f>
        <v>32.255460000000006</v>
      </c>
      <c r="I55" s="507">
        <f>1800</f>
        <v>1800</v>
      </c>
      <c r="J55" s="507">
        <f>900</f>
        <v>900</v>
      </c>
      <c r="K55" s="507">
        <v>2</v>
      </c>
      <c r="L55" s="507">
        <v>2</v>
      </c>
      <c r="M55" s="540">
        <v>0.14791666666666664</v>
      </c>
      <c r="N55" s="540">
        <v>0.14791666666666664</v>
      </c>
      <c r="O55" s="507">
        <f t="shared" si="47"/>
        <v>23.294292374999998</v>
      </c>
      <c r="P55" s="507">
        <f t="shared" si="48"/>
        <v>4.7711201250000004</v>
      </c>
      <c r="Q55" s="540">
        <f t="shared" ref="Q55:Q92" si="50">O55/(I55-G55)</f>
        <v>1.4182066822595601E-2</v>
      </c>
      <c r="R55" s="540">
        <f t="shared" ref="R55:R92" si="51">P55/(J55-H55)</f>
        <v>5.4983003695995604E-3</v>
      </c>
      <c r="S55" s="547">
        <f t="shared" ref="S55:S92" si="52">0.5*M55*G55*(M55+Q55)</f>
        <v>1.8879876457580391</v>
      </c>
      <c r="T55" s="548">
        <f t="shared" ref="T55:T92" si="53">0.5*N55*H55*(N55+R55)</f>
        <v>0.36598061835147067</v>
      </c>
      <c r="U55" s="546">
        <f t="shared" ref="U55:U92" si="54">S55*365</f>
        <v>689.11549070168428</v>
      </c>
      <c r="V55" s="546">
        <f t="shared" ref="V55:V92" si="55">T55*365</f>
        <v>133.5829256982868</v>
      </c>
      <c r="Z55" s="205"/>
      <c r="AA55" s="205"/>
      <c r="AB55" s="205"/>
      <c r="AC55" s="205"/>
      <c r="AD55" s="205"/>
      <c r="AE55" s="205"/>
      <c r="AF55" s="205"/>
    </row>
    <row r="56" spans="3:32" x14ac:dyDescent="0.2">
      <c r="C56" s="305">
        <v>2019</v>
      </c>
      <c r="D56" s="308">
        <f t="shared" ref="D56:D77" si="56">D55*(1+$B$4)</f>
        <v>4626.5713920000007</v>
      </c>
      <c r="E56" s="308">
        <f t="shared" si="49"/>
        <v>3840.0542553600008</v>
      </c>
      <c r="F56" s="308">
        <f t="shared" ref="F56:F77" si="57">F55*(1+$B$4)</f>
        <v>786.5171366400001</v>
      </c>
      <c r="G56" s="503">
        <f t="shared" ref="G56:G92" si="58">E56/(24)</f>
        <v>160.00226064000003</v>
      </c>
      <c r="H56" s="503">
        <f t="shared" ref="H56:H92" si="59">F56/(24)</f>
        <v>32.771547360000007</v>
      </c>
      <c r="I56" s="507">
        <f>1800</f>
        <v>1800</v>
      </c>
      <c r="J56" s="507">
        <f>900</f>
        <v>900</v>
      </c>
      <c r="K56" s="507">
        <v>2</v>
      </c>
      <c r="L56" s="507">
        <v>2</v>
      </c>
      <c r="M56" s="540">
        <v>0.14791666666666664</v>
      </c>
      <c r="N56" s="540">
        <v>0.14791666666666664</v>
      </c>
      <c r="O56" s="507">
        <f t="shared" si="47"/>
        <v>23.667001053</v>
      </c>
      <c r="P56" s="507">
        <f t="shared" si="48"/>
        <v>4.8474580469999999</v>
      </c>
      <c r="Q56" s="540">
        <f t="shared" si="50"/>
        <v>1.4431118095465129E-2</v>
      </c>
      <c r="R56" s="540">
        <f t="shared" si="51"/>
        <v>5.5895975647979055E-3</v>
      </c>
      <c r="S56" s="547">
        <f t="shared" si="52"/>
        <v>1.9211425964587949</v>
      </c>
      <c r="T56" s="548">
        <f t="shared" si="53"/>
        <v>0.37205758790686055</v>
      </c>
      <c r="U56" s="546">
        <f t="shared" si="54"/>
        <v>701.2170477074601</v>
      </c>
      <c r="V56" s="546">
        <f t="shared" si="55"/>
        <v>135.80101958600409</v>
      </c>
      <c r="Z56" s="205"/>
      <c r="AA56" s="205"/>
      <c r="AB56" s="205"/>
      <c r="AC56" s="205"/>
      <c r="AD56" s="205"/>
      <c r="AE56" s="205"/>
      <c r="AF56" s="205"/>
    </row>
    <row r="57" spans="3:32" x14ac:dyDescent="0.2">
      <c r="C57" s="305">
        <v>2020</v>
      </c>
      <c r="D57" s="308">
        <f t="shared" si="56"/>
        <v>4700.596534272001</v>
      </c>
      <c r="E57" s="308">
        <f t="shared" si="49"/>
        <v>3901.4951234457608</v>
      </c>
      <c r="F57" s="308">
        <f t="shared" si="57"/>
        <v>799.10141082624011</v>
      </c>
      <c r="G57" s="503">
        <f t="shared" si="58"/>
        <v>162.56229681024004</v>
      </c>
      <c r="H57" s="503">
        <f t="shared" si="59"/>
        <v>33.295892117760005</v>
      </c>
      <c r="I57" s="507">
        <f>1800</f>
        <v>1800</v>
      </c>
      <c r="J57" s="507">
        <f>900</f>
        <v>900</v>
      </c>
      <c r="K57" s="507">
        <v>2</v>
      </c>
      <c r="L57" s="507">
        <v>2</v>
      </c>
      <c r="M57" s="540">
        <v>0.14791666666666664</v>
      </c>
      <c r="N57" s="540">
        <v>0.14791666666666664</v>
      </c>
      <c r="O57" s="507">
        <f t="shared" si="47"/>
        <v>24.045673069848004</v>
      </c>
      <c r="P57" s="507">
        <f t="shared" si="48"/>
        <v>4.9250173757519997</v>
      </c>
      <c r="Q57" s="540">
        <f t="shared" si="50"/>
        <v>1.4684939172346265E-2</v>
      </c>
      <c r="R57" s="540">
        <f t="shared" si="51"/>
        <v>5.6824668660981669E-3</v>
      </c>
      <c r="S57" s="547">
        <f t="shared" si="52"/>
        <v>1.9549325273185962</v>
      </c>
      <c r="T57" s="548">
        <f t="shared" si="53"/>
        <v>0.37823920077465917</v>
      </c>
      <c r="U57" s="546">
        <f t="shared" si="54"/>
        <v>713.55037247128757</v>
      </c>
      <c r="V57" s="546">
        <f t="shared" si="55"/>
        <v>138.0573082827506</v>
      </c>
      <c r="Z57" s="205"/>
      <c r="AA57" s="205"/>
      <c r="AB57" s="205"/>
      <c r="AC57" s="205"/>
      <c r="AD57" s="205"/>
      <c r="AE57" s="205"/>
      <c r="AF57" s="205"/>
    </row>
    <row r="58" spans="3:32" x14ac:dyDescent="0.2">
      <c r="C58" s="305">
        <v>2021</v>
      </c>
      <c r="D58" s="308">
        <f t="shared" si="56"/>
        <v>4775.8060788203529</v>
      </c>
      <c r="E58" s="308">
        <f t="shared" si="49"/>
        <v>3963.9190454208929</v>
      </c>
      <c r="F58" s="308">
        <f t="shared" si="57"/>
        <v>811.88703339945994</v>
      </c>
      <c r="G58" s="503">
        <f t="shared" si="58"/>
        <v>165.16329355920388</v>
      </c>
      <c r="H58" s="503">
        <f t="shared" si="59"/>
        <v>33.828626391644164</v>
      </c>
      <c r="I58" s="507">
        <f>1800</f>
        <v>1800</v>
      </c>
      <c r="J58" s="507">
        <f>900</f>
        <v>900</v>
      </c>
      <c r="K58" s="507">
        <v>2</v>
      </c>
      <c r="L58" s="507">
        <v>2</v>
      </c>
      <c r="M58" s="540">
        <v>0.14791666666666664</v>
      </c>
      <c r="N58" s="540">
        <v>0.14791666666666664</v>
      </c>
      <c r="O58" s="507">
        <f t="shared" si="47"/>
        <v>24.430403838965571</v>
      </c>
      <c r="P58" s="507">
        <f t="shared" si="48"/>
        <v>5.003817653764032</v>
      </c>
      <c r="Q58" s="540">
        <f t="shared" si="50"/>
        <v>1.4943635497488318E-2</v>
      </c>
      <c r="R58" s="540">
        <f t="shared" si="51"/>
        <v>5.7769372276975477E-3</v>
      </c>
      <c r="S58" s="547">
        <f t="shared" si="52"/>
        <v>1.989371475603132</v>
      </c>
      <c r="T58" s="548">
        <f t="shared" si="53"/>
        <v>0.38452738421861793</v>
      </c>
      <c r="U58" s="546">
        <f t="shared" si="54"/>
        <v>726.1205885951432</v>
      </c>
      <c r="V58" s="546">
        <f t="shared" si="55"/>
        <v>140.35249523979553</v>
      </c>
      <c r="Z58" s="205"/>
      <c r="AA58" s="205"/>
      <c r="AB58" s="205"/>
      <c r="AC58" s="205"/>
      <c r="AD58" s="205"/>
      <c r="AE58" s="205"/>
      <c r="AF58" s="205"/>
    </row>
    <row r="59" spans="3:32" x14ac:dyDescent="0.2">
      <c r="C59" s="305">
        <v>2022</v>
      </c>
      <c r="D59" s="308">
        <f t="shared" si="56"/>
        <v>4852.218976081479</v>
      </c>
      <c r="E59" s="308">
        <f t="shared" si="49"/>
        <v>4027.3417501476279</v>
      </c>
      <c r="F59" s="308">
        <f t="shared" si="57"/>
        <v>824.87722593385126</v>
      </c>
      <c r="G59" s="503">
        <f t="shared" si="58"/>
        <v>167.80590625615116</v>
      </c>
      <c r="H59" s="503">
        <f t="shared" si="59"/>
        <v>34.369884413910469</v>
      </c>
      <c r="I59" s="507">
        <f>1800</f>
        <v>1800</v>
      </c>
      <c r="J59" s="507">
        <f>900</f>
        <v>900</v>
      </c>
      <c r="K59" s="507">
        <v>2</v>
      </c>
      <c r="L59" s="507">
        <v>2</v>
      </c>
      <c r="M59" s="540">
        <v>0.14791666666666664</v>
      </c>
      <c r="N59" s="540">
        <v>0.14791666666666664</v>
      </c>
      <c r="O59" s="507">
        <f t="shared" si="47"/>
        <v>24.821290300389023</v>
      </c>
      <c r="P59" s="507">
        <f t="shared" si="48"/>
        <v>5.0838787362242561</v>
      </c>
      <c r="Q59" s="540">
        <f t="shared" si="50"/>
        <v>1.5207315352707307E-2</v>
      </c>
      <c r="R59" s="540">
        <f t="shared" si="51"/>
        <v>5.8730382003659033E-3</v>
      </c>
      <c r="S59" s="547">
        <f t="shared" si="52"/>
        <v>2.02447385632916</v>
      </c>
      <c r="T59" s="548">
        <f t="shared" si="53"/>
        <v>0.39092410521185539</v>
      </c>
      <c r="U59" s="546">
        <f t="shared" si="54"/>
        <v>738.93295756014345</v>
      </c>
      <c r="V59" s="546">
        <f t="shared" si="55"/>
        <v>142.68729840232723</v>
      </c>
    </row>
    <row r="60" spans="3:32" x14ac:dyDescent="0.2">
      <c r="C60" s="305">
        <v>2023</v>
      </c>
      <c r="D60" s="308">
        <f t="shared" si="56"/>
        <v>4929.8544796987826</v>
      </c>
      <c r="E60" s="308">
        <f t="shared" si="49"/>
        <v>4091.7792181499899</v>
      </c>
      <c r="F60" s="308">
        <f t="shared" si="57"/>
        <v>838.07526154879292</v>
      </c>
      <c r="G60" s="503">
        <f t="shared" si="58"/>
        <v>170.49080075624957</v>
      </c>
      <c r="H60" s="503">
        <f t="shared" si="59"/>
        <v>34.919802564533036</v>
      </c>
      <c r="I60" s="507">
        <f>1800</f>
        <v>1800</v>
      </c>
      <c r="J60" s="507">
        <f>900</f>
        <v>900</v>
      </c>
      <c r="K60" s="507">
        <v>2</v>
      </c>
      <c r="L60" s="507">
        <v>2</v>
      </c>
      <c r="M60" s="540">
        <v>0.14791666666666664</v>
      </c>
      <c r="N60" s="540">
        <v>0.14791666666666664</v>
      </c>
      <c r="O60" s="507">
        <f t="shared" si="47"/>
        <v>25.218430945195244</v>
      </c>
      <c r="P60" s="507">
        <f t="shared" si="48"/>
        <v>5.1652207960038439</v>
      </c>
      <c r="Q60" s="540">
        <f t="shared" si="50"/>
        <v>1.5476089952053681E-2</v>
      </c>
      <c r="R60" s="540">
        <f t="shared" si="51"/>
        <v>5.9707999458502893E-3</v>
      </c>
      <c r="S60" s="547">
        <f t="shared" si="52"/>
        <v>2.0602544748671461</v>
      </c>
      <c r="T60" s="548">
        <f t="shared" si="53"/>
        <v>0.39743137139565982</v>
      </c>
      <c r="U60" s="546">
        <f t="shared" si="54"/>
        <v>751.99288332650826</v>
      </c>
      <c r="V60" s="546">
        <f t="shared" si="55"/>
        <v>145.06245055941582</v>
      </c>
    </row>
    <row r="61" spans="3:32" x14ac:dyDescent="0.2">
      <c r="C61" s="305">
        <v>2024</v>
      </c>
      <c r="D61" s="308">
        <f t="shared" si="56"/>
        <v>5008.7321513739635</v>
      </c>
      <c r="E61" s="308">
        <f t="shared" si="49"/>
        <v>4157.24768564039</v>
      </c>
      <c r="F61" s="308">
        <f t="shared" si="57"/>
        <v>851.48446573357364</v>
      </c>
      <c r="G61" s="503">
        <f t="shared" si="58"/>
        <v>173.21865356834959</v>
      </c>
      <c r="H61" s="503">
        <f t="shared" si="59"/>
        <v>35.478519405565571</v>
      </c>
      <c r="I61" s="507">
        <f>1800</f>
        <v>1800</v>
      </c>
      <c r="J61" s="507">
        <f>900</f>
        <v>900</v>
      </c>
      <c r="K61" s="507">
        <v>2</v>
      </c>
      <c r="L61" s="507">
        <v>2</v>
      </c>
      <c r="M61" s="540">
        <v>0.14791666666666664</v>
      </c>
      <c r="N61" s="540">
        <v>0.14791666666666664</v>
      </c>
      <c r="O61" s="507">
        <f t="shared" si="47"/>
        <v>25.621925840318372</v>
      </c>
      <c r="P61" s="507">
        <f t="shared" si="48"/>
        <v>5.2478643287399063</v>
      </c>
      <c r="Q61" s="540">
        <f t="shared" si="50"/>
        <v>1.5750073540319442E-2</v>
      </c>
      <c r="R61" s="540">
        <f t="shared" si="51"/>
        <v>6.0702532516965788E-3</v>
      </c>
      <c r="S61" s="547">
        <f t="shared" si="52"/>
        <v>2.0967285400550253</v>
      </c>
      <c r="T61" s="548">
        <f t="shared" si="53"/>
        <v>0.40405123206605342</v>
      </c>
      <c r="U61" s="546">
        <f t="shared" si="54"/>
        <v>765.30591712008425</v>
      </c>
      <c r="V61" s="546">
        <f t="shared" si="55"/>
        <v>147.47869970410949</v>
      </c>
    </row>
    <row r="62" spans="3:32" x14ac:dyDescent="0.2">
      <c r="C62" s="418">
        <v>2025</v>
      </c>
      <c r="D62" s="411">
        <f t="shared" si="56"/>
        <v>5088.8718657959471</v>
      </c>
      <c r="E62" s="411">
        <f t="shared" si="49"/>
        <v>4223.7636486106367</v>
      </c>
      <c r="F62" s="411">
        <f t="shared" si="57"/>
        <v>865.10821718531088</v>
      </c>
      <c r="G62" s="503">
        <f t="shared" si="58"/>
        <v>175.99015202544319</v>
      </c>
      <c r="H62" s="503">
        <f t="shared" si="59"/>
        <v>36.04617571605462</v>
      </c>
      <c r="I62" s="507">
        <f>1800</f>
        <v>1800</v>
      </c>
      <c r="J62" s="507">
        <f>900</f>
        <v>900</v>
      </c>
      <c r="K62" s="507">
        <v>2</v>
      </c>
      <c r="L62" s="507">
        <v>2</v>
      </c>
      <c r="M62" s="540">
        <v>0.14791666666666664</v>
      </c>
      <c r="N62" s="540">
        <v>0.14791666666666664</v>
      </c>
      <c r="O62" s="507">
        <f t="shared" si="47"/>
        <v>26.031876653763469</v>
      </c>
      <c r="P62" s="507">
        <f t="shared" si="48"/>
        <v>5.3318301579997449</v>
      </c>
      <c r="Q62" s="540">
        <f t="shared" si="50"/>
        <v>1.6029383495568129E-2</v>
      </c>
      <c r="R62" s="540">
        <f t="shared" si="51"/>
        <v>6.1714295465024717E-3</v>
      </c>
      <c r="S62" s="549">
        <f t="shared" si="52"/>
        <v>2.1339116778475069</v>
      </c>
      <c r="T62" s="550">
        <f t="shared" si="53"/>
        <v>0.41078577918907067</v>
      </c>
      <c r="U62" s="562">
        <f t="shared" si="54"/>
        <v>778.87776241434005</v>
      </c>
      <c r="V62" s="562">
        <f t="shared" si="55"/>
        <v>149.9368094040108</v>
      </c>
    </row>
    <row r="63" spans="3:32" x14ac:dyDescent="0.2">
      <c r="C63" s="305">
        <v>2026</v>
      </c>
      <c r="D63" s="308">
        <f t="shared" si="56"/>
        <v>5170.2938156486825</v>
      </c>
      <c r="E63" s="308">
        <f t="shared" si="49"/>
        <v>4291.3438669884072</v>
      </c>
      <c r="F63" s="308">
        <f t="shared" si="57"/>
        <v>878.94994866027582</v>
      </c>
      <c r="G63" s="503">
        <f t="shared" si="58"/>
        <v>178.80599445785029</v>
      </c>
      <c r="H63" s="503">
        <f t="shared" si="59"/>
        <v>36.62291452751149</v>
      </c>
      <c r="I63" s="507">
        <f>1800</f>
        <v>1800</v>
      </c>
      <c r="J63" s="507">
        <f>900</f>
        <v>900</v>
      </c>
      <c r="K63" s="507">
        <v>2</v>
      </c>
      <c r="L63" s="507">
        <v>2</v>
      </c>
      <c r="M63" s="540">
        <v>0.14791666666666664</v>
      </c>
      <c r="N63" s="540">
        <v>0.14791666666666664</v>
      </c>
      <c r="O63" s="507">
        <f t="shared" si="47"/>
        <v>26.448386680223685</v>
      </c>
      <c r="P63" s="507">
        <f t="shared" si="48"/>
        <v>5.4171394405277402</v>
      </c>
      <c r="Q63" s="540">
        <f t="shared" si="50"/>
        <v>1.6314140435881381E-2</v>
      </c>
      <c r="R63" s="540">
        <f t="shared" si="51"/>
        <v>6.2743609156168155E-3</v>
      </c>
      <c r="S63" s="547">
        <f t="shared" si="52"/>
        <v>2.1718199455267082</v>
      </c>
      <c r="T63" s="548">
        <f t="shared" si="53"/>
        <v>0.41763714844574418</v>
      </c>
      <c r="U63" s="546">
        <f t="shared" si="54"/>
        <v>792.71428011724845</v>
      </c>
      <c r="V63" s="546">
        <f t="shared" si="55"/>
        <v>152.43755918269662</v>
      </c>
    </row>
    <row r="64" spans="3:32" x14ac:dyDescent="0.2">
      <c r="C64" s="305">
        <v>2027</v>
      </c>
      <c r="D64" s="308">
        <f t="shared" si="56"/>
        <v>5253.0185166990614</v>
      </c>
      <c r="E64" s="308">
        <f t="shared" si="49"/>
        <v>4360.0053688602211</v>
      </c>
      <c r="F64" s="308">
        <f t="shared" si="57"/>
        <v>893.01314783884027</v>
      </c>
      <c r="G64" s="503">
        <f t="shared" si="58"/>
        <v>181.66689036917589</v>
      </c>
      <c r="H64" s="503">
        <f t="shared" si="59"/>
        <v>37.20888115995168</v>
      </c>
      <c r="I64" s="507">
        <f>1800</f>
        <v>1800</v>
      </c>
      <c r="J64" s="507">
        <f>900</f>
        <v>900</v>
      </c>
      <c r="K64" s="507">
        <v>2</v>
      </c>
      <c r="L64" s="507">
        <v>2</v>
      </c>
      <c r="M64" s="540">
        <v>0.14791666666666664</v>
      </c>
      <c r="N64" s="540">
        <v>0.14791666666666664</v>
      </c>
      <c r="O64" s="507">
        <f t="shared" si="47"/>
        <v>26.871560867107263</v>
      </c>
      <c r="P64" s="507">
        <f t="shared" si="48"/>
        <v>5.503813671576185</v>
      </c>
      <c r="Q64" s="540">
        <f t="shared" si="50"/>
        <v>1.660446833052636E-2</v>
      </c>
      <c r="R64" s="540">
        <f t="shared" si="51"/>
        <v>6.3790801173007087E-3</v>
      </c>
      <c r="S64" s="547">
        <f t="shared" si="52"/>
        <v>2.2104698465013213</v>
      </c>
      <c r="T64" s="548">
        <f t="shared" si="53"/>
        <v>0.42460752030782833</v>
      </c>
      <c r="U64" s="546">
        <f t="shared" si="54"/>
        <v>806.82149397298224</v>
      </c>
      <c r="V64" s="546">
        <f t="shared" si="55"/>
        <v>154.98174491235733</v>
      </c>
    </row>
    <row r="65" spans="3:22" x14ac:dyDescent="0.2">
      <c r="C65" s="305">
        <v>2028</v>
      </c>
      <c r="D65" s="308">
        <f t="shared" si="56"/>
        <v>5337.0668129662463</v>
      </c>
      <c r="E65" s="308">
        <f t="shared" si="49"/>
        <v>4429.7654547619841</v>
      </c>
      <c r="F65" s="308">
        <f t="shared" si="57"/>
        <v>907.30135820426176</v>
      </c>
      <c r="G65" s="503">
        <f t="shared" si="58"/>
        <v>184.57356061508267</v>
      </c>
      <c r="H65" s="503">
        <f t="shared" si="59"/>
        <v>37.804223258510909</v>
      </c>
      <c r="I65" s="507">
        <f>1800</f>
        <v>1800</v>
      </c>
      <c r="J65" s="507">
        <f>900</f>
        <v>900</v>
      </c>
      <c r="K65" s="507">
        <v>2</v>
      </c>
      <c r="L65" s="507">
        <v>2</v>
      </c>
      <c r="M65" s="540">
        <v>0.14791666666666664</v>
      </c>
      <c r="N65" s="540">
        <v>0.14791666666666664</v>
      </c>
      <c r="O65" s="507">
        <f t="shared" si="47"/>
        <v>27.301505840980973</v>
      </c>
      <c r="P65" s="507">
        <f t="shared" si="48"/>
        <v>5.5918746903214043</v>
      </c>
      <c r="Q65" s="540">
        <f t="shared" si="50"/>
        <v>1.6900494615759893E-2</v>
      </c>
      <c r="R65" s="540">
        <f t="shared" si="51"/>
        <v>6.4856205993665027E-3</v>
      </c>
      <c r="S65" s="547">
        <f t="shared" si="52"/>
        <v>2.2498783457230358</v>
      </c>
      <c r="T65" s="548">
        <f t="shared" si="53"/>
        <v>0.43169912114533276</v>
      </c>
      <c r="U65" s="546">
        <f t="shared" si="54"/>
        <v>821.20559618890809</v>
      </c>
      <c r="V65" s="546">
        <f t="shared" si="55"/>
        <v>157.57017921804646</v>
      </c>
    </row>
    <row r="66" spans="3:22" x14ac:dyDescent="0.2">
      <c r="C66" s="305">
        <v>2029</v>
      </c>
      <c r="D66" s="308">
        <f t="shared" si="56"/>
        <v>5422.4598819737066</v>
      </c>
      <c r="E66" s="308">
        <f t="shared" si="49"/>
        <v>4500.6417020381768</v>
      </c>
      <c r="F66" s="308">
        <f t="shared" si="57"/>
        <v>921.81817993553</v>
      </c>
      <c r="G66" s="503">
        <f t="shared" si="58"/>
        <v>187.52673758492404</v>
      </c>
      <c r="H66" s="503">
        <f t="shared" si="59"/>
        <v>38.409090830647081</v>
      </c>
      <c r="I66" s="507">
        <f>1800</f>
        <v>1800</v>
      </c>
      <c r="J66" s="507">
        <f>900</f>
        <v>900</v>
      </c>
      <c r="K66" s="507">
        <v>2</v>
      </c>
      <c r="L66" s="507">
        <v>2</v>
      </c>
      <c r="M66" s="540">
        <v>0.14791666666666664</v>
      </c>
      <c r="N66" s="540">
        <v>0.14791666666666664</v>
      </c>
      <c r="O66" s="507">
        <f t="shared" si="47"/>
        <v>27.738329934436674</v>
      </c>
      <c r="P66" s="507">
        <f t="shared" si="48"/>
        <v>5.6813446853665468</v>
      </c>
      <c r="Q66" s="540">
        <f t="shared" si="50"/>
        <v>1.7202350315497134E-2</v>
      </c>
      <c r="R66" s="540">
        <f t="shared" si="51"/>
        <v>6.5940165163114912E-3</v>
      </c>
      <c r="S66" s="547">
        <f t="shared" si="52"/>
        <v>2.2900628857505554</v>
      </c>
      <c r="T66" s="548">
        <f t="shared" si="53"/>
        <v>0.43891422436698357</v>
      </c>
      <c r="U66" s="546">
        <f t="shared" si="54"/>
        <v>835.87295329895267</v>
      </c>
      <c r="V66" s="546">
        <f t="shared" si="55"/>
        <v>160.20369189394901</v>
      </c>
    </row>
    <row r="67" spans="3:22" x14ac:dyDescent="0.2">
      <c r="C67" s="305">
        <v>2030</v>
      </c>
      <c r="D67" s="308">
        <f t="shared" si="56"/>
        <v>5509.2192400852864</v>
      </c>
      <c r="E67" s="308">
        <f t="shared" si="49"/>
        <v>4572.651969270788</v>
      </c>
      <c r="F67" s="308">
        <f t="shared" si="57"/>
        <v>936.56727081449844</v>
      </c>
      <c r="G67" s="503">
        <f t="shared" si="58"/>
        <v>190.52716538628283</v>
      </c>
      <c r="H67" s="503">
        <f t="shared" si="59"/>
        <v>39.023636283937435</v>
      </c>
      <c r="I67" s="507">
        <f>1800</f>
        <v>1800</v>
      </c>
      <c r="J67" s="507">
        <f>900</f>
        <v>900</v>
      </c>
      <c r="K67" s="507">
        <v>3</v>
      </c>
      <c r="L67" s="507">
        <v>3</v>
      </c>
      <c r="M67" s="540">
        <v>0.14791666666666664</v>
      </c>
      <c r="N67" s="540">
        <v>0.14791666666666664</v>
      </c>
      <c r="O67" s="507">
        <f t="shared" si="47"/>
        <v>28.182143213387665</v>
      </c>
      <c r="P67" s="507">
        <f t="shared" si="48"/>
        <v>5.7722462003324111</v>
      </c>
      <c r="Q67" s="540">
        <f t="shared" si="50"/>
        <v>1.7510170167085511E-2</v>
      </c>
      <c r="R67" s="540">
        <f t="shared" si="51"/>
        <v>6.7043027469636945E-3</v>
      </c>
      <c r="S67" s="547">
        <f t="shared" si="52"/>
        <v>2.3310414034932583</v>
      </c>
      <c r="T67" s="548">
        <f t="shared" si="53"/>
        <v>0.44625515159477086</v>
      </c>
      <c r="U67" s="546">
        <f t="shared" si="54"/>
        <v>850.83011227503926</v>
      </c>
      <c r="V67" s="546">
        <f t="shared" si="55"/>
        <v>162.88313033209135</v>
      </c>
    </row>
    <row r="68" spans="3:22" x14ac:dyDescent="0.2">
      <c r="C68" s="305">
        <v>2031</v>
      </c>
      <c r="D68" s="308">
        <f t="shared" si="56"/>
        <v>5597.3667479266514</v>
      </c>
      <c r="E68" s="308">
        <f t="shared" si="49"/>
        <v>4645.8144007791207</v>
      </c>
      <c r="F68" s="308">
        <f t="shared" si="57"/>
        <v>951.55234714753044</v>
      </c>
      <c r="G68" s="503">
        <f t="shared" si="58"/>
        <v>193.57560003246337</v>
      </c>
      <c r="H68" s="503">
        <f t="shared" si="59"/>
        <v>39.648014464480433</v>
      </c>
      <c r="I68" s="507">
        <f>1800</f>
        <v>1800</v>
      </c>
      <c r="J68" s="507">
        <f>900</f>
        <v>900</v>
      </c>
      <c r="K68" s="507">
        <v>3</v>
      </c>
      <c r="L68" s="507">
        <v>3</v>
      </c>
      <c r="M68" s="540">
        <v>0.14791666666666664</v>
      </c>
      <c r="N68" s="540">
        <v>0.14791666666666664</v>
      </c>
      <c r="O68" s="507">
        <f t="shared" si="47"/>
        <v>28.633057504801869</v>
      </c>
      <c r="P68" s="507">
        <f t="shared" si="48"/>
        <v>5.8646021395377295</v>
      </c>
      <c r="Q68" s="540">
        <f t="shared" si="50"/>
        <v>1.7824092752438583E-2</v>
      </c>
      <c r="R68" s="540">
        <f t="shared" si="51"/>
        <v>6.8165149126579302E-3</v>
      </c>
      <c r="S68" s="547">
        <f t="shared" si="52"/>
        <v>2.3728323476683859</v>
      </c>
      <c r="T68" s="548">
        <f t="shared" si="53"/>
        <v>0.45372427387379338</v>
      </c>
      <c r="U68" s="546">
        <f t="shared" si="54"/>
        <v>866.0838068989608</v>
      </c>
      <c r="V68" s="546">
        <f t="shared" si="55"/>
        <v>165.60935996393459</v>
      </c>
    </row>
    <row r="69" spans="3:22" x14ac:dyDescent="0.2">
      <c r="C69" s="305">
        <v>2032</v>
      </c>
      <c r="D69" s="308">
        <f t="shared" si="56"/>
        <v>5686.9246158934775</v>
      </c>
      <c r="E69" s="308">
        <f t="shared" si="49"/>
        <v>4720.1474311915863</v>
      </c>
      <c r="F69" s="308">
        <f t="shared" si="57"/>
        <v>966.77718470189097</v>
      </c>
      <c r="G69" s="503">
        <f t="shared" si="58"/>
        <v>196.67280963298276</v>
      </c>
      <c r="H69" s="503">
        <f t="shared" si="59"/>
        <v>40.282382695912126</v>
      </c>
      <c r="I69" s="507">
        <f>1800</f>
        <v>1800</v>
      </c>
      <c r="J69" s="507">
        <f>900</f>
        <v>900</v>
      </c>
      <c r="K69" s="507">
        <v>3</v>
      </c>
      <c r="L69" s="507">
        <v>3</v>
      </c>
      <c r="M69" s="540">
        <v>0.14791666666666664</v>
      </c>
      <c r="N69" s="540">
        <v>0.14791666666666664</v>
      </c>
      <c r="O69" s="507">
        <f t="shared" si="47"/>
        <v>29.091186424878696</v>
      </c>
      <c r="P69" s="507">
        <f t="shared" si="48"/>
        <v>5.9584357737703346</v>
      </c>
      <c r="Q69" s="540">
        <f t="shared" si="50"/>
        <v>1.8144260634798716E-2</v>
      </c>
      <c r="R69" s="540">
        <f t="shared" si="51"/>
        <v>6.9306893959610412E-3</v>
      </c>
      <c r="S69" s="547">
        <f t="shared" si="52"/>
        <v>2.4154546970075783</v>
      </c>
      <c r="T69" s="548">
        <f t="shared" si="53"/>
        <v>0.46132401291865671</v>
      </c>
      <c r="U69" s="546">
        <f t="shared" si="54"/>
        <v>881.64096440776609</v>
      </c>
      <c r="V69" s="546">
        <f t="shared" si="55"/>
        <v>168.38326471530971</v>
      </c>
    </row>
    <row r="70" spans="3:22" x14ac:dyDescent="0.2">
      <c r="C70" s="305">
        <v>2033</v>
      </c>
      <c r="D70" s="308">
        <f t="shared" si="56"/>
        <v>5777.9154097477731</v>
      </c>
      <c r="E70" s="308">
        <f t="shared" si="49"/>
        <v>4795.669790090652</v>
      </c>
      <c r="F70" s="308">
        <f t="shared" si="57"/>
        <v>982.24561965712121</v>
      </c>
      <c r="G70" s="503">
        <f t="shared" si="58"/>
        <v>199.81957458711051</v>
      </c>
      <c r="H70" s="503">
        <f t="shared" si="59"/>
        <v>40.926900819046715</v>
      </c>
      <c r="I70" s="507">
        <f>1800</f>
        <v>1800</v>
      </c>
      <c r="J70" s="507">
        <f>900</f>
        <v>900</v>
      </c>
      <c r="K70" s="507">
        <v>3</v>
      </c>
      <c r="L70" s="507">
        <v>3</v>
      </c>
      <c r="M70" s="540">
        <v>0.14791666666666664</v>
      </c>
      <c r="N70" s="540">
        <v>0.14791666666666664</v>
      </c>
      <c r="O70" s="507">
        <f t="shared" si="47"/>
        <v>29.556645407676758</v>
      </c>
      <c r="P70" s="507">
        <f t="shared" si="48"/>
        <v>6.0537707461506587</v>
      </c>
      <c r="Q70" s="540">
        <f t="shared" si="50"/>
        <v>1.8470820501413365E-2</v>
      </c>
      <c r="R70" s="540">
        <f t="shared" si="51"/>
        <v>7.046863359965955E-3</v>
      </c>
      <c r="S70" s="547">
        <f t="shared" si="52"/>
        <v>2.4589279792506535</v>
      </c>
      <c r="T70" s="548">
        <f t="shared" si="53"/>
        <v>0.46905684239773382</v>
      </c>
      <c r="U70" s="546">
        <f t="shared" si="54"/>
        <v>897.5087124264885</v>
      </c>
      <c r="V70" s="546">
        <f t="shared" si="55"/>
        <v>171.20574747517284</v>
      </c>
    </row>
    <row r="71" spans="3:22" x14ac:dyDescent="0.2">
      <c r="C71" s="305">
        <v>2034</v>
      </c>
      <c r="D71" s="308">
        <f t="shared" si="56"/>
        <v>5870.3620563037375</v>
      </c>
      <c r="E71" s="308">
        <f t="shared" si="49"/>
        <v>4872.4005067321023</v>
      </c>
      <c r="F71" s="308">
        <f t="shared" si="57"/>
        <v>997.96154957163515</v>
      </c>
      <c r="G71" s="503">
        <f t="shared" si="58"/>
        <v>203.01668778050427</v>
      </c>
      <c r="H71" s="503">
        <f t="shared" si="59"/>
        <v>41.581731232151462</v>
      </c>
      <c r="I71" s="507">
        <f>1800</f>
        <v>1800</v>
      </c>
      <c r="J71" s="507">
        <f>900</f>
        <v>900</v>
      </c>
      <c r="K71" s="507">
        <v>3</v>
      </c>
      <c r="L71" s="507">
        <v>3</v>
      </c>
      <c r="M71" s="540">
        <v>0.14791666666666664</v>
      </c>
      <c r="N71" s="540">
        <v>0.14791666666666664</v>
      </c>
      <c r="O71" s="507">
        <f t="shared" si="47"/>
        <v>30.029551734199586</v>
      </c>
      <c r="P71" s="507">
        <f t="shared" si="48"/>
        <v>6.1506310780890692</v>
      </c>
      <c r="Q71" s="540">
        <f t="shared" si="50"/>
        <v>1.8803923312426075E-2</v>
      </c>
      <c r="R71" s="540">
        <f t="shared" si="51"/>
        <v>7.1650747681751073E-3</v>
      </c>
      <c r="S71" s="547">
        <f t="shared" si="52"/>
        <v>2.5032722909667209</v>
      </c>
      <c r="T71" s="548">
        <f t="shared" si="53"/>
        <v>0.47692528925665545</v>
      </c>
      <c r="U71" s="546">
        <f t="shared" si="54"/>
        <v>913.69438620285314</v>
      </c>
      <c r="V71" s="546">
        <f t="shared" si="55"/>
        <v>174.07773057867925</v>
      </c>
    </row>
    <row r="72" spans="3:22" x14ac:dyDescent="0.2">
      <c r="C72" s="305">
        <v>2035</v>
      </c>
      <c r="D72" s="308">
        <f t="shared" si="56"/>
        <v>5964.2878492045975</v>
      </c>
      <c r="E72" s="308">
        <f t="shared" si="49"/>
        <v>4950.358914839816</v>
      </c>
      <c r="F72" s="308">
        <f t="shared" si="57"/>
        <v>1013.9289343647813</v>
      </c>
      <c r="G72" s="503">
        <f t="shared" si="58"/>
        <v>206.26495478499234</v>
      </c>
      <c r="H72" s="503">
        <f t="shared" si="59"/>
        <v>42.247038931865887</v>
      </c>
      <c r="I72" s="507">
        <f>1800</f>
        <v>1800</v>
      </c>
      <c r="J72" s="507">
        <f>900</f>
        <v>900</v>
      </c>
      <c r="K72" s="507">
        <v>3</v>
      </c>
      <c r="L72" s="507">
        <v>3</v>
      </c>
      <c r="M72" s="540">
        <v>0.14791666666666664</v>
      </c>
      <c r="N72" s="540">
        <v>0.14791666666666664</v>
      </c>
      <c r="O72" s="507">
        <f t="shared" si="47"/>
        <v>30.510024561946778</v>
      </c>
      <c r="P72" s="507">
        <f t="shared" si="48"/>
        <v>6.2490411753384949</v>
      </c>
      <c r="Q72" s="540">
        <f t="shared" si="50"/>
        <v>1.9143724456301161E-2</v>
      </c>
      <c r="R72" s="540">
        <f t="shared" si="51"/>
        <v>7.285362404994499E-3</v>
      </c>
      <c r="S72" s="547">
        <f t="shared" si="52"/>
        <v>2.5485083182450916</v>
      </c>
      <c r="T72" s="548">
        <f t="shared" si="53"/>
        <v>0.48493193508244631</v>
      </c>
      <c r="U72" s="546">
        <f t="shared" si="54"/>
        <v>930.20553615945846</v>
      </c>
      <c r="V72" s="546">
        <f t="shared" si="55"/>
        <v>177.0001563050929</v>
      </c>
    </row>
    <row r="73" spans="3:22" x14ac:dyDescent="0.2">
      <c r="C73" s="305">
        <v>2036</v>
      </c>
      <c r="D73" s="308">
        <f t="shared" si="56"/>
        <v>6059.716454791871</v>
      </c>
      <c r="E73" s="308">
        <f t="shared" si="49"/>
        <v>5029.5646574772527</v>
      </c>
      <c r="F73" s="308">
        <f t="shared" si="57"/>
        <v>1030.1517973146179</v>
      </c>
      <c r="G73" s="503">
        <f t="shared" si="58"/>
        <v>209.56519406155221</v>
      </c>
      <c r="H73" s="503">
        <f t="shared" si="59"/>
        <v>42.922991554775741</v>
      </c>
      <c r="I73" s="507">
        <f>1800</f>
        <v>1800</v>
      </c>
      <c r="J73" s="507">
        <f>900</f>
        <v>900</v>
      </c>
      <c r="K73" s="507">
        <v>3</v>
      </c>
      <c r="L73" s="507">
        <v>3</v>
      </c>
      <c r="M73" s="540">
        <v>0.14791666666666664</v>
      </c>
      <c r="N73" s="540">
        <v>0.14791666666666664</v>
      </c>
      <c r="O73" s="507">
        <f t="shared" si="47"/>
        <v>30.998184954937926</v>
      </c>
      <c r="P73" s="507">
        <f t="shared" si="48"/>
        <v>6.3490258341439105</v>
      </c>
      <c r="Q73" s="540">
        <f t="shared" si="50"/>
        <v>1.9490383912119689E-2</v>
      </c>
      <c r="R73" s="540">
        <f t="shared" si="51"/>
        <v>7.4077658968606866E-3</v>
      </c>
      <c r="S73" s="547">
        <f t="shared" si="52"/>
        <v>2.5946573583009336</v>
      </c>
      <c r="T73" s="548">
        <f t="shared" si="53"/>
        <v>0.49307941750978929</v>
      </c>
      <c r="U73" s="546">
        <f t="shared" si="54"/>
        <v>947.04993577984078</v>
      </c>
      <c r="V73" s="546">
        <f t="shared" si="55"/>
        <v>179.97398739107308</v>
      </c>
    </row>
    <row r="74" spans="3:22" x14ac:dyDescent="0.2">
      <c r="C74" s="305">
        <v>2037</v>
      </c>
      <c r="D74" s="308">
        <f t="shared" si="56"/>
        <v>6156.6719180685413</v>
      </c>
      <c r="E74" s="308">
        <f t="shared" si="49"/>
        <v>5110.0376919968894</v>
      </c>
      <c r="F74" s="308">
        <f t="shared" si="57"/>
        <v>1046.6342260716517</v>
      </c>
      <c r="G74" s="503">
        <f t="shared" si="58"/>
        <v>212.91823716653707</v>
      </c>
      <c r="H74" s="503">
        <f t="shared" si="59"/>
        <v>43.609759419652157</v>
      </c>
      <c r="I74" s="507">
        <f>1800</f>
        <v>1800</v>
      </c>
      <c r="J74" s="507">
        <f>900</f>
        <v>900</v>
      </c>
      <c r="K74" s="507">
        <v>3</v>
      </c>
      <c r="L74" s="507">
        <v>3</v>
      </c>
      <c r="M74" s="540">
        <v>0.14791666666666664</v>
      </c>
      <c r="N74" s="540">
        <v>0.14791666666666664</v>
      </c>
      <c r="O74" s="507">
        <f t="shared" si="47"/>
        <v>31.494155914216936</v>
      </c>
      <c r="P74" s="507">
        <f t="shared" si="48"/>
        <v>6.4506102474902134</v>
      </c>
      <c r="Q74" s="540">
        <f t="shared" si="50"/>
        <v>1.9844066419104651E-2</v>
      </c>
      <c r="R74" s="540">
        <f t="shared" si="51"/>
        <v>7.5323257340238307E-3</v>
      </c>
      <c r="S74" s="547">
        <f t="shared" si="52"/>
        <v>2.6417413420433067</v>
      </c>
      <c r="T74" s="548">
        <f t="shared" si="53"/>
        <v>0.50137043167096107</v>
      </c>
      <c r="U74" s="546">
        <f t="shared" si="54"/>
        <v>964.23558984580689</v>
      </c>
      <c r="V74" s="546">
        <f t="shared" si="55"/>
        <v>183.00020755990079</v>
      </c>
    </row>
    <row r="75" spans="3:22" x14ac:dyDescent="0.2">
      <c r="C75" s="305">
        <v>2038</v>
      </c>
      <c r="D75" s="308">
        <f t="shared" si="56"/>
        <v>6255.1786687576378</v>
      </c>
      <c r="E75" s="308">
        <f t="shared" si="49"/>
        <v>5191.7982950688402</v>
      </c>
      <c r="F75" s="308">
        <f t="shared" si="57"/>
        <v>1063.380373688798</v>
      </c>
      <c r="G75" s="503">
        <f t="shared" si="58"/>
        <v>216.32492896120166</v>
      </c>
      <c r="H75" s="503">
        <f t="shared" si="59"/>
        <v>44.307515570366583</v>
      </c>
      <c r="I75" s="507">
        <f>1800</f>
        <v>1800</v>
      </c>
      <c r="J75" s="507">
        <f>900</f>
        <v>900</v>
      </c>
      <c r="K75" s="507">
        <v>3</v>
      </c>
      <c r="L75" s="507">
        <v>3</v>
      </c>
      <c r="M75" s="540">
        <v>0.14791666666666664</v>
      </c>
      <c r="N75" s="540">
        <v>0.14791666666666664</v>
      </c>
      <c r="O75" s="507">
        <f t="shared" si="47"/>
        <v>31.998062408844408</v>
      </c>
      <c r="P75" s="507">
        <f t="shared" si="48"/>
        <v>6.553820011450056</v>
      </c>
      <c r="Q75" s="540">
        <f t="shared" si="50"/>
        <v>2.0204941653754485E-2</v>
      </c>
      <c r="R75" s="540">
        <f t="shared" si="51"/>
        <v>7.6590832930109711E-3</v>
      </c>
      <c r="S75" s="547">
        <f t="shared" si="52"/>
        <v>2.689782857656065</v>
      </c>
      <c r="T75" s="548">
        <f t="shared" si="53"/>
        <v>0.50980773169104265</v>
      </c>
      <c r="U75" s="546">
        <f t="shared" si="54"/>
        <v>981.77074304446376</v>
      </c>
      <c r="V75" s="546">
        <f t="shared" si="55"/>
        <v>186.07982206723057</v>
      </c>
    </row>
    <row r="76" spans="3:22" x14ac:dyDescent="0.2">
      <c r="C76" s="305">
        <v>2039</v>
      </c>
      <c r="D76" s="308">
        <f t="shared" si="56"/>
        <v>6355.2615274577602</v>
      </c>
      <c r="E76" s="308">
        <f t="shared" si="49"/>
        <v>5274.8670677899408</v>
      </c>
      <c r="F76" s="308">
        <f t="shared" si="57"/>
        <v>1080.3944596678189</v>
      </c>
      <c r="G76" s="503">
        <f t="shared" si="58"/>
        <v>219.78612782458086</v>
      </c>
      <c r="H76" s="503">
        <f t="shared" si="59"/>
        <v>45.01643581949245</v>
      </c>
      <c r="I76" s="507">
        <f>1800</f>
        <v>1800</v>
      </c>
      <c r="J76" s="507">
        <f>900</f>
        <v>900</v>
      </c>
      <c r="K76" s="507">
        <v>3</v>
      </c>
      <c r="L76" s="507">
        <v>3</v>
      </c>
      <c r="M76" s="540">
        <v>0.14791666666666664</v>
      </c>
      <c r="N76" s="540">
        <v>0.14791666666666664</v>
      </c>
      <c r="O76" s="507">
        <f t="shared" si="47"/>
        <v>32.51003140738591</v>
      </c>
      <c r="P76" s="507">
        <f t="shared" si="48"/>
        <v>6.6586811316332568</v>
      </c>
      <c r="Q76" s="540">
        <f t="shared" si="50"/>
        <v>2.0573184414987202E-2</v>
      </c>
      <c r="R76" s="540">
        <f t="shared" si="51"/>
        <v>7.7880808597946913E-3</v>
      </c>
      <c r="S76" s="547">
        <f t="shared" si="52"/>
        <v>2.7388051752451705</v>
      </c>
      <c r="T76" s="548">
        <f t="shared" si="53"/>
        <v>0.51839413223008401</v>
      </c>
      <c r="U76" s="546">
        <f t="shared" si="54"/>
        <v>999.66388896448723</v>
      </c>
      <c r="V76" s="546">
        <f t="shared" si="55"/>
        <v>189.21385826398065</v>
      </c>
    </row>
    <row r="77" spans="3:22" ht="13.5" thickBot="1" x14ac:dyDescent="0.25">
      <c r="C77" s="409">
        <v>2040</v>
      </c>
      <c r="D77" s="410">
        <f t="shared" si="56"/>
        <v>6456.945711897084</v>
      </c>
      <c r="E77" s="410">
        <f t="shared" si="49"/>
        <v>5359.2649408745801</v>
      </c>
      <c r="F77" s="410">
        <f t="shared" si="57"/>
        <v>1097.6807710225039</v>
      </c>
      <c r="G77" s="515">
        <f t="shared" si="58"/>
        <v>223.30270586977417</v>
      </c>
      <c r="H77" s="515">
        <f t="shared" si="59"/>
        <v>45.736698792604329</v>
      </c>
      <c r="I77" s="519">
        <f>1800</f>
        <v>1800</v>
      </c>
      <c r="J77" s="519">
        <f>900</f>
        <v>900</v>
      </c>
      <c r="K77" s="519">
        <v>4</v>
      </c>
      <c r="L77" s="519">
        <v>4</v>
      </c>
      <c r="M77" s="541">
        <v>0.14791666666666664</v>
      </c>
      <c r="N77" s="541">
        <v>0.14791666666666664</v>
      </c>
      <c r="O77" s="519">
        <f t="shared" si="47"/>
        <v>33.03019190990409</v>
      </c>
      <c r="P77" s="519">
        <f t="shared" si="48"/>
        <v>6.765220029739389</v>
      </c>
      <c r="Q77" s="541">
        <f t="shared" si="50"/>
        <v>2.0948974817721729E-2</v>
      </c>
      <c r="R77" s="541">
        <f t="shared" si="51"/>
        <v>7.9193616536934065E-3</v>
      </c>
      <c r="S77" s="551">
        <f t="shared" si="52"/>
        <v>2.7888322726092047</v>
      </c>
      <c r="T77" s="552">
        <f t="shared" si="53"/>
        <v>0.52713251007396722</v>
      </c>
      <c r="U77" s="401">
        <f t="shared" si="54"/>
        <v>1017.9237795023597</v>
      </c>
      <c r="V77" s="401">
        <f t="shared" si="55"/>
        <v>192.40336617699805</v>
      </c>
    </row>
    <row r="78" spans="3:22" x14ac:dyDescent="0.2">
      <c r="C78" s="531">
        <v>2041</v>
      </c>
      <c r="D78" s="408">
        <f>D77*(1+$B$5)</f>
        <v>6515.0582233041569</v>
      </c>
      <c r="E78" s="308">
        <f t="shared" si="49"/>
        <v>5407.4983253424507</v>
      </c>
      <c r="F78" s="308">
        <f>F77*(1+$B$5)</f>
        <v>1107.5598979617064</v>
      </c>
      <c r="G78" s="516">
        <f t="shared" si="58"/>
        <v>225.3124302226021</v>
      </c>
      <c r="H78" s="516">
        <f t="shared" si="59"/>
        <v>46.148329081737764</v>
      </c>
      <c r="I78" s="517">
        <f>1800</f>
        <v>1800</v>
      </c>
      <c r="J78" s="517">
        <f>900</f>
        <v>900</v>
      </c>
      <c r="K78" s="517">
        <v>4</v>
      </c>
      <c r="L78" s="517">
        <v>4</v>
      </c>
      <c r="M78" s="542">
        <v>0.14791666666666664</v>
      </c>
      <c r="N78" s="542">
        <v>0.14791666666666664</v>
      </c>
      <c r="O78" s="517">
        <f t="shared" si="47"/>
        <v>33.327463637093224</v>
      </c>
      <c r="P78" s="517">
        <f t="shared" si="48"/>
        <v>6.8261070100070427</v>
      </c>
      <c r="Q78" s="542">
        <f t="shared" si="50"/>
        <v>2.1164492739219682E-2</v>
      </c>
      <c r="R78" s="542">
        <f t="shared" si="51"/>
        <v>7.9944880855781497E-3</v>
      </c>
      <c r="S78" s="553">
        <f t="shared" si="52"/>
        <v>2.8175230959086197</v>
      </c>
      <c r="T78" s="554">
        <f t="shared" si="53"/>
        <v>0.53213311319629553</v>
      </c>
      <c r="U78" s="561">
        <f t="shared" si="54"/>
        <v>1028.3959300066463</v>
      </c>
      <c r="V78" s="561">
        <f t="shared" si="55"/>
        <v>194.22858631664786</v>
      </c>
    </row>
    <row r="79" spans="3:22" x14ac:dyDescent="0.2">
      <c r="C79" s="305">
        <v>2042</v>
      </c>
      <c r="D79" s="308">
        <f t="shared" ref="D79" si="60">D78*(1+$B$5)</f>
        <v>6573.6937473138933</v>
      </c>
      <c r="E79" s="308">
        <f t="shared" si="49"/>
        <v>5456.1658102705314</v>
      </c>
      <c r="F79" s="308">
        <f t="shared" ref="F79:F92" si="61">F78*(1+$B$5)</f>
        <v>1117.5279370433616</v>
      </c>
      <c r="G79" s="503">
        <f t="shared" si="58"/>
        <v>227.34024209460549</v>
      </c>
      <c r="H79" s="503">
        <f t="shared" si="59"/>
        <v>46.563664043473402</v>
      </c>
      <c r="I79" s="507">
        <f>1800</f>
        <v>1800</v>
      </c>
      <c r="J79" s="507">
        <f>900</f>
        <v>900</v>
      </c>
      <c r="K79" s="507">
        <v>4</v>
      </c>
      <c r="L79" s="507">
        <v>4</v>
      </c>
      <c r="M79" s="540">
        <v>0.14791666666666664</v>
      </c>
      <c r="N79" s="540">
        <v>0.14791666666666664</v>
      </c>
      <c r="O79" s="507">
        <f t="shared" si="47"/>
        <v>33.627410809827055</v>
      </c>
      <c r="P79" s="507">
        <f t="shared" si="48"/>
        <v>6.8875419730971066</v>
      </c>
      <c r="Q79" s="540">
        <f t="shared" si="50"/>
        <v>2.1382508607338545E-2</v>
      </c>
      <c r="R79" s="540">
        <f t="shared" si="51"/>
        <v>8.0703641067468596E-3</v>
      </c>
      <c r="S79" s="547">
        <f t="shared" si="52"/>
        <v>2.8465464583519435</v>
      </c>
      <c r="T79" s="548">
        <f t="shared" si="53"/>
        <v>0.53718361085533772</v>
      </c>
      <c r="U79" s="546">
        <f t="shared" si="54"/>
        <v>1038.9894572984595</v>
      </c>
      <c r="V79" s="546">
        <f t="shared" si="55"/>
        <v>196.07201796219826</v>
      </c>
    </row>
    <row r="80" spans="3:22" x14ac:dyDescent="0.2">
      <c r="C80" s="305">
        <v>2043</v>
      </c>
      <c r="D80" s="308">
        <f t="shared" ref="D80" si="62">D79*(1+$B$5)</f>
        <v>6632.8569910397173</v>
      </c>
      <c r="E80" s="308">
        <f t="shared" si="49"/>
        <v>5505.2713025629655</v>
      </c>
      <c r="F80" s="308">
        <f t="shared" si="61"/>
        <v>1127.5856884767518</v>
      </c>
      <c r="G80" s="503">
        <f t="shared" si="58"/>
        <v>229.38630427345689</v>
      </c>
      <c r="H80" s="503">
        <f t="shared" si="59"/>
        <v>46.982737019864658</v>
      </c>
      <c r="I80" s="507">
        <f>1800</f>
        <v>1800</v>
      </c>
      <c r="J80" s="507">
        <f>900</f>
        <v>900</v>
      </c>
      <c r="K80" s="507">
        <v>4</v>
      </c>
      <c r="L80" s="507">
        <v>4</v>
      </c>
      <c r="M80" s="540">
        <v>0.14791666666666664</v>
      </c>
      <c r="N80" s="540">
        <v>0.14791666666666664</v>
      </c>
      <c r="O80" s="507">
        <f t="shared" si="47"/>
        <v>33.930057507115492</v>
      </c>
      <c r="P80" s="507">
        <f t="shared" si="48"/>
        <v>6.9495298508549794</v>
      </c>
      <c r="Q80" s="540">
        <f t="shared" si="50"/>
        <v>2.1603057199510757E-2</v>
      </c>
      <c r="R80" s="540">
        <f t="shared" si="51"/>
        <v>8.1469979008113192E-3</v>
      </c>
      <c r="S80" s="547">
        <f t="shared" si="52"/>
        <v>2.8759069896848688</v>
      </c>
      <c r="T80" s="548">
        <f t="shared" si="53"/>
        <v>0.54228454777275337</v>
      </c>
      <c r="U80" s="546">
        <f t="shared" si="54"/>
        <v>1049.7060512349772</v>
      </c>
      <c r="V80" s="546">
        <f t="shared" si="55"/>
        <v>197.93385993705499</v>
      </c>
    </row>
    <row r="81" spans="3:22" x14ac:dyDescent="0.2">
      <c r="C81" s="305">
        <v>2044</v>
      </c>
      <c r="D81" s="308">
        <f t="shared" ref="D81" si="63">D80*(1+$B$5)</f>
        <v>6692.5527039590743</v>
      </c>
      <c r="E81" s="308">
        <f t="shared" si="49"/>
        <v>5554.8187442860317</v>
      </c>
      <c r="F81" s="308">
        <f t="shared" si="61"/>
        <v>1137.7339596730424</v>
      </c>
      <c r="G81" s="503">
        <f t="shared" si="58"/>
        <v>231.450781011918</v>
      </c>
      <c r="H81" s="503">
        <f t="shared" si="59"/>
        <v>47.405581653043434</v>
      </c>
      <c r="I81" s="507">
        <f>1800</f>
        <v>1800</v>
      </c>
      <c r="J81" s="507">
        <f>900</f>
        <v>900</v>
      </c>
      <c r="K81" s="507">
        <v>4</v>
      </c>
      <c r="L81" s="507">
        <v>4</v>
      </c>
      <c r="M81" s="540">
        <v>0.14791666666666664</v>
      </c>
      <c r="N81" s="540">
        <v>0.14791666666666664</v>
      </c>
      <c r="O81" s="507">
        <f t="shared" si="47"/>
        <v>34.235428024679528</v>
      </c>
      <c r="P81" s="507">
        <f t="shared" si="48"/>
        <v>7.0120756195126734</v>
      </c>
      <c r="Q81" s="540">
        <f t="shared" si="50"/>
        <v>2.1826173900214511E-2</v>
      </c>
      <c r="R81" s="540">
        <f t="shared" si="51"/>
        <v>8.2243977542193637E-3</v>
      </c>
      <c r="S81" s="547">
        <f t="shared" si="52"/>
        <v>2.905609400466056</v>
      </c>
      <c r="T81" s="548">
        <f t="shared" si="53"/>
        <v>0.54743647551522623</v>
      </c>
      <c r="U81" s="546">
        <f t="shared" si="54"/>
        <v>1060.5474311701105</v>
      </c>
      <c r="V81" s="546">
        <f t="shared" si="55"/>
        <v>199.81431356305757</v>
      </c>
    </row>
    <row r="82" spans="3:22" x14ac:dyDescent="0.2">
      <c r="C82" s="418">
        <v>2045</v>
      </c>
      <c r="D82" s="411">
        <f t="shared" ref="D82" si="64">D81*(1+$B$5)</f>
        <v>6752.7856782947056</v>
      </c>
      <c r="E82" s="411">
        <f t="shared" si="49"/>
        <v>5604.8121129846058</v>
      </c>
      <c r="F82" s="411">
        <f t="shared" si="61"/>
        <v>1147.9735653100997</v>
      </c>
      <c r="G82" s="503">
        <f t="shared" si="58"/>
        <v>233.53383804102523</v>
      </c>
      <c r="H82" s="503">
        <f t="shared" si="59"/>
        <v>47.83223188792082</v>
      </c>
      <c r="I82" s="507">
        <f>1800</f>
        <v>1800</v>
      </c>
      <c r="J82" s="507">
        <f>900</f>
        <v>900</v>
      </c>
      <c r="K82" s="507">
        <v>4</v>
      </c>
      <c r="L82" s="507">
        <v>4</v>
      </c>
      <c r="M82" s="540">
        <v>0.14791666666666664</v>
      </c>
      <c r="N82" s="540">
        <v>0.14791666666666664</v>
      </c>
      <c r="O82" s="507">
        <f t="shared" si="47"/>
        <v>34.543546876901644</v>
      </c>
      <c r="P82" s="507">
        <f t="shared" si="48"/>
        <v>7.0751843000882868</v>
      </c>
      <c r="Q82" s="540">
        <f t="shared" si="50"/>
        <v>2.2051894714216196E-2</v>
      </c>
      <c r="R82" s="540">
        <f t="shared" si="51"/>
        <v>8.3025720578036935E-3</v>
      </c>
      <c r="S82" s="549">
        <f t="shared" si="52"/>
        <v>2.9356584838300304</v>
      </c>
      <c r="T82" s="550">
        <f t="shared" si="53"/>
        <v>0.55263995259755827</v>
      </c>
      <c r="U82" s="562">
        <f t="shared" si="54"/>
        <v>1071.5153465979611</v>
      </c>
      <c r="V82" s="562">
        <f t="shared" si="55"/>
        <v>201.71358269810878</v>
      </c>
    </row>
    <row r="83" spans="3:22" x14ac:dyDescent="0.2">
      <c r="C83" s="305">
        <v>2046</v>
      </c>
      <c r="D83" s="308">
        <f t="shared" ref="D83" si="65">D82*(1+$B$5)</f>
        <v>6813.5607493993575</v>
      </c>
      <c r="E83" s="308">
        <f t="shared" si="49"/>
        <v>5655.2554220014672</v>
      </c>
      <c r="F83" s="308">
        <f t="shared" si="61"/>
        <v>1158.3053273978906</v>
      </c>
      <c r="G83" s="503">
        <f t="shared" si="58"/>
        <v>235.63564258339446</v>
      </c>
      <c r="H83" s="503">
        <f t="shared" si="59"/>
        <v>48.262721974912104</v>
      </c>
      <c r="I83" s="507">
        <f>1800</f>
        <v>1800</v>
      </c>
      <c r="J83" s="507">
        <f>900</f>
        <v>900</v>
      </c>
      <c r="K83" s="507">
        <v>4</v>
      </c>
      <c r="L83" s="507">
        <v>4</v>
      </c>
      <c r="M83" s="540">
        <v>0.14791666666666664</v>
      </c>
      <c r="N83" s="540">
        <v>0.14791666666666664</v>
      </c>
      <c r="O83" s="507">
        <f t="shared" si="47"/>
        <v>34.854438798793758</v>
      </c>
      <c r="P83" s="507">
        <f t="shared" si="48"/>
        <v>7.1388609587890812</v>
      </c>
      <c r="Q83" s="540">
        <f t="shared" si="50"/>
        <v>2.2280256280162537E-2</v>
      </c>
      <c r="R83" s="540">
        <f t="shared" si="51"/>
        <v>8.3815293083588701E-3</v>
      </c>
      <c r="S83" s="547">
        <f t="shared" si="52"/>
        <v>2.9660591172966373</v>
      </c>
      <c r="T83" s="548">
        <f t="shared" si="53"/>
        <v>0.55789554458763713</v>
      </c>
      <c r="U83" s="546">
        <f t="shared" si="54"/>
        <v>1082.6115778132726</v>
      </c>
      <c r="V83" s="546">
        <f t="shared" si="55"/>
        <v>203.63187377448756</v>
      </c>
    </row>
    <row r="84" spans="3:22" x14ac:dyDescent="0.2">
      <c r="C84" s="305">
        <v>2047</v>
      </c>
      <c r="D84" s="308">
        <f t="shared" ref="D84" si="66">D83*(1+$B$5)</f>
        <v>6874.8827961439511</v>
      </c>
      <c r="E84" s="308">
        <f t="shared" si="49"/>
        <v>5706.1527207994795</v>
      </c>
      <c r="F84" s="308">
        <f t="shared" si="61"/>
        <v>1168.7300753444715</v>
      </c>
      <c r="G84" s="503">
        <f t="shared" si="58"/>
        <v>237.75636336664499</v>
      </c>
      <c r="H84" s="503">
        <f t="shared" si="59"/>
        <v>48.697086472686316</v>
      </c>
      <c r="I84" s="507">
        <f>1800</f>
        <v>1800</v>
      </c>
      <c r="J84" s="507">
        <f>900</f>
        <v>900</v>
      </c>
      <c r="K84" s="507">
        <v>4</v>
      </c>
      <c r="L84" s="507">
        <v>4</v>
      </c>
      <c r="M84" s="540">
        <v>0.14791666666666664</v>
      </c>
      <c r="N84" s="540">
        <v>0.14791666666666664</v>
      </c>
      <c r="O84" s="507">
        <f t="shared" si="47"/>
        <v>35.168128747982898</v>
      </c>
      <c r="P84" s="507">
        <f t="shared" si="48"/>
        <v>7.2031107074181833</v>
      </c>
      <c r="Q84" s="540">
        <f t="shared" si="50"/>
        <v>2.2511295884533374E-2</v>
      </c>
      <c r="R84" s="540">
        <f t="shared" si="51"/>
        <v>8.4612781102470346E-3</v>
      </c>
      <c r="S84" s="547">
        <f t="shared" si="52"/>
        <v>2.9968162646285053</v>
      </c>
      <c r="T84" s="548">
        <f t="shared" si="53"/>
        <v>0.56320382421331805</v>
      </c>
      <c r="U84" s="546">
        <f t="shared" si="54"/>
        <v>1093.8379365894043</v>
      </c>
      <c r="V84" s="546">
        <f t="shared" si="55"/>
        <v>205.56939583786109</v>
      </c>
    </row>
    <row r="85" spans="3:22" x14ac:dyDescent="0.2">
      <c r="C85" s="305">
        <v>2048</v>
      </c>
      <c r="D85" s="308">
        <f t="shared" ref="D85" si="67">D84*(1+$B$5)</f>
        <v>6936.7567413092456</v>
      </c>
      <c r="E85" s="308">
        <f t="shared" si="49"/>
        <v>5757.5080952866738</v>
      </c>
      <c r="F85" s="308">
        <f t="shared" si="61"/>
        <v>1179.2486460225716</v>
      </c>
      <c r="G85" s="503">
        <f t="shared" si="58"/>
        <v>239.89617063694473</v>
      </c>
      <c r="H85" s="503">
        <f t="shared" si="59"/>
        <v>49.135360250940487</v>
      </c>
      <c r="I85" s="507">
        <f>1800</f>
        <v>1800</v>
      </c>
      <c r="J85" s="507">
        <f>900</f>
        <v>900</v>
      </c>
      <c r="K85" s="507">
        <v>4</v>
      </c>
      <c r="L85" s="507">
        <v>4</v>
      </c>
      <c r="M85" s="540">
        <v>0.14791666666666664</v>
      </c>
      <c r="N85" s="540">
        <v>0.14791666666666664</v>
      </c>
      <c r="O85" s="507">
        <f t="shared" si="47"/>
        <v>35.484641906714735</v>
      </c>
      <c r="P85" s="507">
        <f t="shared" si="48"/>
        <v>7.2679387037849459</v>
      </c>
      <c r="Q85" s="540">
        <f t="shared" si="50"/>
        <v>2.2745051475966237E-2</v>
      </c>
      <c r="R85" s="540">
        <f t="shared" si="51"/>
        <v>8.5418271770330428E-3</v>
      </c>
      <c r="S85" s="547">
        <f t="shared" si="52"/>
        <v>3.0279349777380045</v>
      </c>
      <c r="T85" s="548">
        <f t="shared" si="53"/>
        <v>0.56856537147126185</v>
      </c>
      <c r="U85" s="546">
        <f t="shared" si="54"/>
        <v>1105.1962668743715</v>
      </c>
      <c r="V85" s="546">
        <f t="shared" si="55"/>
        <v>207.52636058701057</v>
      </c>
    </row>
    <row r="86" spans="3:22" x14ac:dyDescent="0.2">
      <c r="C86" s="305">
        <v>2049</v>
      </c>
      <c r="D86" s="308">
        <f t="shared" ref="D86" si="68">D85*(1+$B$5)</f>
        <v>6999.1875519810283</v>
      </c>
      <c r="E86" s="308">
        <f t="shared" si="49"/>
        <v>5809.3256681442535</v>
      </c>
      <c r="F86" s="308">
        <f t="shared" si="61"/>
        <v>1189.8618838367747</v>
      </c>
      <c r="G86" s="503">
        <f t="shared" si="58"/>
        <v>242.05523617267724</v>
      </c>
      <c r="H86" s="503">
        <f t="shared" si="59"/>
        <v>49.577578493198949</v>
      </c>
      <c r="I86" s="507">
        <f>1800</f>
        <v>1800</v>
      </c>
      <c r="J86" s="507">
        <f>900</f>
        <v>900</v>
      </c>
      <c r="K86" s="507">
        <v>4</v>
      </c>
      <c r="L86" s="507">
        <v>4</v>
      </c>
      <c r="M86" s="540">
        <v>0.14791666666666664</v>
      </c>
      <c r="N86" s="540">
        <v>0.14791666666666664</v>
      </c>
      <c r="O86" s="507">
        <f t="shared" si="47"/>
        <v>35.804003683875166</v>
      </c>
      <c r="P86" s="507">
        <f t="shared" si="48"/>
        <v>7.3333501521190101</v>
      </c>
      <c r="Q86" s="540">
        <f t="shared" si="50"/>
        <v>2.2981561679964388E-2</v>
      </c>
      <c r="R86" s="540">
        <f t="shared" si="51"/>
        <v>8.6231853331495967E-3</v>
      </c>
      <c r="S86" s="547">
        <f t="shared" si="52"/>
        <v>3.0594203986452584</v>
      </c>
      <c r="T86" s="548">
        <f t="shared" si="53"/>
        <v>0.5739807737377699</v>
      </c>
      <c r="U86" s="546">
        <f t="shared" si="54"/>
        <v>1116.6884455055192</v>
      </c>
      <c r="V86" s="546">
        <f t="shared" si="55"/>
        <v>209.50298241428601</v>
      </c>
    </row>
    <row r="87" spans="3:22" x14ac:dyDescent="0.2">
      <c r="C87" s="305">
        <v>2050</v>
      </c>
      <c r="D87" s="308">
        <f t="shared" ref="D87" si="69">D86*(1+$B$5)</f>
        <v>7062.180239948857</v>
      </c>
      <c r="E87" s="308">
        <f t="shared" si="49"/>
        <v>5861.6095991575512</v>
      </c>
      <c r="F87" s="308">
        <f t="shared" si="61"/>
        <v>1200.5706407913056</v>
      </c>
      <c r="G87" s="503">
        <f t="shared" si="58"/>
        <v>244.2337332982313</v>
      </c>
      <c r="H87" s="503">
        <f t="shared" si="59"/>
        <v>50.023776699637729</v>
      </c>
      <c r="I87" s="507">
        <f>1800</f>
        <v>1800</v>
      </c>
      <c r="J87" s="507">
        <f>900</f>
        <v>900</v>
      </c>
      <c r="K87" s="507">
        <v>4</v>
      </c>
      <c r="L87" s="507">
        <v>4</v>
      </c>
      <c r="M87" s="540">
        <v>0.14791666666666664</v>
      </c>
      <c r="N87" s="540">
        <v>0.14791666666666664</v>
      </c>
      <c r="O87" s="507">
        <f t="shared" si="47"/>
        <v>36.126239717030039</v>
      </c>
      <c r="P87" s="507">
        <f t="shared" si="48"/>
        <v>7.3993503034880792</v>
      </c>
      <c r="Q87" s="540">
        <f t="shared" si="50"/>
        <v>2.3220865814000343E-2</v>
      </c>
      <c r="R87" s="540">
        <f t="shared" si="51"/>
        <v>8.7053615155930283E-3</v>
      </c>
      <c r="S87" s="547">
        <f t="shared" si="52"/>
        <v>3.091277761488795</v>
      </c>
      <c r="T87" s="548">
        <f t="shared" si="53"/>
        <v>0.57945062588166085</v>
      </c>
      <c r="U87" s="546">
        <f t="shared" si="54"/>
        <v>1128.3163829434102</v>
      </c>
      <c r="V87" s="546">
        <f t="shared" si="55"/>
        <v>211.49947844680622</v>
      </c>
    </row>
    <row r="88" spans="3:22" x14ac:dyDescent="0.2">
      <c r="C88" s="305">
        <v>2051</v>
      </c>
      <c r="D88" s="308">
        <f t="shared" ref="D88" si="70">D87*(1+$B$5)</f>
        <v>7125.7398621083958</v>
      </c>
      <c r="E88" s="308">
        <f t="shared" si="49"/>
        <v>5914.3640855499689</v>
      </c>
      <c r="F88" s="308">
        <f t="shared" si="61"/>
        <v>1211.3757765584271</v>
      </c>
      <c r="G88" s="503">
        <f t="shared" si="58"/>
        <v>246.43183689791536</v>
      </c>
      <c r="H88" s="503">
        <f t="shared" si="59"/>
        <v>50.47399068993446</v>
      </c>
      <c r="I88" s="507">
        <f>1800</f>
        <v>1800</v>
      </c>
      <c r="J88" s="507">
        <f>900</f>
        <v>900</v>
      </c>
      <c r="K88" s="507">
        <v>4</v>
      </c>
      <c r="L88" s="507">
        <v>4</v>
      </c>
      <c r="M88" s="540">
        <v>0.14791666666666664</v>
      </c>
      <c r="N88" s="540">
        <v>0.14791666666666664</v>
      </c>
      <c r="O88" s="507">
        <f t="shared" si="47"/>
        <v>36.451375874483304</v>
      </c>
      <c r="P88" s="507">
        <f t="shared" si="48"/>
        <v>7.4659444562194706</v>
      </c>
      <c r="Q88" s="540">
        <f t="shared" si="50"/>
        <v>2.3463003903027392E-2</v>
      </c>
      <c r="R88" s="540">
        <f t="shared" si="51"/>
        <v>8.7883647756504431E-3</v>
      </c>
      <c r="S88" s="547">
        <f t="shared" si="52"/>
        <v>3.1235123945905205</v>
      </c>
      <c r="T88" s="548">
        <f t="shared" si="53"/>
        <v>0.58497553037923256</v>
      </c>
      <c r="U88" s="546">
        <f t="shared" si="54"/>
        <v>1140.08202402554</v>
      </c>
      <c r="V88" s="546">
        <f t="shared" si="55"/>
        <v>213.51606858841987</v>
      </c>
    </row>
    <row r="89" spans="3:22" x14ac:dyDescent="0.2">
      <c r="C89" s="305">
        <v>2052</v>
      </c>
      <c r="D89" s="308">
        <f t="shared" ref="D89" si="71">D88*(1+$B$5)</f>
        <v>7189.8715208673702</v>
      </c>
      <c r="E89" s="308">
        <f t="shared" si="49"/>
        <v>5967.5933623199171</v>
      </c>
      <c r="F89" s="308">
        <f t="shared" si="61"/>
        <v>1222.2781585474529</v>
      </c>
      <c r="G89" s="503">
        <f t="shared" si="58"/>
        <v>248.64972342999656</v>
      </c>
      <c r="H89" s="503">
        <f t="shared" si="59"/>
        <v>50.928256606143869</v>
      </c>
      <c r="I89" s="507">
        <f>1800</f>
        <v>1800</v>
      </c>
      <c r="J89" s="507">
        <f>900</f>
        <v>900</v>
      </c>
      <c r="K89" s="507">
        <v>4</v>
      </c>
      <c r="L89" s="507">
        <v>4</v>
      </c>
      <c r="M89" s="540">
        <v>0.14791666666666664</v>
      </c>
      <c r="N89" s="540">
        <v>0.14791666666666664</v>
      </c>
      <c r="O89" s="507">
        <f t="shared" si="47"/>
        <v>36.779438257353654</v>
      </c>
      <c r="P89" s="507">
        <f t="shared" si="48"/>
        <v>7.5331379563254455</v>
      </c>
      <c r="Q89" s="540">
        <f t="shared" si="50"/>
        <v>2.3708016695411994E-2</v>
      </c>
      <c r="R89" s="540">
        <f t="shared" si="51"/>
        <v>8.8722042806588537E-3</v>
      </c>
      <c r="S89" s="547">
        <f t="shared" si="52"/>
        <v>3.1561297225767211</v>
      </c>
      <c r="T89" s="548">
        <f t="shared" si="53"/>
        <v>0.59055609743135473</v>
      </c>
      <c r="U89" s="546">
        <f t="shared" si="54"/>
        <v>1151.9873487405032</v>
      </c>
      <c r="V89" s="546">
        <f t="shared" si="55"/>
        <v>215.55297556244449</v>
      </c>
    </row>
    <row r="90" spans="3:22" x14ac:dyDescent="0.2">
      <c r="C90" s="305">
        <v>2053</v>
      </c>
      <c r="D90" s="308">
        <f t="shared" ref="D90" si="72">D89*(1+$B$5)</f>
        <v>7254.5803645551759</v>
      </c>
      <c r="E90" s="308">
        <f t="shared" si="49"/>
        <v>6021.3017025807958</v>
      </c>
      <c r="F90" s="308">
        <f t="shared" si="61"/>
        <v>1233.2786619743799</v>
      </c>
      <c r="G90" s="503">
        <f t="shared" si="58"/>
        <v>250.88757094086648</v>
      </c>
      <c r="H90" s="503">
        <f t="shared" si="59"/>
        <v>51.386610915599164</v>
      </c>
      <c r="I90" s="507">
        <f>1800</f>
        <v>1800</v>
      </c>
      <c r="J90" s="507">
        <f>900</f>
        <v>900</v>
      </c>
      <c r="K90" s="507">
        <v>4</v>
      </c>
      <c r="L90" s="507">
        <v>4</v>
      </c>
      <c r="M90" s="540">
        <v>0.14791666666666664</v>
      </c>
      <c r="N90" s="540">
        <v>0.14791666666666664</v>
      </c>
      <c r="O90" s="507">
        <f t="shared" si="47"/>
        <v>37.110453201669827</v>
      </c>
      <c r="P90" s="507">
        <f t="shared" si="48"/>
        <v>7.6009361979323753</v>
      </c>
      <c r="Q90" s="540">
        <f t="shared" si="50"/>
        <v>2.3955945679300483E-2</v>
      </c>
      <c r="R90" s="540">
        <f t="shared" si="51"/>
        <v>8.9568893157970265E-3</v>
      </c>
      <c r="S90" s="547">
        <f t="shared" si="52"/>
        <v>3.1891352685568766</v>
      </c>
      <c r="T90" s="548">
        <f t="shared" si="53"/>
        <v>0.59619294508273946</v>
      </c>
      <c r="U90" s="546">
        <f t="shared" si="54"/>
        <v>1164.0343730232601</v>
      </c>
      <c r="V90" s="546">
        <f t="shared" si="55"/>
        <v>217.6104249551999</v>
      </c>
    </row>
    <row r="91" spans="3:22" x14ac:dyDescent="0.2">
      <c r="C91" s="305">
        <v>2054</v>
      </c>
      <c r="D91" s="308">
        <f t="shared" ref="D91" si="73">D90*(1+$B$5)</f>
        <v>7319.8715878361718</v>
      </c>
      <c r="E91" s="308">
        <f t="shared" si="49"/>
        <v>6075.4934179040229</v>
      </c>
      <c r="F91" s="308">
        <f t="shared" si="61"/>
        <v>1244.3781699321491</v>
      </c>
      <c r="G91" s="503">
        <f t="shared" si="58"/>
        <v>253.14555907933428</v>
      </c>
      <c r="H91" s="503">
        <f t="shared" si="59"/>
        <v>51.849090413839548</v>
      </c>
      <c r="I91" s="507">
        <f>1800</f>
        <v>1800</v>
      </c>
      <c r="J91" s="507">
        <f>900</f>
        <v>900</v>
      </c>
      <c r="K91" s="507">
        <v>4</v>
      </c>
      <c r="L91" s="507">
        <v>4</v>
      </c>
      <c r="M91" s="540">
        <v>0.14791666666666664</v>
      </c>
      <c r="N91" s="540">
        <v>0.14791666666666664</v>
      </c>
      <c r="O91" s="507">
        <f t="shared" si="47"/>
        <v>37.444447280484859</v>
      </c>
      <c r="P91" s="507">
        <f t="shared" si="48"/>
        <v>7.6693446237137648</v>
      </c>
      <c r="Q91" s="540">
        <f t="shared" si="50"/>
        <v>2.420683309943401E-2</v>
      </c>
      <c r="R91" s="540">
        <f t="shared" si="51"/>
        <v>9.0424292859107823E-3</v>
      </c>
      <c r="S91" s="547">
        <f t="shared" si="52"/>
        <v>3.2225346563621518</v>
      </c>
      <c r="T91" s="548">
        <f t="shared" si="53"/>
        <v>0.6018866993434363</v>
      </c>
      <c r="U91" s="546">
        <f t="shared" si="54"/>
        <v>1176.2251495721855</v>
      </c>
      <c r="V91" s="546">
        <f t="shared" si="55"/>
        <v>219.68864526035426</v>
      </c>
    </row>
    <row r="92" spans="3:22" ht="13.5" thickBot="1" x14ac:dyDescent="0.25">
      <c r="C92" s="538">
        <v>2055</v>
      </c>
      <c r="D92" s="539">
        <f t="shared" ref="D92" si="74">D91*(1+$B$5)</f>
        <v>7385.750432126697</v>
      </c>
      <c r="E92" s="539">
        <f t="shared" si="49"/>
        <v>6130.1728586651589</v>
      </c>
      <c r="F92" s="539">
        <f t="shared" si="61"/>
        <v>1255.5775734615383</v>
      </c>
      <c r="G92" s="515">
        <f t="shared" si="58"/>
        <v>255.42386911104828</v>
      </c>
      <c r="H92" s="515">
        <f t="shared" si="59"/>
        <v>52.315732227564098</v>
      </c>
      <c r="I92" s="519">
        <f>1800</f>
        <v>1800</v>
      </c>
      <c r="J92" s="519">
        <f>900</f>
        <v>900</v>
      </c>
      <c r="K92" s="519">
        <v>4</v>
      </c>
      <c r="L92" s="519">
        <v>4</v>
      </c>
      <c r="M92" s="541">
        <v>0.14791666666666664</v>
      </c>
      <c r="N92" s="541">
        <v>0.14791666666666664</v>
      </c>
      <c r="O92" s="519">
        <f t="shared" si="47"/>
        <v>37.78144730600922</v>
      </c>
      <c r="P92" s="519">
        <f t="shared" si="48"/>
        <v>7.738368725327188</v>
      </c>
      <c r="Q92" s="541">
        <f t="shared" si="50"/>
        <v>2.4460721974425968E-2</v>
      </c>
      <c r="R92" s="541">
        <f t="shared" si="51"/>
        <v>9.128833717372449E-3</v>
      </c>
      <c r="S92" s="555">
        <f t="shared" si="52"/>
        <v>3.2563336128454563</v>
      </c>
      <c r="T92" s="556">
        <f t="shared" si="53"/>
        <v>0.60763799431260346</v>
      </c>
      <c r="U92" s="563">
        <f t="shared" si="54"/>
        <v>1188.5617686885917</v>
      </c>
      <c r="V92" s="563">
        <f t="shared" si="55"/>
        <v>221.78786792410025</v>
      </c>
    </row>
    <row r="93" spans="3:22" x14ac:dyDescent="0.2">
      <c r="U93" s="505"/>
      <c r="V93" s="505"/>
    </row>
    <row r="94" spans="3:22" x14ac:dyDescent="0.2">
      <c r="U94" s="505"/>
      <c r="V94" s="505"/>
    </row>
    <row r="95" spans="3:22" x14ac:dyDescent="0.2">
      <c r="U95" s="505"/>
      <c r="V95" s="505"/>
    </row>
  </sheetData>
  <mergeCells count="34">
    <mergeCell ref="U52:V52"/>
    <mergeCell ref="U51:V51"/>
    <mergeCell ref="S2:T2"/>
    <mergeCell ref="S3:T3"/>
    <mergeCell ref="AL2:AM2"/>
    <mergeCell ref="AL3:AM3"/>
    <mergeCell ref="V2:Y2"/>
    <mergeCell ref="Z2:AK2"/>
    <mergeCell ref="W3:Y3"/>
    <mergeCell ref="Z3:AA3"/>
    <mergeCell ref="AB3:AC3"/>
    <mergeCell ref="AD3:AE3"/>
    <mergeCell ref="AF3:AG3"/>
    <mergeCell ref="AH3:AI3"/>
    <mergeCell ref="AJ3:AK3"/>
    <mergeCell ref="C51:F51"/>
    <mergeCell ref="D52:F52"/>
    <mergeCell ref="G52:H52"/>
    <mergeCell ref="I52:J52"/>
    <mergeCell ref="M52:N52"/>
    <mergeCell ref="O52:P52"/>
    <mergeCell ref="Q52:R52"/>
    <mergeCell ref="S52:T52"/>
    <mergeCell ref="G51:T51"/>
    <mergeCell ref="K52:L52"/>
    <mergeCell ref="C2:F2"/>
    <mergeCell ref="D3:F3"/>
    <mergeCell ref="G3:H3"/>
    <mergeCell ref="I3:J3"/>
    <mergeCell ref="Q3:R3"/>
    <mergeCell ref="M3:N3"/>
    <mergeCell ref="K3:L3"/>
    <mergeCell ref="O3:P3"/>
    <mergeCell ref="G2:R2"/>
  </mergeCells>
  <pageMargins left="0.7" right="0.7" top="0.75" bottom="0.75" header="0.3" footer="0.3"/>
  <pageSetup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C92"/>
  <sheetViews>
    <sheetView topLeftCell="A43" zoomScale="90" zoomScaleNormal="90" workbookViewId="0">
      <selection activeCell="AP71" sqref="AP71"/>
    </sheetView>
  </sheetViews>
  <sheetFormatPr defaultColWidth="8.7109375" defaultRowHeight="15" x14ac:dyDescent="0.25"/>
  <cols>
    <col min="1" max="7" width="14.7109375" style="572" customWidth="1"/>
    <col min="8" max="8" width="14.85546875" style="572" customWidth="1"/>
    <col min="9" max="9" width="16.42578125" style="572" customWidth="1"/>
    <col min="10" max="10" width="15" style="570" customWidth="1"/>
    <col min="11" max="11" width="21.5703125" style="570" customWidth="1"/>
    <col min="12" max="12" width="29.28515625" style="570" customWidth="1"/>
    <col min="13" max="13" width="16.28515625" style="570" customWidth="1"/>
    <col min="14" max="15" width="21" style="570" customWidth="1"/>
    <col min="16" max="16" width="14.85546875" style="570" customWidth="1"/>
    <col min="17" max="18" width="17.28515625" style="570" customWidth="1"/>
    <col min="19" max="19" width="20.140625" style="570" customWidth="1"/>
    <col min="20" max="21" width="22.85546875" style="570" customWidth="1"/>
    <col min="22" max="22" width="15" style="570" customWidth="1"/>
    <col min="23" max="24" width="23.42578125" style="571" customWidth="1"/>
    <col min="25" max="25" width="16.28515625" style="572" bestFit="1" customWidth="1"/>
    <col min="26" max="27" width="24" style="572" customWidth="1"/>
    <col min="28" max="28" width="15.42578125" style="572" bestFit="1" customWidth="1"/>
    <col min="29" max="31" width="20.7109375" style="572" customWidth="1"/>
    <col min="32" max="32" width="16.28515625" style="572" bestFit="1" customWidth="1"/>
    <col min="33" max="33" width="17.28515625" style="572" customWidth="1"/>
    <col min="34" max="34" width="11.5703125" style="572" customWidth="1"/>
    <col min="35" max="35" width="9.5703125" style="572" bestFit="1" customWidth="1"/>
    <col min="36" max="36" width="55.85546875" style="572" customWidth="1"/>
    <col min="37" max="40" width="9.5703125" style="572" bestFit="1" customWidth="1"/>
    <col min="41" max="41" width="11.140625" style="572" bestFit="1" customWidth="1"/>
    <col min="42" max="42" width="12.28515625" style="572" bestFit="1" customWidth="1"/>
    <col min="43" max="43" width="11.140625" style="572" bestFit="1" customWidth="1"/>
    <col min="44" max="47" width="10.28515625" style="572" bestFit="1" customWidth="1"/>
    <col min="48" max="48" width="11.85546875" style="572" bestFit="1" customWidth="1"/>
    <col min="49" max="50" width="11.140625" style="572" bestFit="1" customWidth="1"/>
    <col min="51" max="54" width="10.28515625" style="572" bestFit="1" customWidth="1"/>
    <col min="55" max="55" width="11.85546875" style="572" bestFit="1" customWidth="1"/>
    <col min="56" max="57" width="11" style="572" bestFit="1" customWidth="1"/>
    <col min="58" max="58" width="10.28515625" style="572" bestFit="1" customWidth="1"/>
    <col min="59" max="59" width="11.140625" style="572" bestFit="1" customWidth="1"/>
    <col min="60" max="60" width="10.28515625" style="572" bestFit="1" customWidth="1"/>
    <col min="61" max="61" width="11.140625" style="572" bestFit="1" customWidth="1"/>
    <col min="62" max="62" width="12.140625" style="572" bestFit="1" customWidth="1"/>
    <col min="63" max="64" width="11.140625" style="572" bestFit="1" customWidth="1"/>
    <col min="65" max="68" width="10.28515625" style="572" bestFit="1" customWidth="1"/>
    <col min="69" max="69" width="11.85546875" style="572" bestFit="1" customWidth="1"/>
    <col min="70" max="71" width="11.140625" style="572" bestFit="1" customWidth="1"/>
    <col min="72" max="75" width="10.28515625" style="572" bestFit="1" customWidth="1"/>
    <col min="76" max="76" width="11.85546875" style="572" bestFit="1" customWidth="1"/>
    <col min="77" max="78" width="11.140625" style="572" bestFit="1" customWidth="1"/>
    <col min="79" max="80" width="10.28515625" style="572" bestFit="1" customWidth="1"/>
    <col min="81" max="81" width="11.140625" style="572" bestFit="1" customWidth="1"/>
    <col min="82" max="16384" width="8.7109375" style="572"/>
  </cols>
  <sheetData>
    <row r="1" spans="1:33" ht="15.6" customHeight="1" thickBot="1" x14ac:dyDescent="0.3">
      <c r="A1" s="901" t="s">
        <v>428</v>
      </c>
      <c r="B1" s="902"/>
      <c r="C1" s="902"/>
      <c r="D1" s="902"/>
      <c r="E1" s="902"/>
      <c r="F1" s="902"/>
      <c r="G1" s="903"/>
      <c r="H1" s="569"/>
      <c r="I1" s="569"/>
    </row>
    <row r="2" spans="1:33" ht="21.75" thickTop="1" x14ac:dyDescent="0.35">
      <c r="A2" s="573" t="s">
        <v>429</v>
      </c>
      <c r="B2" s="574"/>
      <c r="C2" s="575"/>
      <c r="D2" s="575"/>
      <c r="E2" s="574"/>
      <c r="F2" s="574"/>
      <c r="G2" s="576"/>
      <c r="H2" s="577"/>
      <c r="I2" s="577"/>
      <c r="J2" s="904" t="s">
        <v>430</v>
      </c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  <c r="X2" s="905"/>
      <c r="Y2" s="905"/>
      <c r="Z2" s="905"/>
      <c r="AA2" s="905"/>
      <c r="AB2" s="905"/>
      <c r="AC2" s="905"/>
      <c r="AD2" s="905"/>
      <c r="AE2" s="905"/>
      <c r="AF2" s="905"/>
      <c r="AG2" s="906"/>
    </row>
    <row r="3" spans="1:33" ht="15.75" thickBot="1" x14ac:dyDescent="0.3">
      <c r="A3" s="578" t="s">
        <v>431</v>
      </c>
      <c r="B3" s="579" t="s">
        <v>432</v>
      </c>
      <c r="C3" s="579" t="s">
        <v>433</v>
      </c>
      <c r="D3" s="579" t="s">
        <v>434</v>
      </c>
      <c r="E3" s="579" t="s">
        <v>435</v>
      </c>
      <c r="F3" s="579" t="s">
        <v>436</v>
      </c>
      <c r="G3" s="580" t="s">
        <v>437</v>
      </c>
      <c r="I3" s="581"/>
      <c r="J3" s="582" t="s">
        <v>438</v>
      </c>
      <c r="K3" s="583" t="s">
        <v>439</v>
      </c>
      <c r="L3" s="583" t="s">
        <v>440</v>
      </c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4"/>
      <c r="X3" s="584"/>
      <c r="Y3" s="585"/>
      <c r="Z3" s="585"/>
      <c r="AA3" s="585"/>
      <c r="AB3" s="585"/>
      <c r="AC3" s="585"/>
      <c r="AD3" s="585"/>
      <c r="AE3" s="585"/>
      <c r="AF3" s="585"/>
      <c r="AG3" s="586"/>
    </row>
    <row r="4" spans="1:33" ht="15.75" thickTop="1" x14ac:dyDescent="0.25">
      <c r="A4" s="587">
        <v>2606</v>
      </c>
      <c r="B4" s="588">
        <v>20.37</v>
      </c>
      <c r="C4" s="588">
        <v>20.9</v>
      </c>
      <c r="D4" s="588">
        <f>C4-B4</f>
        <v>0.52999999999999758</v>
      </c>
      <c r="E4" s="589">
        <v>93</v>
      </c>
      <c r="F4" s="589">
        <v>2</v>
      </c>
      <c r="G4" s="590" t="s">
        <v>441</v>
      </c>
      <c r="H4" s="591">
        <f>D4*E4</f>
        <v>49.289999999999779</v>
      </c>
      <c r="I4" s="591" t="s">
        <v>442</v>
      </c>
      <c r="J4" s="889" t="s">
        <v>443</v>
      </c>
      <c r="K4" s="892">
        <v>7.72</v>
      </c>
      <c r="L4" s="895" t="s">
        <v>444</v>
      </c>
      <c r="M4" s="885">
        <v>2022</v>
      </c>
      <c r="N4" s="885"/>
      <c r="O4" s="592" t="s">
        <v>445</v>
      </c>
      <c r="P4" s="885">
        <v>2029</v>
      </c>
      <c r="Q4" s="885"/>
      <c r="R4" s="592" t="s">
        <v>446</v>
      </c>
      <c r="S4" s="885">
        <v>2036</v>
      </c>
      <c r="T4" s="885"/>
      <c r="U4" s="592" t="s">
        <v>447</v>
      </c>
      <c r="V4" s="885">
        <v>2043</v>
      </c>
      <c r="W4" s="885"/>
      <c r="X4" s="592" t="s">
        <v>448</v>
      </c>
      <c r="Y4" s="885">
        <v>2050</v>
      </c>
      <c r="Z4" s="885"/>
      <c r="AA4" s="592" t="s">
        <v>449</v>
      </c>
      <c r="AB4" s="885">
        <v>2057</v>
      </c>
      <c r="AC4" s="885"/>
      <c r="AD4" s="592" t="s">
        <v>450</v>
      </c>
      <c r="AE4" s="593"/>
      <c r="AF4" s="885" t="s">
        <v>0</v>
      </c>
      <c r="AG4" s="888"/>
    </row>
    <row r="5" spans="1:33" x14ac:dyDescent="0.25">
      <c r="A5" s="587">
        <v>2606</v>
      </c>
      <c r="B5" s="588">
        <v>20.37</v>
      </c>
      <c r="C5" s="588">
        <v>22.3</v>
      </c>
      <c r="D5" s="588">
        <f>C5-B5</f>
        <v>1.9299999999999997</v>
      </c>
      <c r="E5" s="589">
        <v>87</v>
      </c>
      <c r="F5" s="589">
        <v>2</v>
      </c>
      <c r="G5" s="590" t="s">
        <v>441</v>
      </c>
      <c r="H5" s="591"/>
      <c r="I5" s="591"/>
      <c r="J5" s="890"/>
      <c r="K5" s="893"/>
      <c r="L5" s="896"/>
      <c r="M5" s="594" t="s">
        <v>451</v>
      </c>
      <c r="N5" s="594" t="s">
        <v>452</v>
      </c>
      <c r="O5" s="595"/>
      <c r="P5" s="594" t="s">
        <v>451</v>
      </c>
      <c r="Q5" s="594" t="s">
        <v>452</v>
      </c>
      <c r="R5" s="596"/>
      <c r="S5" s="594" t="s">
        <v>451</v>
      </c>
      <c r="T5" s="594" t="s">
        <v>452</v>
      </c>
      <c r="U5" s="596"/>
      <c r="V5" s="594" t="s">
        <v>451</v>
      </c>
      <c r="W5" s="594" t="s">
        <v>452</v>
      </c>
      <c r="X5" s="596"/>
      <c r="Y5" s="594" t="s">
        <v>451</v>
      </c>
      <c r="Z5" s="594" t="s">
        <v>452</v>
      </c>
      <c r="AA5" s="596"/>
      <c r="AB5" s="594" t="s">
        <v>451</v>
      </c>
      <c r="AC5" s="594" t="s">
        <v>452</v>
      </c>
      <c r="AD5" s="596"/>
      <c r="AE5" s="597"/>
      <c r="AF5" s="594" t="s">
        <v>453</v>
      </c>
      <c r="AG5" s="598" t="s">
        <v>454</v>
      </c>
    </row>
    <row r="6" spans="1:33" ht="15.75" thickBot="1" x14ac:dyDescent="0.3">
      <c r="A6" s="587">
        <v>2606</v>
      </c>
      <c r="B6" s="588">
        <v>20.9</v>
      </c>
      <c r="C6" s="588">
        <v>22.3</v>
      </c>
      <c r="D6" s="588">
        <f t="shared" ref="D6:D20" si="0">C6-B6</f>
        <v>1.4000000000000021</v>
      </c>
      <c r="E6" s="589">
        <v>88</v>
      </c>
      <c r="F6" s="589">
        <v>2</v>
      </c>
      <c r="G6" s="590" t="s">
        <v>441</v>
      </c>
      <c r="H6" s="591">
        <f t="shared" ref="H6:H10" si="1">D6*E6</f>
        <v>123.20000000000019</v>
      </c>
      <c r="I6" s="591">
        <f t="shared" ref="I6:I10" si="2">D6*F6</f>
        <v>2.8000000000000043</v>
      </c>
      <c r="J6" s="891"/>
      <c r="K6" s="894"/>
      <c r="L6" s="897"/>
      <c r="M6" s="599" t="s">
        <v>455</v>
      </c>
      <c r="N6" s="600">
        <v>190000</v>
      </c>
      <c r="O6" s="601">
        <f>K4*N6</f>
        <v>1466800</v>
      </c>
      <c r="P6" s="599" t="s">
        <v>455</v>
      </c>
      <c r="Q6" s="600">
        <v>190000</v>
      </c>
      <c r="R6" s="601">
        <f>Q6*K4</f>
        <v>1466800</v>
      </c>
      <c r="S6" s="599" t="s">
        <v>456</v>
      </c>
      <c r="T6" s="600">
        <v>533000</v>
      </c>
      <c r="U6" s="601">
        <f>T6*K4</f>
        <v>4114760</v>
      </c>
      <c r="V6" s="599" t="s">
        <v>455</v>
      </c>
      <c r="W6" s="600">
        <v>190000</v>
      </c>
      <c r="X6" s="601">
        <f>W6*K4</f>
        <v>1466800</v>
      </c>
      <c r="Y6" s="599" t="s">
        <v>455</v>
      </c>
      <c r="Z6" s="600">
        <v>190000</v>
      </c>
      <c r="AA6" s="601">
        <f>Z6*K4</f>
        <v>1466800</v>
      </c>
      <c r="AB6" s="599" t="s">
        <v>455</v>
      </c>
      <c r="AC6" s="600">
        <v>190000</v>
      </c>
      <c r="AD6" s="601">
        <f>AC6*K4</f>
        <v>1466800</v>
      </c>
      <c r="AE6" s="602"/>
      <c r="AF6" s="603">
        <f>N6+Q6+T6+W6+Z6+AC6</f>
        <v>1483000</v>
      </c>
      <c r="AG6" s="604">
        <f>K4*AF6</f>
        <v>11448760</v>
      </c>
    </row>
    <row r="7" spans="1:33" ht="15.75" thickTop="1" x14ac:dyDescent="0.25">
      <c r="A7" s="587">
        <v>2608</v>
      </c>
      <c r="B7" s="588">
        <v>0</v>
      </c>
      <c r="C7" s="588">
        <v>1.62</v>
      </c>
      <c r="D7" s="588">
        <f t="shared" si="0"/>
        <v>1.62</v>
      </c>
      <c r="E7" s="589">
        <v>82</v>
      </c>
      <c r="F7" s="589">
        <v>2</v>
      </c>
      <c r="G7" s="590" t="s">
        <v>441</v>
      </c>
      <c r="H7" s="591">
        <f t="shared" si="1"/>
        <v>132.84</v>
      </c>
      <c r="I7" s="591">
        <f t="shared" si="2"/>
        <v>3.24</v>
      </c>
      <c r="J7" s="889" t="s">
        <v>457</v>
      </c>
      <c r="K7" s="892">
        <v>13.46</v>
      </c>
      <c r="L7" s="895" t="s">
        <v>458</v>
      </c>
      <c r="M7" s="885">
        <v>2021</v>
      </c>
      <c r="N7" s="885"/>
      <c r="O7" s="592" t="s">
        <v>459</v>
      </c>
      <c r="P7" s="885">
        <v>2028</v>
      </c>
      <c r="Q7" s="885"/>
      <c r="R7" s="592" t="s">
        <v>460</v>
      </c>
      <c r="S7" s="885">
        <v>2035</v>
      </c>
      <c r="T7" s="885"/>
      <c r="U7" s="592" t="s">
        <v>461</v>
      </c>
      <c r="V7" s="885">
        <v>2042</v>
      </c>
      <c r="W7" s="885"/>
      <c r="X7" s="592" t="s">
        <v>462</v>
      </c>
      <c r="Y7" s="885">
        <v>2049</v>
      </c>
      <c r="Z7" s="885"/>
      <c r="AA7" s="592" t="s">
        <v>463</v>
      </c>
      <c r="AB7" s="885">
        <v>2056</v>
      </c>
      <c r="AC7" s="885"/>
      <c r="AD7" s="592" t="s">
        <v>464</v>
      </c>
      <c r="AE7" s="593"/>
      <c r="AF7" s="885" t="s">
        <v>0</v>
      </c>
      <c r="AG7" s="888"/>
    </row>
    <row r="8" spans="1:33" x14ac:dyDescent="0.25">
      <c r="A8" s="587">
        <v>2608</v>
      </c>
      <c r="B8" s="588">
        <v>0</v>
      </c>
      <c r="C8" s="588">
        <v>2.75</v>
      </c>
      <c r="D8" s="588">
        <f t="shared" si="0"/>
        <v>2.75</v>
      </c>
      <c r="E8" s="589">
        <v>93</v>
      </c>
      <c r="F8" s="589">
        <v>2</v>
      </c>
      <c r="G8" s="590" t="s">
        <v>441</v>
      </c>
      <c r="H8" s="591">
        <f t="shared" si="1"/>
        <v>255.75</v>
      </c>
      <c r="I8" s="591">
        <f t="shared" si="2"/>
        <v>5.5</v>
      </c>
      <c r="J8" s="890"/>
      <c r="K8" s="893"/>
      <c r="L8" s="896"/>
      <c r="M8" s="594" t="s">
        <v>451</v>
      </c>
      <c r="N8" s="594" t="s">
        <v>452</v>
      </c>
      <c r="O8" s="595"/>
      <c r="P8" s="594" t="s">
        <v>451</v>
      </c>
      <c r="Q8" s="594" t="s">
        <v>452</v>
      </c>
      <c r="R8" s="596"/>
      <c r="S8" s="594" t="s">
        <v>451</v>
      </c>
      <c r="T8" s="594" t="s">
        <v>452</v>
      </c>
      <c r="U8" s="596"/>
      <c r="V8" s="594" t="s">
        <v>451</v>
      </c>
      <c r="W8" s="594" t="s">
        <v>452</v>
      </c>
      <c r="X8" s="596"/>
      <c r="Y8" s="594" t="s">
        <v>451</v>
      </c>
      <c r="Z8" s="594" t="s">
        <v>452</v>
      </c>
      <c r="AA8" s="596"/>
      <c r="AB8" s="594" t="s">
        <v>451</v>
      </c>
      <c r="AC8" s="594" t="s">
        <v>452</v>
      </c>
      <c r="AD8" s="596"/>
      <c r="AE8" s="597"/>
      <c r="AF8" s="594" t="s">
        <v>453</v>
      </c>
      <c r="AG8" s="598" t="s">
        <v>454</v>
      </c>
    </row>
    <row r="9" spans="1:33" ht="15.75" thickBot="1" x14ac:dyDescent="0.3">
      <c r="A9" s="587">
        <v>2608</v>
      </c>
      <c r="B9" s="588">
        <v>1.62</v>
      </c>
      <c r="C9" s="588">
        <v>2.37</v>
      </c>
      <c r="D9" s="588">
        <f t="shared" si="0"/>
        <v>0.75</v>
      </c>
      <c r="E9" s="589">
        <v>96</v>
      </c>
      <c r="F9" s="589">
        <v>2</v>
      </c>
      <c r="G9" s="590" t="s">
        <v>465</v>
      </c>
      <c r="H9" s="591">
        <f t="shared" si="1"/>
        <v>72</v>
      </c>
      <c r="I9" s="591">
        <f t="shared" si="2"/>
        <v>1.5</v>
      </c>
      <c r="J9" s="891"/>
      <c r="K9" s="894"/>
      <c r="L9" s="897"/>
      <c r="M9" s="599" t="s">
        <v>455</v>
      </c>
      <c r="N9" s="600">
        <v>190000</v>
      </c>
      <c r="O9" s="601">
        <f>N9*K7</f>
        <v>2557400</v>
      </c>
      <c r="P9" s="599" t="s">
        <v>455</v>
      </c>
      <c r="Q9" s="600">
        <v>190000</v>
      </c>
      <c r="R9" s="601">
        <f>Q9*K7</f>
        <v>2557400</v>
      </c>
      <c r="S9" s="599" t="s">
        <v>456</v>
      </c>
      <c r="T9" s="600">
        <v>533000</v>
      </c>
      <c r="U9" s="601">
        <f>T9*K7</f>
        <v>7174180</v>
      </c>
      <c r="V9" s="599" t="s">
        <v>455</v>
      </c>
      <c r="W9" s="600">
        <v>190000</v>
      </c>
      <c r="X9" s="601">
        <f>W9*K7</f>
        <v>2557400</v>
      </c>
      <c r="Y9" s="599" t="s">
        <v>455</v>
      </c>
      <c r="Z9" s="600">
        <v>190000</v>
      </c>
      <c r="AA9" s="601">
        <f>Z9*K7</f>
        <v>2557400</v>
      </c>
      <c r="AB9" s="599" t="s">
        <v>455</v>
      </c>
      <c r="AC9" s="600">
        <v>190000</v>
      </c>
      <c r="AD9" s="601">
        <f>AC9*K7</f>
        <v>2557400</v>
      </c>
      <c r="AE9" s="602"/>
      <c r="AF9" s="603">
        <f>N9+Q9+T9+W9+Z9+AC9</f>
        <v>1483000</v>
      </c>
      <c r="AG9" s="604">
        <f>K7*AF9</f>
        <v>19961180</v>
      </c>
    </row>
    <row r="10" spans="1:33" ht="15.75" thickTop="1" x14ac:dyDescent="0.25">
      <c r="A10" s="587">
        <v>2608</v>
      </c>
      <c r="B10" s="588">
        <v>2.37</v>
      </c>
      <c r="C10" s="588">
        <v>3.74</v>
      </c>
      <c r="D10" s="588">
        <f t="shared" si="0"/>
        <v>1.37</v>
      </c>
      <c r="E10" s="589">
        <v>81</v>
      </c>
      <c r="F10" s="589">
        <v>4</v>
      </c>
      <c r="G10" s="590" t="s">
        <v>441</v>
      </c>
      <c r="H10" s="591">
        <f t="shared" si="1"/>
        <v>110.97000000000001</v>
      </c>
      <c r="I10" s="591">
        <f t="shared" si="2"/>
        <v>5.48</v>
      </c>
      <c r="J10" s="889" t="s">
        <v>466</v>
      </c>
      <c r="K10" s="892">
        <v>2.94</v>
      </c>
      <c r="L10" s="895" t="s">
        <v>467</v>
      </c>
      <c r="M10" s="885">
        <v>2024</v>
      </c>
      <c r="N10" s="885"/>
      <c r="O10" s="592" t="s">
        <v>468</v>
      </c>
      <c r="P10" s="885">
        <v>2031</v>
      </c>
      <c r="Q10" s="885"/>
      <c r="R10" s="592" t="s">
        <v>469</v>
      </c>
      <c r="S10" s="885">
        <v>2038</v>
      </c>
      <c r="T10" s="885"/>
      <c r="U10" s="592" t="s">
        <v>470</v>
      </c>
      <c r="V10" s="885">
        <v>2045</v>
      </c>
      <c r="W10" s="885"/>
      <c r="X10" s="592" t="s">
        <v>471</v>
      </c>
      <c r="Y10" s="885">
        <v>2052</v>
      </c>
      <c r="Z10" s="885"/>
      <c r="AA10" s="592" t="s">
        <v>472</v>
      </c>
      <c r="AB10" s="885">
        <v>2059</v>
      </c>
      <c r="AC10" s="885"/>
      <c r="AD10" s="592" t="s">
        <v>473</v>
      </c>
      <c r="AE10" s="593"/>
      <c r="AF10" s="885" t="s">
        <v>0</v>
      </c>
      <c r="AG10" s="888"/>
    </row>
    <row r="11" spans="1:33" x14ac:dyDescent="0.25">
      <c r="A11" s="587">
        <v>2608</v>
      </c>
      <c r="B11" s="588">
        <v>3.74</v>
      </c>
      <c r="C11" s="588">
        <v>4.0999999999999996</v>
      </c>
      <c r="D11" s="588">
        <f t="shared" si="0"/>
        <v>0.35999999999999943</v>
      </c>
      <c r="E11" s="589">
        <v>89</v>
      </c>
      <c r="F11" s="589">
        <v>4</v>
      </c>
      <c r="G11" s="590" t="s">
        <v>465</v>
      </c>
      <c r="H11" s="591"/>
      <c r="I11" s="591"/>
      <c r="J11" s="890"/>
      <c r="K11" s="893"/>
      <c r="L11" s="896"/>
      <c r="M11" s="594" t="s">
        <v>451</v>
      </c>
      <c r="N11" s="594" t="s">
        <v>452</v>
      </c>
      <c r="O11" s="595"/>
      <c r="P11" s="594" t="s">
        <v>451</v>
      </c>
      <c r="Q11" s="594" t="s">
        <v>452</v>
      </c>
      <c r="R11" s="596"/>
      <c r="S11" s="594" t="s">
        <v>451</v>
      </c>
      <c r="T11" s="594" t="s">
        <v>452</v>
      </c>
      <c r="U11" s="596"/>
      <c r="V11" s="594" t="s">
        <v>451</v>
      </c>
      <c r="W11" s="594" t="s">
        <v>452</v>
      </c>
      <c r="X11" s="596"/>
      <c r="Y11" s="594" t="s">
        <v>451</v>
      </c>
      <c r="Z11" s="594" t="s">
        <v>452</v>
      </c>
      <c r="AA11" s="596"/>
      <c r="AB11" s="594" t="s">
        <v>451</v>
      </c>
      <c r="AC11" s="594" t="s">
        <v>452</v>
      </c>
      <c r="AD11" s="596"/>
      <c r="AE11" s="597"/>
      <c r="AF11" s="594" t="s">
        <v>453</v>
      </c>
      <c r="AG11" s="598" t="s">
        <v>454</v>
      </c>
    </row>
    <row r="12" spans="1:33" ht="15.75" thickBot="1" x14ac:dyDescent="0.3">
      <c r="A12" s="587"/>
      <c r="B12" s="588"/>
      <c r="C12" s="588"/>
      <c r="D12" s="588"/>
      <c r="E12" s="589"/>
      <c r="F12" s="589"/>
      <c r="G12" s="590"/>
      <c r="H12" s="591"/>
      <c r="I12" s="591"/>
      <c r="J12" s="891"/>
      <c r="K12" s="894"/>
      <c r="L12" s="897"/>
      <c r="M12" s="599" t="s">
        <v>455</v>
      </c>
      <c r="N12" s="600">
        <v>160000</v>
      </c>
      <c r="O12" s="601">
        <f>N12*K10</f>
        <v>470400</v>
      </c>
      <c r="P12" s="599" t="s">
        <v>455</v>
      </c>
      <c r="Q12" s="600">
        <v>160000</v>
      </c>
      <c r="R12" s="601">
        <f>Q12*K10</f>
        <v>470400</v>
      </c>
      <c r="S12" s="599" t="s">
        <v>474</v>
      </c>
      <c r="T12" s="600">
        <v>320000</v>
      </c>
      <c r="U12" s="601">
        <f>T12*K10</f>
        <v>940800</v>
      </c>
      <c r="V12" s="599" t="s">
        <v>455</v>
      </c>
      <c r="W12" s="600">
        <v>160000</v>
      </c>
      <c r="X12" s="601">
        <f>W12*K10</f>
        <v>470400</v>
      </c>
      <c r="Y12" s="599" t="s">
        <v>455</v>
      </c>
      <c r="Z12" s="600">
        <v>160000</v>
      </c>
      <c r="AA12" s="601">
        <f>Z12*K10</f>
        <v>470400</v>
      </c>
      <c r="AB12" s="599" t="s">
        <v>455</v>
      </c>
      <c r="AC12" s="600">
        <v>160000</v>
      </c>
      <c r="AD12" s="601">
        <f>AC12*K10</f>
        <v>470400</v>
      </c>
      <c r="AE12" s="602"/>
      <c r="AF12" s="603">
        <f>N12+Q12+T12+W12+Z12+AC12</f>
        <v>1120000</v>
      </c>
      <c r="AG12" s="604">
        <f>K10*AF12</f>
        <v>3292800</v>
      </c>
    </row>
    <row r="13" spans="1:33" ht="15" customHeight="1" thickTop="1" x14ac:dyDescent="0.25">
      <c r="A13" s="587">
        <v>2602</v>
      </c>
      <c r="B13" s="588">
        <v>7.29</v>
      </c>
      <c r="C13" s="588">
        <v>7.65</v>
      </c>
      <c r="D13" s="588">
        <f t="shared" si="0"/>
        <v>0.36000000000000032</v>
      </c>
      <c r="E13" s="589">
        <v>86</v>
      </c>
      <c r="F13" s="589">
        <v>2</v>
      </c>
      <c r="G13" s="590" t="s">
        <v>465</v>
      </c>
      <c r="H13" s="591"/>
      <c r="I13" s="591"/>
      <c r="J13" s="889" t="s">
        <v>475</v>
      </c>
      <c r="K13" s="892">
        <v>0.84</v>
      </c>
      <c r="L13" s="895" t="s">
        <v>476</v>
      </c>
      <c r="M13" s="885">
        <v>2020</v>
      </c>
      <c r="N13" s="885"/>
      <c r="O13" s="592" t="s">
        <v>477</v>
      </c>
      <c r="P13" s="885">
        <v>2027</v>
      </c>
      <c r="Q13" s="885"/>
      <c r="R13" s="592" t="s">
        <v>478</v>
      </c>
      <c r="S13" s="885">
        <v>2034</v>
      </c>
      <c r="T13" s="885"/>
      <c r="U13" s="592" t="s">
        <v>479</v>
      </c>
      <c r="V13" s="885">
        <v>2041</v>
      </c>
      <c r="W13" s="885"/>
      <c r="X13" s="592" t="s">
        <v>480</v>
      </c>
      <c r="Y13" s="885">
        <v>2048</v>
      </c>
      <c r="Z13" s="885"/>
      <c r="AA13" s="592" t="s">
        <v>481</v>
      </c>
      <c r="AB13" s="885">
        <v>2055</v>
      </c>
      <c r="AC13" s="885"/>
      <c r="AD13" s="592" t="s">
        <v>482</v>
      </c>
      <c r="AE13" s="593"/>
      <c r="AF13" s="885" t="s">
        <v>0</v>
      </c>
      <c r="AG13" s="888"/>
    </row>
    <row r="14" spans="1:33" x14ac:dyDescent="0.25">
      <c r="A14" s="587">
        <v>2602</v>
      </c>
      <c r="B14" s="588">
        <v>7.29</v>
      </c>
      <c r="C14" s="588">
        <v>7.65</v>
      </c>
      <c r="D14" s="588">
        <f t="shared" si="0"/>
        <v>0.36000000000000032</v>
      </c>
      <c r="E14" s="589">
        <v>86</v>
      </c>
      <c r="F14" s="589">
        <v>2</v>
      </c>
      <c r="G14" s="590" t="s">
        <v>465</v>
      </c>
      <c r="H14" s="591"/>
      <c r="I14" s="591"/>
      <c r="J14" s="890"/>
      <c r="K14" s="893"/>
      <c r="L14" s="896"/>
      <c r="M14" s="594" t="s">
        <v>451</v>
      </c>
      <c r="N14" s="594" t="s">
        <v>452</v>
      </c>
      <c r="O14" s="596"/>
      <c r="P14" s="594" t="s">
        <v>451</v>
      </c>
      <c r="Q14" s="594" t="s">
        <v>452</v>
      </c>
      <c r="R14" s="596"/>
      <c r="S14" s="594" t="s">
        <v>451</v>
      </c>
      <c r="T14" s="594" t="s">
        <v>452</v>
      </c>
      <c r="U14" s="596"/>
      <c r="V14" s="594" t="s">
        <v>451</v>
      </c>
      <c r="W14" s="594" t="s">
        <v>452</v>
      </c>
      <c r="X14" s="596"/>
      <c r="Y14" s="594" t="s">
        <v>451</v>
      </c>
      <c r="Z14" s="594" t="s">
        <v>452</v>
      </c>
      <c r="AA14" s="596"/>
      <c r="AB14" s="594" t="s">
        <v>451</v>
      </c>
      <c r="AC14" s="594" t="s">
        <v>452</v>
      </c>
      <c r="AD14" s="596"/>
      <c r="AE14" s="597"/>
      <c r="AF14" s="594" t="s">
        <v>453</v>
      </c>
      <c r="AG14" s="598" t="s">
        <v>454</v>
      </c>
    </row>
    <row r="15" spans="1:33" ht="15.75" thickBot="1" x14ac:dyDescent="0.3">
      <c r="A15" s="587">
        <v>2602</v>
      </c>
      <c r="B15" s="588">
        <v>7.65</v>
      </c>
      <c r="C15" s="588">
        <v>8.6199999999999992</v>
      </c>
      <c r="D15" s="588">
        <f t="shared" si="0"/>
        <v>0.96999999999999886</v>
      </c>
      <c r="E15" s="589">
        <v>88</v>
      </c>
      <c r="F15" s="589">
        <v>2</v>
      </c>
      <c r="G15" s="590" t="s">
        <v>465</v>
      </c>
      <c r="H15" s="591"/>
      <c r="I15" s="591"/>
      <c r="J15" s="891"/>
      <c r="K15" s="894"/>
      <c r="L15" s="897"/>
      <c r="M15" s="599" t="s">
        <v>455</v>
      </c>
      <c r="N15" s="600">
        <v>190000</v>
      </c>
      <c r="O15" s="601">
        <f>K13*N15</f>
        <v>159600</v>
      </c>
      <c r="P15" s="599" t="s">
        <v>455</v>
      </c>
      <c r="Q15" s="600">
        <v>190000</v>
      </c>
      <c r="R15" s="601">
        <f>Q15*K13</f>
        <v>159600</v>
      </c>
      <c r="S15" s="599" t="s">
        <v>456</v>
      </c>
      <c r="T15" s="600">
        <v>533000</v>
      </c>
      <c r="U15" s="601">
        <f>T15*K13</f>
        <v>447720</v>
      </c>
      <c r="V15" s="599" t="s">
        <v>455</v>
      </c>
      <c r="W15" s="600">
        <v>190000</v>
      </c>
      <c r="X15" s="601">
        <f>W15*K13</f>
        <v>159600</v>
      </c>
      <c r="Y15" s="599" t="s">
        <v>455</v>
      </c>
      <c r="Z15" s="600">
        <v>190000</v>
      </c>
      <c r="AA15" s="601">
        <f>Z15*K13</f>
        <v>159600</v>
      </c>
      <c r="AB15" s="599" t="s">
        <v>455</v>
      </c>
      <c r="AC15" s="600">
        <v>190000</v>
      </c>
      <c r="AD15" s="601">
        <f>AC15*K13</f>
        <v>159600</v>
      </c>
      <c r="AE15" s="602"/>
      <c r="AF15" s="603">
        <f>N15+Q15+T15+W15+Z15+AC15</f>
        <v>1483000</v>
      </c>
      <c r="AG15" s="604">
        <f>K13*AF15</f>
        <v>1245720</v>
      </c>
    </row>
    <row r="16" spans="1:33" ht="15" customHeight="1" thickTop="1" x14ac:dyDescent="0.25">
      <c r="A16" s="587">
        <v>2602</v>
      </c>
      <c r="B16" s="588">
        <v>7.65</v>
      </c>
      <c r="C16" s="588">
        <v>8.6199999999999992</v>
      </c>
      <c r="D16" s="588">
        <f t="shared" si="0"/>
        <v>0.96999999999999886</v>
      </c>
      <c r="E16" s="589">
        <v>89</v>
      </c>
      <c r="F16" s="589">
        <v>2</v>
      </c>
      <c r="G16" s="590" t="s">
        <v>465</v>
      </c>
      <c r="H16" s="591"/>
      <c r="I16" s="591"/>
      <c r="J16" s="889" t="s">
        <v>466</v>
      </c>
      <c r="K16" s="892">
        <v>7.52</v>
      </c>
      <c r="L16" s="895" t="s">
        <v>467</v>
      </c>
      <c r="M16" s="885">
        <v>2020</v>
      </c>
      <c r="N16" s="885"/>
      <c r="O16" s="592" t="s">
        <v>477</v>
      </c>
      <c r="P16" s="885">
        <v>2027</v>
      </c>
      <c r="Q16" s="885"/>
      <c r="R16" s="592" t="s">
        <v>478</v>
      </c>
      <c r="S16" s="885">
        <v>2034</v>
      </c>
      <c r="T16" s="885"/>
      <c r="U16" s="592" t="s">
        <v>479</v>
      </c>
      <c r="V16" s="885">
        <v>2041</v>
      </c>
      <c r="W16" s="885"/>
      <c r="X16" s="592" t="s">
        <v>480</v>
      </c>
      <c r="Y16" s="885">
        <v>2048</v>
      </c>
      <c r="Z16" s="885"/>
      <c r="AA16" s="592" t="s">
        <v>481</v>
      </c>
      <c r="AB16" s="885">
        <v>2055</v>
      </c>
      <c r="AC16" s="885"/>
      <c r="AD16" s="592" t="s">
        <v>482</v>
      </c>
      <c r="AE16" s="593"/>
      <c r="AF16" s="885" t="s">
        <v>0</v>
      </c>
      <c r="AG16" s="888"/>
    </row>
    <row r="17" spans="1:33" x14ac:dyDescent="0.25">
      <c r="A17" s="587">
        <v>2602</v>
      </c>
      <c r="B17" s="588">
        <v>8.6199999999999992</v>
      </c>
      <c r="C17" s="588">
        <v>8.83</v>
      </c>
      <c r="D17" s="588">
        <f t="shared" si="0"/>
        <v>0.21000000000000085</v>
      </c>
      <c r="E17" s="589">
        <v>60</v>
      </c>
      <c r="F17" s="589">
        <v>2</v>
      </c>
      <c r="G17" s="590" t="s">
        <v>441</v>
      </c>
      <c r="H17" s="591"/>
      <c r="I17" s="591"/>
      <c r="J17" s="890"/>
      <c r="K17" s="893"/>
      <c r="L17" s="896"/>
      <c r="M17" s="594" t="s">
        <v>451</v>
      </c>
      <c r="N17" s="594" t="s">
        <v>452</v>
      </c>
      <c r="O17" s="596"/>
      <c r="P17" s="594" t="s">
        <v>451</v>
      </c>
      <c r="Q17" s="594" t="s">
        <v>452</v>
      </c>
      <c r="R17" s="596"/>
      <c r="S17" s="594" t="s">
        <v>451</v>
      </c>
      <c r="T17" s="594" t="s">
        <v>452</v>
      </c>
      <c r="U17" s="596"/>
      <c r="V17" s="594" t="s">
        <v>451</v>
      </c>
      <c r="W17" s="594" t="s">
        <v>452</v>
      </c>
      <c r="X17" s="596"/>
      <c r="Y17" s="594" t="s">
        <v>451</v>
      </c>
      <c r="Z17" s="594" t="s">
        <v>452</v>
      </c>
      <c r="AA17" s="596"/>
      <c r="AB17" s="594" t="s">
        <v>451</v>
      </c>
      <c r="AC17" s="594" t="s">
        <v>452</v>
      </c>
      <c r="AD17" s="596"/>
      <c r="AE17" s="597"/>
      <c r="AF17" s="594" t="s">
        <v>453</v>
      </c>
      <c r="AG17" s="598" t="s">
        <v>454</v>
      </c>
    </row>
    <row r="18" spans="1:33" ht="15.75" thickBot="1" x14ac:dyDescent="0.3">
      <c r="A18" s="587">
        <v>2602</v>
      </c>
      <c r="B18" s="588">
        <v>8.6199999999999992</v>
      </c>
      <c r="C18" s="588">
        <v>8.83</v>
      </c>
      <c r="D18" s="588">
        <f t="shared" si="0"/>
        <v>0.21000000000000085</v>
      </c>
      <c r="E18" s="589">
        <v>64</v>
      </c>
      <c r="F18" s="589">
        <v>2</v>
      </c>
      <c r="G18" s="590" t="s">
        <v>441</v>
      </c>
      <c r="H18" s="591"/>
      <c r="I18" s="591"/>
      <c r="J18" s="891"/>
      <c r="K18" s="894"/>
      <c r="L18" s="897"/>
      <c r="M18" s="599" t="s">
        <v>455</v>
      </c>
      <c r="N18" s="600">
        <v>160000</v>
      </c>
      <c r="O18" s="601">
        <f>K16*N18</f>
        <v>1203200</v>
      </c>
      <c r="P18" s="599" t="s">
        <v>455</v>
      </c>
      <c r="Q18" s="600">
        <v>160000</v>
      </c>
      <c r="R18" s="601">
        <f>Q18*K16</f>
        <v>1203200</v>
      </c>
      <c r="S18" s="599" t="s">
        <v>474</v>
      </c>
      <c r="T18" s="600">
        <v>320000</v>
      </c>
      <c r="U18" s="601">
        <f>T18*K16</f>
        <v>2406400</v>
      </c>
      <c r="V18" s="599" t="s">
        <v>455</v>
      </c>
      <c r="W18" s="600">
        <v>160000</v>
      </c>
      <c r="X18" s="601">
        <f>W18*K16</f>
        <v>1203200</v>
      </c>
      <c r="Y18" s="599" t="s">
        <v>455</v>
      </c>
      <c r="Z18" s="600">
        <v>160000</v>
      </c>
      <c r="AA18" s="601">
        <f>Z18*K16</f>
        <v>1203200</v>
      </c>
      <c r="AB18" s="599" t="s">
        <v>455</v>
      </c>
      <c r="AC18" s="600">
        <v>160000</v>
      </c>
      <c r="AD18" s="601">
        <f>AC18*K16</f>
        <v>1203200</v>
      </c>
      <c r="AE18" s="602"/>
      <c r="AF18" s="603">
        <f>N18+Q18+T18+W18+Z18+AC18</f>
        <v>1120000</v>
      </c>
      <c r="AG18" s="604">
        <f>K16*AF18</f>
        <v>8422400</v>
      </c>
    </row>
    <row r="19" spans="1:33" ht="15.75" customHeight="1" thickTop="1" x14ac:dyDescent="0.25">
      <c r="A19" s="587">
        <v>2602</v>
      </c>
      <c r="B19" s="588">
        <v>8.83</v>
      </c>
      <c r="C19" s="588">
        <v>9.3800000000000008</v>
      </c>
      <c r="D19" s="588">
        <f t="shared" si="0"/>
        <v>0.55000000000000071</v>
      </c>
      <c r="E19" s="589">
        <v>83</v>
      </c>
      <c r="F19" s="589">
        <v>4</v>
      </c>
      <c r="G19" s="590" t="s">
        <v>465</v>
      </c>
      <c r="H19" s="591"/>
      <c r="I19" s="591"/>
      <c r="J19" s="889" t="s">
        <v>483</v>
      </c>
      <c r="K19" s="892">
        <v>1.8</v>
      </c>
      <c r="L19" s="895" t="s">
        <v>467</v>
      </c>
      <c r="M19" s="885">
        <v>2022</v>
      </c>
      <c r="N19" s="885"/>
      <c r="O19" s="592" t="s">
        <v>445</v>
      </c>
      <c r="P19" s="885">
        <v>2029</v>
      </c>
      <c r="Q19" s="885"/>
      <c r="R19" s="592" t="s">
        <v>446</v>
      </c>
      <c r="S19" s="885">
        <v>2035</v>
      </c>
      <c r="T19" s="885"/>
      <c r="U19" s="592" t="s">
        <v>461</v>
      </c>
      <c r="V19" s="885">
        <v>2042</v>
      </c>
      <c r="W19" s="885"/>
      <c r="X19" s="592" t="s">
        <v>462</v>
      </c>
      <c r="Y19" s="885">
        <v>2049</v>
      </c>
      <c r="Z19" s="885"/>
      <c r="AA19" s="592" t="s">
        <v>463</v>
      </c>
      <c r="AB19" s="885">
        <v>2056</v>
      </c>
      <c r="AC19" s="885"/>
      <c r="AD19" s="592" t="s">
        <v>464</v>
      </c>
      <c r="AE19" s="593"/>
      <c r="AF19" s="885" t="s">
        <v>0</v>
      </c>
      <c r="AG19" s="888"/>
    </row>
    <row r="20" spans="1:33" ht="15.75" thickBot="1" x14ac:dyDescent="0.3">
      <c r="A20" s="605">
        <v>2612</v>
      </c>
      <c r="B20" s="606">
        <v>0</v>
      </c>
      <c r="C20" s="606">
        <v>0.9</v>
      </c>
      <c r="D20" s="606">
        <f t="shared" si="0"/>
        <v>0.9</v>
      </c>
      <c r="E20" s="607">
        <v>95</v>
      </c>
      <c r="F20" s="607">
        <v>2</v>
      </c>
      <c r="G20" s="608" t="s">
        <v>465</v>
      </c>
      <c r="H20" s="591"/>
      <c r="I20" s="591"/>
      <c r="J20" s="890"/>
      <c r="K20" s="893"/>
      <c r="L20" s="896"/>
      <c r="M20" s="594" t="s">
        <v>451</v>
      </c>
      <c r="N20" s="594" t="s">
        <v>452</v>
      </c>
      <c r="O20" s="596"/>
      <c r="P20" s="594" t="s">
        <v>451</v>
      </c>
      <c r="Q20" s="594" t="s">
        <v>452</v>
      </c>
      <c r="R20" s="596"/>
      <c r="S20" s="594" t="s">
        <v>451</v>
      </c>
      <c r="T20" s="594" t="s">
        <v>452</v>
      </c>
      <c r="U20" s="596"/>
      <c r="V20" s="594" t="s">
        <v>451</v>
      </c>
      <c r="W20" s="594" t="s">
        <v>452</v>
      </c>
      <c r="X20" s="596"/>
      <c r="Y20" s="594" t="s">
        <v>451</v>
      </c>
      <c r="Z20" s="594" t="s">
        <v>452</v>
      </c>
      <c r="AA20" s="596"/>
      <c r="AB20" s="594" t="s">
        <v>451</v>
      </c>
      <c r="AC20" s="594" t="s">
        <v>452</v>
      </c>
      <c r="AD20" s="596"/>
      <c r="AE20" s="597"/>
      <c r="AF20" s="594" t="s">
        <v>453</v>
      </c>
      <c r="AG20" s="598" t="s">
        <v>454</v>
      </c>
    </row>
    <row r="21" spans="1:33" ht="15.75" thickBot="1" x14ac:dyDescent="0.3">
      <c r="A21" s="609" t="s">
        <v>484</v>
      </c>
      <c r="B21" s="610" t="s">
        <v>484</v>
      </c>
      <c r="C21" s="610" t="s">
        <v>484</v>
      </c>
      <c r="D21" s="610"/>
      <c r="E21" s="611"/>
      <c r="F21" s="611"/>
      <c r="G21" s="612" t="s">
        <v>484</v>
      </c>
      <c r="H21" s="591">
        <f>SUM(H4:H20)</f>
        <v>744.05</v>
      </c>
      <c r="I21" s="591">
        <f>SUM(I4:I20)</f>
        <v>18.520000000000003</v>
      </c>
      <c r="J21" s="891"/>
      <c r="K21" s="894"/>
      <c r="L21" s="897"/>
      <c r="M21" s="599" t="s">
        <v>455</v>
      </c>
      <c r="N21" s="600">
        <v>160000</v>
      </c>
      <c r="O21" s="601">
        <f>K19*N21</f>
        <v>288000</v>
      </c>
      <c r="P21" s="599" t="s">
        <v>455</v>
      </c>
      <c r="Q21" s="600">
        <v>160000</v>
      </c>
      <c r="R21" s="601">
        <f>Q21*K19</f>
        <v>288000</v>
      </c>
      <c r="S21" s="599" t="s">
        <v>455</v>
      </c>
      <c r="T21" s="600">
        <v>320000</v>
      </c>
      <c r="U21" s="601">
        <f>T21*K19</f>
        <v>576000</v>
      </c>
      <c r="V21" s="599" t="s">
        <v>455</v>
      </c>
      <c r="W21" s="600">
        <v>160000</v>
      </c>
      <c r="X21" s="601">
        <f>W21*K19</f>
        <v>288000</v>
      </c>
      <c r="Y21" s="599" t="s">
        <v>455</v>
      </c>
      <c r="Z21" s="600">
        <v>160000</v>
      </c>
      <c r="AA21" s="601">
        <f>Z21*K19</f>
        <v>288000</v>
      </c>
      <c r="AB21" s="599" t="s">
        <v>455</v>
      </c>
      <c r="AC21" s="600">
        <v>160000</v>
      </c>
      <c r="AD21" s="601">
        <f>AC21*K19</f>
        <v>288000</v>
      </c>
      <c r="AE21" s="613" t="s">
        <v>485</v>
      </c>
      <c r="AF21" s="603">
        <f>N21+Q21+T21+W21+Z21+AC21</f>
        <v>1120000</v>
      </c>
      <c r="AG21" s="604">
        <f>K19*AF21</f>
        <v>2016000</v>
      </c>
    </row>
    <row r="22" spans="1:33" ht="16.5" thickTop="1" thickBot="1" x14ac:dyDescent="0.3">
      <c r="A22" s="614"/>
      <c r="B22" s="615"/>
      <c r="C22" s="615"/>
      <c r="D22" s="615"/>
      <c r="E22" s="616"/>
      <c r="F22" s="616"/>
      <c r="G22" s="617"/>
      <c r="H22" s="591"/>
      <c r="I22" s="591"/>
      <c r="J22" s="618"/>
      <c r="K22" s="619"/>
      <c r="L22" s="620"/>
      <c r="M22" s="621"/>
      <c r="N22" s="622"/>
      <c r="O22" s="623">
        <f>O6+O9+O12+O15+O18+O21</f>
        <v>6145400</v>
      </c>
      <c r="P22" s="621"/>
      <c r="Q22" s="622"/>
      <c r="R22" s="623">
        <f>R6+R9+R12+R15+R18+R21</f>
        <v>6145400</v>
      </c>
      <c r="S22" s="621"/>
      <c r="T22" s="622"/>
      <c r="U22" s="623">
        <f>U6+U9+U12+U15+U18+U21</f>
        <v>15659860</v>
      </c>
      <c r="V22" s="621"/>
      <c r="W22" s="622"/>
      <c r="X22" s="623">
        <f>X6+X9+X12+X15+X18+X21</f>
        <v>6145400</v>
      </c>
      <c r="Y22" s="621"/>
      <c r="Z22" s="622"/>
      <c r="AA22" s="623">
        <f>AA6+AA9+AA12+AA15+AA18+AA21</f>
        <v>6145400</v>
      </c>
      <c r="AB22" s="621"/>
      <c r="AC22" s="622"/>
      <c r="AD22" s="623">
        <f>AD6+AD9+AD12+AD15+AD18+AD21</f>
        <v>6145400</v>
      </c>
      <c r="AE22" s="623">
        <f>O22+R22+U22+X22+AA22+AD22</f>
        <v>46386860</v>
      </c>
      <c r="AF22" s="624"/>
      <c r="AG22" s="625"/>
    </row>
    <row r="23" spans="1:33" ht="31.5" thickTop="1" thickBot="1" x14ac:dyDescent="0.3">
      <c r="A23" s="614"/>
      <c r="B23" s="615"/>
      <c r="C23" s="615"/>
      <c r="D23" s="615"/>
      <c r="E23" s="616"/>
      <c r="F23" s="617"/>
      <c r="G23" s="617"/>
      <c r="H23" s="626"/>
      <c r="I23" s="569"/>
      <c r="J23" s="627" t="s">
        <v>486</v>
      </c>
      <c r="K23" s="628">
        <f>SUM(K4:K21)</f>
        <v>34.28</v>
      </c>
      <c r="L23" s="629" t="s">
        <v>487</v>
      </c>
      <c r="M23" s="629" t="s">
        <v>452</v>
      </c>
      <c r="N23" s="630">
        <v>5300</v>
      </c>
      <c r="O23" s="631">
        <f>K23*N23</f>
        <v>181684</v>
      </c>
      <c r="P23" s="628"/>
      <c r="Q23" s="629"/>
      <c r="R23" s="629"/>
      <c r="S23" s="628"/>
      <c r="T23" s="628"/>
      <c r="U23" s="628"/>
      <c r="V23" s="628"/>
      <c r="W23" s="632"/>
      <c r="X23" s="632"/>
      <c r="Y23" s="633"/>
      <c r="Z23" s="633"/>
      <c r="AA23" s="633"/>
      <c r="AB23" s="633"/>
      <c r="AC23" s="633"/>
      <c r="AD23" s="633"/>
      <c r="AE23" s="634"/>
      <c r="AF23" s="635">
        <f>40*5300</f>
        <v>212000</v>
      </c>
      <c r="AG23" s="636">
        <f>K23*AF23</f>
        <v>7267360</v>
      </c>
    </row>
    <row r="24" spans="1:33" ht="16.5" thickTop="1" thickBot="1" x14ac:dyDescent="0.3">
      <c r="A24" s="637"/>
      <c r="B24" s="638"/>
      <c r="C24" s="638"/>
      <c r="D24" s="638"/>
      <c r="E24" s="639"/>
      <c r="F24" s="640"/>
      <c r="G24" s="640"/>
      <c r="H24" s="626"/>
      <c r="I24" s="569"/>
      <c r="J24" s="641" t="s">
        <v>488</v>
      </c>
      <c r="K24" s="642"/>
      <c r="L24" s="643"/>
      <c r="M24" s="643"/>
      <c r="N24" s="642"/>
      <c r="O24" s="642"/>
      <c r="P24" s="642"/>
      <c r="Q24" s="643"/>
      <c r="R24" s="643"/>
      <c r="S24" s="642"/>
      <c r="T24" s="642"/>
      <c r="U24" s="642"/>
      <c r="V24" s="642"/>
      <c r="W24" s="644"/>
      <c r="X24" s="644"/>
      <c r="Y24" s="645"/>
      <c r="Z24" s="645"/>
      <c r="AA24" s="645"/>
      <c r="AB24" s="645"/>
      <c r="AC24" s="645"/>
      <c r="AD24" s="645"/>
      <c r="AE24" s="645"/>
      <c r="AF24" s="645"/>
      <c r="AG24" s="646">
        <f>AG6+AG9+AG12+AG15+AG18+AG21+AG23</f>
        <v>53654220</v>
      </c>
    </row>
    <row r="25" spans="1:33" ht="16.5" thickTop="1" thickBot="1" x14ac:dyDescent="0.3">
      <c r="A25" s="647"/>
      <c r="B25" s="647"/>
      <c r="C25" s="647"/>
      <c r="D25" s="647"/>
      <c r="E25" s="647"/>
      <c r="F25" s="647"/>
      <c r="G25" s="647"/>
      <c r="H25" s="626"/>
      <c r="I25" s="569"/>
      <c r="J25" s="648"/>
      <c r="K25" s="649"/>
      <c r="L25" s="648"/>
      <c r="M25" s="648"/>
      <c r="N25" s="649"/>
      <c r="O25" s="649"/>
      <c r="P25" s="649"/>
      <c r="Q25" s="648"/>
      <c r="R25" s="648"/>
      <c r="S25" s="649"/>
      <c r="T25" s="649"/>
      <c r="U25" s="649"/>
      <c r="V25" s="649"/>
      <c r="W25" s="650"/>
      <c r="X25" s="650"/>
    </row>
    <row r="26" spans="1:33" ht="21.75" thickTop="1" x14ac:dyDescent="0.35">
      <c r="A26" s="617"/>
      <c r="B26" s="615"/>
      <c r="C26" s="615"/>
      <c r="D26" s="615"/>
      <c r="E26" s="616"/>
      <c r="F26" s="616"/>
      <c r="G26" s="617"/>
      <c r="H26" s="591">
        <f>D26*E26</f>
        <v>0</v>
      </c>
      <c r="I26" s="591">
        <f>D26*F26</f>
        <v>0</v>
      </c>
      <c r="J26" s="898" t="s">
        <v>489</v>
      </c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900"/>
    </row>
    <row r="27" spans="1:33" ht="15.75" thickBot="1" x14ac:dyDescent="0.3">
      <c r="A27" s="617"/>
      <c r="B27" s="615"/>
      <c r="C27" s="615"/>
      <c r="D27" s="615"/>
      <c r="E27" s="616"/>
      <c r="F27" s="616"/>
      <c r="G27" s="617"/>
      <c r="H27" s="591">
        <f t="shared" ref="H27:H33" si="3">D27*E27</f>
        <v>0</v>
      </c>
      <c r="I27" s="591">
        <f t="shared" ref="I27:I33" si="4">D27*F27</f>
        <v>0</v>
      </c>
      <c r="J27" s="582" t="s">
        <v>438</v>
      </c>
      <c r="K27" s="583" t="s">
        <v>439</v>
      </c>
      <c r="L27" s="583" t="s">
        <v>440</v>
      </c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4"/>
      <c r="X27" s="584"/>
      <c r="Y27" s="585"/>
      <c r="Z27" s="585"/>
      <c r="AA27" s="585"/>
      <c r="AB27" s="585"/>
      <c r="AC27" s="585"/>
      <c r="AD27" s="585"/>
      <c r="AE27" s="585"/>
      <c r="AF27" s="585"/>
      <c r="AG27" s="586"/>
    </row>
    <row r="28" spans="1:33" ht="15.75" customHeight="1" thickTop="1" x14ac:dyDescent="0.25">
      <c r="A28" s="617"/>
      <c r="B28" s="615"/>
      <c r="C28" s="615"/>
      <c r="D28" s="615"/>
      <c r="E28" s="616"/>
      <c r="F28" s="616"/>
      <c r="G28" s="617"/>
      <c r="H28" s="591">
        <f t="shared" si="3"/>
        <v>0</v>
      </c>
      <c r="I28" s="591">
        <f t="shared" si="4"/>
        <v>0</v>
      </c>
      <c r="J28" s="889" t="s">
        <v>490</v>
      </c>
      <c r="K28" s="892">
        <v>29.292000000000002</v>
      </c>
      <c r="L28" s="895" t="s">
        <v>467</v>
      </c>
      <c r="M28" s="885">
        <v>2027</v>
      </c>
      <c r="N28" s="885"/>
      <c r="O28" s="592" t="s">
        <v>478</v>
      </c>
      <c r="P28" s="885">
        <v>2034</v>
      </c>
      <c r="Q28" s="885"/>
      <c r="R28" s="592" t="s">
        <v>479</v>
      </c>
      <c r="S28" s="885">
        <v>2041</v>
      </c>
      <c r="T28" s="885"/>
      <c r="U28" s="592" t="s">
        <v>480</v>
      </c>
      <c r="V28" s="885">
        <v>2048</v>
      </c>
      <c r="W28" s="885"/>
      <c r="X28" s="592" t="s">
        <v>481</v>
      </c>
      <c r="Y28" s="885">
        <v>2055</v>
      </c>
      <c r="Z28" s="885"/>
      <c r="AA28" s="592" t="s">
        <v>482</v>
      </c>
      <c r="AB28" s="886"/>
      <c r="AC28" s="887"/>
      <c r="AD28" s="651"/>
      <c r="AE28" s="651"/>
      <c r="AF28" s="885" t="s">
        <v>0</v>
      </c>
      <c r="AG28" s="888"/>
    </row>
    <row r="29" spans="1:33" x14ac:dyDescent="0.25">
      <c r="A29" s="617"/>
      <c r="B29" s="615"/>
      <c r="C29" s="615"/>
      <c r="D29" s="615"/>
      <c r="E29" s="616"/>
      <c r="F29" s="616"/>
      <c r="G29" s="617"/>
      <c r="H29" s="591">
        <f t="shared" si="3"/>
        <v>0</v>
      </c>
      <c r="I29" s="591">
        <f t="shared" si="4"/>
        <v>0</v>
      </c>
      <c r="J29" s="890"/>
      <c r="K29" s="893"/>
      <c r="L29" s="896"/>
      <c r="M29" s="594" t="s">
        <v>451</v>
      </c>
      <c r="N29" s="594" t="s">
        <v>452</v>
      </c>
      <c r="O29" s="596"/>
      <c r="P29" s="594" t="s">
        <v>451</v>
      </c>
      <c r="Q29" s="594" t="s">
        <v>452</v>
      </c>
      <c r="R29" s="596"/>
      <c r="S29" s="594" t="s">
        <v>451</v>
      </c>
      <c r="T29" s="594" t="s">
        <v>452</v>
      </c>
      <c r="U29" s="596"/>
      <c r="V29" s="594" t="s">
        <v>451</v>
      </c>
      <c r="W29" s="594" t="s">
        <v>452</v>
      </c>
      <c r="X29" s="596"/>
      <c r="Y29" s="594" t="s">
        <v>451</v>
      </c>
      <c r="Z29" s="594" t="s">
        <v>452</v>
      </c>
      <c r="AA29" s="596"/>
      <c r="AB29" s="594"/>
      <c r="AC29" s="594"/>
      <c r="AD29" s="594"/>
      <c r="AE29" s="594"/>
      <c r="AF29" s="594" t="s">
        <v>453</v>
      </c>
      <c r="AG29" s="598" t="s">
        <v>454</v>
      </c>
    </row>
    <row r="30" spans="1:33" ht="15.75" thickBot="1" x14ac:dyDescent="0.3">
      <c r="A30" s="617"/>
      <c r="B30" s="615"/>
      <c r="C30" s="615"/>
      <c r="D30" s="615"/>
      <c r="E30" s="616"/>
      <c r="F30" s="616"/>
      <c r="G30" s="617"/>
      <c r="H30" s="591">
        <f t="shared" si="3"/>
        <v>0</v>
      </c>
      <c r="I30" s="591">
        <f t="shared" si="4"/>
        <v>0</v>
      </c>
      <c r="J30" s="891"/>
      <c r="K30" s="894"/>
      <c r="L30" s="897"/>
      <c r="M30" s="599" t="s">
        <v>455</v>
      </c>
      <c r="N30" s="600">
        <v>160000</v>
      </c>
      <c r="O30" s="601">
        <f>N30*K28</f>
        <v>4686720</v>
      </c>
      <c r="P30" s="599" t="s">
        <v>455</v>
      </c>
      <c r="Q30" s="600">
        <v>160000</v>
      </c>
      <c r="R30" s="601">
        <f>Q30*K28</f>
        <v>4686720</v>
      </c>
      <c r="S30" s="599" t="s">
        <v>474</v>
      </c>
      <c r="T30" s="600">
        <v>320000</v>
      </c>
      <c r="U30" s="601">
        <f>T30*K28</f>
        <v>9373440</v>
      </c>
      <c r="V30" s="599" t="s">
        <v>455</v>
      </c>
      <c r="W30" s="600">
        <v>160000</v>
      </c>
      <c r="X30" s="601">
        <f>W30*K28</f>
        <v>4686720</v>
      </c>
      <c r="Y30" s="599" t="s">
        <v>455</v>
      </c>
      <c r="Z30" s="600">
        <v>160000</v>
      </c>
      <c r="AA30" s="601">
        <f>Z30*K28</f>
        <v>4686720</v>
      </c>
      <c r="AB30" s="599"/>
      <c r="AC30" s="600"/>
      <c r="AD30" s="600"/>
      <c r="AE30" s="600"/>
      <c r="AF30" s="603">
        <f>N30+Q30+T30+W30+Z30+AC30</f>
        <v>960000</v>
      </c>
      <c r="AG30" s="604">
        <f>K28*AF30</f>
        <v>28120320</v>
      </c>
    </row>
    <row r="31" spans="1:33" ht="15.75" thickTop="1" x14ac:dyDescent="0.25">
      <c r="A31" s="617"/>
      <c r="B31" s="615"/>
      <c r="C31" s="615"/>
      <c r="D31" s="615"/>
      <c r="E31" s="616"/>
      <c r="F31" s="616"/>
      <c r="G31" s="617"/>
      <c r="H31" s="591">
        <f t="shared" si="3"/>
        <v>0</v>
      </c>
      <c r="I31" s="591">
        <f t="shared" si="4"/>
        <v>0</v>
      </c>
      <c r="J31" s="889" t="s">
        <v>491</v>
      </c>
      <c r="K31" s="892">
        <v>4.1959999999999997</v>
      </c>
      <c r="L31" s="895" t="s">
        <v>492</v>
      </c>
      <c r="M31" s="885">
        <v>2021</v>
      </c>
      <c r="N31" s="885"/>
      <c r="O31" s="592" t="s">
        <v>459</v>
      </c>
      <c r="P31" s="885">
        <v>2040</v>
      </c>
      <c r="Q31" s="885"/>
      <c r="R31" s="592" t="s">
        <v>493</v>
      </c>
      <c r="S31" s="885">
        <v>2060</v>
      </c>
      <c r="T31" s="885"/>
      <c r="U31" s="592" t="s">
        <v>494</v>
      </c>
      <c r="V31" s="885"/>
      <c r="W31" s="885"/>
      <c r="X31" s="651"/>
      <c r="Y31" s="885"/>
      <c r="Z31" s="885"/>
      <c r="AA31" s="652"/>
      <c r="AB31" s="886"/>
      <c r="AC31" s="887"/>
      <c r="AD31" s="651"/>
      <c r="AE31" s="651"/>
      <c r="AF31" s="885" t="s">
        <v>0</v>
      </c>
      <c r="AG31" s="888"/>
    </row>
    <row r="32" spans="1:33" x14ac:dyDescent="0.25">
      <c r="A32" s="617"/>
      <c r="B32" s="615"/>
      <c r="C32" s="615"/>
      <c r="D32" s="615"/>
      <c r="E32" s="616"/>
      <c r="F32" s="616"/>
      <c r="G32" s="617"/>
      <c r="H32" s="591">
        <f t="shared" si="3"/>
        <v>0</v>
      </c>
      <c r="I32" s="591">
        <f t="shared" si="4"/>
        <v>0</v>
      </c>
      <c r="J32" s="890"/>
      <c r="K32" s="893"/>
      <c r="L32" s="896"/>
      <c r="M32" s="594" t="s">
        <v>451</v>
      </c>
      <c r="N32" s="594" t="s">
        <v>452</v>
      </c>
      <c r="O32" s="596"/>
      <c r="P32" s="594" t="s">
        <v>451</v>
      </c>
      <c r="Q32" s="594" t="s">
        <v>452</v>
      </c>
      <c r="R32" s="596"/>
      <c r="S32" s="594" t="s">
        <v>451</v>
      </c>
      <c r="T32" s="594" t="s">
        <v>452</v>
      </c>
      <c r="U32" s="596"/>
      <c r="V32" s="594"/>
      <c r="W32" s="594"/>
      <c r="X32" s="594"/>
      <c r="Y32" s="594"/>
      <c r="Z32" s="594"/>
      <c r="AA32" s="594"/>
      <c r="AB32" s="594"/>
      <c r="AC32" s="594"/>
      <c r="AD32" s="594"/>
      <c r="AE32" s="594"/>
      <c r="AF32" s="594" t="s">
        <v>453</v>
      </c>
      <c r="AG32" s="598" t="s">
        <v>454</v>
      </c>
    </row>
    <row r="33" spans="1:81" ht="15.75" thickBot="1" x14ac:dyDescent="0.3">
      <c r="A33" s="617"/>
      <c r="B33" s="615"/>
      <c r="C33" s="615"/>
      <c r="D33" s="615"/>
      <c r="E33" s="616"/>
      <c r="F33" s="616"/>
      <c r="G33" s="617"/>
      <c r="H33" s="591">
        <f t="shared" si="3"/>
        <v>0</v>
      </c>
      <c r="I33" s="591">
        <f t="shared" si="4"/>
        <v>0</v>
      </c>
      <c r="J33" s="891"/>
      <c r="K33" s="894"/>
      <c r="L33" s="897"/>
      <c r="M33" s="599" t="s">
        <v>495</v>
      </c>
      <c r="N33" s="600">
        <v>47400</v>
      </c>
      <c r="O33" s="601">
        <f>N33*K31</f>
        <v>198890.4</v>
      </c>
      <c r="P33" s="599" t="s">
        <v>496</v>
      </c>
      <c r="Q33" s="600">
        <v>181000</v>
      </c>
      <c r="R33" s="601">
        <f>Q33*K31</f>
        <v>759476</v>
      </c>
      <c r="S33" s="599" t="s">
        <v>496</v>
      </c>
      <c r="T33" s="600">
        <v>181000</v>
      </c>
      <c r="U33" s="601">
        <f>T33*K31</f>
        <v>759476</v>
      </c>
      <c r="V33" s="599"/>
      <c r="W33" s="600"/>
      <c r="X33" s="600"/>
      <c r="Y33" s="599"/>
      <c r="Z33" s="600"/>
      <c r="AA33" s="600"/>
      <c r="AB33" s="599"/>
      <c r="AC33" s="613" t="s">
        <v>485</v>
      </c>
      <c r="AD33" s="600"/>
      <c r="AE33" s="600"/>
      <c r="AF33" s="603" t="e">
        <f>N33+Q33+T33+W33+Z33+AC33</f>
        <v>#VALUE!</v>
      </c>
      <c r="AG33" s="604" t="e">
        <f>K31*AF33</f>
        <v>#VALUE!</v>
      </c>
    </row>
    <row r="34" spans="1:81" ht="16.5" thickTop="1" thickBot="1" x14ac:dyDescent="0.3">
      <c r="A34" s="617"/>
      <c r="B34" s="615"/>
      <c r="C34" s="615"/>
      <c r="D34" s="615"/>
      <c r="E34" s="616"/>
      <c r="F34" s="616"/>
      <c r="G34" s="617"/>
      <c r="H34" s="591"/>
      <c r="I34" s="591"/>
      <c r="J34" s="618"/>
      <c r="K34" s="619"/>
      <c r="L34" s="620"/>
      <c r="M34" s="621"/>
      <c r="N34" s="622"/>
      <c r="O34" s="623">
        <f>O30+O33</f>
        <v>4885610.4000000004</v>
      </c>
      <c r="P34" s="621"/>
      <c r="Q34" s="622"/>
      <c r="R34" s="623">
        <f>R30+R33</f>
        <v>5446196</v>
      </c>
      <c r="S34" s="621"/>
      <c r="T34" s="622"/>
      <c r="U34" s="623">
        <f>U30+U33</f>
        <v>10132916</v>
      </c>
      <c r="V34" s="621"/>
      <c r="W34" s="622"/>
      <c r="X34" s="623">
        <f>X30</f>
        <v>4686720</v>
      </c>
      <c r="Y34" s="621"/>
      <c r="Z34" s="622"/>
      <c r="AA34" s="623">
        <f>AA30</f>
        <v>4686720</v>
      </c>
      <c r="AB34" s="621"/>
      <c r="AC34" s="623">
        <f>O34+R34+U34+X34+AA34</f>
        <v>29838162.399999999</v>
      </c>
      <c r="AD34" s="622"/>
      <c r="AE34" s="622"/>
      <c r="AF34" s="624"/>
      <c r="AG34" s="625"/>
    </row>
    <row r="35" spans="1:81" ht="31.5" thickTop="1" thickBot="1" x14ac:dyDescent="0.3">
      <c r="A35" s="617"/>
      <c r="B35" s="615"/>
      <c r="C35" s="615"/>
      <c r="D35" s="615"/>
      <c r="E35" s="616"/>
      <c r="F35" s="616"/>
      <c r="G35" s="617"/>
      <c r="H35" s="591" t="e">
        <f>SUM(#REF!)</f>
        <v>#REF!</v>
      </c>
      <c r="I35" s="591" t="e">
        <f>SUM(#REF!)</f>
        <v>#REF!</v>
      </c>
      <c r="J35" s="627" t="s">
        <v>486</v>
      </c>
      <c r="K35" s="628">
        <f>SUM(K28:K33)</f>
        <v>33.488</v>
      </c>
      <c r="L35" s="629" t="s">
        <v>487</v>
      </c>
      <c r="M35" s="629" t="s">
        <v>452</v>
      </c>
      <c r="N35" s="630">
        <v>5300</v>
      </c>
      <c r="O35" s="653">
        <f>N35*K35</f>
        <v>177486.4</v>
      </c>
      <c r="P35" s="628"/>
      <c r="Q35" s="629"/>
      <c r="R35" s="629"/>
      <c r="S35" s="628"/>
      <c r="T35" s="628"/>
      <c r="U35" s="628"/>
      <c r="V35" s="628"/>
      <c r="W35" s="632"/>
      <c r="X35" s="632"/>
      <c r="Y35" s="633"/>
      <c r="Z35" s="633"/>
      <c r="AA35" s="633"/>
      <c r="AB35" s="633"/>
      <c r="AC35" s="654">
        <f>O35*45</f>
        <v>7986888</v>
      </c>
      <c r="AD35" s="633"/>
      <c r="AE35" s="633"/>
      <c r="AF35" s="635">
        <f>40*5300</f>
        <v>212000</v>
      </c>
      <c r="AG35" s="636">
        <f>K35*AF35</f>
        <v>7099456</v>
      </c>
    </row>
    <row r="36" spans="1:81" ht="16.5" thickTop="1" thickBot="1" x14ac:dyDescent="0.3">
      <c r="A36" s="569"/>
      <c r="B36" s="569"/>
      <c r="C36" s="569"/>
      <c r="D36" s="569"/>
      <c r="E36" s="569"/>
      <c r="F36" s="569"/>
      <c r="G36" s="569"/>
      <c r="J36" s="641" t="s">
        <v>488</v>
      </c>
      <c r="K36" s="642"/>
      <c r="L36" s="643"/>
      <c r="M36" s="643"/>
      <c r="N36" s="642"/>
      <c r="O36" s="642"/>
      <c r="P36" s="642"/>
      <c r="Q36" s="643"/>
      <c r="R36" s="643"/>
      <c r="S36" s="642"/>
      <c r="T36" s="642"/>
      <c r="U36" s="642"/>
      <c r="V36" s="642"/>
      <c r="W36" s="644"/>
      <c r="X36" s="644"/>
      <c r="Y36" s="645"/>
      <c r="Z36" s="645"/>
      <c r="AA36" s="645"/>
      <c r="AB36" s="645"/>
      <c r="AC36" s="645"/>
      <c r="AD36" s="645"/>
      <c r="AE36" s="645"/>
      <c r="AF36" s="645"/>
      <c r="AG36" s="646" t="e">
        <f>AG30+AG33+AG35</f>
        <v>#VALUE!</v>
      </c>
    </row>
    <row r="37" spans="1:81" ht="15.75" thickTop="1" x14ac:dyDescent="0.25">
      <c r="J37" s="649"/>
      <c r="K37" s="649"/>
      <c r="L37" s="648"/>
      <c r="M37" s="649"/>
      <c r="N37" s="649"/>
      <c r="O37" s="649"/>
      <c r="P37" s="649"/>
      <c r="Q37" s="649"/>
      <c r="R37" s="649"/>
      <c r="S37" s="649"/>
      <c r="T37" s="649"/>
      <c r="U37" s="649"/>
      <c r="V37" s="649"/>
      <c r="W37" s="650"/>
      <c r="X37" s="650"/>
    </row>
    <row r="38" spans="1:81" ht="15.75" x14ac:dyDescent="0.25">
      <c r="A38" s="884" t="s">
        <v>497</v>
      </c>
      <c r="B38" s="884"/>
      <c r="D38" s="884" t="s">
        <v>498</v>
      </c>
      <c r="E38" s="884"/>
      <c r="J38" s="649"/>
      <c r="K38" s="649"/>
      <c r="L38" s="655"/>
      <c r="M38" s="655"/>
      <c r="N38" s="649"/>
      <c r="O38" s="649"/>
      <c r="P38" s="649"/>
      <c r="Q38" s="655"/>
      <c r="R38" s="655"/>
      <c r="S38" s="649"/>
      <c r="T38" s="649"/>
      <c r="U38" s="649"/>
      <c r="V38" s="649"/>
      <c r="W38" s="650"/>
      <c r="X38" s="650"/>
    </row>
    <row r="39" spans="1:81" ht="15.75" x14ac:dyDescent="0.25">
      <c r="A39" s="656" t="s">
        <v>499</v>
      </c>
      <c r="B39" s="657" t="s">
        <v>500</v>
      </c>
      <c r="D39" s="656" t="s">
        <v>499</v>
      </c>
      <c r="E39" s="657" t="s">
        <v>501</v>
      </c>
      <c r="J39" s="649"/>
      <c r="K39" s="649"/>
      <c r="L39" s="658"/>
      <c r="M39" s="659"/>
      <c r="N39" s="649"/>
      <c r="O39" s="649"/>
      <c r="P39" s="649"/>
      <c r="Q39" s="659"/>
      <c r="R39" s="659"/>
      <c r="S39" s="649"/>
      <c r="T39" s="649"/>
      <c r="U39" s="649"/>
      <c r="V39" s="649"/>
      <c r="W39" s="650"/>
      <c r="X39" s="650"/>
    </row>
    <row r="40" spans="1:81" ht="15.75" x14ac:dyDescent="0.25">
      <c r="A40" s="656" t="s">
        <v>502</v>
      </c>
      <c r="B40" s="657" t="s">
        <v>503</v>
      </c>
      <c r="D40" s="656" t="s">
        <v>502</v>
      </c>
      <c r="E40" s="657" t="s">
        <v>504</v>
      </c>
      <c r="J40" s="649"/>
      <c r="K40" s="649"/>
      <c r="L40" s="658"/>
      <c r="M40" s="659"/>
      <c r="N40" s="649"/>
      <c r="O40" s="649"/>
      <c r="P40" s="649"/>
      <c r="Q40" s="659"/>
      <c r="R40" s="659"/>
      <c r="S40" s="649"/>
      <c r="T40" s="649"/>
      <c r="U40" s="649"/>
      <c r="V40" s="649"/>
      <c r="W40" s="650"/>
      <c r="X40" s="650"/>
    </row>
    <row r="41" spans="1:81" ht="15.75" x14ac:dyDescent="0.25">
      <c r="A41" s="656" t="s">
        <v>505</v>
      </c>
      <c r="B41" s="657" t="s">
        <v>506</v>
      </c>
      <c r="D41" s="656" t="s">
        <v>505</v>
      </c>
      <c r="E41" s="657" t="s">
        <v>507</v>
      </c>
      <c r="J41" s="649"/>
      <c r="K41" s="649"/>
      <c r="L41" s="658"/>
      <c r="M41" s="659"/>
      <c r="N41" s="649"/>
      <c r="O41" s="649"/>
      <c r="P41" s="649"/>
      <c r="Q41" s="659"/>
      <c r="R41" s="659"/>
      <c r="S41" s="649"/>
      <c r="T41" s="649"/>
      <c r="U41" s="649"/>
      <c r="V41" s="649"/>
      <c r="W41" s="650"/>
      <c r="X41" s="650"/>
    </row>
    <row r="42" spans="1:81" ht="15.75" x14ac:dyDescent="0.25">
      <c r="J42" s="649"/>
      <c r="K42" s="649"/>
      <c r="L42" s="658"/>
      <c r="M42" s="659"/>
      <c r="N42" s="649"/>
      <c r="O42" s="649"/>
      <c r="P42" s="649"/>
      <c r="Q42" s="659"/>
      <c r="R42" s="659"/>
      <c r="S42" s="649"/>
      <c r="T42" s="649"/>
      <c r="U42" s="649"/>
      <c r="V42" s="649"/>
      <c r="W42" s="650"/>
      <c r="X42" s="650"/>
    </row>
    <row r="45" spans="1:81" ht="15.75" thickBot="1" x14ac:dyDescent="0.3">
      <c r="A45" s="660"/>
      <c r="B45" s="661"/>
      <c r="C45" s="661"/>
      <c r="D45" s="661"/>
      <c r="E45" s="661"/>
      <c r="F45" s="661"/>
      <c r="G45" s="662"/>
      <c r="Q45" s="663"/>
      <c r="R45" s="663"/>
      <c r="S45" s="664"/>
      <c r="T45" s="664"/>
      <c r="U45" s="664"/>
      <c r="V45" s="665"/>
    </row>
    <row r="47" spans="1:81" x14ac:dyDescent="0.25">
      <c r="A47" s="705" t="s">
        <v>514</v>
      </c>
    </row>
    <row r="48" spans="1:81" ht="31.5" x14ac:dyDescent="0.5">
      <c r="A48" s="669">
        <v>2016</v>
      </c>
      <c r="B48" s="683">
        <v>0</v>
      </c>
      <c r="AJ48" s="666" t="s">
        <v>341</v>
      </c>
      <c r="AK48" s="667"/>
      <c r="AL48" s="667"/>
      <c r="AM48" s="667"/>
      <c r="AN48" s="667"/>
      <c r="AO48" s="667"/>
      <c r="AP48" s="667"/>
      <c r="AQ48" s="667"/>
      <c r="AR48" s="667"/>
      <c r="AS48" s="667"/>
      <c r="AT48" s="667"/>
      <c r="AU48" s="667"/>
      <c r="AV48" s="667"/>
      <c r="AW48" s="667"/>
      <c r="AX48" s="667"/>
      <c r="AY48" s="667"/>
      <c r="AZ48" s="667"/>
      <c r="BA48" s="667"/>
      <c r="BB48" s="667"/>
      <c r="BC48" s="667"/>
      <c r="BD48" s="667"/>
      <c r="BE48" s="667"/>
      <c r="BF48" s="667"/>
      <c r="BG48" s="667"/>
      <c r="BH48" s="667"/>
      <c r="BI48" s="667"/>
      <c r="BJ48" s="667"/>
      <c r="BK48" s="667"/>
      <c r="BL48" s="667"/>
      <c r="BM48" s="667"/>
      <c r="BN48" s="667"/>
      <c r="BO48" s="667"/>
      <c r="BP48" s="667"/>
      <c r="BQ48" s="667"/>
      <c r="BR48" s="667"/>
      <c r="BS48" s="667"/>
      <c r="BT48" s="667"/>
      <c r="BU48" s="667"/>
      <c r="BV48" s="667"/>
      <c r="BW48" s="667"/>
      <c r="BX48" s="667"/>
      <c r="BY48" s="667"/>
      <c r="BZ48" s="667"/>
      <c r="CA48" s="667"/>
      <c r="CB48" s="667"/>
      <c r="CC48" s="667"/>
    </row>
    <row r="49" spans="1:81" x14ac:dyDescent="0.25">
      <c r="A49" s="669">
        <v>2017</v>
      </c>
      <c r="B49" s="683">
        <v>0</v>
      </c>
    </row>
    <row r="50" spans="1:81" x14ac:dyDescent="0.25">
      <c r="A50" s="669">
        <v>2018</v>
      </c>
      <c r="B50" s="683">
        <v>0</v>
      </c>
      <c r="AJ50" s="668" t="s">
        <v>325</v>
      </c>
    </row>
    <row r="51" spans="1:81" x14ac:dyDescent="0.25">
      <c r="A51" s="669">
        <v>2019</v>
      </c>
      <c r="B51" s="683">
        <v>0</v>
      </c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AK51" s="669">
        <v>2016</v>
      </c>
      <c r="AL51" s="669">
        <f>AK51+1</f>
        <v>2017</v>
      </c>
      <c r="AM51" s="669">
        <f t="shared" ref="AM51:CC51" si="5">AL51+1</f>
        <v>2018</v>
      </c>
      <c r="AN51" s="669">
        <f t="shared" si="5"/>
        <v>2019</v>
      </c>
      <c r="AO51" s="669">
        <f t="shared" si="5"/>
        <v>2020</v>
      </c>
      <c r="AP51" s="669">
        <f t="shared" si="5"/>
        <v>2021</v>
      </c>
      <c r="AQ51" s="669">
        <f t="shared" si="5"/>
        <v>2022</v>
      </c>
      <c r="AR51" s="669">
        <f t="shared" si="5"/>
        <v>2023</v>
      </c>
      <c r="AS51" s="669">
        <f t="shared" si="5"/>
        <v>2024</v>
      </c>
      <c r="AT51" s="669">
        <f t="shared" si="5"/>
        <v>2025</v>
      </c>
      <c r="AU51" s="669">
        <f t="shared" si="5"/>
        <v>2026</v>
      </c>
      <c r="AV51" s="669">
        <f t="shared" si="5"/>
        <v>2027</v>
      </c>
      <c r="AW51" s="669">
        <f t="shared" si="5"/>
        <v>2028</v>
      </c>
      <c r="AX51" s="669">
        <f t="shared" si="5"/>
        <v>2029</v>
      </c>
      <c r="AY51" s="669">
        <f t="shared" si="5"/>
        <v>2030</v>
      </c>
      <c r="AZ51" s="669">
        <f t="shared" si="5"/>
        <v>2031</v>
      </c>
      <c r="BA51" s="669">
        <f t="shared" si="5"/>
        <v>2032</v>
      </c>
      <c r="BB51" s="669">
        <f t="shared" si="5"/>
        <v>2033</v>
      </c>
      <c r="BC51" s="669">
        <f t="shared" si="5"/>
        <v>2034</v>
      </c>
      <c r="BD51" s="669">
        <f t="shared" si="5"/>
        <v>2035</v>
      </c>
      <c r="BE51" s="669">
        <f t="shared" si="5"/>
        <v>2036</v>
      </c>
      <c r="BF51" s="669">
        <f t="shared" si="5"/>
        <v>2037</v>
      </c>
      <c r="BG51" s="669">
        <f t="shared" si="5"/>
        <v>2038</v>
      </c>
      <c r="BH51" s="669">
        <f t="shared" si="5"/>
        <v>2039</v>
      </c>
      <c r="BI51" s="669">
        <f t="shared" si="5"/>
        <v>2040</v>
      </c>
      <c r="BJ51" s="669">
        <f t="shared" si="5"/>
        <v>2041</v>
      </c>
      <c r="BK51" s="669">
        <f t="shared" si="5"/>
        <v>2042</v>
      </c>
      <c r="BL51" s="669">
        <f t="shared" si="5"/>
        <v>2043</v>
      </c>
      <c r="BM51" s="669">
        <f t="shared" si="5"/>
        <v>2044</v>
      </c>
      <c r="BN51" s="669">
        <f t="shared" si="5"/>
        <v>2045</v>
      </c>
      <c r="BO51" s="669">
        <f t="shared" si="5"/>
        <v>2046</v>
      </c>
      <c r="BP51" s="669">
        <f t="shared" si="5"/>
        <v>2047</v>
      </c>
      <c r="BQ51" s="669">
        <f t="shared" si="5"/>
        <v>2048</v>
      </c>
      <c r="BR51" s="669">
        <f t="shared" si="5"/>
        <v>2049</v>
      </c>
      <c r="BS51" s="669">
        <f t="shared" si="5"/>
        <v>2050</v>
      </c>
      <c r="BT51" s="669">
        <f t="shared" si="5"/>
        <v>2051</v>
      </c>
      <c r="BU51" s="669">
        <f t="shared" si="5"/>
        <v>2052</v>
      </c>
      <c r="BV51" s="669">
        <f t="shared" si="5"/>
        <v>2053</v>
      </c>
      <c r="BW51" s="669">
        <f t="shared" si="5"/>
        <v>2054</v>
      </c>
      <c r="BX51" s="669">
        <f t="shared" si="5"/>
        <v>2055</v>
      </c>
      <c r="BY51" s="669">
        <f t="shared" si="5"/>
        <v>2056</v>
      </c>
      <c r="BZ51" s="669">
        <f t="shared" si="5"/>
        <v>2057</v>
      </c>
      <c r="CA51" s="669">
        <f t="shared" si="5"/>
        <v>2058</v>
      </c>
      <c r="CB51" s="669">
        <f t="shared" si="5"/>
        <v>2059</v>
      </c>
      <c r="CC51" s="669">
        <f t="shared" si="5"/>
        <v>2060</v>
      </c>
    </row>
    <row r="52" spans="1:81" x14ac:dyDescent="0.25">
      <c r="A52" s="669">
        <v>2020</v>
      </c>
      <c r="B52" s="683">
        <v>0</v>
      </c>
      <c r="AJ52" s="670" t="s">
        <v>508</v>
      </c>
      <c r="AK52" s="671"/>
      <c r="AL52" s="671"/>
      <c r="AM52" s="671"/>
      <c r="AN52" s="671"/>
      <c r="AO52" s="672">
        <f>'Maintenance Costs'!$O$15+'Maintenance Costs'!$O$18</f>
        <v>1362800</v>
      </c>
      <c r="AP52" s="672">
        <f>'Maintenance Costs'!$O$9</f>
        <v>2557400</v>
      </c>
      <c r="AQ52" s="672">
        <f>'Maintenance Costs'!$O$6+'Maintenance Costs'!$O$21</f>
        <v>1754800</v>
      </c>
      <c r="AR52" s="673"/>
      <c r="AS52" s="672">
        <f>'Maintenance Costs'!$O$12</f>
        <v>470400</v>
      </c>
      <c r="AT52" s="673"/>
      <c r="AU52" s="673"/>
      <c r="AV52" s="672">
        <f>'Maintenance Costs'!$R$15+'Maintenance Costs'!$R$18</f>
        <v>1362800</v>
      </c>
      <c r="AW52" s="672">
        <f>'Maintenance Costs'!$R$9</f>
        <v>2557400</v>
      </c>
      <c r="AX52" s="672">
        <f>'Maintenance Costs'!$R$6+'Maintenance Costs'!$R$21</f>
        <v>1754800</v>
      </c>
      <c r="AY52" s="673"/>
      <c r="AZ52" s="672">
        <f>'Maintenance Costs'!$R$12</f>
        <v>470400</v>
      </c>
      <c r="BA52" s="673"/>
      <c r="BB52" s="673"/>
      <c r="BC52" s="672">
        <f>'Maintenance Costs'!$U$15+'Maintenance Costs'!$U$18</f>
        <v>2854120</v>
      </c>
      <c r="BD52" s="672">
        <f>'Maintenance Costs'!$U$9+'Maintenance Costs'!$U$21</f>
        <v>7750180</v>
      </c>
      <c r="BE52" s="672">
        <f>'Maintenance Costs'!$U$6</f>
        <v>4114760</v>
      </c>
      <c r="BF52" s="672"/>
      <c r="BG52" s="672">
        <f>'Maintenance Costs'!$U$12</f>
        <v>940800</v>
      </c>
      <c r="BH52" s="673"/>
      <c r="BI52" s="673"/>
      <c r="BJ52" s="672">
        <f>'Maintenance Costs'!$X$15+'Maintenance Costs'!$X$18</f>
        <v>1362800</v>
      </c>
      <c r="BK52" s="672">
        <f>'Maintenance Costs'!$X$9+'Maintenance Costs'!$X$21</f>
        <v>2845400</v>
      </c>
      <c r="BL52" s="672">
        <f>'Maintenance Costs'!$X$6</f>
        <v>1466800</v>
      </c>
      <c r="BM52" s="672"/>
      <c r="BN52" s="672">
        <f>'Maintenance Costs'!$X$12</f>
        <v>470400</v>
      </c>
      <c r="BO52" s="672"/>
      <c r="BP52" s="672"/>
      <c r="BQ52" s="672">
        <f>'Maintenance Costs'!$AA$15+'Maintenance Costs'!$AA$18</f>
        <v>1362800</v>
      </c>
      <c r="BR52" s="672">
        <f>'Maintenance Costs'!$AA$9+'Maintenance Costs'!$AA$21</f>
        <v>2845400</v>
      </c>
      <c r="BS52" s="672">
        <f>'Maintenance Costs'!$AA$6</f>
        <v>1466800</v>
      </c>
      <c r="BT52" s="673"/>
      <c r="BU52" s="672">
        <f>'Maintenance Costs'!$AA$12</f>
        <v>470400</v>
      </c>
      <c r="BV52" s="673"/>
      <c r="BW52" s="673"/>
      <c r="BX52" s="672">
        <f>'Maintenance Costs'!$AD$15+'Maintenance Costs'!$AD$18</f>
        <v>1362800</v>
      </c>
      <c r="BY52" s="672">
        <f>'Maintenance Costs'!$AD$9+'Maintenance Costs'!$AD$21</f>
        <v>2845400</v>
      </c>
      <c r="BZ52" s="672">
        <f>'Maintenance Costs'!$AD$6</f>
        <v>1466800</v>
      </c>
      <c r="CA52" s="672"/>
      <c r="CB52" s="672">
        <f>'Maintenance Costs'!$AD$12</f>
        <v>470400</v>
      </c>
      <c r="CC52" s="673"/>
    </row>
    <row r="53" spans="1:81" x14ac:dyDescent="0.25">
      <c r="A53" s="669">
        <v>2021</v>
      </c>
      <c r="B53" s="683">
        <v>-376376.79999999981</v>
      </c>
      <c r="AJ53" s="670" t="s">
        <v>486</v>
      </c>
      <c r="AK53" s="672">
        <f>'Maintenance Costs'!$O$23</f>
        <v>181684</v>
      </c>
      <c r="AL53" s="672">
        <f>'Maintenance Costs'!$O$23</f>
        <v>181684</v>
      </c>
      <c r="AM53" s="672">
        <f>'Maintenance Costs'!$O$23</f>
        <v>181684</v>
      </c>
      <c r="AN53" s="672">
        <f>'Maintenance Costs'!$O$23</f>
        <v>181684</v>
      </c>
      <c r="AO53" s="672">
        <f>'Maintenance Costs'!$O$23</f>
        <v>181684</v>
      </c>
      <c r="AP53" s="672">
        <f>'Maintenance Costs'!$O$23</f>
        <v>181684</v>
      </c>
      <c r="AQ53" s="672">
        <f>'Maintenance Costs'!$O$23</f>
        <v>181684</v>
      </c>
      <c r="AR53" s="672">
        <f>'Maintenance Costs'!$O$23</f>
        <v>181684</v>
      </c>
      <c r="AS53" s="672">
        <f>'Maintenance Costs'!$O$23</f>
        <v>181684</v>
      </c>
      <c r="AT53" s="672">
        <f>'Maintenance Costs'!$O$23</f>
        <v>181684</v>
      </c>
      <c r="AU53" s="672">
        <f>'Maintenance Costs'!$O$23</f>
        <v>181684</v>
      </c>
      <c r="AV53" s="672">
        <f>'Maintenance Costs'!$O$23</f>
        <v>181684</v>
      </c>
      <c r="AW53" s="672">
        <f>'Maintenance Costs'!$O$23</f>
        <v>181684</v>
      </c>
      <c r="AX53" s="672">
        <f>'Maintenance Costs'!$O$23</f>
        <v>181684</v>
      </c>
      <c r="AY53" s="672">
        <f>'Maintenance Costs'!$O$23</f>
        <v>181684</v>
      </c>
      <c r="AZ53" s="672">
        <f>'Maintenance Costs'!$O$23</f>
        <v>181684</v>
      </c>
      <c r="BA53" s="672">
        <f>'Maintenance Costs'!$O$23</f>
        <v>181684</v>
      </c>
      <c r="BB53" s="672">
        <f>'Maintenance Costs'!$O$23</f>
        <v>181684</v>
      </c>
      <c r="BC53" s="672">
        <f>'Maintenance Costs'!$O$23</f>
        <v>181684</v>
      </c>
      <c r="BD53" s="672">
        <f>'Maintenance Costs'!$O$23</f>
        <v>181684</v>
      </c>
      <c r="BE53" s="672">
        <f>'Maintenance Costs'!$O$23</f>
        <v>181684</v>
      </c>
      <c r="BF53" s="672">
        <f>'Maintenance Costs'!$O$23</f>
        <v>181684</v>
      </c>
      <c r="BG53" s="672">
        <f>'Maintenance Costs'!$O$23</f>
        <v>181684</v>
      </c>
      <c r="BH53" s="672">
        <f>'Maintenance Costs'!$O$23</f>
        <v>181684</v>
      </c>
      <c r="BI53" s="672">
        <f>'Maintenance Costs'!$O$23</f>
        <v>181684</v>
      </c>
      <c r="BJ53" s="672">
        <f>'Maintenance Costs'!$O$23</f>
        <v>181684</v>
      </c>
      <c r="BK53" s="672">
        <f>'Maintenance Costs'!$O$23</f>
        <v>181684</v>
      </c>
      <c r="BL53" s="672">
        <f>'Maintenance Costs'!$O$23</f>
        <v>181684</v>
      </c>
      <c r="BM53" s="672">
        <f>'Maintenance Costs'!$O$23</f>
        <v>181684</v>
      </c>
      <c r="BN53" s="672">
        <f>'Maintenance Costs'!$O$23</f>
        <v>181684</v>
      </c>
      <c r="BO53" s="672">
        <f>'Maintenance Costs'!$O$23</f>
        <v>181684</v>
      </c>
      <c r="BP53" s="672">
        <f>'Maintenance Costs'!$O$23</f>
        <v>181684</v>
      </c>
      <c r="BQ53" s="672">
        <f>'Maintenance Costs'!$O$23</f>
        <v>181684</v>
      </c>
      <c r="BR53" s="672">
        <f>'Maintenance Costs'!$O$23</f>
        <v>181684</v>
      </c>
      <c r="BS53" s="672">
        <f>'Maintenance Costs'!$O$23</f>
        <v>181684</v>
      </c>
      <c r="BT53" s="672">
        <f>'Maintenance Costs'!$O$23</f>
        <v>181684</v>
      </c>
      <c r="BU53" s="672">
        <f>'Maintenance Costs'!$O$23</f>
        <v>181684</v>
      </c>
      <c r="BV53" s="672">
        <f>'Maintenance Costs'!$O$23</f>
        <v>181684</v>
      </c>
      <c r="BW53" s="672">
        <f>'Maintenance Costs'!$O$23</f>
        <v>181684</v>
      </c>
      <c r="BX53" s="672">
        <f>'Maintenance Costs'!$O$23</f>
        <v>181684</v>
      </c>
      <c r="BY53" s="672">
        <f>'Maintenance Costs'!$O$23</f>
        <v>181684</v>
      </c>
      <c r="BZ53" s="672">
        <f>'Maintenance Costs'!$O$23</f>
        <v>181684</v>
      </c>
      <c r="CA53" s="672">
        <f>'Maintenance Costs'!$O$23</f>
        <v>181684</v>
      </c>
      <c r="CB53" s="672">
        <f>'Maintenance Costs'!$O$23</f>
        <v>181684</v>
      </c>
      <c r="CC53" s="672">
        <f>'Maintenance Costs'!$O$23</f>
        <v>181684</v>
      </c>
    </row>
    <row r="54" spans="1:81" s="668" customFormat="1" x14ac:dyDescent="0.25">
      <c r="A54" s="669">
        <v>2022</v>
      </c>
      <c r="B54" s="683">
        <v>-177486.39999999991</v>
      </c>
      <c r="J54" s="674"/>
      <c r="K54" s="674"/>
      <c r="L54" s="674"/>
      <c r="M54" s="674"/>
      <c r="N54" s="674"/>
      <c r="O54" s="674"/>
      <c r="P54" s="674"/>
      <c r="Q54" s="674"/>
      <c r="R54" s="674"/>
      <c r="S54" s="674"/>
      <c r="T54" s="674"/>
      <c r="U54" s="674"/>
      <c r="V54" s="674"/>
      <c r="W54" s="675"/>
      <c r="X54" s="675"/>
      <c r="AJ54" s="676" t="s">
        <v>0</v>
      </c>
      <c r="AK54" s="677">
        <f>AK52+AK53</f>
        <v>181684</v>
      </c>
      <c r="AL54" s="677">
        <f t="shared" ref="AL54:CC54" si="6">AL52+AL53</f>
        <v>181684</v>
      </c>
      <c r="AM54" s="677">
        <f t="shared" si="6"/>
        <v>181684</v>
      </c>
      <c r="AN54" s="677">
        <f t="shared" si="6"/>
        <v>181684</v>
      </c>
      <c r="AO54" s="677">
        <f t="shared" si="6"/>
        <v>1544484</v>
      </c>
      <c r="AP54" s="677">
        <f t="shared" si="6"/>
        <v>2739084</v>
      </c>
      <c r="AQ54" s="677">
        <f t="shared" si="6"/>
        <v>1936484</v>
      </c>
      <c r="AR54" s="677">
        <f t="shared" si="6"/>
        <v>181684</v>
      </c>
      <c r="AS54" s="677">
        <f t="shared" si="6"/>
        <v>652084</v>
      </c>
      <c r="AT54" s="677">
        <f t="shared" si="6"/>
        <v>181684</v>
      </c>
      <c r="AU54" s="677">
        <f t="shared" si="6"/>
        <v>181684</v>
      </c>
      <c r="AV54" s="677">
        <f t="shared" si="6"/>
        <v>1544484</v>
      </c>
      <c r="AW54" s="677">
        <f t="shared" si="6"/>
        <v>2739084</v>
      </c>
      <c r="AX54" s="677">
        <f t="shared" si="6"/>
        <v>1936484</v>
      </c>
      <c r="AY54" s="677">
        <f t="shared" si="6"/>
        <v>181684</v>
      </c>
      <c r="AZ54" s="677">
        <f t="shared" si="6"/>
        <v>652084</v>
      </c>
      <c r="BA54" s="677">
        <f t="shared" si="6"/>
        <v>181684</v>
      </c>
      <c r="BB54" s="677">
        <f t="shared" si="6"/>
        <v>181684</v>
      </c>
      <c r="BC54" s="677">
        <f t="shared" si="6"/>
        <v>3035804</v>
      </c>
      <c r="BD54" s="677">
        <f t="shared" si="6"/>
        <v>7931864</v>
      </c>
      <c r="BE54" s="677">
        <f t="shared" si="6"/>
        <v>4296444</v>
      </c>
      <c r="BF54" s="677">
        <f t="shared" si="6"/>
        <v>181684</v>
      </c>
      <c r="BG54" s="678">
        <f t="shared" si="6"/>
        <v>1122484</v>
      </c>
      <c r="BH54" s="677">
        <f t="shared" si="6"/>
        <v>181684</v>
      </c>
      <c r="BI54" s="677">
        <f t="shared" si="6"/>
        <v>181684</v>
      </c>
      <c r="BJ54" s="678">
        <f t="shared" si="6"/>
        <v>1544484</v>
      </c>
      <c r="BK54" s="678">
        <f t="shared" si="6"/>
        <v>3027084</v>
      </c>
      <c r="BL54" s="678">
        <f t="shared" si="6"/>
        <v>1648484</v>
      </c>
      <c r="BM54" s="678">
        <f t="shared" si="6"/>
        <v>181684</v>
      </c>
      <c r="BN54" s="678">
        <f t="shared" si="6"/>
        <v>652084</v>
      </c>
      <c r="BO54" s="678">
        <f t="shared" si="6"/>
        <v>181684</v>
      </c>
      <c r="BP54" s="678">
        <f t="shared" si="6"/>
        <v>181684</v>
      </c>
      <c r="BQ54" s="678">
        <f t="shared" si="6"/>
        <v>1544484</v>
      </c>
      <c r="BR54" s="678">
        <f t="shared" si="6"/>
        <v>3027084</v>
      </c>
      <c r="BS54" s="678">
        <f t="shared" si="6"/>
        <v>1648484</v>
      </c>
      <c r="BT54" s="678">
        <f t="shared" si="6"/>
        <v>181684</v>
      </c>
      <c r="BU54" s="678">
        <f t="shared" si="6"/>
        <v>652084</v>
      </c>
      <c r="BV54" s="678">
        <f t="shared" si="6"/>
        <v>181684</v>
      </c>
      <c r="BW54" s="678">
        <f t="shared" si="6"/>
        <v>181684</v>
      </c>
      <c r="BX54" s="678">
        <f t="shared" si="6"/>
        <v>1544484</v>
      </c>
      <c r="BY54" s="678">
        <f t="shared" si="6"/>
        <v>3027084</v>
      </c>
      <c r="BZ54" s="678">
        <f t="shared" si="6"/>
        <v>1648484</v>
      </c>
      <c r="CA54" s="678">
        <f t="shared" si="6"/>
        <v>181684</v>
      </c>
      <c r="CB54" s="678">
        <f t="shared" si="6"/>
        <v>652084</v>
      </c>
      <c r="CC54" s="678">
        <f t="shared" si="6"/>
        <v>181684</v>
      </c>
    </row>
    <row r="55" spans="1:81" x14ac:dyDescent="0.25">
      <c r="A55" s="669">
        <v>2023</v>
      </c>
      <c r="B55" s="683">
        <v>-177486.40000000002</v>
      </c>
    </row>
    <row r="56" spans="1:81" ht="31.5" x14ac:dyDescent="0.5">
      <c r="A56" s="669">
        <v>2024</v>
      </c>
      <c r="B56" s="683">
        <v>-177486.40000000002</v>
      </c>
      <c r="AJ56" s="679" t="s">
        <v>309</v>
      </c>
      <c r="AK56" s="680"/>
      <c r="AL56" s="680"/>
      <c r="AM56" s="680"/>
      <c r="AN56" s="680"/>
      <c r="AO56" s="680"/>
      <c r="AP56" s="680"/>
      <c r="AQ56" s="680"/>
      <c r="AR56" s="680"/>
      <c r="AS56" s="680"/>
      <c r="AT56" s="680"/>
      <c r="AU56" s="680"/>
      <c r="AV56" s="680"/>
      <c r="AW56" s="680"/>
      <c r="AX56" s="680"/>
      <c r="AY56" s="680"/>
      <c r="AZ56" s="680"/>
      <c r="BA56" s="680"/>
      <c r="BB56" s="680"/>
      <c r="BC56" s="680"/>
      <c r="BD56" s="680"/>
      <c r="BE56" s="680"/>
      <c r="BF56" s="680"/>
      <c r="BG56" s="680"/>
      <c r="BH56" s="680"/>
      <c r="BI56" s="680"/>
      <c r="BJ56" s="680"/>
      <c r="BK56" s="680"/>
      <c r="BL56" s="680"/>
      <c r="BM56" s="680"/>
      <c r="BN56" s="680"/>
      <c r="BO56" s="680"/>
      <c r="BP56" s="680"/>
      <c r="BQ56" s="680"/>
      <c r="BR56" s="680"/>
      <c r="BS56" s="680"/>
      <c r="BT56" s="680"/>
      <c r="BU56" s="680"/>
      <c r="BV56" s="680"/>
      <c r="BW56" s="680"/>
      <c r="BX56" s="680"/>
      <c r="BY56" s="680"/>
      <c r="BZ56" s="680"/>
      <c r="CA56" s="680"/>
      <c r="CB56" s="680"/>
      <c r="CC56" s="680"/>
    </row>
    <row r="57" spans="1:81" x14ac:dyDescent="0.25">
      <c r="A57" s="669">
        <v>2025</v>
      </c>
      <c r="B57" s="683">
        <v>-177486.40000000002</v>
      </c>
    </row>
    <row r="58" spans="1:81" x14ac:dyDescent="0.25">
      <c r="A58" s="669">
        <v>2026</v>
      </c>
      <c r="B58" s="683">
        <v>-177486.40000000002</v>
      </c>
      <c r="AJ58" s="668" t="s">
        <v>325</v>
      </c>
    </row>
    <row r="59" spans="1:81" x14ac:dyDescent="0.25">
      <c r="A59" s="669">
        <v>2027</v>
      </c>
      <c r="B59" s="683">
        <v>-4864206.4000000004</v>
      </c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AK59" s="669">
        <v>2016</v>
      </c>
      <c r="AL59" s="669">
        <f>AK59+1</f>
        <v>2017</v>
      </c>
      <c r="AM59" s="669">
        <f t="shared" ref="AM59:CC59" si="7">AL59+1</f>
        <v>2018</v>
      </c>
      <c r="AN59" s="669">
        <f t="shared" si="7"/>
        <v>2019</v>
      </c>
      <c r="AO59" s="669">
        <f t="shared" si="7"/>
        <v>2020</v>
      </c>
      <c r="AP59" s="669">
        <f t="shared" si="7"/>
        <v>2021</v>
      </c>
      <c r="AQ59" s="669">
        <f t="shared" si="7"/>
        <v>2022</v>
      </c>
      <c r="AR59" s="669">
        <f t="shared" si="7"/>
        <v>2023</v>
      </c>
      <c r="AS59" s="669">
        <f t="shared" si="7"/>
        <v>2024</v>
      </c>
      <c r="AT59" s="669">
        <f t="shared" si="7"/>
        <v>2025</v>
      </c>
      <c r="AU59" s="669">
        <f t="shared" si="7"/>
        <v>2026</v>
      </c>
      <c r="AV59" s="669">
        <f t="shared" si="7"/>
        <v>2027</v>
      </c>
      <c r="AW59" s="669">
        <f t="shared" si="7"/>
        <v>2028</v>
      </c>
      <c r="AX59" s="669">
        <f t="shared" si="7"/>
        <v>2029</v>
      </c>
      <c r="AY59" s="669">
        <f t="shared" si="7"/>
        <v>2030</v>
      </c>
      <c r="AZ59" s="669">
        <f t="shared" si="7"/>
        <v>2031</v>
      </c>
      <c r="BA59" s="669">
        <f t="shared" si="7"/>
        <v>2032</v>
      </c>
      <c r="BB59" s="669">
        <f t="shared" si="7"/>
        <v>2033</v>
      </c>
      <c r="BC59" s="669">
        <f t="shared" si="7"/>
        <v>2034</v>
      </c>
      <c r="BD59" s="669">
        <f t="shared" si="7"/>
        <v>2035</v>
      </c>
      <c r="BE59" s="669">
        <f t="shared" si="7"/>
        <v>2036</v>
      </c>
      <c r="BF59" s="669">
        <f t="shared" si="7"/>
        <v>2037</v>
      </c>
      <c r="BG59" s="669">
        <f t="shared" si="7"/>
        <v>2038</v>
      </c>
      <c r="BH59" s="669">
        <f t="shared" si="7"/>
        <v>2039</v>
      </c>
      <c r="BI59" s="669">
        <f t="shared" si="7"/>
        <v>2040</v>
      </c>
      <c r="BJ59" s="669">
        <f t="shared" si="7"/>
        <v>2041</v>
      </c>
      <c r="BK59" s="669">
        <f t="shared" si="7"/>
        <v>2042</v>
      </c>
      <c r="BL59" s="669">
        <f t="shared" si="7"/>
        <v>2043</v>
      </c>
      <c r="BM59" s="669">
        <f t="shared" si="7"/>
        <v>2044</v>
      </c>
      <c r="BN59" s="669">
        <f t="shared" si="7"/>
        <v>2045</v>
      </c>
      <c r="BO59" s="669">
        <f t="shared" si="7"/>
        <v>2046</v>
      </c>
      <c r="BP59" s="669">
        <f t="shared" si="7"/>
        <v>2047</v>
      </c>
      <c r="BQ59" s="669">
        <f t="shared" si="7"/>
        <v>2048</v>
      </c>
      <c r="BR59" s="669">
        <f t="shared" si="7"/>
        <v>2049</v>
      </c>
      <c r="BS59" s="669">
        <f t="shared" si="7"/>
        <v>2050</v>
      </c>
      <c r="BT59" s="669">
        <f t="shared" si="7"/>
        <v>2051</v>
      </c>
      <c r="BU59" s="669">
        <f t="shared" si="7"/>
        <v>2052</v>
      </c>
      <c r="BV59" s="669">
        <f t="shared" si="7"/>
        <v>2053</v>
      </c>
      <c r="BW59" s="669">
        <f t="shared" si="7"/>
        <v>2054</v>
      </c>
      <c r="BX59" s="669">
        <f t="shared" si="7"/>
        <v>2055</v>
      </c>
      <c r="BY59" s="669">
        <f t="shared" si="7"/>
        <v>2056</v>
      </c>
      <c r="BZ59" s="669">
        <f t="shared" si="7"/>
        <v>2057</v>
      </c>
      <c r="CA59" s="669">
        <f t="shared" si="7"/>
        <v>2058</v>
      </c>
      <c r="CB59" s="669">
        <f t="shared" si="7"/>
        <v>2059</v>
      </c>
      <c r="CC59" s="669">
        <f t="shared" si="7"/>
        <v>2060</v>
      </c>
    </row>
    <row r="60" spans="1:81" x14ac:dyDescent="0.25">
      <c r="A60" s="669">
        <v>2028</v>
      </c>
      <c r="B60" s="683">
        <v>-177486.39999999991</v>
      </c>
      <c r="AJ60" s="670" t="s">
        <v>508</v>
      </c>
      <c r="AK60" s="671"/>
      <c r="AL60" s="671"/>
      <c r="AM60" s="671"/>
      <c r="AN60" s="671"/>
      <c r="AO60" s="672">
        <f>'Maintenance Costs'!$O$15+'Maintenance Costs'!$O$18</f>
        <v>1362800</v>
      </c>
      <c r="AP60" s="672">
        <f>'Maintenance Costs'!$O$9</f>
        <v>2557400</v>
      </c>
      <c r="AQ60" s="672">
        <f>'Maintenance Costs'!$O$6+'Maintenance Costs'!$O$21</f>
        <v>1754800</v>
      </c>
      <c r="AR60" s="673"/>
      <c r="AS60" s="672">
        <f>'Maintenance Costs'!$O$12</f>
        <v>470400</v>
      </c>
      <c r="AT60" s="673"/>
      <c r="AU60" s="673"/>
      <c r="AV60" s="672">
        <f>'Maintenance Costs'!$R$15+'Maintenance Costs'!$R$18</f>
        <v>1362800</v>
      </c>
      <c r="AW60" s="672">
        <f>'Maintenance Costs'!$R$9</f>
        <v>2557400</v>
      </c>
      <c r="AX60" s="672">
        <f>'Maintenance Costs'!$R$6+'Maintenance Costs'!$R$21</f>
        <v>1754800</v>
      </c>
      <c r="AY60" s="673"/>
      <c r="AZ60" s="672">
        <f>'Maintenance Costs'!$R$12</f>
        <v>470400</v>
      </c>
      <c r="BA60" s="673"/>
      <c r="BB60" s="673"/>
      <c r="BC60" s="672">
        <f>'Maintenance Costs'!$U$15+'Maintenance Costs'!$U$18</f>
        <v>2854120</v>
      </c>
      <c r="BD60" s="672">
        <f>'Maintenance Costs'!$U$9+'Maintenance Costs'!$U$21</f>
        <v>7750180</v>
      </c>
      <c r="BE60" s="672">
        <f>'Maintenance Costs'!$U$6</f>
        <v>4114760</v>
      </c>
      <c r="BF60" s="672"/>
      <c r="BG60" s="672">
        <f>'Maintenance Costs'!$U$12</f>
        <v>940800</v>
      </c>
      <c r="BH60" s="673"/>
      <c r="BI60" s="673"/>
      <c r="BJ60" s="672">
        <f>'Maintenance Costs'!$X$15+'Maintenance Costs'!$X$18</f>
        <v>1362800</v>
      </c>
      <c r="BK60" s="672">
        <f>'Maintenance Costs'!$X$9+'Maintenance Costs'!$X$21</f>
        <v>2845400</v>
      </c>
      <c r="BL60" s="672">
        <f>'Maintenance Costs'!$X$6</f>
        <v>1466800</v>
      </c>
      <c r="BM60" s="672"/>
      <c r="BN60" s="672">
        <f>'Maintenance Costs'!$X$12</f>
        <v>470400</v>
      </c>
      <c r="BO60" s="672"/>
      <c r="BP60" s="672"/>
      <c r="BQ60" s="672">
        <f>'Maintenance Costs'!$AA$15+'Maintenance Costs'!$AA$18</f>
        <v>1362800</v>
      </c>
      <c r="BR60" s="672">
        <f>'Maintenance Costs'!$AA$9+'Maintenance Costs'!$AA$21</f>
        <v>2845400</v>
      </c>
      <c r="BS60" s="672">
        <f>'Maintenance Costs'!$AA$6</f>
        <v>1466800</v>
      </c>
      <c r="BT60" s="673"/>
      <c r="BU60" s="672">
        <f>'Maintenance Costs'!$AA$12</f>
        <v>470400</v>
      </c>
      <c r="BV60" s="673"/>
      <c r="BW60" s="673"/>
      <c r="BX60" s="672">
        <f>'Maintenance Costs'!$AD$15+'Maintenance Costs'!$AD$18</f>
        <v>1362800</v>
      </c>
      <c r="BY60" s="672">
        <f>'Maintenance Costs'!$AD$9+'Maintenance Costs'!$AD$21</f>
        <v>2845400</v>
      </c>
      <c r="BZ60" s="672">
        <f>'Maintenance Costs'!$AD$6</f>
        <v>1466800</v>
      </c>
      <c r="CA60" s="672"/>
      <c r="CB60" s="672">
        <f>'Maintenance Costs'!$AD$12</f>
        <v>470400</v>
      </c>
      <c r="CC60" s="673"/>
    </row>
    <row r="61" spans="1:81" x14ac:dyDescent="0.25">
      <c r="A61" s="669">
        <v>2029</v>
      </c>
      <c r="B61" s="683">
        <v>-177486.39999999991</v>
      </c>
      <c r="AJ61" s="670" t="s">
        <v>486</v>
      </c>
      <c r="AK61" s="672">
        <f>'Maintenance Costs'!$O$23</f>
        <v>181684</v>
      </c>
      <c r="AL61" s="672">
        <f>'Maintenance Costs'!$O$23</f>
        <v>181684</v>
      </c>
      <c r="AM61" s="672">
        <f>'Maintenance Costs'!$O$23</f>
        <v>181684</v>
      </c>
      <c r="AN61" s="672">
        <f>'Maintenance Costs'!$O$23</f>
        <v>181684</v>
      </c>
      <c r="AO61" s="672">
        <f>'Maintenance Costs'!$O$23</f>
        <v>181684</v>
      </c>
      <c r="AP61" s="672">
        <f>'Maintenance Costs'!$O$23</f>
        <v>181684</v>
      </c>
      <c r="AQ61" s="672">
        <f>'Maintenance Costs'!$O$23</f>
        <v>181684</v>
      </c>
      <c r="AR61" s="672">
        <f>'Maintenance Costs'!$O$23</f>
        <v>181684</v>
      </c>
      <c r="AS61" s="672">
        <f>'Maintenance Costs'!$O$23</f>
        <v>181684</v>
      </c>
      <c r="AT61" s="672">
        <f>'Maintenance Costs'!$O$23</f>
        <v>181684</v>
      </c>
      <c r="AU61" s="672">
        <f>'Maintenance Costs'!$O$23</f>
        <v>181684</v>
      </c>
      <c r="AV61" s="672">
        <f>'Maintenance Costs'!$O$23</f>
        <v>181684</v>
      </c>
      <c r="AW61" s="672">
        <f>'Maintenance Costs'!$O$23</f>
        <v>181684</v>
      </c>
      <c r="AX61" s="672">
        <f>'Maintenance Costs'!$O$23</f>
        <v>181684</v>
      </c>
      <c r="AY61" s="672">
        <f>'Maintenance Costs'!$O$23</f>
        <v>181684</v>
      </c>
      <c r="AZ61" s="672">
        <f>'Maintenance Costs'!$O$23</f>
        <v>181684</v>
      </c>
      <c r="BA61" s="672">
        <f>'Maintenance Costs'!$O$23</f>
        <v>181684</v>
      </c>
      <c r="BB61" s="672">
        <f>'Maintenance Costs'!$O$23</f>
        <v>181684</v>
      </c>
      <c r="BC61" s="672">
        <f>'Maintenance Costs'!$O$23</f>
        <v>181684</v>
      </c>
      <c r="BD61" s="672">
        <f>'Maintenance Costs'!$O$23</f>
        <v>181684</v>
      </c>
      <c r="BE61" s="672">
        <f>'Maintenance Costs'!$O$23</f>
        <v>181684</v>
      </c>
      <c r="BF61" s="672">
        <f>'Maintenance Costs'!$O$23</f>
        <v>181684</v>
      </c>
      <c r="BG61" s="672">
        <f>'Maintenance Costs'!$O$23</f>
        <v>181684</v>
      </c>
      <c r="BH61" s="672">
        <f>'Maintenance Costs'!$O$23</f>
        <v>181684</v>
      </c>
      <c r="BI61" s="672">
        <f>'Maintenance Costs'!$O$23</f>
        <v>181684</v>
      </c>
      <c r="BJ61" s="672">
        <f>'Maintenance Costs'!$O$23</f>
        <v>181684</v>
      </c>
      <c r="BK61" s="672">
        <f>'Maintenance Costs'!$O$23</f>
        <v>181684</v>
      </c>
      <c r="BL61" s="672">
        <f>'Maintenance Costs'!$O$23</f>
        <v>181684</v>
      </c>
      <c r="BM61" s="672">
        <f>'Maintenance Costs'!$O$23</f>
        <v>181684</v>
      </c>
      <c r="BN61" s="672">
        <f>'Maintenance Costs'!$O$23</f>
        <v>181684</v>
      </c>
      <c r="BO61" s="672">
        <f>'Maintenance Costs'!$O$23</f>
        <v>181684</v>
      </c>
      <c r="BP61" s="672">
        <f>'Maintenance Costs'!$O$23</f>
        <v>181684</v>
      </c>
      <c r="BQ61" s="672">
        <f>'Maintenance Costs'!$O$23</f>
        <v>181684</v>
      </c>
      <c r="BR61" s="672">
        <f>'Maintenance Costs'!$O$23</f>
        <v>181684</v>
      </c>
      <c r="BS61" s="672">
        <f>'Maintenance Costs'!$O$23</f>
        <v>181684</v>
      </c>
      <c r="BT61" s="672">
        <f>'Maintenance Costs'!$O$23</f>
        <v>181684</v>
      </c>
      <c r="BU61" s="672">
        <f>'Maintenance Costs'!$O$23</f>
        <v>181684</v>
      </c>
      <c r="BV61" s="672">
        <f>'Maintenance Costs'!$O$23</f>
        <v>181684</v>
      </c>
      <c r="BW61" s="672">
        <f>'Maintenance Costs'!$O$23</f>
        <v>181684</v>
      </c>
      <c r="BX61" s="672">
        <f>'Maintenance Costs'!$O$23</f>
        <v>181684</v>
      </c>
      <c r="BY61" s="672">
        <f>'Maintenance Costs'!$O$23</f>
        <v>181684</v>
      </c>
      <c r="BZ61" s="672">
        <f>'Maintenance Costs'!$O$23</f>
        <v>181684</v>
      </c>
      <c r="CA61" s="672">
        <f>'Maintenance Costs'!$O$23</f>
        <v>181684</v>
      </c>
      <c r="CB61" s="672">
        <f>'Maintenance Costs'!$O$23</f>
        <v>181684</v>
      </c>
      <c r="CC61" s="672">
        <f>'Maintenance Costs'!$O$23</f>
        <v>181684</v>
      </c>
    </row>
    <row r="62" spans="1:81" s="668" customFormat="1" x14ac:dyDescent="0.25">
      <c r="A62" s="669">
        <v>2030</v>
      </c>
      <c r="B62" s="683">
        <v>-177486.40000000002</v>
      </c>
      <c r="J62" s="674"/>
      <c r="K62" s="674"/>
      <c r="L62" s="674"/>
      <c r="M62" s="674"/>
      <c r="N62" s="674"/>
      <c r="O62" s="674"/>
      <c r="P62" s="674"/>
      <c r="Q62" s="674"/>
      <c r="R62" s="674"/>
      <c r="S62" s="674"/>
      <c r="T62" s="674"/>
      <c r="U62" s="674"/>
      <c r="V62" s="674"/>
      <c r="W62" s="675"/>
      <c r="X62" s="675"/>
      <c r="AJ62" s="676" t="s">
        <v>0</v>
      </c>
      <c r="AK62" s="677">
        <f>AK60+AK61</f>
        <v>181684</v>
      </c>
      <c r="AL62" s="677">
        <f t="shared" ref="AL62:CC62" si="8">AL60+AL61</f>
        <v>181684</v>
      </c>
      <c r="AM62" s="677">
        <f t="shared" si="8"/>
        <v>181684</v>
      </c>
      <c r="AN62" s="677">
        <f t="shared" si="8"/>
        <v>181684</v>
      </c>
      <c r="AO62" s="677">
        <f t="shared" si="8"/>
        <v>1544484</v>
      </c>
      <c r="AP62" s="677">
        <f t="shared" si="8"/>
        <v>2739084</v>
      </c>
      <c r="AQ62" s="677">
        <f t="shared" si="8"/>
        <v>1936484</v>
      </c>
      <c r="AR62" s="677">
        <f t="shared" si="8"/>
        <v>181684</v>
      </c>
      <c r="AS62" s="677">
        <f t="shared" si="8"/>
        <v>652084</v>
      </c>
      <c r="AT62" s="677">
        <f t="shared" si="8"/>
        <v>181684</v>
      </c>
      <c r="AU62" s="677">
        <f t="shared" si="8"/>
        <v>181684</v>
      </c>
      <c r="AV62" s="677">
        <f t="shared" si="8"/>
        <v>1544484</v>
      </c>
      <c r="AW62" s="677">
        <f t="shared" si="8"/>
        <v>2739084</v>
      </c>
      <c r="AX62" s="677">
        <f t="shared" si="8"/>
        <v>1936484</v>
      </c>
      <c r="AY62" s="677">
        <f t="shared" si="8"/>
        <v>181684</v>
      </c>
      <c r="AZ62" s="677">
        <f t="shared" si="8"/>
        <v>652084</v>
      </c>
      <c r="BA62" s="677">
        <f t="shared" si="8"/>
        <v>181684</v>
      </c>
      <c r="BB62" s="677">
        <f t="shared" si="8"/>
        <v>181684</v>
      </c>
      <c r="BC62" s="677">
        <f t="shared" si="8"/>
        <v>3035804</v>
      </c>
      <c r="BD62" s="677">
        <f t="shared" si="8"/>
        <v>7931864</v>
      </c>
      <c r="BE62" s="677">
        <f t="shared" si="8"/>
        <v>4296444</v>
      </c>
      <c r="BF62" s="677">
        <f t="shared" si="8"/>
        <v>181684</v>
      </c>
      <c r="BG62" s="678">
        <f t="shared" si="8"/>
        <v>1122484</v>
      </c>
      <c r="BH62" s="677">
        <f t="shared" si="8"/>
        <v>181684</v>
      </c>
      <c r="BI62" s="677">
        <f t="shared" si="8"/>
        <v>181684</v>
      </c>
      <c r="BJ62" s="678">
        <f t="shared" si="8"/>
        <v>1544484</v>
      </c>
      <c r="BK62" s="678">
        <f t="shared" si="8"/>
        <v>3027084</v>
      </c>
      <c r="BL62" s="678">
        <f t="shared" si="8"/>
        <v>1648484</v>
      </c>
      <c r="BM62" s="678">
        <f t="shared" si="8"/>
        <v>181684</v>
      </c>
      <c r="BN62" s="678">
        <f t="shared" si="8"/>
        <v>652084</v>
      </c>
      <c r="BO62" s="678">
        <f t="shared" si="8"/>
        <v>181684</v>
      </c>
      <c r="BP62" s="678">
        <f t="shared" si="8"/>
        <v>181684</v>
      </c>
      <c r="BQ62" s="678">
        <f t="shared" si="8"/>
        <v>1544484</v>
      </c>
      <c r="BR62" s="678">
        <f t="shared" si="8"/>
        <v>3027084</v>
      </c>
      <c r="BS62" s="678">
        <f t="shared" si="8"/>
        <v>1648484</v>
      </c>
      <c r="BT62" s="678">
        <f t="shared" si="8"/>
        <v>181684</v>
      </c>
      <c r="BU62" s="678">
        <f t="shared" si="8"/>
        <v>652084</v>
      </c>
      <c r="BV62" s="678">
        <f t="shared" si="8"/>
        <v>181684</v>
      </c>
      <c r="BW62" s="678">
        <f t="shared" si="8"/>
        <v>181684</v>
      </c>
      <c r="BX62" s="678">
        <f t="shared" si="8"/>
        <v>1544484</v>
      </c>
      <c r="BY62" s="678">
        <f t="shared" si="8"/>
        <v>3027084</v>
      </c>
      <c r="BZ62" s="678">
        <f t="shared" si="8"/>
        <v>1648484</v>
      </c>
      <c r="CA62" s="678">
        <f t="shared" si="8"/>
        <v>181684</v>
      </c>
      <c r="CB62" s="678">
        <f t="shared" si="8"/>
        <v>652084</v>
      </c>
      <c r="CC62" s="678">
        <f t="shared" si="8"/>
        <v>181684</v>
      </c>
    </row>
    <row r="63" spans="1:81" x14ac:dyDescent="0.25">
      <c r="A63" s="669">
        <v>2031</v>
      </c>
      <c r="B63" s="683">
        <v>-177486.40000000002</v>
      </c>
    </row>
    <row r="64" spans="1:81" x14ac:dyDescent="0.25">
      <c r="A64" s="669">
        <v>2032</v>
      </c>
      <c r="B64" s="683">
        <v>-177486.40000000002</v>
      </c>
      <c r="AJ64" s="668" t="s">
        <v>509</v>
      </c>
    </row>
    <row r="65" spans="1:81" x14ac:dyDescent="0.25">
      <c r="A65" s="669">
        <v>2033</v>
      </c>
      <c r="B65" s="683">
        <v>-177486.40000000002</v>
      </c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AK65" s="669">
        <v>2016</v>
      </c>
      <c r="AL65" s="669">
        <f>AK65+1</f>
        <v>2017</v>
      </c>
      <c r="AM65" s="669">
        <f t="shared" ref="AM65:CC65" si="9">AL65+1</f>
        <v>2018</v>
      </c>
      <c r="AN65" s="669">
        <f t="shared" si="9"/>
        <v>2019</v>
      </c>
      <c r="AO65" s="669">
        <f t="shared" si="9"/>
        <v>2020</v>
      </c>
      <c r="AP65" s="669">
        <f t="shared" si="9"/>
        <v>2021</v>
      </c>
      <c r="AQ65" s="669">
        <f t="shared" si="9"/>
        <v>2022</v>
      </c>
      <c r="AR65" s="669">
        <f t="shared" si="9"/>
        <v>2023</v>
      </c>
      <c r="AS65" s="669">
        <f t="shared" si="9"/>
        <v>2024</v>
      </c>
      <c r="AT65" s="669">
        <f t="shared" si="9"/>
        <v>2025</v>
      </c>
      <c r="AU65" s="669">
        <f t="shared" si="9"/>
        <v>2026</v>
      </c>
      <c r="AV65" s="669">
        <f t="shared" si="9"/>
        <v>2027</v>
      </c>
      <c r="AW65" s="669">
        <f t="shared" si="9"/>
        <v>2028</v>
      </c>
      <c r="AX65" s="669">
        <f t="shared" si="9"/>
        <v>2029</v>
      </c>
      <c r="AY65" s="669">
        <f t="shared" si="9"/>
        <v>2030</v>
      </c>
      <c r="AZ65" s="669">
        <f t="shared" si="9"/>
        <v>2031</v>
      </c>
      <c r="BA65" s="669">
        <f t="shared" si="9"/>
        <v>2032</v>
      </c>
      <c r="BB65" s="669">
        <f t="shared" si="9"/>
        <v>2033</v>
      </c>
      <c r="BC65" s="669">
        <f t="shared" si="9"/>
        <v>2034</v>
      </c>
      <c r="BD65" s="669">
        <f t="shared" si="9"/>
        <v>2035</v>
      </c>
      <c r="BE65" s="669">
        <f t="shared" si="9"/>
        <v>2036</v>
      </c>
      <c r="BF65" s="669">
        <f t="shared" si="9"/>
        <v>2037</v>
      </c>
      <c r="BG65" s="669">
        <f t="shared" si="9"/>
        <v>2038</v>
      </c>
      <c r="BH65" s="669">
        <f t="shared" si="9"/>
        <v>2039</v>
      </c>
      <c r="BI65" s="669">
        <f t="shared" si="9"/>
        <v>2040</v>
      </c>
      <c r="BJ65" s="669">
        <f t="shared" si="9"/>
        <v>2041</v>
      </c>
      <c r="BK65" s="669">
        <f t="shared" si="9"/>
        <v>2042</v>
      </c>
      <c r="BL65" s="669">
        <f t="shared" si="9"/>
        <v>2043</v>
      </c>
      <c r="BM65" s="669">
        <f t="shared" si="9"/>
        <v>2044</v>
      </c>
      <c r="BN65" s="669">
        <f t="shared" si="9"/>
        <v>2045</v>
      </c>
      <c r="BO65" s="669">
        <f t="shared" si="9"/>
        <v>2046</v>
      </c>
      <c r="BP65" s="669">
        <f t="shared" si="9"/>
        <v>2047</v>
      </c>
      <c r="BQ65" s="669">
        <f t="shared" si="9"/>
        <v>2048</v>
      </c>
      <c r="BR65" s="669">
        <f t="shared" si="9"/>
        <v>2049</v>
      </c>
      <c r="BS65" s="669">
        <f t="shared" si="9"/>
        <v>2050</v>
      </c>
      <c r="BT65" s="669">
        <f t="shared" si="9"/>
        <v>2051</v>
      </c>
      <c r="BU65" s="669">
        <f t="shared" si="9"/>
        <v>2052</v>
      </c>
      <c r="BV65" s="669">
        <f t="shared" si="9"/>
        <v>2053</v>
      </c>
      <c r="BW65" s="669">
        <f t="shared" si="9"/>
        <v>2054</v>
      </c>
      <c r="BX65" s="669">
        <f t="shared" si="9"/>
        <v>2055</v>
      </c>
      <c r="BY65" s="669">
        <f t="shared" si="9"/>
        <v>2056</v>
      </c>
      <c r="BZ65" s="669">
        <f t="shared" si="9"/>
        <v>2057</v>
      </c>
      <c r="CA65" s="669">
        <f t="shared" si="9"/>
        <v>2058</v>
      </c>
      <c r="CB65" s="669">
        <f t="shared" si="9"/>
        <v>2059</v>
      </c>
      <c r="CC65" s="669">
        <f t="shared" si="9"/>
        <v>2060</v>
      </c>
    </row>
    <row r="66" spans="1:81" x14ac:dyDescent="0.25">
      <c r="A66" s="669">
        <v>2034</v>
      </c>
      <c r="B66" s="683">
        <v>-4864206.4000000004</v>
      </c>
      <c r="AJ66" s="670" t="s">
        <v>510</v>
      </c>
      <c r="AK66" s="671"/>
      <c r="AL66" s="671"/>
      <c r="AM66" s="671"/>
      <c r="AN66" s="671"/>
      <c r="AO66" s="671"/>
      <c r="AP66" s="672">
        <f>'Maintenance Costs'!$O$33</f>
        <v>198890.4</v>
      </c>
      <c r="AQ66" s="672"/>
      <c r="AR66" s="672"/>
      <c r="AS66" s="672"/>
      <c r="AT66" s="672"/>
      <c r="AU66" s="672"/>
      <c r="AV66" s="672">
        <f>'Maintenance Costs'!$O$30</f>
        <v>4686720</v>
      </c>
      <c r="AW66" s="672"/>
      <c r="AX66" s="672"/>
      <c r="AY66" s="672"/>
      <c r="AZ66" s="672"/>
      <c r="BA66" s="672"/>
      <c r="BB66" s="672"/>
      <c r="BC66" s="672">
        <f>'Maintenance Costs'!$R$30</f>
        <v>4686720</v>
      </c>
      <c r="BD66" s="672"/>
      <c r="BE66" s="672"/>
      <c r="BF66" s="672"/>
      <c r="BG66" s="672"/>
      <c r="BH66" s="672"/>
      <c r="BI66" s="672">
        <f>'Maintenance Costs'!$R$33</f>
        <v>759476</v>
      </c>
      <c r="BJ66" s="672">
        <f>'Maintenance Costs'!$U$30</f>
        <v>9373440</v>
      </c>
      <c r="BK66" s="672"/>
      <c r="BL66" s="672"/>
      <c r="BM66" s="672"/>
      <c r="BN66" s="672"/>
      <c r="BO66" s="672"/>
      <c r="BP66" s="672"/>
      <c r="BQ66" s="672">
        <f>'Maintenance Costs'!$X$30</f>
        <v>4686720</v>
      </c>
      <c r="BR66" s="672"/>
      <c r="BS66" s="672"/>
      <c r="BT66" s="672"/>
      <c r="BU66" s="672"/>
      <c r="BV66" s="672"/>
      <c r="BW66" s="672"/>
      <c r="BX66" s="672">
        <f>'Maintenance Costs'!$AA$30</f>
        <v>4686720</v>
      </c>
      <c r="BY66" s="672"/>
      <c r="BZ66" s="672"/>
      <c r="CA66" s="672"/>
      <c r="CB66" s="672"/>
      <c r="CC66" s="672">
        <f>'Maintenance Costs'!$U$33</f>
        <v>759476</v>
      </c>
    </row>
    <row r="67" spans="1:81" x14ac:dyDescent="0.25">
      <c r="A67" s="669">
        <v>2035</v>
      </c>
      <c r="B67" s="683">
        <v>-177486.40000000037</v>
      </c>
      <c r="AJ67" s="670" t="s">
        <v>486</v>
      </c>
      <c r="AK67" s="671"/>
      <c r="AL67" s="671"/>
      <c r="AM67" s="671"/>
      <c r="AN67" s="671"/>
      <c r="AO67" s="671"/>
      <c r="AP67" s="672">
        <f>'Maintenance Costs'!$O$35</f>
        <v>177486.4</v>
      </c>
      <c r="AQ67" s="672">
        <f>'Maintenance Costs'!$O$35</f>
        <v>177486.4</v>
      </c>
      <c r="AR67" s="672">
        <f>'Maintenance Costs'!$O$35</f>
        <v>177486.4</v>
      </c>
      <c r="AS67" s="672">
        <f>'Maintenance Costs'!$O$35</f>
        <v>177486.4</v>
      </c>
      <c r="AT67" s="672">
        <f>'Maintenance Costs'!$O$35</f>
        <v>177486.4</v>
      </c>
      <c r="AU67" s="672">
        <f>'Maintenance Costs'!$O$35</f>
        <v>177486.4</v>
      </c>
      <c r="AV67" s="672">
        <f>'Maintenance Costs'!$O$35</f>
        <v>177486.4</v>
      </c>
      <c r="AW67" s="672">
        <f>'Maintenance Costs'!$O$35</f>
        <v>177486.4</v>
      </c>
      <c r="AX67" s="672">
        <f>'Maintenance Costs'!$O$35</f>
        <v>177486.4</v>
      </c>
      <c r="AY67" s="672">
        <f>'Maintenance Costs'!$O$35</f>
        <v>177486.4</v>
      </c>
      <c r="AZ67" s="672">
        <f>'Maintenance Costs'!$O$35</f>
        <v>177486.4</v>
      </c>
      <c r="BA67" s="672">
        <f>'Maintenance Costs'!$O$35</f>
        <v>177486.4</v>
      </c>
      <c r="BB67" s="672">
        <f>'Maintenance Costs'!$O$35</f>
        <v>177486.4</v>
      </c>
      <c r="BC67" s="672">
        <f>'Maintenance Costs'!$O$35</f>
        <v>177486.4</v>
      </c>
      <c r="BD67" s="672">
        <f>'Maintenance Costs'!$O$35</f>
        <v>177486.4</v>
      </c>
      <c r="BE67" s="672">
        <f>'Maintenance Costs'!$O$35</f>
        <v>177486.4</v>
      </c>
      <c r="BF67" s="672">
        <f>'Maintenance Costs'!$O$35</f>
        <v>177486.4</v>
      </c>
      <c r="BG67" s="672">
        <f>'Maintenance Costs'!$O$35</f>
        <v>177486.4</v>
      </c>
      <c r="BH67" s="672">
        <f>'Maintenance Costs'!$O$35</f>
        <v>177486.4</v>
      </c>
      <c r="BI67" s="672">
        <f>'Maintenance Costs'!$O$35</f>
        <v>177486.4</v>
      </c>
      <c r="BJ67" s="672">
        <f>'Maintenance Costs'!$O$35</f>
        <v>177486.4</v>
      </c>
      <c r="BK67" s="672">
        <f>'Maintenance Costs'!$O$35</f>
        <v>177486.4</v>
      </c>
      <c r="BL67" s="672">
        <f>'Maintenance Costs'!$O$35</f>
        <v>177486.4</v>
      </c>
      <c r="BM67" s="672">
        <f>'Maintenance Costs'!$O$35</f>
        <v>177486.4</v>
      </c>
      <c r="BN67" s="672">
        <f>'Maintenance Costs'!$O$35</f>
        <v>177486.4</v>
      </c>
      <c r="BO67" s="672">
        <f>'Maintenance Costs'!$O$35</f>
        <v>177486.4</v>
      </c>
      <c r="BP67" s="672">
        <f>'Maintenance Costs'!$O$35</f>
        <v>177486.4</v>
      </c>
      <c r="BQ67" s="672">
        <f>'Maintenance Costs'!$O$35</f>
        <v>177486.4</v>
      </c>
      <c r="BR67" s="672">
        <f>'Maintenance Costs'!$O$35</f>
        <v>177486.4</v>
      </c>
      <c r="BS67" s="672">
        <f>'Maintenance Costs'!$O$35</f>
        <v>177486.4</v>
      </c>
      <c r="BT67" s="672">
        <f>'Maintenance Costs'!$O$35</f>
        <v>177486.4</v>
      </c>
      <c r="BU67" s="672">
        <f>'Maintenance Costs'!$O$35</f>
        <v>177486.4</v>
      </c>
      <c r="BV67" s="672">
        <f>'Maintenance Costs'!$O$35</f>
        <v>177486.4</v>
      </c>
      <c r="BW67" s="672">
        <f>'Maintenance Costs'!$O$35</f>
        <v>177486.4</v>
      </c>
      <c r="BX67" s="672">
        <f>'Maintenance Costs'!$O$35</f>
        <v>177486.4</v>
      </c>
      <c r="BY67" s="672">
        <f>'Maintenance Costs'!$O$35</f>
        <v>177486.4</v>
      </c>
      <c r="BZ67" s="672">
        <f>'Maintenance Costs'!$O$35</f>
        <v>177486.4</v>
      </c>
      <c r="CA67" s="672">
        <f>'Maintenance Costs'!$O$35</f>
        <v>177486.4</v>
      </c>
      <c r="CB67" s="672">
        <f>'Maintenance Costs'!$O$35</f>
        <v>177486.4</v>
      </c>
      <c r="CC67" s="672">
        <f>'Maintenance Costs'!$O$35</f>
        <v>177486.4</v>
      </c>
    </row>
    <row r="68" spans="1:81" s="668" customFormat="1" x14ac:dyDescent="0.25">
      <c r="A68" s="669">
        <v>2036</v>
      </c>
      <c r="B68" s="683">
        <v>-177486.40000000037</v>
      </c>
      <c r="J68" s="674"/>
      <c r="K68" s="674"/>
      <c r="L68" s="674"/>
      <c r="M68" s="674"/>
      <c r="N68" s="674"/>
      <c r="O68" s="674"/>
      <c r="P68" s="674"/>
      <c r="Q68" s="674"/>
      <c r="R68" s="674"/>
      <c r="S68" s="674"/>
      <c r="T68" s="674"/>
      <c r="U68" s="674"/>
      <c r="V68" s="674"/>
      <c r="W68" s="675"/>
      <c r="X68" s="675"/>
      <c r="AJ68" s="676" t="s">
        <v>0</v>
      </c>
      <c r="AK68" s="681">
        <f>AK66+AK67</f>
        <v>0</v>
      </c>
      <c r="AL68" s="681">
        <f t="shared" ref="AL68:CC68" si="10">AL66+AL67</f>
        <v>0</v>
      </c>
      <c r="AM68" s="681">
        <f t="shared" si="10"/>
        <v>0</v>
      </c>
      <c r="AN68" s="681">
        <f t="shared" si="10"/>
        <v>0</v>
      </c>
      <c r="AO68" s="681">
        <f t="shared" si="10"/>
        <v>0</v>
      </c>
      <c r="AP68" s="681">
        <f t="shared" si="10"/>
        <v>376376.8</v>
      </c>
      <c r="AQ68" s="681">
        <f t="shared" si="10"/>
        <v>177486.4</v>
      </c>
      <c r="AR68" s="681">
        <f t="shared" si="10"/>
        <v>177486.4</v>
      </c>
      <c r="AS68" s="681">
        <f t="shared" si="10"/>
        <v>177486.4</v>
      </c>
      <c r="AT68" s="681">
        <f t="shared" si="10"/>
        <v>177486.4</v>
      </c>
      <c r="AU68" s="681">
        <f t="shared" si="10"/>
        <v>177486.4</v>
      </c>
      <c r="AV68" s="681">
        <f t="shared" si="10"/>
        <v>4864206.4000000004</v>
      </c>
      <c r="AW68" s="681">
        <f t="shared" si="10"/>
        <v>177486.4</v>
      </c>
      <c r="AX68" s="681">
        <f t="shared" si="10"/>
        <v>177486.4</v>
      </c>
      <c r="AY68" s="681">
        <f t="shared" si="10"/>
        <v>177486.4</v>
      </c>
      <c r="AZ68" s="681">
        <f t="shared" si="10"/>
        <v>177486.4</v>
      </c>
      <c r="BA68" s="681">
        <f t="shared" si="10"/>
        <v>177486.4</v>
      </c>
      <c r="BB68" s="681">
        <f t="shared" si="10"/>
        <v>177486.4</v>
      </c>
      <c r="BC68" s="681">
        <f t="shared" si="10"/>
        <v>4864206.4000000004</v>
      </c>
      <c r="BD68" s="681">
        <f t="shared" si="10"/>
        <v>177486.4</v>
      </c>
      <c r="BE68" s="681">
        <f t="shared" si="10"/>
        <v>177486.4</v>
      </c>
      <c r="BF68" s="681">
        <f t="shared" si="10"/>
        <v>177486.4</v>
      </c>
      <c r="BG68" s="681">
        <f t="shared" si="10"/>
        <v>177486.4</v>
      </c>
      <c r="BH68" s="681">
        <f t="shared" si="10"/>
        <v>177486.4</v>
      </c>
      <c r="BI68" s="681">
        <f t="shared" si="10"/>
        <v>936962.4</v>
      </c>
      <c r="BJ68" s="682">
        <f t="shared" si="10"/>
        <v>9550926.4000000004</v>
      </c>
      <c r="BK68" s="682">
        <f t="shared" si="10"/>
        <v>177486.4</v>
      </c>
      <c r="BL68" s="682">
        <f t="shared" si="10"/>
        <v>177486.4</v>
      </c>
      <c r="BM68" s="682">
        <f t="shared" si="10"/>
        <v>177486.4</v>
      </c>
      <c r="BN68" s="682">
        <f t="shared" si="10"/>
        <v>177486.4</v>
      </c>
      <c r="BO68" s="682">
        <f t="shared" si="10"/>
        <v>177486.4</v>
      </c>
      <c r="BP68" s="682">
        <f t="shared" si="10"/>
        <v>177486.4</v>
      </c>
      <c r="BQ68" s="682">
        <f t="shared" si="10"/>
        <v>4864206.4000000004</v>
      </c>
      <c r="BR68" s="682">
        <f t="shared" si="10"/>
        <v>177486.4</v>
      </c>
      <c r="BS68" s="682">
        <f t="shared" si="10"/>
        <v>177486.4</v>
      </c>
      <c r="BT68" s="682">
        <f t="shared" si="10"/>
        <v>177486.4</v>
      </c>
      <c r="BU68" s="682">
        <f t="shared" si="10"/>
        <v>177486.4</v>
      </c>
      <c r="BV68" s="682">
        <f t="shared" si="10"/>
        <v>177486.4</v>
      </c>
      <c r="BW68" s="682">
        <f t="shared" si="10"/>
        <v>177486.4</v>
      </c>
      <c r="BX68" s="682">
        <f t="shared" si="10"/>
        <v>4864206.4000000004</v>
      </c>
      <c r="BY68" s="682">
        <f t="shared" si="10"/>
        <v>177486.4</v>
      </c>
      <c r="BZ68" s="682">
        <f t="shared" si="10"/>
        <v>177486.4</v>
      </c>
      <c r="CA68" s="682">
        <f t="shared" si="10"/>
        <v>177486.4</v>
      </c>
      <c r="CB68" s="682">
        <f t="shared" si="10"/>
        <v>177486.4</v>
      </c>
      <c r="CC68" s="682">
        <f t="shared" si="10"/>
        <v>936962.4</v>
      </c>
    </row>
    <row r="69" spans="1:81" x14ac:dyDescent="0.25">
      <c r="A69" s="669">
        <v>2037</v>
      </c>
      <c r="B69" s="683">
        <v>-177486.40000000002</v>
      </c>
    </row>
    <row r="70" spans="1:81" x14ac:dyDescent="0.25">
      <c r="A70" s="669">
        <v>2038</v>
      </c>
      <c r="B70" s="683">
        <v>-177486.39999999991</v>
      </c>
      <c r="AK70" s="669">
        <v>2016</v>
      </c>
      <c r="AL70" s="669">
        <f>AK70+1</f>
        <v>2017</v>
      </c>
      <c r="AM70" s="669">
        <f t="shared" ref="AM70:CC70" si="11">AL70+1</f>
        <v>2018</v>
      </c>
      <c r="AN70" s="669">
        <f t="shared" si="11"/>
        <v>2019</v>
      </c>
      <c r="AO70" s="669">
        <f t="shared" si="11"/>
        <v>2020</v>
      </c>
      <c r="AP70" s="669">
        <f t="shared" si="11"/>
        <v>2021</v>
      </c>
      <c r="AQ70" s="669">
        <f t="shared" si="11"/>
        <v>2022</v>
      </c>
      <c r="AR70" s="669">
        <f t="shared" si="11"/>
        <v>2023</v>
      </c>
      <c r="AS70" s="669">
        <f t="shared" si="11"/>
        <v>2024</v>
      </c>
      <c r="AT70" s="669">
        <f t="shared" si="11"/>
        <v>2025</v>
      </c>
      <c r="AU70" s="669">
        <f t="shared" si="11"/>
        <v>2026</v>
      </c>
      <c r="AV70" s="669">
        <f t="shared" si="11"/>
        <v>2027</v>
      </c>
      <c r="AW70" s="669">
        <f t="shared" si="11"/>
        <v>2028</v>
      </c>
      <c r="AX70" s="669">
        <f t="shared" si="11"/>
        <v>2029</v>
      </c>
      <c r="AY70" s="669">
        <f t="shared" si="11"/>
        <v>2030</v>
      </c>
      <c r="AZ70" s="669">
        <f t="shared" si="11"/>
        <v>2031</v>
      </c>
      <c r="BA70" s="669">
        <f t="shared" si="11"/>
        <v>2032</v>
      </c>
      <c r="BB70" s="669">
        <f t="shared" si="11"/>
        <v>2033</v>
      </c>
      <c r="BC70" s="669">
        <f t="shared" si="11"/>
        <v>2034</v>
      </c>
      <c r="BD70" s="669">
        <f t="shared" si="11"/>
        <v>2035</v>
      </c>
      <c r="BE70" s="669">
        <f t="shared" si="11"/>
        <v>2036</v>
      </c>
      <c r="BF70" s="669">
        <f t="shared" si="11"/>
        <v>2037</v>
      </c>
      <c r="BG70" s="669">
        <f t="shared" si="11"/>
        <v>2038</v>
      </c>
      <c r="BH70" s="669">
        <f t="shared" si="11"/>
        <v>2039</v>
      </c>
      <c r="BI70" s="669">
        <f t="shared" si="11"/>
        <v>2040</v>
      </c>
      <c r="BJ70" s="669">
        <f t="shared" si="11"/>
        <v>2041</v>
      </c>
      <c r="BK70" s="669">
        <f t="shared" si="11"/>
        <v>2042</v>
      </c>
      <c r="BL70" s="669">
        <f t="shared" si="11"/>
        <v>2043</v>
      </c>
      <c r="BM70" s="669">
        <f t="shared" si="11"/>
        <v>2044</v>
      </c>
      <c r="BN70" s="669">
        <f t="shared" si="11"/>
        <v>2045</v>
      </c>
      <c r="BO70" s="669">
        <f t="shared" si="11"/>
        <v>2046</v>
      </c>
      <c r="BP70" s="669">
        <f t="shared" si="11"/>
        <v>2047</v>
      </c>
      <c r="BQ70" s="669">
        <f t="shared" si="11"/>
        <v>2048</v>
      </c>
      <c r="BR70" s="669">
        <f t="shared" si="11"/>
        <v>2049</v>
      </c>
      <c r="BS70" s="669">
        <f t="shared" si="11"/>
        <v>2050</v>
      </c>
      <c r="BT70" s="669">
        <f t="shared" si="11"/>
        <v>2051</v>
      </c>
      <c r="BU70" s="669">
        <f t="shared" si="11"/>
        <v>2052</v>
      </c>
      <c r="BV70" s="669">
        <f t="shared" si="11"/>
        <v>2053</v>
      </c>
      <c r="BW70" s="669">
        <f t="shared" si="11"/>
        <v>2054</v>
      </c>
      <c r="BX70" s="669">
        <f t="shared" si="11"/>
        <v>2055</v>
      </c>
      <c r="BY70" s="669">
        <f t="shared" si="11"/>
        <v>2056</v>
      </c>
      <c r="BZ70" s="669">
        <f t="shared" si="11"/>
        <v>2057</v>
      </c>
      <c r="CA70" s="669">
        <f t="shared" si="11"/>
        <v>2058</v>
      </c>
      <c r="CB70" s="669">
        <f t="shared" si="11"/>
        <v>2059</v>
      </c>
      <c r="CC70" s="669">
        <f t="shared" si="11"/>
        <v>2060</v>
      </c>
    </row>
    <row r="71" spans="1:81" x14ac:dyDescent="0.25">
      <c r="A71" s="669">
        <v>2039</v>
      </c>
      <c r="B71" s="683">
        <v>-177486.40000000002</v>
      </c>
      <c r="AJ71" s="676" t="s">
        <v>0</v>
      </c>
      <c r="AK71" s="683">
        <f>AK62+AK68</f>
        <v>181684</v>
      </c>
      <c r="AL71" s="683">
        <f t="shared" ref="AL71:CC71" si="12">AL62+AL68</f>
        <v>181684</v>
      </c>
      <c r="AM71" s="683">
        <f t="shared" si="12"/>
        <v>181684</v>
      </c>
      <c r="AN71" s="683">
        <f t="shared" si="12"/>
        <v>181684</v>
      </c>
      <c r="AO71" s="683">
        <f t="shared" si="12"/>
        <v>1544484</v>
      </c>
      <c r="AP71" s="683">
        <f t="shared" si="12"/>
        <v>3115460.8</v>
      </c>
      <c r="AQ71" s="683">
        <f t="shared" si="12"/>
        <v>2113970.4</v>
      </c>
      <c r="AR71" s="683">
        <f t="shared" si="12"/>
        <v>359170.4</v>
      </c>
      <c r="AS71" s="683">
        <f t="shared" si="12"/>
        <v>829570.4</v>
      </c>
      <c r="AT71" s="683">
        <f t="shared" si="12"/>
        <v>359170.4</v>
      </c>
      <c r="AU71" s="683">
        <f t="shared" si="12"/>
        <v>359170.4</v>
      </c>
      <c r="AV71" s="683">
        <f t="shared" si="12"/>
        <v>6408690.4000000004</v>
      </c>
      <c r="AW71" s="683">
        <f t="shared" si="12"/>
        <v>2916570.4</v>
      </c>
      <c r="AX71" s="683">
        <f t="shared" si="12"/>
        <v>2113970.4</v>
      </c>
      <c r="AY71" s="683">
        <f t="shared" si="12"/>
        <v>359170.4</v>
      </c>
      <c r="AZ71" s="683">
        <f t="shared" si="12"/>
        <v>829570.4</v>
      </c>
      <c r="BA71" s="683">
        <f t="shared" si="12"/>
        <v>359170.4</v>
      </c>
      <c r="BB71" s="683">
        <f t="shared" si="12"/>
        <v>359170.4</v>
      </c>
      <c r="BC71" s="683">
        <f t="shared" si="12"/>
        <v>7900010.4000000004</v>
      </c>
      <c r="BD71" s="683">
        <f t="shared" si="12"/>
        <v>8109350.4000000004</v>
      </c>
      <c r="BE71" s="683">
        <f t="shared" si="12"/>
        <v>4473930.4000000004</v>
      </c>
      <c r="BF71" s="683">
        <f t="shared" si="12"/>
        <v>359170.4</v>
      </c>
      <c r="BG71" s="683">
        <f t="shared" si="12"/>
        <v>1299970.3999999999</v>
      </c>
      <c r="BH71" s="683">
        <f t="shared" si="12"/>
        <v>359170.4</v>
      </c>
      <c r="BI71" s="683">
        <f t="shared" si="12"/>
        <v>1118646.3999999999</v>
      </c>
      <c r="BJ71" s="683">
        <f t="shared" si="12"/>
        <v>11095410.4</v>
      </c>
      <c r="BK71" s="683">
        <f t="shared" si="12"/>
        <v>3204570.4</v>
      </c>
      <c r="BL71" s="683">
        <f t="shared" si="12"/>
        <v>1825970.4</v>
      </c>
      <c r="BM71" s="683">
        <f t="shared" si="12"/>
        <v>359170.4</v>
      </c>
      <c r="BN71" s="683">
        <f t="shared" si="12"/>
        <v>829570.4</v>
      </c>
      <c r="BO71" s="683">
        <f t="shared" si="12"/>
        <v>359170.4</v>
      </c>
      <c r="BP71" s="683">
        <f t="shared" si="12"/>
        <v>359170.4</v>
      </c>
      <c r="BQ71" s="683">
        <f t="shared" si="12"/>
        <v>6408690.4000000004</v>
      </c>
      <c r="BR71" s="683">
        <f t="shared" si="12"/>
        <v>3204570.4</v>
      </c>
      <c r="BS71" s="683">
        <f t="shared" si="12"/>
        <v>1825970.4</v>
      </c>
      <c r="BT71" s="683">
        <f t="shared" si="12"/>
        <v>359170.4</v>
      </c>
      <c r="BU71" s="683">
        <f t="shared" si="12"/>
        <v>829570.4</v>
      </c>
      <c r="BV71" s="683">
        <f t="shared" si="12"/>
        <v>359170.4</v>
      </c>
      <c r="BW71" s="683">
        <f t="shared" si="12"/>
        <v>359170.4</v>
      </c>
      <c r="BX71" s="683">
        <f t="shared" si="12"/>
        <v>6408690.4000000004</v>
      </c>
      <c r="BY71" s="683">
        <f t="shared" si="12"/>
        <v>3204570.4</v>
      </c>
      <c r="BZ71" s="683">
        <f t="shared" si="12"/>
        <v>1825970.4</v>
      </c>
      <c r="CA71" s="683">
        <f t="shared" si="12"/>
        <v>359170.4</v>
      </c>
      <c r="CB71" s="683">
        <f t="shared" si="12"/>
        <v>829570.4</v>
      </c>
      <c r="CC71" s="683">
        <f t="shared" si="12"/>
        <v>1118646.3999999999</v>
      </c>
    </row>
    <row r="72" spans="1:81" x14ac:dyDescent="0.25">
      <c r="A72" s="669">
        <v>2040</v>
      </c>
      <c r="B72" s="683">
        <v>-936962.39999999991</v>
      </c>
    </row>
    <row r="73" spans="1:81" ht="31.5" x14ac:dyDescent="0.5">
      <c r="A73" s="669">
        <v>2041</v>
      </c>
      <c r="B73" s="683">
        <v>-9550926.4000000004</v>
      </c>
      <c r="AJ73" s="684" t="s">
        <v>511</v>
      </c>
      <c r="AK73" s="685"/>
      <c r="AL73" s="685"/>
      <c r="AM73" s="685"/>
      <c r="AN73" s="685"/>
      <c r="AO73" s="685"/>
      <c r="AP73" s="685"/>
      <c r="AQ73" s="685"/>
      <c r="AR73" s="685"/>
      <c r="AS73" s="685"/>
      <c r="AT73" s="685"/>
      <c r="AU73" s="685"/>
      <c r="AV73" s="685"/>
      <c r="AW73" s="685"/>
      <c r="AX73" s="685"/>
      <c r="AY73" s="685"/>
      <c r="AZ73" s="685"/>
      <c r="BA73" s="685"/>
      <c r="BB73" s="685"/>
      <c r="BC73" s="685"/>
      <c r="BD73" s="685"/>
      <c r="BE73" s="685"/>
      <c r="BF73" s="685"/>
      <c r="BG73" s="685"/>
      <c r="BH73" s="685"/>
      <c r="BI73" s="685"/>
      <c r="BJ73" s="685"/>
      <c r="BK73" s="685"/>
      <c r="BL73" s="685"/>
      <c r="BM73" s="685"/>
      <c r="BN73" s="685"/>
      <c r="BO73" s="685"/>
      <c r="BP73" s="685"/>
      <c r="BQ73" s="685"/>
      <c r="BR73" s="685"/>
      <c r="BS73" s="685"/>
      <c r="BT73" s="685"/>
      <c r="BU73" s="685"/>
      <c r="BV73" s="685"/>
      <c r="BW73" s="685"/>
      <c r="BX73" s="685"/>
      <c r="BY73" s="685"/>
      <c r="BZ73" s="685"/>
      <c r="CA73" s="685"/>
      <c r="CB73" s="685"/>
      <c r="CC73" s="685"/>
    </row>
    <row r="74" spans="1:81" x14ac:dyDescent="0.25">
      <c r="A74" s="669">
        <v>2042</v>
      </c>
      <c r="B74" s="683">
        <v>-177486.39999999991</v>
      </c>
    </row>
    <row r="75" spans="1:81" x14ac:dyDescent="0.25">
      <c r="A75" s="669">
        <v>2043</v>
      </c>
      <c r="B75" s="683">
        <v>-177486.39999999991</v>
      </c>
      <c r="AK75" s="669">
        <v>2016</v>
      </c>
      <c r="AL75" s="669">
        <f>AK75+1</f>
        <v>2017</v>
      </c>
      <c r="AM75" s="669">
        <f t="shared" ref="AM75:CC75" si="13">AL75+1</f>
        <v>2018</v>
      </c>
      <c r="AN75" s="669">
        <f t="shared" si="13"/>
        <v>2019</v>
      </c>
      <c r="AO75" s="669">
        <f t="shared" si="13"/>
        <v>2020</v>
      </c>
      <c r="AP75" s="669">
        <f t="shared" si="13"/>
        <v>2021</v>
      </c>
      <c r="AQ75" s="669">
        <f t="shared" si="13"/>
        <v>2022</v>
      </c>
      <c r="AR75" s="669">
        <f t="shared" si="13"/>
        <v>2023</v>
      </c>
      <c r="AS75" s="669">
        <f t="shared" si="13"/>
        <v>2024</v>
      </c>
      <c r="AT75" s="669">
        <f t="shared" si="13"/>
        <v>2025</v>
      </c>
      <c r="AU75" s="669">
        <f t="shared" si="13"/>
        <v>2026</v>
      </c>
      <c r="AV75" s="669">
        <f t="shared" si="13"/>
        <v>2027</v>
      </c>
      <c r="AW75" s="669">
        <f t="shared" si="13"/>
        <v>2028</v>
      </c>
      <c r="AX75" s="669">
        <f t="shared" si="13"/>
        <v>2029</v>
      </c>
      <c r="AY75" s="669">
        <f t="shared" si="13"/>
        <v>2030</v>
      </c>
      <c r="AZ75" s="669">
        <f t="shared" si="13"/>
        <v>2031</v>
      </c>
      <c r="BA75" s="669">
        <f t="shared" si="13"/>
        <v>2032</v>
      </c>
      <c r="BB75" s="669">
        <f t="shared" si="13"/>
        <v>2033</v>
      </c>
      <c r="BC75" s="669">
        <f t="shared" si="13"/>
        <v>2034</v>
      </c>
      <c r="BD75" s="669">
        <f t="shared" si="13"/>
        <v>2035</v>
      </c>
      <c r="BE75" s="669">
        <f t="shared" si="13"/>
        <v>2036</v>
      </c>
      <c r="BF75" s="669">
        <f t="shared" si="13"/>
        <v>2037</v>
      </c>
      <c r="BG75" s="669">
        <f t="shared" si="13"/>
        <v>2038</v>
      </c>
      <c r="BH75" s="669">
        <f t="shared" si="13"/>
        <v>2039</v>
      </c>
      <c r="BI75" s="669">
        <f t="shared" si="13"/>
        <v>2040</v>
      </c>
      <c r="BJ75" s="669">
        <f t="shared" si="13"/>
        <v>2041</v>
      </c>
      <c r="BK75" s="669">
        <f t="shared" si="13"/>
        <v>2042</v>
      </c>
      <c r="BL75" s="669">
        <f t="shared" si="13"/>
        <v>2043</v>
      </c>
      <c r="BM75" s="669">
        <f t="shared" si="13"/>
        <v>2044</v>
      </c>
      <c r="BN75" s="669">
        <f t="shared" si="13"/>
        <v>2045</v>
      </c>
      <c r="BO75" s="669">
        <f t="shared" si="13"/>
        <v>2046</v>
      </c>
      <c r="BP75" s="669">
        <f t="shared" si="13"/>
        <v>2047</v>
      </c>
      <c r="BQ75" s="669">
        <f t="shared" si="13"/>
        <v>2048</v>
      </c>
      <c r="BR75" s="669">
        <f t="shared" si="13"/>
        <v>2049</v>
      </c>
      <c r="BS75" s="669">
        <f t="shared" si="13"/>
        <v>2050</v>
      </c>
      <c r="BT75" s="669">
        <f t="shared" si="13"/>
        <v>2051</v>
      </c>
      <c r="BU75" s="669">
        <f t="shared" si="13"/>
        <v>2052</v>
      </c>
      <c r="BV75" s="669">
        <f t="shared" si="13"/>
        <v>2053</v>
      </c>
      <c r="BW75" s="669">
        <f t="shared" si="13"/>
        <v>2054</v>
      </c>
      <c r="BX75" s="669">
        <f t="shared" si="13"/>
        <v>2055</v>
      </c>
      <c r="BY75" s="669">
        <f t="shared" si="13"/>
        <v>2056</v>
      </c>
      <c r="BZ75" s="669">
        <f t="shared" si="13"/>
        <v>2057</v>
      </c>
      <c r="CA75" s="669">
        <f t="shared" si="13"/>
        <v>2058</v>
      </c>
      <c r="CB75" s="669">
        <f t="shared" si="13"/>
        <v>2059</v>
      </c>
      <c r="CC75" s="669">
        <f t="shared" si="13"/>
        <v>2060</v>
      </c>
    </row>
    <row r="76" spans="1:81" x14ac:dyDescent="0.25">
      <c r="A76" s="669">
        <v>2044</v>
      </c>
      <c r="B76" s="683">
        <v>-177486.40000000002</v>
      </c>
      <c r="AJ76" s="676" t="s">
        <v>0</v>
      </c>
      <c r="AK76" s="683">
        <f>AK54-AK71</f>
        <v>0</v>
      </c>
      <c r="AL76" s="683">
        <f t="shared" ref="AL76:CC76" si="14">AL54-AL71</f>
        <v>0</v>
      </c>
      <c r="AM76" s="683">
        <f t="shared" si="14"/>
        <v>0</v>
      </c>
      <c r="AN76" s="683">
        <f t="shared" si="14"/>
        <v>0</v>
      </c>
      <c r="AO76" s="683">
        <f t="shared" si="14"/>
        <v>0</v>
      </c>
      <c r="AP76" s="683">
        <f>AP54-AP71</f>
        <v>-376376.79999999981</v>
      </c>
      <c r="AQ76" s="683">
        <f t="shared" si="14"/>
        <v>-177486.39999999991</v>
      </c>
      <c r="AR76" s="683">
        <f t="shared" si="14"/>
        <v>-177486.40000000002</v>
      </c>
      <c r="AS76" s="683">
        <f t="shared" si="14"/>
        <v>-177486.40000000002</v>
      </c>
      <c r="AT76" s="683">
        <f t="shared" si="14"/>
        <v>-177486.40000000002</v>
      </c>
      <c r="AU76" s="683">
        <f t="shared" si="14"/>
        <v>-177486.40000000002</v>
      </c>
      <c r="AV76" s="683">
        <f t="shared" si="14"/>
        <v>-4864206.4000000004</v>
      </c>
      <c r="AW76" s="683">
        <f t="shared" si="14"/>
        <v>-177486.39999999991</v>
      </c>
      <c r="AX76" s="683">
        <f t="shared" si="14"/>
        <v>-177486.39999999991</v>
      </c>
      <c r="AY76" s="683">
        <f t="shared" si="14"/>
        <v>-177486.40000000002</v>
      </c>
      <c r="AZ76" s="683">
        <f t="shared" si="14"/>
        <v>-177486.40000000002</v>
      </c>
      <c r="BA76" s="683">
        <f t="shared" si="14"/>
        <v>-177486.40000000002</v>
      </c>
      <c r="BB76" s="683">
        <f t="shared" si="14"/>
        <v>-177486.40000000002</v>
      </c>
      <c r="BC76" s="683">
        <f t="shared" si="14"/>
        <v>-4864206.4000000004</v>
      </c>
      <c r="BD76" s="683">
        <f t="shared" si="14"/>
        <v>-177486.40000000037</v>
      </c>
      <c r="BE76" s="683">
        <f t="shared" si="14"/>
        <v>-177486.40000000037</v>
      </c>
      <c r="BF76" s="683">
        <f t="shared" si="14"/>
        <v>-177486.40000000002</v>
      </c>
      <c r="BG76" s="683">
        <f t="shared" si="14"/>
        <v>-177486.39999999991</v>
      </c>
      <c r="BH76" s="683">
        <f t="shared" si="14"/>
        <v>-177486.40000000002</v>
      </c>
      <c r="BI76" s="683">
        <f t="shared" si="14"/>
        <v>-936962.39999999991</v>
      </c>
      <c r="BJ76" s="683">
        <f t="shared" si="14"/>
        <v>-9550926.4000000004</v>
      </c>
      <c r="BK76" s="683">
        <f t="shared" si="14"/>
        <v>-177486.39999999991</v>
      </c>
      <c r="BL76" s="683">
        <f t="shared" si="14"/>
        <v>-177486.39999999991</v>
      </c>
      <c r="BM76" s="683">
        <f t="shared" si="14"/>
        <v>-177486.40000000002</v>
      </c>
      <c r="BN76" s="683">
        <f t="shared" si="14"/>
        <v>-177486.40000000002</v>
      </c>
      <c r="BO76" s="683">
        <f t="shared" si="14"/>
        <v>-177486.40000000002</v>
      </c>
      <c r="BP76" s="683">
        <f t="shared" si="14"/>
        <v>-177486.40000000002</v>
      </c>
      <c r="BQ76" s="683">
        <f t="shared" si="14"/>
        <v>-4864206.4000000004</v>
      </c>
      <c r="BR76" s="683">
        <f t="shared" si="14"/>
        <v>-177486.39999999991</v>
      </c>
      <c r="BS76" s="683">
        <f t="shared" si="14"/>
        <v>-177486.39999999991</v>
      </c>
      <c r="BT76" s="683">
        <f t="shared" si="14"/>
        <v>-177486.40000000002</v>
      </c>
      <c r="BU76" s="683">
        <f t="shared" si="14"/>
        <v>-177486.40000000002</v>
      </c>
      <c r="BV76" s="683">
        <f t="shared" si="14"/>
        <v>-177486.40000000002</v>
      </c>
      <c r="BW76" s="683">
        <f t="shared" si="14"/>
        <v>-177486.40000000002</v>
      </c>
      <c r="BX76" s="683">
        <f t="shared" si="14"/>
        <v>-4864206.4000000004</v>
      </c>
      <c r="BY76" s="683">
        <f t="shared" si="14"/>
        <v>-177486.39999999991</v>
      </c>
      <c r="BZ76" s="683">
        <f t="shared" si="14"/>
        <v>-177486.39999999991</v>
      </c>
      <c r="CA76" s="683">
        <f t="shared" si="14"/>
        <v>-177486.40000000002</v>
      </c>
      <c r="CB76" s="683">
        <f t="shared" si="14"/>
        <v>-177486.40000000002</v>
      </c>
      <c r="CC76" s="683">
        <f t="shared" si="14"/>
        <v>-936962.39999999991</v>
      </c>
    </row>
    <row r="77" spans="1:81" x14ac:dyDescent="0.25">
      <c r="A77" s="669">
        <v>2045</v>
      </c>
      <c r="B77" s="683">
        <v>-177486.40000000002</v>
      </c>
    </row>
    <row r="78" spans="1:81" x14ac:dyDescent="0.25">
      <c r="A78" s="669">
        <v>2046</v>
      </c>
      <c r="B78" s="683">
        <v>-177486.40000000002</v>
      </c>
    </row>
    <row r="79" spans="1:81" x14ac:dyDescent="0.25">
      <c r="A79" s="669">
        <v>2047</v>
      </c>
      <c r="B79" s="683">
        <v>-177486.40000000002</v>
      </c>
    </row>
    <row r="80" spans="1:81" x14ac:dyDescent="0.25">
      <c r="A80" s="669">
        <v>2048</v>
      </c>
      <c r="B80" s="683">
        <v>-4864206.4000000004</v>
      </c>
    </row>
    <row r="81" spans="1:2" x14ac:dyDescent="0.25">
      <c r="A81" s="669">
        <v>2049</v>
      </c>
      <c r="B81" s="683">
        <v>-177486.39999999991</v>
      </c>
    </row>
    <row r="82" spans="1:2" x14ac:dyDescent="0.25">
      <c r="A82" s="669">
        <v>2050</v>
      </c>
      <c r="B82" s="683">
        <v>-177486.39999999991</v>
      </c>
    </row>
    <row r="83" spans="1:2" x14ac:dyDescent="0.25">
      <c r="A83" s="669">
        <v>2051</v>
      </c>
      <c r="B83" s="683">
        <v>-177486.40000000002</v>
      </c>
    </row>
    <row r="84" spans="1:2" x14ac:dyDescent="0.25">
      <c r="A84" s="669">
        <v>2052</v>
      </c>
      <c r="B84" s="683">
        <v>-177486.40000000002</v>
      </c>
    </row>
    <row r="85" spans="1:2" x14ac:dyDescent="0.25">
      <c r="A85" s="669">
        <v>2053</v>
      </c>
      <c r="B85" s="683">
        <v>-177486.40000000002</v>
      </c>
    </row>
    <row r="86" spans="1:2" x14ac:dyDescent="0.25">
      <c r="A86" s="669">
        <v>2054</v>
      </c>
      <c r="B86" s="683">
        <v>-177486.40000000002</v>
      </c>
    </row>
    <row r="87" spans="1:2" x14ac:dyDescent="0.25">
      <c r="A87" s="669">
        <v>2055</v>
      </c>
      <c r="B87" s="683">
        <v>-4864206.4000000004</v>
      </c>
    </row>
    <row r="88" spans="1:2" x14ac:dyDescent="0.25">
      <c r="A88" s="669">
        <v>2056</v>
      </c>
      <c r="B88" s="683">
        <v>-177486.39999999991</v>
      </c>
    </row>
    <row r="89" spans="1:2" x14ac:dyDescent="0.25">
      <c r="A89" s="669">
        <v>2057</v>
      </c>
      <c r="B89" s="683">
        <v>-177486.39999999991</v>
      </c>
    </row>
    <row r="90" spans="1:2" x14ac:dyDescent="0.25">
      <c r="A90" s="669">
        <v>2058</v>
      </c>
      <c r="B90" s="683">
        <v>-177486.40000000002</v>
      </c>
    </row>
    <row r="91" spans="1:2" x14ac:dyDescent="0.25">
      <c r="A91" s="669">
        <v>2059</v>
      </c>
      <c r="B91" s="683">
        <v>-177486.40000000002</v>
      </c>
    </row>
    <row r="92" spans="1:2" x14ac:dyDescent="0.25">
      <c r="A92" s="669">
        <v>2060</v>
      </c>
      <c r="B92" s="683">
        <v>-936962.39999999991</v>
      </c>
    </row>
  </sheetData>
  <mergeCells count="85">
    <mergeCell ref="A1:G1"/>
    <mergeCell ref="J2:AG2"/>
    <mergeCell ref="J4:J6"/>
    <mergeCell ref="K4:K6"/>
    <mergeCell ref="L4:L6"/>
    <mergeCell ref="M4:N4"/>
    <mergeCell ref="P4:Q4"/>
    <mergeCell ref="S4:T4"/>
    <mergeCell ref="V4:W4"/>
    <mergeCell ref="Y4:Z4"/>
    <mergeCell ref="AB4:AC4"/>
    <mergeCell ref="AF4:AG4"/>
    <mergeCell ref="J7:J9"/>
    <mergeCell ref="K7:K9"/>
    <mergeCell ref="L7:L9"/>
    <mergeCell ref="M7:N7"/>
    <mergeCell ref="P7:Q7"/>
    <mergeCell ref="S7:T7"/>
    <mergeCell ref="V7:W7"/>
    <mergeCell ref="Y7:Z7"/>
    <mergeCell ref="AB7:AC7"/>
    <mergeCell ref="AF7:AG7"/>
    <mergeCell ref="J10:J12"/>
    <mergeCell ref="K10:K12"/>
    <mergeCell ref="L10:L12"/>
    <mergeCell ref="M10:N10"/>
    <mergeCell ref="P10:Q10"/>
    <mergeCell ref="S10:T10"/>
    <mergeCell ref="V10:W10"/>
    <mergeCell ref="Y10:Z10"/>
    <mergeCell ref="AB10:AC10"/>
    <mergeCell ref="AF10:AG10"/>
    <mergeCell ref="J13:J15"/>
    <mergeCell ref="K13:K15"/>
    <mergeCell ref="L13:L15"/>
    <mergeCell ref="M13:N13"/>
    <mergeCell ref="P13:Q13"/>
    <mergeCell ref="S13:T13"/>
    <mergeCell ref="V13:W13"/>
    <mergeCell ref="Y13:Z13"/>
    <mergeCell ref="AB13:AC13"/>
    <mergeCell ref="AF13:AG13"/>
    <mergeCell ref="J16:J18"/>
    <mergeCell ref="K16:K18"/>
    <mergeCell ref="L16:L18"/>
    <mergeCell ref="M16:N16"/>
    <mergeCell ref="P16:Q16"/>
    <mergeCell ref="S16:T16"/>
    <mergeCell ref="V16:W16"/>
    <mergeCell ref="Y16:Z16"/>
    <mergeCell ref="AB16:AC16"/>
    <mergeCell ref="AF16:AG16"/>
    <mergeCell ref="J19:J21"/>
    <mergeCell ref="K19:K21"/>
    <mergeCell ref="L19:L21"/>
    <mergeCell ref="M19:N19"/>
    <mergeCell ref="P19:Q19"/>
    <mergeCell ref="S19:T19"/>
    <mergeCell ref="V19:W19"/>
    <mergeCell ref="Y19:Z19"/>
    <mergeCell ref="AB19:AC19"/>
    <mergeCell ref="AF19:AG19"/>
    <mergeCell ref="J26:AG26"/>
    <mergeCell ref="J28:J30"/>
    <mergeCell ref="K28:K30"/>
    <mergeCell ref="L28:L30"/>
    <mergeCell ref="M28:N28"/>
    <mergeCell ref="P28:Q28"/>
    <mergeCell ref="S28:T28"/>
    <mergeCell ref="V28:W28"/>
    <mergeCell ref="Y28:Z28"/>
    <mergeCell ref="AB28:AC28"/>
    <mergeCell ref="AF28:AG28"/>
    <mergeCell ref="AB31:AC31"/>
    <mergeCell ref="AF31:AG31"/>
    <mergeCell ref="J31:J33"/>
    <mergeCell ref="K31:K33"/>
    <mergeCell ref="L31:L33"/>
    <mergeCell ref="M31:N31"/>
    <mergeCell ref="P31:Q31"/>
    <mergeCell ref="A38:B38"/>
    <mergeCell ref="D38:E38"/>
    <mergeCell ref="S31:T31"/>
    <mergeCell ref="V31:W31"/>
    <mergeCell ref="Y31:Z31"/>
  </mergeCells>
  <pageMargins left="1" right="1" top="2" bottom="1" header="0.5" footer="0.5"/>
  <pageSetup paperSize="17" scale="58" orientation="landscape" r:id="rId1"/>
  <headerFooter>
    <oddHeader>&amp;C&amp;14GRADY COUNTY
US 81 REALIGNMENT
JP NO 24428(04)
INFRA GRANT APPLICATION
MAINTENANCE COSTS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5"/>
  <sheetViews>
    <sheetView topLeftCell="A46" workbookViewId="0">
      <selection activeCell="E10" sqref="E10"/>
    </sheetView>
  </sheetViews>
  <sheetFormatPr defaultColWidth="8.85546875" defaultRowHeight="12.75" x14ac:dyDescent="0.2"/>
  <cols>
    <col min="1" max="1" width="15.28515625" style="244" bestFit="1" customWidth="1"/>
    <col min="2" max="2" width="47.28515625" style="244" bestFit="1" customWidth="1"/>
    <col min="3" max="3" width="18.85546875" style="244" customWidth="1"/>
    <col min="4" max="4" width="22" style="244" bestFit="1" customWidth="1"/>
    <col min="5" max="5" width="27.5703125" style="244" bestFit="1" customWidth="1"/>
    <col min="6" max="6" width="3.140625" style="244" customWidth="1"/>
    <col min="7" max="7" width="14" style="244" bestFit="1" customWidth="1"/>
    <col min="8" max="8" width="12.28515625" style="244" customWidth="1"/>
    <col min="9" max="9" width="10.28515625" style="244" bestFit="1" customWidth="1"/>
    <col min="10" max="10" width="14.85546875" style="244" bestFit="1" customWidth="1"/>
    <col min="11" max="16384" width="8.85546875" style="244"/>
  </cols>
  <sheetData>
    <row r="1" spans="1:16" ht="20.25" x14ac:dyDescent="0.3">
      <c r="A1" s="909" t="s">
        <v>216</v>
      </c>
      <c r="B1" s="910"/>
      <c r="C1" s="910"/>
      <c r="D1" s="910"/>
      <c r="E1" s="911"/>
    </row>
    <row r="2" spans="1:16" x14ac:dyDescent="0.2">
      <c r="A2" s="245"/>
      <c r="B2" s="246"/>
      <c r="C2" s="246"/>
      <c r="D2" s="246"/>
      <c r="E2" s="247"/>
      <c r="J2" s="248" t="s">
        <v>217</v>
      </c>
    </row>
    <row r="3" spans="1:16" ht="13.5" thickBot="1" x14ac:dyDescent="0.25">
      <c r="A3" s="245"/>
      <c r="B3" s="249" t="s">
        <v>218</v>
      </c>
      <c r="C3" s="246"/>
      <c r="D3" s="246"/>
      <c r="E3" s="247"/>
    </row>
    <row r="4" spans="1:16" x14ac:dyDescent="0.2">
      <c r="A4" s="245"/>
      <c r="B4" s="249" t="s">
        <v>219</v>
      </c>
      <c r="C4" s="246"/>
      <c r="D4" s="246"/>
      <c r="E4" s="247"/>
      <c r="J4" s="250" t="s">
        <v>220</v>
      </c>
      <c r="K4" s="251" t="s">
        <v>221</v>
      </c>
      <c r="L4" s="251" t="s">
        <v>222</v>
      </c>
      <c r="M4" s="251" t="s">
        <v>223</v>
      </c>
      <c r="N4" s="251" t="s">
        <v>224</v>
      </c>
      <c r="O4" s="251" t="s">
        <v>225</v>
      </c>
      <c r="P4" s="252" t="s">
        <v>226</v>
      </c>
    </row>
    <row r="5" spans="1:16" x14ac:dyDescent="0.2">
      <c r="A5" s="245"/>
      <c r="B5" s="249"/>
      <c r="C5" s="246"/>
      <c r="D5" s="246"/>
      <c r="E5" s="247"/>
      <c r="J5" s="253">
        <v>20</v>
      </c>
      <c r="K5" s="254">
        <v>1.0999999999999999E-2</v>
      </c>
      <c r="L5" s="254">
        <v>2.1999999999999999E-2</v>
      </c>
      <c r="M5" s="254">
        <v>2.3E-2</v>
      </c>
      <c r="N5" s="254">
        <v>7.3999999999999996E-2</v>
      </c>
      <c r="O5" s="254">
        <v>0.10199999999999999</v>
      </c>
      <c r="P5" s="255">
        <v>0.19800000000000001</v>
      </c>
    </row>
    <row r="6" spans="1:16" ht="15.75" x14ac:dyDescent="0.3">
      <c r="A6" s="245"/>
      <c r="B6" s="256" t="s">
        <v>227</v>
      </c>
      <c r="C6" s="257">
        <f>8.887*10^(-3)</f>
        <v>8.8870000000000008E-3</v>
      </c>
      <c r="D6" s="258" t="s">
        <v>228</v>
      </c>
      <c r="E6" s="247"/>
      <c r="J6" s="253">
        <v>25</v>
      </c>
      <c r="K6" s="254">
        <v>1.2999999999999999E-2</v>
      </c>
      <c r="L6" s="254">
        <v>2.5999999999999999E-2</v>
      </c>
      <c r="M6" s="254">
        <v>2.7E-2</v>
      </c>
      <c r="N6" s="254">
        <v>9.7000000000000003E-2</v>
      </c>
      <c r="O6" s="254">
        <v>0.13300000000000001</v>
      </c>
      <c r="P6" s="255">
        <v>0.24199999999999999</v>
      </c>
    </row>
    <row r="7" spans="1:16" x14ac:dyDescent="0.2">
      <c r="A7" s="245"/>
      <c r="B7" s="246"/>
      <c r="C7" s="246"/>
      <c r="D7" s="246"/>
      <c r="E7" s="247"/>
      <c r="G7" s="246"/>
      <c r="H7" s="246"/>
      <c r="I7" s="246"/>
      <c r="J7" s="253">
        <v>30</v>
      </c>
      <c r="K7" s="254">
        <v>1.4999999999999999E-2</v>
      </c>
      <c r="L7" s="254">
        <v>0.03</v>
      </c>
      <c r="M7" s="254">
        <v>3.2000000000000001E-2</v>
      </c>
      <c r="N7" s="254">
        <v>0.122</v>
      </c>
      <c r="O7" s="254">
        <v>0.16700000000000001</v>
      </c>
      <c r="P7" s="255">
        <v>0.28399999999999997</v>
      </c>
    </row>
    <row r="8" spans="1:16" x14ac:dyDescent="0.2">
      <c r="A8" s="912" t="s">
        <v>229</v>
      </c>
      <c r="B8" s="913"/>
      <c r="C8" s="913"/>
      <c r="D8" s="913"/>
      <c r="E8" s="914"/>
      <c r="G8" s="915"/>
      <c r="H8" s="259"/>
      <c r="I8" s="260"/>
      <c r="J8" s="253">
        <v>35</v>
      </c>
      <c r="K8" s="254">
        <v>1.7999999999999999E-2</v>
      </c>
      <c r="L8" s="254">
        <v>3.4000000000000002E-2</v>
      </c>
      <c r="M8" s="254">
        <v>3.6999999999999998E-2</v>
      </c>
      <c r="N8" s="254">
        <v>0.14899999999999999</v>
      </c>
      <c r="O8" s="254">
        <v>0.20300000000000001</v>
      </c>
      <c r="P8" s="255">
        <v>0.32700000000000001</v>
      </c>
    </row>
    <row r="9" spans="1:16" x14ac:dyDescent="0.2">
      <c r="A9" s="245"/>
      <c r="B9" s="261"/>
      <c r="C9" s="257"/>
      <c r="D9" s="257" t="s">
        <v>230</v>
      </c>
      <c r="E9" s="247"/>
      <c r="G9" s="915"/>
      <c r="H9" s="260"/>
      <c r="I9" s="260"/>
      <c r="J9" s="253">
        <v>40</v>
      </c>
      <c r="K9" s="254">
        <v>2.1000000000000001E-2</v>
      </c>
      <c r="L9" s="254">
        <v>3.7999999999999999E-2</v>
      </c>
      <c r="M9" s="254">
        <v>4.2999999999999997E-2</v>
      </c>
      <c r="N9" s="254">
        <v>0.17699999999999999</v>
      </c>
      <c r="O9" s="254">
        <v>0.24099999999999999</v>
      </c>
      <c r="P9" s="255">
        <v>0.36899999999999999</v>
      </c>
    </row>
    <row r="10" spans="1:16" x14ac:dyDescent="0.2">
      <c r="A10" s="245"/>
      <c r="B10" s="262" t="s">
        <v>231</v>
      </c>
      <c r="C10" s="263"/>
      <c r="D10" s="264">
        <f>'[3]Summary Calculations'!B54*60</f>
        <v>4069895.9999999995</v>
      </c>
      <c r="E10" s="265" t="s">
        <v>232</v>
      </c>
      <c r="G10" s="266"/>
      <c r="H10" s="246"/>
      <c r="I10" s="246"/>
      <c r="J10" s="253">
        <v>45</v>
      </c>
      <c r="K10" s="254">
        <v>2.5000000000000001E-2</v>
      </c>
      <c r="L10" s="254">
        <v>4.2999999999999997E-2</v>
      </c>
      <c r="M10" s="254">
        <v>4.9000000000000002E-2</v>
      </c>
      <c r="N10" s="254">
        <v>0.20599999999999999</v>
      </c>
      <c r="O10" s="254">
        <v>0.28000000000000003</v>
      </c>
      <c r="P10" s="255">
        <v>0.41099999999999998</v>
      </c>
    </row>
    <row r="11" spans="1:16" x14ac:dyDescent="0.2">
      <c r="A11" s="245"/>
      <c r="B11" s="262" t="s">
        <v>233</v>
      </c>
      <c r="C11" s="263"/>
      <c r="D11" s="264">
        <f>'[3]Summary Calculations'!B55*60</f>
        <v>3165474.666666667</v>
      </c>
      <c r="E11" s="265" t="s">
        <v>232</v>
      </c>
      <c r="G11" s="266"/>
      <c r="H11" s="246"/>
      <c r="I11" s="246"/>
      <c r="J11" s="253">
        <v>50</v>
      </c>
      <c r="K11" s="254">
        <v>2.8000000000000001E-2</v>
      </c>
      <c r="L11" s="254">
        <v>4.8000000000000001E-2</v>
      </c>
      <c r="M11" s="254">
        <v>5.7000000000000002E-2</v>
      </c>
      <c r="N11" s="254">
        <v>0.23499999999999999</v>
      </c>
      <c r="O11" s="254">
        <v>0.32100000000000001</v>
      </c>
      <c r="P11" s="255">
        <v>0.45300000000000001</v>
      </c>
    </row>
    <row r="12" spans="1:16" x14ac:dyDescent="0.2">
      <c r="A12" s="245"/>
      <c r="B12" s="262" t="s">
        <v>234</v>
      </c>
      <c r="C12" s="263"/>
      <c r="D12" s="264">
        <f>'[3]Summary Calculations'!B56*60</f>
        <v>5670222.8571428563</v>
      </c>
      <c r="E12" s="265" t="s">
        <v>232</v>
      </c>
      <c r="G12" s="266"/>
      <c r="H12" s="246"/>
      <c r="I12" s="246"/>
      <c r="J12" s="253">
        <v>55</v>
      </c>
      <c r="K12" s="254">
        <v>3.2000000000000001E-2</v>
      </c>
      <c r="L12" s="254">
        <v>5.3999999999999999E-2</v>
      </c>
      <c r="M12" s="254">
        <v>6.5000000000000002E-2</v>
      </c>
      <c r="N12" s="254">
        <v>0.26600000000000001</v>
      </c>
      <c r="O12" s="254">
        <v>0.36199999999999999</v>
      </c>
      <c r="P12" s="255">
        <v>0.495</v>
      </c>
    </row>
    <row r="13" spans="1:16" x14ac:dyDescent="0.2">
      <c r="A13" s="245"/>
      <c r="B13" s="262" t="s">
        <v>235</v>
      </c>
      <c r="C13" s="263"/>
      <c r="D13" s="264">
        <f>'[3]Summary Calculations'!B57*60</f>
        <v>4410173.333333333</v>
      </c>
      <c r="E13" s="265" t="s">
        <v>232</v>
      </c>
      <c r="G13" s="266"/>
      <c r="H13" s="267"/>
      <c r="I13" s="268"/>
      <c r="J13" s="253">
        <v>60</v>
      </c>
      <c r="K13" s="254">
        <v>3.6999999999999998E-2</v>
      </c>
      <c r="L13" s="254">
        <v>0.06</v>
      </c>
      <c r="M13" s="254">
        <v>7.2999999999999995E-2</v>
      </c>
      <c r="N13" s="254">
        <v>0.29699999999999999</v>
      </c>
      <c r="O13" s="254">
        <v>0.40400000000000003</v>
      </c>
      <c r="P13" s="255">
        <v>0.53700000000000003</v>
      </c>
    </row>
    <row r="14" spans="1:16" x14ac:dyDescent="0.2">
      <c r="A14" s="245"/>
      <c r="B14" s="246"/>
      <c r="C14" s="246"/>
      <c r="D14" s="246"/>
      <c r="E14" s="247"/>
      <c r="G14" s="246"/>
      <c r="H14" s="269"/>
      <c r="I14" s="269"/>
      <c r="J14" s="253">
        <v>65</v>
      </c>
      <c r="K14" s="254">
        <v>4.2000000000000003E-2</v>
      </c>
      <c r="L14" s="254">
        <v>6.6000000000000003E-2</v>
      </c>
      <c r="M14" s="254">
        <v>8.3000000000000004E-2</v>
      </c>
      <c r="N14" s="254">
        <v>0.32800000000000001</v>
      </c>
      <c r="O14" s="254">
        <v>0.44700000000000001</v>
      </c>
      <c r="P14" s="255">
        <v>0.57799999999999996</v>
      </c>
    </row>
    <row r="15" spans="1:16" x14ac:dyDescent="0.2">
      <c r="A15" s="912" t="s">
        <v>236</v>
      </c>
      <c r="B15" s="913"/>
      <c r="C15" s="913"/>
      <c r="D15" s="913"/>
      <c r="E15" s="914"/>
      <c r="G15" s="246"/>
      <c r="H15" s="246"/>
      <c r="I15" s="246"/>
      <c r="J15" s="253">
        <v>70</v>
      </c>
      <c r="K15" s="254">
        <v>4.7E-2</v>
      </c>
      <c r="L15" s="254">
        <v>7.2999999999999995E-2</v>
      </c>
      <c r="M15" s="254">
        <v>9.4E-2</v>
      </c>
      <c r="N15" s="254">
        <v>0.36</v>
      </c>
      <c r="O15" s="254">
        <v>0.49</v>
      </c>
      <c r="P15" s="255">
        <v>0.62</v>
      </c>
    </row>
    <row r="16" spans="1:16" ht="13.5" thickBot="1" x14ac:dyDescent="0.25">
      <c r="A16" s="245"/>
      <c r="B16" s="261"/>
      <c r="C16" s="257" t="s">
        <v>237</v>
      </c>
      <c r="D16" s="257" t="s">
        <v>45</v>
      </c>
      <c r="E16" s="270" t="s">
        <v>0</v>
      </c>
      <c r="G16" s="246"/>
      <c r="H16" s="246"/>
      <c r="I16" s="246"/>
      <c r="J16" s="271">
        <v>75</v>
      </c>
      <c r="K16" s="272">
        <v>5.2999999999999999E-2</v>
      </c>
      <c r="L16" s="272">
        <v>0.08</v>
      </c>
      <c r="M16" s="272">
        <v>0.105</v>
      </c>
      <c r="N16" s="272">
        <v>0.39200000000000002</v>
      </c>
      <c r="O16" s="272">
        <v>0.53400000000000003</v>
      </c>
      <c r="P16" s="273">
        <v>0.66100000000000003</v>
      </c>
    </row>
    <row r="17" spans="1:10" x14ac:dyDescent="0.2">
      <c r="A17" s="245"/>
      <c r="B17" s="262" t="s">
        <v>238</v>
      </c>
      <c r="C17" s="274">
        <f>AVERAGE($K$7:$M$7)</f>
        <v>2.5666666666666667E-2</v>
      </c>
      <c r="D17" s="274">
        <f>AVERAGE($N$7:$P$7)</f>
        <v>0.19099999999999998</v>
      </c>
      <c r="E17" s="275">
        <f>(C17*(1-'[3]Summary Calculations'!$B$32)+D17*'[3]Summary Calculations'!$B$32)</f>
        <v>4.2200000000000001E-2</v>
      </c>
      <c r="G17" s="274"/>
      <c r="H17" s="276"/>
      <c r="I17" s="276"/>
      <c r="J17" s="246"/>
    </row>
    <row r="18" spans="1:10" x14ac:dyDescent="0.2">
      <c r="A18" s="245"/>
      <c r="B18" s="262" t="s">
        <v>233</v>
      </c>
      <c r="C18" s="274">
        <f>AVERAGE($K$10:$M$10)</f>
        <v>3.9E-2</v>
      </c>
      <c r="D18" s="274">
        <f>AVERAGE($N$10:$P$10)</f>
        <v>0.29899999999999999</v>
      </c>
      <c r="E18" s="275">
        <f>(C18*(1-'[3]Summary Calculations'!$B$32)+D18*'[3]Summary Calculations'!$B$32)</f>
        <v>6.5000000000000002E-2</v>
      </c>
      <c r="G18" s="274"/>
      <c r="H18" s="276"/>
      <c r="I18" s="276"/>
      <c r="J18" s="246"/>
    </row>
    <row r="19" spans="1:10" x14ac:dyDescent="0.2">
      <c r="A19" s="245"/>
      <c r="B19" s="262" t="s">
        <v>234</v>
      </c>
      <c r="C19" s="274">
        <f>AVERAGE($K$7:$M$7)</f>
        <v>2.5666666666666667E-2</v>
      </c>
      <c r="D19" s="274">
        <f>AVERAGE($N$7:$P$7)</f>
        <v>0.19099999999999998</v>
      </c>
      <c r="E19" s="275">
        <f>(C19*(1-'[3]Summary Calculations'!$B$32)+D19*'[3]Summary Calculations'!$B$32)</f>
        <v>4.2200000000000001E-2</v>
      </c>
      <c r="G19" s="274"/>
      <c r="H19" s="276"/>
      <c r="I19" s="276"/>
      <c r="J19" s="246"/>
    </row>
    <row r="20" spans="1:10" x14ac:dyDescent="0.2">
      <c r="A20" s="245"/>
      <c r="B20" s="262" t="s">
        <v>235</v>
      </c>
      <c r="C20" s="274">
        <f>AVERAGE($K$10:$M$10)</f>
        <v>3.9E-2</v>
      </c>
      <c r="D20" s="274">
        <f>AVERAGE($N$10:$P$10)</f>
        <v>0.29899999999999999</v>
      </c>
      <c r="E20" s="275">
        <f>(C20*(1-'[3]Summary Calculations'!$B$32)+D20*'[3]Summary Calculations'!$B$32)</f>
        <v>6.5000000000000002E-2</v>
      </c>
      <c r="G20" s="274"/>
      <c r="H20" s="276"/>
      <c r="I20" s="276"/>
      <c r="J20" s="246"/>
    </row>
    <row r="21" spans="1:10" x14ac:dyDescent="0.2">
      <c r="A21" s="245"/>
      <c r="B21" s="246"/>
      <c r="C21" s="246"/>
      <c r="D21" s="246"/>
      <c r="E21" s="247"/>
      <c r="I21" s="246"/>
      <c r="J21" s="246"/>
    </row>
    <row r="22" spans="1:10" x14ac:dyDescent="0.2">
      <c r="A22" s="912" t="s">
        <v>239</v>
      </c>
      <c r="B22" s="913"/>
      <c r="C22" s="913"/>
      <c r="D22" s="913"/>
      <c r="E22" s="914"/>
    </row>
    <row r="23" spans="1:10" x14ac:dyDescent="0.2">
      <c r="A23" s="245"/>
      <c r="B23" s="277"/>
      <c r="C23" s="277" t="s">
        <v>240</v>
      </c>
      <c r="D23" s="277" t="s">
        <v>241</v>
      </c>
      <c r="E23" s="278"/>
    </row>
    <row r="24" spans="1:10" x14ac:dyDescent="0.2">
      <c r="A24" s="245"/>
      <c r="B24" s="262" t="s">
        <v>231</v>
      </c>
      <c r="C24" s="279">
        <f>'[3]Summary Calculations'!B46</f>
        <v>35</v>
      </c>
      <c r="D24" s="280">
        <f>MROUND(C24,5)</f>
        <v>35</v>
      </c>
      <c r="E24" s="281"/>
    </row>
    <row r="25" spans="1:10" x14ac:dyDescent="0.2">
      <c r="A25" s="245"/>
      <c r="B25" s="262" t="s">
        <v>233</v>
      </c>
      <c r="C25" s="279">
        <f>'[3]Summary Calculations'!B50</f>
        <v>45</v>
      </c>
      <c r="D25" s="280">
        <f t="shared" ref="D25:D27" si="0">MROUND(C25,5)</f>
        <v>45</v>
      </c>
      <c r="E25" s="281"/>
    </row>
    <row r="26" spans="1:10" x14ac:dyDescent="0.2">
      <c r="A26" s="245"/>
      <c r="B26" s="262" t="s">
        <v>234</v>
      </c>
      <c r="C26" s="279">
        <f>C24</f>
        <v>35</v>
      </c>
      <c r="D26" s="280">
        <f t="shared" si="0"/>
        <v>35</v>
      </c>
      <c r="E26" s="281"/>
    </row>
    <row r="27" spans="1:10" x14ac:dyDescent="0.2">
      <c r="A27" s="245"/>
      <c r="B27" s="262" t="s">
        <v>235</v>
      </c>
      <c r="C27" s="279">
        <f>C25</f>
        <v>45</v>
      </c>
      <c r="D27" s="280">
        <f t="shared" si="0"/>
        <v>45</v>
      </c>
      <c r="E27" s="281"/>
    </row>
    <row r="28" spans="1:10" x14ac:dyDescent="0.2">
      <c r="A28" s="245"/>
      <c r="B28" s="246"/>
      <c r="C28" s="246"/>
      <c r="D28" s="246"/>
      <c r="E28" s="247"/>
    </row>
    <row r="29" spans="1:10" x14ac:dyDescent="0.2">
      <c r="A29" s="907" t="s">
        <v>242</v>
      </c>
      <c r="B29" s="908"/>
      <c r="C29" s="908"/>
      <c r="D29" s="282" t="s">
        <v>243</v>
      </c>
      <c r="E29" s="283" t="s">
        <v>244</v>
      </c>
    </row>
    <row r="30" spans="1:10" x14ac:dyDescent="0.2">
      <c r="A30" s="245"/>
      <c r="B30" s="262" t="s">
        <v>231</v>
      </c>
      <c r="C30" s="264">
        <f>E17*D10</f>
        <v>171749.61119999998</v>
      </c>
      <c r="D30" s="257"/>
      <c r="E30" s="270"/>
    </row>
    <row r="31" spans="1:10" x14ac:dyDescent="0.2">
      <c r="A31" s="245"/>
      <c r="B31" s="262" t="s">
        <v>233</v>
      </c>
      <c r="C31" s="264">
        <f>E18*D11</f>
        <v>205755.85333333336</v>
      </c>
      <c r="D31" s="257"/>
      <c r="E31" s="270"/>
    </row>
    <row r="32" spans="1:10" x14ac:dyDescent="0.2">
      <c r="A32" s="245"/>
      <c r="B32" s="262" t="s">
        <v>234</v>
      </c>
      <c r="C32" s="264">
        <f>E19*D12</f>
        <v>239283.40457142855</v>
      </c>
      <c r="D32" s="284">
        <f>(C32-C30)/C30</f>
        <v>0.39321074964639319</v>
      </c>
      <c r="E32" s="270"/>
      <c r="G32" s="285"/>
    </row>
    <row r="33" spans="1:12" x14ac:dyDescent="0.2">
      <c r="A33" s="245"/>
      <c r="B33" s="262" t="s">
        <v>235</v>
      </c>
      <c r="C33" s="264">
        <f>E20*D13</f>
        <v>286661.26666666666</v>
      </c>
      <c r="D33" s="284">
        <f>(C33-C30)/C30</f>
        <v>0.66906501076647962</v>
      </c>
      <c r="E33" s="286">
        <f>(C33-C32)/C32</f>
        <v>0.19799894681411281</v>
      </c>
      <c r="G33" s="285"/>
    </row>
    <row r="34" spans="1:12" x14ac:dyDescent="0.2">
      <c r="A34" s="245"/>
      <c r="B34" s="246"/>
      <c r="C34" s="246"/>
      <c r="D34" s="246"/>
      <c r="E34" s="247"/>
    </row>
    <row r="35" spans="1:12" x14ac:dyDescent="0.2">
      <c r="A35" s="912" t="s">
        <v>193</v>
      </c>
      <c r="B35" s="913"/>
      <c r="C35" s="913"/>
      <c r="D35" s="913"/>
      <c r="E35" s="914"/>
    </row>
    <row r="36" spans="1:12" x14ac:dyDescent="0.2">
      <c r="A36" s="245"/>
      <c r="B36" s="262" t="s">
        <v>231</v>
      </c>
      <c r="C36" s="287">
        <f>'[3]Summary Calculations'!G73</f>
        <v>2374106</v>
      </c>
      <c r="D36" s="288"/>
      <c r="E36" s="281"/>
    </row>
    <row r="37" spans="1:12" x14ac:dyDescent="0.2">
      <c r="A37" s="245"/>
      <c r="B37" s="262" t="s">
        <v>233</v>
      </c>
      <c r="C37" s="287">
        <f>'[3]Summary Calculations'!G68</f>
        <v>2374106</v>
      </c>
      <c r="D37" s="288"/>
      <c r="E37" s="281"/>
    </row>
    <row r="38" spans="1:12" x14ac:dyDescent="0.2">
      <c r="A38" s="245"/>
      <c r="B38" s="262" t="s">
        <v>234</v>
      </c>
      <c r="C38" s="287">
        <f>'[3]Summary Calculations'!G75</f>
        <v>3307630</v>
      </c>
      <c r="D38" s="288"/>
      <c r="E38" s="281"/>
    </row>
    <row r="39" spans="1:12" x14ac:dyDescent="0.2">
      <c r="A39" s="245"/>
      <c r="B39" s="262" t="s">
        <v>235</v>
      </c>
      <c r="C39" s="287">
        <f>'[3]Summary Calculations'!G70</f>
        <v>3307630</v>
      </c>
      <c r="D39" s="288"/>
      <c r="E39" s="281"/>
      <c r="J39" s="248" t="s">
        <v>245</v>
      </c>
    </row>
    <row r="40" spans="1:12" ht="13.5" thickBot="1" x14ac:dyDescent="0.25">
      <c r="A40" s="245"/>
      <c r="B40" s="246"/>
      <c r="C40" s="246"/>
      <c r="D40" s="246"/>
      <c r="E40" s="247"/>
    </row>
    <row r="41" spans="1:12" x14ac:dyDescent="0.2">
      <c r="A41" s="907" t="s">
        <v>246</v>
      </c>
      <c r="B41" s="908"/>
      <c r="C41" s="908"/>
      <c r="D41" s="908"/>
      <c r="E41" s="916"/>
      <c r="J41" s="250" t="s">
        <v>247</v>
      </c>
      <c r="K41" s="251" t="s">
        <v>248</v>
      </c>
      <c r="L41" s="252" t="s">
        <v>45</v>
      </c>
    </row>
    <row r="42" spans="1:12" x14ac:dyDescent="0.2">
      <c r="A42" s="245"/>
      <c r="B42" s="289"/>
      <c r="C42" s="280" t="s">
        <v>237</v>
      </c>
      <c r="D42" s="280" t="s">
        <v>45</v>
      </c>
      <c r="E42" s="290" t="s">
        <v>0</v>
      </c>
      <c r="J42" s="253">
        <v>5</v>
      </c>
      <c r="K42" s="254">
        <v>0.11700000000000001</v>
      </c>
      <c r="L42" s="255">
        <v>0.503</v>
      </c>
    </row>
    <row r="43" spans="1:12" x14ac:dyDescent="0.2">
      <c r="A43" s="245"/>
      <c r="B43" s="262" t="s">
        <v>249</v>
      </c>
      <c r="C43" s="291">
        <f>SUMPRODUCT(($D24=$J$42:$J$54)*($K$42:$K$54))</f>
        <v>4.4999999999999998E-2</v>
      </c>
      <c r="D43" s="291">
        <f>SUMPRODUCT(($D24=$J$42:$J$54)*($L$42:$L$54))</f>
        <v>0.182</v>
      </c>
      <c r="E43" s="275">
        <f>(C43*(1-'[3]Summary Calculations'!$B$32)+D43*'[3]Summary Calculations'!$B$32)</f>
        <v>5.8700000000000002E-2</v>
      </c>
      <c r="J43" s="253">
        <v>10</v>
      </c>
      <c r="K43" s="254">
        <v>7.4999999999999997E-2</v>
      </c>
      <c r="L43" s="255">
        <v>0.316</v>
      </c>
    </row>
    <row r="44" spans="1:12" x14ac:dyDescent="0.2">
      <c r="A44" s="245"/>
      <c r="B44" s="262" t="s">
        <v>233</v>
      </c>
      <c r="C44" s="291">
        <f t="shared" ref="C44:C46" si="1">SUMPRODUCT(($D25=$J$42:$J$54)*($K$42:$K$54))</f>
        <v>4.2000000000000003E-2</v>
      </c>
      <c r="D44" s="291">
        <f t="shared" ref="D44:D46" si="2">SUMPRODUCT(($D25=$J$42:$J$54)*($L$42:$L$54))</f>
        <v>0.17</v>
      </c>
      <c r="E44" s="275">
        <f>(C44*(1-'[3]Summary Calculations'!$B$32)+D44*'[3]Summary Calculations'!$B$32)</f>
        <v>5.4800000000000001E-2</v>
      </c>
      <c r="J44" s="253">
        <v>15</v>
      </c>
      <c r="K44" s="254">
        <v>6.0999999999999999E-2</v>
      </c>
      <c r="L44" s="255">
        <v>0.254</v>
      </c>
    </row>
    <row r="45" spans="1:12" x14ac:dyDescent="0.2">
      <c r="A45" s="245"/>
      <c r="B45" s="262" t="s">
        <v>234</v>
      </c>
      <c r="C45" s="291">
        <f t="shared" si="1"/>
        <v>4.4999999999999998E-2</v>
      </c>
      <c r="D45" s="291">
        <f t="shared" si="2"/>
        <v>0.182</v>
      </c>
      <c r="E45" s="275">
        <f>(C45*(1-'[3]Summary Calculations'!$B$32)+D45*'[3]Summary Calculations'!$B$32)</f>
        <v>5.8700000000000002E-2</v>
      </c>
      <c r="J45" s="253">
        <v>20</v>
      </c>
      <c r="K45" s="254">
        <v>5.3999999999999999E-2</v>
      </c>
      <c r="L45" s="255">
        <v>0.222</v>
      </c>
    </row>
    <row r="46" spans="1:12" x14ac:dyDescent="0.2">
      <c r="A46" s="245"/>
      <c r="B46" s="262" t="s">
        <v>235</v>
      </c>
      <c r="C46" s="291">
        <f t="shared" si="1"/>
        <v>4.2000000000000003E-2</v>
      </c>
      <c r="D46" s="291">
        <f t="shared" si="2"/>
        <v>0.17</v>
      </c>
      <c r="E46" s="275">
        <f>(C46*(1-'[3]Summary Calculations'!$B$32)+D46*'[3]Summary Calculations'!$B$32)</f>
        <v>5.4800000000000001E-2</v>
      </c>
      <c r="J46" s="253">
        <v>25</v>
      </c>
      <c r="K46" s="254">
        <v>0.05</v>
      </c>
      <c r="L46" s="255">
        <v>0.20399999999999999</v>
      </c>
    </row>
    <row r="47" spans="1:12" x14ac:dyDescent="0.2">
      <c r="A47" s="245"/>
      <c r="B47" s="246"/>
      <c r="C47" s="246"/>
      <c r="D47" s="246"/>
      <c r="E47" s="247"/>
      <c r="J47" s="253">
        <v>30</v>
      </c>
      <c r="K47" s="254">
        <v>4.7E-2</v>
      </c>
      <c r="L47" s="255">
        <v>0.191</v>
      </c>
    </row>
    <row r="48" spans="1:12" x14ac:dyDescent="0.2">
      <c r="A48" s="907" t="s">
        <v>250</v>
      </c>
      <c r="B48" s="908"/>
      <c r="C48" s="908"/>
      <c r="D48" s="282" t="s">
        <v>243</v>
      </c>
      <c r="E48" s="283" t="s">
        <v>244</v>
      </c>
      <c r="J48" s="253">
        <v>35</v>
      </c>
      <c r="K48" s="254">
        <v>4.4999999999999998E-2</v>
      </c>
      <c r="L48" s="255">
        <v>0.182</v>
      </c>
    </row>
    <row r="49" spans="1:12" x14ac:dyDescent="0.2">
      <c r="A49" s="245"/>
      <c r="B49" s="262" t="s">
        <v>249</v>
      </c>
      <c r="C49" s="264">
        <f>C36*E43</f>
        <v>139360.02220000001</v>
      </c>
      <c r="D49" s="257"/>
      <c r="E49" s="270"/>
      <c r="J49" s="253">
        <v>40</v>
      </c>
      <c r="K49" s="254">
        <v>4.3999999999999997E-2</v>
      </c>
      <c r="L49" s="255">
        <v>0.17599999999999999</v>
      </c>
    </row>
    <row r="50" spans="1:12" x14ac:dyDescent="0.2">
      <c r="A50" s="245"/>
      <c r="B50" s="262" t="s">
        <v>233</v>
      </c>
      <c r="C50" s="264">
        <f>C37*E44</f>
        <v>130101.00880000001</v>
      </c>
      <c r="D50" s="257"/>
      <c r="E50" s="270"/>
      <c r="J50" s="253">
        <v>45</v>
      </c>
      <c r="K50" s="254">
        <v>4.2000000000000003E-2</v>
      </c>
      <c r="L50" s="255">
        <v>0.17</v>
      </c>
    </row>
    <row r="51" spans="1:12" x14ac:dyDescent="0.2">
      <c r="A51" s="245"/>
      <c r="B51" s="262" t="s">
        <v>234</v>
      </c>
      <c r="C51" s="264">
        <f>C38*E45</f>
        <v>194157.88099999999</v>
      </c>
      <c r="D51" s="284">
        <f>(C51-C49)/C49</f>
        <v>0.39321074964639308</v>
      </c>
      <c r="E51" s="270"/>
      <c r="G51" s="292"/>
      <c r="J51" s="253">
        <v>50</v>
      </c>
      <c r="K51" s="254">
        <v>4.1000000000000002E-2</v>
      </c>
      <c r="L51" s="255">
        <v>0.16600000000000001</v>
      </c>
    </row>
    <row r="52" spans="1:12" x14ac:dyDescent="0.2">
      <c r="A52" s="245"/>
      <c r="B52" s="262" t="s">
        <v>235</v>
      </c>
      <c r="C52" s="264">
        <f>C39*E46</f>
        <v>181258.12400000001</v>
      </c>
      <c r="D52" s="284">
        <f>(C52-C49)/C49</f>
        <v>0.3006464920037879</v>
      </c>
      <c r="E52" s="286">
        <f>(C52-C51)/C51</f>
        <v>-6.6439522998296335E-2</v>
      </c>
      <c r="G52" s="292"/>
      <c r="J52" s="253">
        <v>55</v>
      </c>
      <c r="K52" s="254">
        <v>4.1000000000000002E-2</v>
      </c>
      <c r="L52" s="255">
        <v>0.16300000000000001</v>
      </c>
    </row>
    <row r="53" spans="1:12" x14ac:dyDescent="0.2">
      <c r="A53" s="245"/>
      <c r="B53" s="261"/>
      <c r="C53" s="261"/>
      <c r="D53" s="261"/>
      <c r="E53" s="293"/>
      <c r="J53" s="253">
        <v>60</v>
      </c>
      <c r="K53" s="254">
        <v>0.04</v>
      </c>
      <c r="L53" s="255">
        <v>0.16</v>
      </c>
    </row>
    <row r="54" spans="1:12" ht="13.5" thickBot="1" x14ac:dyDescent="0.25">
      <c r="A54" s="907" t="s">
        <v>251</v>
      </c>
      <c r="B54" s="908"/>
      <c r="C54" s="908"/>
      <c r="D54" s="282" t="s">
        <v>243</v>
      </c>
      <c r="E54" s="283" t="s">
        <v>244</v>
      </c>
      <c r="J54" s="271">
        <v>65</v>
      </c>
      <c r="K54" s="294">
        <v>3.9E-2</v>
      </c>
      <c r="L54" s="295">
        <v>0.158</v>
      </c>
    </row>
    <row r="55" spans="1:12" x14ac:dyDescent="0.2">
      <c r="A55" s="245"/>
      <c r="B55" s="262" t="s">
        <v>249</v>
      </c>
      <c r="C55" s="296">
        <f>SUM(C49,C30)</f>
        <v>311109.63339999999</v>
      </c>
      <c r="D55" s="257"/>
      <c r="E55" s="270"/>
    </row>
    <row r="56" spans="1:12" x14ac:dyDescent="0.2">
      <c r="A56" s="245"/>
      <c r="B56" s="262" t="s">
        <v>233</v>
      </c>
      <c r="C56" s="296">
        <f>SUM(C50,C31)</f>
        <v>335856.86213333334</v>
      </c>
      <c r="D56" s="257"/>
      <c r="E56" s="270"/>
    </row>
    <row r="57" spans="1:12" x14ac:dyDescent="0.2">
      <c r="A57" s="245"/>
      <c r="B57" s="262" t="s">
        <v>234</v>
      </c>
      <c r="C57" s="296">
        <f>SUM(C51,C32)</f>
        <v>433441.28557142854</v>
      </c>
      <c r="D57" s="297">
        <f>(C57-C55)/C55</f>
        <v>0.39321074964639313</v>
      </c>
      <c r="E57" s="270"/>
      <c r="G57" s="298"/>
    </row>
    <row r="58" spans="1:12" x14ac:dyDescent="0.2">
      <c r="A58" s="245"/>
      <c r="B58" s="262" t="s">
        <v>235</v>
      </c>
      <c r="C58" s="296">
        <f>SUM(C52,C33)</f>
        <v>467919.39066666667</v>
      </c>
      <c r="D58" s="297">
        <f>(C58-C55)/C55</f>
        <v>0.50403375669519423</v>
      </c>
      <c r="E58" s="299">
        <f>(C58-C57)/C57</f>
        <v>7.9545041607616648E-2</v>
      </c>
      <c r="G58" s="298"/>
    </row>
    <row r="59" spans="1:12" x14ac:dyDescent="0.2">
      <c r="A59" s="245"/>
      <c r="B59" s="246"/>
      <c r="C59" s="246"/>
      <c r="D59" s="246"/>
      <c r="E59" s="247"/>
    </row>
    <row r="60" spans="1:12" x14ac:dyDescent="0.2">
      <c r="A60" s="912" t="s">
        <v>252</v>
      </c>
      <c r="B60" s="913"/>
      <c r="C60" s="913"/>
      <c r="D60" s="282" t="s">
        <v>243</v>
      </c>
      <c r="E60" s="283" t="s">
        <v>244</v>
      </c>
    </row>
    <row r="61" spans="1:12" x14ac:dyDescent="0.2">
      <c r="A61" s="262" t="s">
        <v>249</v>
      </c>
      <c r="B61" s="264">
        <f>C55*$C$6</f>
        <v>2764.8313120258003</v>
      </c>
      <c r="C61" s="257" t="s">
        <v>253</v>
      </c>
      <c r="D61" s="257"/>
      <c r="E61" s="270"/>
    </row>
    <row r="62" spans="1:12" x14ac:dyDescent="0.2">
      <c r="A62" s="262" t="s">
        <v>233</v>
      </c>
      <c r="B62" s="264">
        <f>C56*$C$6</f>
        <v>2984.7599337789338</v>
      </c>
      <c r="C62" s="257" t="s">
        <v>253</v>
      </c>
      <c r="D62" s="257"/>
      <c r="E62" s="270"/>
    </row>
    <row r="63" spans="1:12" x14ac:dyDescent="0.2">
      <c r="A63" s="262" t="s">
        <v>234</v>
      </c>
      <c r="B63" s="264">
        <f>C57*$C$6</f>
        <v>3851.9927048732857</v>
      </c>
      <c r="C63" s="257" t="s">
        <v>253</v>
      </c>
      <c r="D63" s="284">
        <f>(B63-B61)/B61</f>
        <v>0.39321074964639302</v>
      </c>
      <c r="E63" s="270"/>
    </row>
    <row r="64" spans="1:12" x14ac:dyDescent="0.2">
      <c r="A64" s="262" t="s">
        <v>235</v>
      </c>
      <c r="B64" s="264">
        <f>C58*$C$6</f>
        <v>4158.3996248546673</v>
      </c>
      <c r="C64" s="257" t="s">
        <v>253</v>
      </c>
      <c r="D64" s="284">
        <f>(B64-B61)/B61</f>
        <v>0.50403375669519423</v>
      </c>
      <c r="E64" s="286">
        <f>(B64-B63)/B63</f>
        <v>7.9545041607616732E-2</v>
      </c>
    </row>
    <row r="65" spans="1:5" ht="13.5" thickBot="1" x14ac:dyDescent="0.25">
      <c r="A65" s="300"/>
      <c r="B65" s="301"/>
      <c r="C65" s="301"/>
      <c r="D65" s="301"/>
      <c r="E65" s="302"/>
    </row>
  </sheetData>
  <mergeCells count="11">
    <mergeCell ref="A35:E35"/>
    <mergeCell ref="A41:E41"/>
    <mergeCell ref="A48:C48"/>
    <mergeCell ref="A54:C54"/>
    <mergeCell ref="A60:C60"/>
    <mergeCell ref="A29:C29"/>
    <mergeCell ref="A1:E1"/>
    <mergeCell ref="A8:E8"/>
    <mergeCell ref="G8:G9"/>
    <mergeCell ref="A15:E15"/>
    <mergeCell ref="A22:E22"/>
  </mergeCells>
  <hyperlinks>
    <hyperlink ref="D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34"/>
  <sheetViews>
    <sheetView zoomScale="85" zoomScaleNormal="85" workbookViewId="0">
      <selection activeCell="J19" sqref="J19"/>
    </sheetView>
  </sheetViews>
  <sheetFormatPr defaultRowHeight="12.75" x14ac:dyDescent="0.2"/>
  <cols>
    <col min="1" max="1" width="12.7109375" customWidth="1"/>
    <col min="2" max="2" width="13.85546875" customWidth="1"/>
    <col min="3" max="3" width="13.7109375" customWidth="1"/>
    <col min="4" max="4" width="14.28515625" bestFit="1" customWidth="1"/>
    <col min="5" max="5" width="14.42578125" customWidth="1"/>
    <col min="6" max="6" width="13.140625" customWidth="1"/>
    <col min="7" max="7" width="13.85546875" customWidth="1"/>
    <col min="8" max="8" width="15.28515625" customWidth="1"/>
    <col min="9" max="9" width="10.5703125" customWidth="1"/>
    <col min="10" max="10" width="13.140625" customWidth="1"/>
    <col min="11" max="11" width="12.7109375" customWidth="1"/>
    <col min="12" max="12" width="15.85546875" customWidth="1"/>
    <col min="13" max="13" width="13.7109375" customWidth="1"/>
    <col min="14" max="14" width="15.5703125" customWidth="1"/>
    <col min="15" max="15" width="14.5703125" customWidth="1"/>
  </cols>
  <sheetData>
    <row r="1" spans="1:8" ht="23.25" x14ac:dyDescent="0.35">
      <c r="A1" s="228" t="s">
        <v>513</v>
      </c>
    </row>
    <row r="2" spans="1:8" ht="18.75" x14ac:dyDescent="0.3">
      <c r="A2" s="394">
        <v>43516</v>
      </c>
    </row>
    <row r="4" spans="1:8" ht="13.15" customHeight="1" x14ac:dyDescent="0.2">
      <c r="B4" s="712" t="s">
        <v>204</v>
      </c>
      <c r="C4" s="715" t="s">
        <v>8</v>
      </c>
      <c r="D4" s="716"/>
      <c r="E4" s="238">
        <v>7.0000000000000007E-2</v>
      </c>
      <c r="G4" s="238" t="s">
        <v>427</v>
      </c>
    </row>
    <row r="5" spans="1:8" x14ac:dyDescent="0.2">
      <c r="B5" s="713"/>
      <c r="C5" s="715" t="s">
        <v>205</v>
      </c>
      <c r="D5" s="716"/>
      <c r="E5" s="239">
        <f>H50-F93</f>
        <v>2761464.4611275792</v>
      </c>
      <c r="G5" s="3"/>
    </row>
    <row r="6" spans="1:8" ht="13.15" customHeight="1" x14ac:dyDescent="0.2">
      <c r="B6" s="713"/>
      <c r="C6" s="715" t="s">
        <v>206</v>
      </c>
      <c r="D6" s="716"/>
      <c r="E6" s="238">
        <f>IRR(E98:E134)</f>
        <v>8.828436895385039E-4</v>
      </c>
      <c r="G6" s="3"/>
    </row>
    <row r="7" spans="1:8" x14ac:dyDescent="0.2">
      <c r="B7" s="714"/>
      <c r="C7" s="715" t="s">
        <v>207</v>
      </c>
      <c r="D7" s="716"/>
      <c r="E7" s="240">
        <f>H50/F93</f>
        <v>1.013775663089151</v>
      </c>
      <c r="G7" s="686">
        <f>G50/E93</f>
        <v>4.4776975180349314</v>
      </c>
    </row>
    <row r="10" spans="1:8" ht="15.75" x14ac:dyDescent="0.25">
      <c r="B10" s="717" t="s">
        <v>425</v>
      </c>
      <c r="C10" s="717"/>
      <c r="D10" s="717"/>
      <c r="E10" s="717"/>
      <c r="F10" s="717"/>
      <c r="G10" s="717"/>
      <c r="H10" s="717"/>
    </row>
    <row r="11" spans="1:8" ht="15.75" x14ac:dyDescent="0.25">
      <c r="B11" s="229"/>
      <c r="C11" s="711" t="s">
        <v>4</v>
      </c>
      <c r="D11" s="711"/>
      <c r="E11" s="525" t="s">
        <v>254</v>
      </c>
      <c r="F11" s="526" t="s">
        <v>5</v>
      </c>
      <c r="G11" s="711"/>
      <c r="H11" s="711"/>
    </row>
    <row r="12" spans="1:8" ht="24" x14ac:dyDescent="0.2">
      <c r="B12" s="230" t="s">
        <v>208</v>
      </c>
      <c r="C12" s="230" t="s">
        <v>201</v>
      </c>
      <c r="D12" s="230" t="s">
        <v>209</v>
      </c>
      <c r="E12" s="230" t="s">
        <v>255</v>
      </c>
      <c r="F12" s="230" t="s">
        <v>210</v>
      </c>
      <c r="G12" s="230" t="s">
        <v>0</v>
      </c>
      <c r="H12" s="230" t="s">
        <v>213</v>
      </c>
    </row>
    <row r="13" spans="1:8" x14ac:dyDescent="0.2">
      <c r="B13" s="231">
        <f>Costs!E8</f>
        <v>2019</v>
      </c>
      <c r="C13" s="234">
        <v>0</v>
      </c>
      <c r="D13" s="234">
        <v>0</v>
      </c>
      <c r="E13" s="234">
        <v>0</v>
      </c>
      <c r="F13" s="234">
        <v>0</v>
      </c>
      <c r="G13" s="243">
        <f t="shared" ref="G13:G19" si="0">SUM(C13:F13)</f>
        <v>0</v>
      </c>
      <c r="H13" s="243">
        <f>G13*NPV!K4</f>
        <v>0</v>
      </c>
    </row>
    <row r="14" spans="1:8" x14ac:dyDescent="0.2">
      <c r="B14" s="231">
        <f>Costs!E9</f>
        <v>2020</v>
      </c>
      <c r="C14" s="234">
        <v>0</v>
      </c>
      <c r="D14" s="234">
        <v>0</v>
      </c>
      <c r="E14" s="234">
        <v>0</v>
      </c>
      <c r="F14" s="234">
        <v>0</v>
      </c>
      <c r="G14" s="243">
        <f t="shared" si="0"/>
        <v>0</v>
      </c>
      <c r="H14" s="243">
        <f>G14*NPV!K5</f>
        <v>0</v>
      </c>
    </row>
    <row r="15" spans="1:8" x14ac:dyDescent="0.2">
      <c r="B15" s="231">
        <f>Costs!E10</f>
        <v>2021</v>
      </c>
      <c r="C15" s="234">
        <v>0</v>
      </c>
      <c r="D15" s="234">
        <v>0</v>
      </c>
      <c r="E15" s="234">
        <v>0</v>
      </c>
      <c r="F15" s="234">
        <v>0</v>
      </c>
      <c r="G15" s="243">
        <f t="shared" si="0"/>
        <v>0</v>
      </c>
      <c r="H15" s="243">
        <f>G15*NPV!K6</f>
        <v>0</v>
      </c>
    </row>
    <row r="16" spans="1:8" x14ac:dyDescent="0.2">
      <c r="B16" s="231">
        <f>Costs!E11</f>
        <v>2022</v>
      </c>
      <c r="C16" s="234">
        <v>0</v>
      </c>
      <c r="D16" s="234">
        <v>0</v>
      </c>
      <c r="E16" s="234">
        <v>0</v>
      </c>
      <c r="F16" s="234">
        <v>0</v>
      </c>
      <c r="G16" s="243">
        <f t="shared" si="0"/>
        <v>0</v>
      </c>
      <c r="H16" s="243">
        <f>G16*NPV!K7</f>
        <v>0</v>
      </c>
    </row>
    <row r="17" spans="2:8" x14ac:dyDescent="0.2">
      <c r="B17" s="231">
        <f>Costs!E12</f>
        <v>2023</v>
      </c>
      <c r="C17" s="234">
        <v>0</v>
      </c>
      <c r="D17" s="234">
        <v>0</v>
      </c>
      <c r="E17" s="234">
        <v>0</v>
      </c>
      <c r="F17" s="234">
        <v>0</v>
      </c>
      <c r="G17" s="243">
        <f t="shared" si="0"/>
        <v>0</v>
      </c>
      <c r="H17" s="243">
        <f>G17*NPV!K8</f>
        <v>0</v>
      </c>
    </row>
    <row r="18" spans="2:8" x14ac:dyDescent="0.2">
      <c r="B18" s="231">
        <f>Costs!E13</f>
        <v>2024</v>
      </c>
      <c r="C18" s="234">
        <v>0</v>
      </c>
      <c r="D18" s="234">
        <v>0</v>
      </c>
      <c r="E18" s="234">
        <f>'Environmental Protection'!V35</f>
        <v>0</v>
      </c>
      <c r="F18" s="234">
        <v>0</v>
      </c>
      <c r="G18" s="243">
        <f t="shared" si="0"/>
        <v>0</v>
      </c>
      <c r="H18" s="243">
        <f>G18*NPV!K9</f>
        <v>0</v>
      </c>
    </row>
    <row r="19" spans="2:8" x14ac:dyDescent="0.2">
      <c r="B19" s="231">
        <f>Costs!E14</f>
        <v>2025</v>
      </c>
      <c r="C19" s="506">
        <f>'EC - Travel Time - Roadway'!S6</f>
        <v>10722683.470557403</v>
      </c>
      <c r="D19" s="506">
        <f>'EC - Travel Time - Roadway'!S44</f>
        <v>1076922.3581763941</v>
      </c>
      <c r="E19" s="506">
        <f>'Environmental Protection'!I81</f>
        <v>238668.79873901416</v>
      </c>
      <c r="F19" s="234">
        <f>Safety!AB72</f>
        <v>8344506</v>
      </c>
      <c r="G19" s="243">
        <f t="shared" si="0"/>
        <v>20382780.62747281</v>
      </c>
      <c r="H19" s="566">
        <f>G19*NPV!C10</f>
        <v>11862963.901541062</v>
      </c>
    </row>
    <row r="20" spans="2:8" x14ac:dyDescent="0.2">
      <c r="B20" s="231">
        <f>Costs!E15</f>
        <v>2026</v>
      </c>
      <c r="C20" s="506">
        <f>'EC - Travel Time - Roadway'!S7</f>
        <v>10999101.218164911</v>
      </c>
      <c r="D20" s="506">
        <f>'EC - Travel Time - Roadway'!S45</f>
        <v>1093860.7704036613</v>
      </c>
      <c r="E20" s="506">
        <f>'Environmental Protection'!I82</f>
        <v>246248.10356284233</v>
      </c>
      <c r="F20" s="234">
        <f>Safety!AB73</f>
        <v>8697393</v>
      </c>
      <c r="G20" s="243">
        <f t="shared" ref="G20:G49" si="1">SUM(C20:F20)</f>
        <v>21036603.092131414</v>
      </c>
      <c r="H20" s="566">
        <f>G20*NPV!C11</f>
        <v>11442518.251160301</v>
      </c>
    </row>
    <row r="21" spans="2:8" x14ac:dyDescent="0.2">
      <c r="B21" s="231">
        <f>Costs!E16</f>
        <v>2027</v>
      </c>
      <c r="C21" s="506">
        <f>'EC - Travel Time - Roadway'!S8</f>
        <v>11287893.895437427</v>
      </c>
      <c r="D21" s="506">
        <f>'EC - Travel Time - Roadway'!S46</f>
        <v>1111063.8032713199</v>
      </c>
      <c r="E21" s="506">
        <f>'Environmental Protection'!I83</f>
        <v>254237.62987364683</v>
      </c>
      <c r="F21" s="234">
        <f>Safety!AB74</f>
        <v>8671016</v>
      </c>
      <c r="G21" s="243">
        <f t="shared" si="1"/>
        <v>21324211.328582391</v>
      </c>
      <c r="H21" s="566">
        <f>G21*NPV!C12</f>
        <v>10840147.734215988</v>
      </c>
    </row>
    <row r="22" spans="2:8" x14ac:dyDescent="0.2">
      <c r="B22" s="231">
        <f>Costs!E17</f>
        <v>2028</v>
      </c>
      <c r="C22" s="506">
        <f>'EC - Travel Time - Roadway'!S9</f>
        <v>11590076.424564542</v>
      </c>
      <c r="D22" s="506">
        <f>'EC - Travel Time - Roadway'!S47</f>
        <v>1128535.5607723692</v>
      </c>
      <c r="E22" s="506">
        <f>'Environmental Protection'!I84</f>
        <v>262673.86693392828</v>
      </c>
      <c r="F22" s="234">
        <f>Safety!AB75</f>
        <v>8930511</v>
      </c>
      <c r="G22" s="243">
        <f t="shared" si="1"/>
        <v>21911796.852270842</v>
      </c>
      <c r="H22" s="566">
        <f>G22*NPV!C13</f>
        <v>10410136.840422073</v>
      </c>
    </row>
    <row r="23" spans="2:8" x14ac:dyDescent="0.2">
      <c r="B23" s="231">
        <f>Costs!E18</f>
        <v>2029</v>
      </c>
      <c r="C23" s="506">
        <f>'EC - Travel Time - Roadway'!S10</f>
        <v>11906792.060973657</v>
      </c>
      <c r="D23" s="506">
        <f>'EC - Travel Time - Roadway'!S48</f>
        <v>1146280.2100291394</v>
      </c>
      <c r="E23" s="506">
        <f>'Environmental Protection'!I85</f>
        <v>271598.01017612376</v>
      </c>
      <c r="F23" s="234">
        <f>Safety!AB76</f>
        <v>8997525</v>
      </c>
      <c r="G23" s="243">
        <f t="shared" si="1"/>
        <v>22322195.281178921</v>
      </c>
      <c r="H23" s="566">
        <f>G23*NPV!C14</f>
        <v>9911321.6613505483</v>
      </c>
    </row>
    <row r="24" spans="2:8" x14ac:dyDescent="0.2">
      <c r="B24" s="231">
        <f>Costs!E19</f>
        <v>2030</v>
      </c>
      <c r="C24" s="506">
        <f>'EC - Travel Time - Roadway'!S11</f>
        <v>12239334.300206276</v>
      </c>
      <c r="D24" s="506">
        <f>'EC - Travel Time - Roadway'!S49</f>
        <v>1164301.982255107</v>
      </c>
      <c r="E24" s="506">
        <f>'Environmental Protection'!I86</f>
        <v>281056.76778595295</v>
      </c>
      <c r="F24" s="234">
        <f>Safety!AB77</f>
        <v>9051349</v>
      </c>
      <c r="G24" s="243">
        <f t="shared" si="1"/>
        <v>22736042.050247334</v>
      </c>
      <c r="H24" s="566">
        <f>G24*NPV!C15</f>
        <v>9434649.1365514584</v>
      </c>
    </row>
    <row r="25" spans="2:8" x14ac:dyDescent="0.2">
      <c r="B25" s="231">
        <f>Costs!E20</f>
        <v>2031</v>
      </c>
      <c r="C25" s="506">
        <f>'EC - Travel Time - Roadway'!S12</f>
        <v>12589173.523888312</v>
      </c>
      <c r="D25" s="506">
        <f>'EC - Travel Time - Roadway'!S50</f>
        <v>1182605.1737312579</v>
      </c>
      <c r="E25" s="506">
        <f>'Environmental Protection'!I87</f>
        <v>291103.34193352441</v>
      </c>
      <c r="F25" s="234">
        <f>Safety!AB78</f>
        <v>9217453</v>
      </c>
      <c r="G25" s="243">
        <f t="shared" si="1"/>
        <v>23280335.039553095</v>
      </c>
      <c r="H25" s="566">
        <f>G25*NPV!C16</f>
        <v>9028515.3049984369</v>
      </c>
    </row>
    <row r="26" spans="2:8" x14ac:dyDescent="0.2">
      <c r="B26" s="231">
        <f>Costs!E21</f>
        <v>2032</v>
      </c>
      <c r="C26" s="506">
        <f>'EC - Travel Time - Roadway'!S13</f>
        <v>12957989.639481951</v>
      </c>
      <c r="D26" s="506">
        <f>'EC - Travel Time - Roadway'!S51</f>
        <v>1201194.1467971504</v>
      </c>
      <c r="E26" s="506">
        <f>'Environmental Protection'!I88</f>
        <v>301798.63090240466</v>
      </c>
      <c r="F26" s="234">
        <f>Safety!AB79</f>
        <v>9570341</v>
      </c>
      <c r="G26" s="243">
        <f t="shared" si="1"/>
        <v>24031323.417181507</v>
      </c>
      <c r="H26" s="566">
        <f>G26*NPV!C17</f>
        <v>8710057.5192956664</v>
      </c>
    </row>
    <row r="27" spans="2:8" x14ac:dyDescent="0.2">
      <c r="B27" s="231">
        <f>Costs!E22</f>
        <v>2033</v>
      </c>
      <c r="C27" s="506">
        <f>'EC - Travel Time - Roadway'!S14</f>
        <v>13347712.365760036</v>
      </c>
      <c r="D27" s="506">
        <f>'EC - Travel Time - Roadway'!S52</f>
        <v>1220073.3308568923</v>
      </c>
      <c r="E27" s="506">
        <f>'Environmental Protection'!I89</f>
        <v>313212.71301146777</v>
      </c>
      <c r="F27" s="234">
        <f>Safety!AB80</f>
        <v>9923228</v>
      </c>
      <c r="G27" s="243">
        <f t="shared" si="1"/>
        <v>24804226.409628399</v>
      </c>
      <c r="H27" s="566">
        <f>G27*NPV!C18</f>
        <v>8402049.6565212272</v>
      </c>
    </row>
    <row r="28" spans="2:8" x14ac:dyDescent="0.2">
      <c r="B28" s="231">
        <f>Costs!E23</f>
        <v>2034</v>
      </c>
      <c r="C28" s="506">
        <f>'EC - Travel Time - Roadway'!S15</f>
        <v>13760571.361148359</v>
      </c>
      <c r="D28" s="506">
        <f>'EC - Travel Time - Roadway'!S53</f>
        <v>1239247.2234002324</v>
      </c>
      <c r="E28" s="506">
        <f>'Environmental Protection'!I90</f>
        <v>325426.69332331879</v>
      </c>
      <c r="F28" s="234">
        <f>Safety!AB81</f>
        <v>9504395</v>
      </c>
      <c r="G28" s="243">
        <f t="shared" si="1"/>
        <v>24829640.27787191</v>
      </c>
      <c r="H28" s="566">
        <f>G28*NPV!C19</f>
        <v>7860428.2364104195</v>
      </c>
    </row>
    <row r="29" spans="2:8" x14ac:dyDescent="0.2">
      <c r="B29" s="231">
        <f>Costs!E24</f>
        <v>2035</v>
      </c>
      <c r="C29" s="506">
        <f>'EC - Travel Time - Roadway'!S16</f>
        <v>14199159.149270922</v>
      </c>
      <c r="D29" s="506">
        <f>'EC - Travel Time - Roadway'!S54</f>
        <v>1258720.3910390979</v>
      </c>
      <c r="E29" s="506">
        <f>'Environmental Protection'!I91</f>
        <v>338535.02204697597</v>
      </c>
      <c r="F29" s="234">
        <f>Safety!AB82</f>
        <v>9857283</v>
      </c>
      <c r="G29" s="243">
        <f t="shared" si="1"/>
        <v>25653697.562356994</v>
      </c>
      <c r="H29" s="566">
        <f>G29*NPV!C20</f>
        <v>7590003.4289287785</v>
      </c>
    </row>
    <row r="30" spans="2:8" x14ac:dyDescent="0.2">
      <c r="B30" s="231">
        <f>Costs!E25</f>
        <v>2036</v>
      </c>
      <c r="C30" s="506">
        <f>'EC - Travel Time - Roadway'!S17</f>
        <v>14666510.861155154</v>
      </c>
      <c r="D30" s="506">
        <f>'EC - Travel Time - Roadway'!S55</f>
        <v>1278497.4705596222</v>
      </c>
      <c r="E30" s="506">
        <f>'Environmental Protection'!I92</f>
        <v>352648.43280855502</v>
      </c>
      <c r="F30" s="234">
        <f>Safety!AB83</f>
        <v>9911107</v>
      </c>
      <c r="G30" s="243">
        <f t="shared" si="1"/>
        <v>26208763.764523331</v>
      </c>
      <c r="H30" s="566">
        <f>G30*NPV!C21</f>
        <v>7246941.5788032403</v>
      </c>
    </row>
    <row r="31" spans="2:8" x14ac:dyDescent="0.2">
      <c r="B31" s="231">
        <f>Costs!E26</f>
        <v>2037</v>
      </c>
      <c r="C31" s="506">
        <f>'EC - Travel Time - Roadway'!S18</f>
        <v>15166206.332663413</v>
      </c>
      <c r="D31" s="506">
        <f>'EC - Travel Time - Roadway'!S56</f>
        <v>1298583.1699901004</v>
      </c>
      <c r="E31" s="506">
        <f>'Environmental Protection'!I93</f>
        <v>367897.70496636152</v>
      </c>
      <c r="F31" s="234">
        <f>Safety!AB84</f>
        <v>10170602</v>
      </c>
      <c r="G31" s="243">
        <f t="shared" si="1"/>
        <v>27003289.207619876</v>
      </c>
      <c r="H31" s="566">
        <f>G31*NPV!C22</f>
        <v>6978163.0697276313</v>
      </c>
    </row>
    <row r="32" spans="2:8" x14ac:dyDescent="0.2">
      <c r="B32" s="231">
        <f>Costs!E27</f>
        <v>2038</v>
      </c>
      <c r="C32" s="506">
        <f>'EC - Travel Time - Roadway'!S19</f>
        <v>15702502.294969179</v>
      </c>
      <c r="D32" s="506">
        <f>'EC - Travel Time - Roadway'!S57</f>
        <v>1318982.269684935</v>
      </c>
      <c r="E32" s="506">
        <f>'Environmental Protection'!I94</f>
        <v>384438.53522344871</v>
      </c>
      <c r="F32" s="234">
        <f>Safety!AB85</f>
        <v>10224428</v>
      </c>
      <c r="G32" s="243">
        <f t="shared" si="1"/>
        <v>27630351.099877562</v>
      </c>
      <c r="H32" s="566">
        <f>G32*NPV!C23</f>
        <v>6673091.3818948036</v>
      </c>
    </row>
    <row r="33" spans="2:8" x14ac:dyDescent="0.2">
      <c r="B33" s="231">
        <f>Costs!E28</f>
        <v>2039</v>
      </c>
      <c r="C33" s="506">
        <f>'EC - Travel Time - Roadway'!S20</f>
        <v>16280505.632024208</v>
      </c>
      <c r="D33" s="506">
        <f>'EC - Travel Time - Roadway'!S58</f>
        <v>1339699.6234249291</v>
      </c>
      <c r="E33" s="506">
        <f>'Environmental Protection'!I95</f>
        <v>402457.9230926634</v>
      </c>
      <c r="F33" s="234">
        <f>Safety!AB86</f>
        <v>10390532</v>
      </c>
      <c r="G33" s="243">
        <f t="shared" si="1"/>
        <v>28413195.178541802</v>
      </c>
      <c r="H33" s="566">
        <f>G33*NPV!C24</f>
        <v>6413232.2166080829</v>
      </c>
    </row>
    <row r="34" spans="2:8" x14ac:dyDescent="0.2">
      <c r="B34" s="231">
        <f>Costs!E29</f>
        <v>2040</v>
      </c>
      <c r="C34" s="506">
        <f>'EC - Travel Time - Roadway'!S21</f>
        <v>16906403.526137829</v>
      </c>
      <c r="D34" s="506">
        <f>'EC - Travel Time - Roadway'!S59</f>
        <v>1360740.1595340036</v>
      </c>
      <c r="E34" s="506">
        <f>'Environmental Protection'!I96</f>
        <v>422182.65346378804</v>
      </c>
      <c r="F34" s="234">
        <f>Safety!AB87</f>
        <v>10823621</v>
      </c>
      <c r="G34" s="243">
        <f t="shared" si="1"/>
        <v>29512947.339135621</v>
      </c>
      <c r="H34" s="566">
        <f>G34*NPV!C25</f>
        <v>6225664.2595220301</v>
      </c>
    </row>
    <row r="35" spans="2:8" x14ac:dyDescent="0.2">
      <c r="B35" s="231">
        <f>Costs!E30</f>
        <v>2041</v>
      </c>
      <c r="C35" s="506">
        <f>'EC - Travel Time - Roadway'!S22</f>
        <v>17273569.705001418</v>
      </c>
      <c r="D35" s="506">
        <f>'EC - Travel Time - Roadway'!S60</f>
        <v>1362851.3165106196</v>
      </c>
      <c r="E35" s="506">
        <f>'Environmental Protection'!I97</f>
        <v>433580.75774535671</v>
      </c>
      <c r="F35" s="234">
        <f>Safety!AB88</f>
        <v>10810432</v>
      </c>
      <c r="G35" s="243">
        <f t="shared" si="1"/>
        <v>29880433.779257394</v>
      </c>
      <c r="H35" s="566">
        <f>G35*NPV!C26</f>
        <v>5890826.5221844343</v>
      </c>
    </row>
    <row r="36" spans="2:8" x14ac:dyDescent="0.2">
      <c r="B36" s="231">
        <f>Costs!E31</f>
        <v>2042</v>
      </c>
      <c r="C36" s="506">
        <f>'EC - Travel Time - Roadway'!S23</f>
        <v>17659853.100589573</v>
      </c>
      <c r="D36" s="506">
        <f>'EC - Travel Time - Roadway'!S61</f>
        <v>1364942.2753099587</v>
      </c>
      <c r="E36" s="506">
        <f>'Environmental Protection'!I98</f>
        <v>445660.87718333001</v>
      </c>
      <c r="F36" s="234">
        <f>Safety!AB89</f>
        <v>10690662</v>
      </c>
      <c r="G36" s="243">
        <f t="shared" si="1"/>
        <v>30161118.25308286</v>
      </c>
      <c r="H36" s="566">
        <f>G36*NPV!C27</f>
        <v>5557161.2312815245</v>
      </c>
    </row>
    <row r="37" spans="2:8" x14ac:dyDescent="0.2">
      <c r="B37" s="231">
        <f>Costs!E32</f>
        <v>2043</v>
      </c>
      <c r="C37" s="506">
        <f>'EC - Travel Time - Roadway'!S24</f>
        <v>18067067.884740021</v>
      </c>
      <c r="D37" s="506">
        <f>'EC - Travel Time - Roadway'!S62</f>
        <v>1367012.6751586441</v>
      </c>
      <c r="E37" s="506">
        <f>'Environmental Protection'!I99</f>
        <v>458489.60839371366</v>
      </c>
      <c r="F37" s="234">
        <f>Safety!AB90</f>
        <v>11056739</v>
      </c>
      <c r="G37" s="243">
        <f t="shared" si="1"/>
        <v>30949309.168292381</v>
      </c>
      <c r="H37" s="566">
        <f>G37*NPV!C28</f>
        <v>5329331.5505975522</v>
      </c>
    </row>
    <row r="38" spans="2:8" x14ac:dyDescent="0.2">
      <c r="B38" s="231">
        <f>Costs!E33</f>
        <v>2044</v>
      </c>
      <c r="C38" s="506">
        <f>'EC - Travel Time - Roadway'!S25</f>
        <v>18497279.176065631</v>
      </c>
      <c r="D38" s="506">
        <f>'EC - Travel Time - Roadway'!S63</f>
        <v>1369062.1509469771</v>
      </c>
      <c r="E38" s="506">
        <f>'Environmental Protection'!I100</f>
        <v>472142.79421514767</v>
      </c>
      <c r="F38" s="234">
        <f>Safety!AB91</f>
        <v>11123753</v>
      </c>
      <c r="G38" s="243">
        <f t="shared" si="1"/>
        <v>31462237.121227756</v>
      </c>
      <c r="H38" s="566">
        <f>G38*NPV!C29</f>
        <v>5063229.3760117814</v>
      </c>
    </row>
    <row r="39" spans="2:8" x14ac:dyDescent="0.2">
      <c r="B39" s="231">
        <f>Costs!E34</f>
        <v>2045</v>
      </c>
      <c r="C39" s="506">
        <f>'EC - Travel Time - Roadway'!S26</f>
        <v>18952848.90784537</v>
      </c>
      <c r="D39" s="506">
        <f>'EC - Travel Time - Roadway'!S64</f>
        <v>1371090.3331809775</v>
      </c>
      <c r="E39" s="506">
        <f>'Environmental Protection'!I101</f>
        <v>486707.21451944334</v>
      </c>
      <c r="F39" s="234">
        <f>Safety!AB92</f>
        <v>11396437</v>
      </c>
      <c r="G39" s="243">
        <f t="shared" si="1"/>
        <v>32207083.455545794</v>
      </c>
      <c r="H39" s="566">
        <f>G39*NPV!C30</f>
        <v>4844016.6076410729</v>
      </c>
    </row>
    <row r="40" spans="2:8" x14ac:dyDescent="0.2">
      <c r="B40" s="231">
        <f>Costs!E35</f>
        <v>2046</v>
      </c>
      <c r="C40" s="506">
        <f>'EC - Travel Time - Roadway'!S27</f>
        <v>19436492.231140897</v>
      </c>
      <c r="D40" s="506">
        <f>'EC - Travel Time - Roadway'!S65</f>
        <v>1373096.8479341734</v>
      </c>
      <c r="E40" s="506">
        <f>'Environmental Protection'!I102</f>
        <v>502282.66540654836</v>
      </c>
      <c r="F40" s="234">
        <f>Safety!AB93</f>
        <v>11276667</v>
      </c>
      <c r="G40" s="243">
        <f t="shared" si="1"/>
        <v>32588538.744481616</v>
      </c>
      <c r="H40" s="566">
        <f>G40*NPV!C31</f>
        <v>4580736.7542432295</v>
      </c>
    </row>
    <row r="41" spans="2:8" x14ac:dyDescent="0.2">
      <c r="B41" s="231">
        <f>Costs!E36</f>
        <v>2047</v>
      </c>
      <c r="C41" s="506">
        <f>'EC - Travel Time - Roadway'!S28</f>
        <v>19951347.400745898</v>
      </c>
      <c r="D41" s="506">
        <f>'EC - Travel Time - Roadway'!S66</f>
        <v>1375081.3167985457</v>
      </c>
      <c r="E41" s="506">
        <f>'Environmental Protection'!I103</f>
        <v>518984.5354498598</v>
      </c>
      <c r="F41" s="234">
        <f>Safety!AB94</f>
        <v>11642744</v>
      </c>
      <c r="G41" s="243">
        <f t="shared" si="1"/>
        <v>33488157.252994303</v>
      </c>
      <c r="H41" s="566">
        <f>G41*NPV!C32</f>
        <v>4399242.677145429</v>
      </c>
    </row>
    <row r="42" spans="2:8" x14ac:dyDescent="0.2">
      <c r="B42" s="231">
        <f>Costs!E37</f>
        <v>2048</v>
      </c>
      <c r="C42" s="506">
        <f>'EC - Travel Time - Roadway'!S29</f>
        <v>20501063.075218491</v>
      </c>
      <c r="D42" s="506">
        <f>'EC - Travel Time - Roadway'!S67</f>
        <v>1377043.356835197</v>
      </c>
      <c r="E42" s="506">
        <f>'Environmental Protection'!I104</f>
        <v>536947.02392073488</v>
      </c>
      <c r="F42" s="234">
        <f>Safety!AB95</f>
        <v>11709757</v>
      </c>
      <c r="G42" s="243">
        <f t="shared" si="1"/>
        <v>34124810.455974422</v>
      </c>
      <c r="H42" s="566">
        <f>G42*NPV!C33</f>
        <v>4189605.5822880021</v>
      </c>
    </row>
    <row r="43" spans="2:8" x14ac:dyDescent="0.2">
      <c r="B43" s="231">
        <f>Costs!E38</f>
        <v>2049</v>
      </c>
      <c r="C43" s="506">
        <f>'EC - Travel Time - Roadway'!S30</f>
        <v>21089908.331582341</v>
      </c>
      <c r="D43" s="506">
        <f>'EC - Travel Time - Roadway'!S68</f>
        <v>1378982.5805243426</v>
      </c>
      <c r="E43" s="506">
        <f>'Environmental Protection'!I105</f>
        <v>556327.19640279422</v>
      </c>
      <c r="F43" s="234">
        <f>Safety!AB96</f>
        <v>11397505</v>
      </c>
      <c r="G43" s="243">
        <f t="shared" si="1"/>
        <v>34422723.108509481</v>
      </c>
      <c r="H43" s="566">
        <f>G43*NPV!C34</f>
        <v>3949702.0695043849</v>
      </c>
    </row>
    <row r="44" spans="2:8" x14ac:dyDescent="0.2">
      <c r="B44" s="231">
        <f>Costs!E39</f>
        <v>2050</v>
      </c>
      <c r="C44" s="506">
        <f>'EC - Travel Time - Roadway'!S31</f>
        <v>21722912.626077339</v>
      </c>
      <c r="D44" s="506">
        <f>'EC - Travel Time - Roadway'!S69</f>
        <v>1380898.5957148555</v>
      </c>
      <c r="E44" s="506">
        <f>'Environmental Protection'!I106</f>
        <v>577310.14438719756</v>
      </c>
      <c r="F44" s="234">
        <f>Safety!AB97</f>
        <v>11576799</v>
      </c>
      <c r="G44" s="243">
        <f t="shared" si="1"/>
        <v>35257920.366179392</v>
      </c>
      <c r="H44" s="566">
        <f>G44*NPV!C35</f>
        <v>3780872.4717182056</v>
      </c>
    </row>
    <row r="45" spans="2:8" x14ac:dyDescent="0.2">
      <c r="B45" s="231">
        <f>Costs!E40</f>
        <v>2051</v>
      </c>
      <c r="C45" s="506">
        <f>'EC - Travel Time - Roadway'!S32</f>
        <v>22406045.692682635</v>
      </c>
      <c r="D45" s="506">
        <f>'EC - Travel Time - Roadway'!S70</f>
        <v>1382791.0055732075</v>
      </c>
      <c r="E45" s="506">
        <f>'Environmental Protection'!I107</f>
        <v>600115.61720257287</v>
      </c>
      <c r="F45" s="234">
        <f>Safety!AB98</f>
        <v>11643813</v>
      </c>
      <c r="G45" s="243">
        <f t="shared" si="1"/>
        <v>36032765.315458417</v>
      </c>
      <c r="H45" s="566">
        <f>G45*NPV!C36</f>
        <v>3611180.1275620805</v>
      </c>
    </row>
    <row r="46" spans="2:8" x14ac:dyDescent="0.2">
      <c r="B46" s="231">
        <f>Costs!E41</f>
        <v>2052</v>
      </c>
      <c r="C46" s="506">
        <f>'EC - Travel Time - Roadway'!S33</f>
        <v>23146451.377010919</v>
      </c>
      <c r="D46" s="506">
        <f>'EC - Travel Time - Roadway'!S71</f>
        <v>1384659.4085318986</v>
      </c>
      <c r="E46" s="506">
        <f>'Environmental Protection'!I108</f>
        <v>625006.64231362147</v>
      </c>
      <c r="F46" s="234">
        <f>Safety!AB99</f>
        <v>11710826</v>
      </c>
      <c r="G46" s="243">
        <f t="shared" si="1"/>
        <v>36866943.427856438</v>
      </c>
      <c r="H46" s="566">
        <f>G46*NPV!C37</f>
        <v>3453066.272287657</v>
      </c>
    </row>
    <row r="47" spans="2:8" x14ac:dyDescent="0.2">
      <c r="B47" s="231">
        <f>Costs!E42</f>
        <v>2053</v>
      </c>
      <c r="C47" s="506">
        <f>'EC - Travel Time - Roadway'!S34</f>
        <v>23952755.312169783</v>
      </c>
      <c r="D47" s="506">
        <f>'EC - Travel Time - Roadway'!S72</f>
        <v>1386503.3982372258</v>
      </c>
      <c r="E47" s="506">
        <f>'Environmental Protection'!I109</f>
        <v>652300.86786301876</v>
      </c>
      <c r="F47" s="234">
        <f>Safety!AB100</f>
        <v>11983510</v>
      </c>
      <c r="G47" s="243">
        <f t="shared" si="1"/>
        <v>37975069.578270026</v>
      </c>
      <c r="H47" s="566">
        <f>G47*NPV!C38</f>
        <v>3324165.0694249743</v>
      </c>
    </row>
    <row r="48" spans="2:8" x14ac:dyDescent="0.2">
      <c r="B48" s="231">
        <f>Costs!E43</f>
        <v>2054</v>
      </c>
      <c r="C48" s="506">
        <f>'EC - Travel Time - Roadway'!S35</f>
        <v>24835475.21611958</v>
      </c>
      <c r="D48" s="506">
        <f>'EC - Travel Time - Roadway'!S73</f>
        <v>1388322.5634967592</v>
      </c>
      <c r="E48" s="506">
        <f>'Environmental Protection'!I110</f>
        <v>682385.68844017433</v>
      </c>
      <c r="F48" s="234">
        <f>Safety!AB101</f>
        <v>11863741</v>
      </c>
      <c r="G48" s="243">
        <f t="shared" si="1"/>
        <v>38769924.468056515</v>
      </c>
      <c r="H48" s="566">
        <f>G48*NPV!C39</f>
        <v>3171722.4817160177</v>
      </c>
    </row>
    <row r="49" spans="1:8" x14ac:dyDescent="0.2">
      <c r="B49" s="231">
        <f>Costs!E44</f>
        <v>2055</v>
      </c>
      <c r="C49" s="506">
        <f>'EC - Travel Time - Roadway'!S36</f>
        <v>25807576.176625196</v>
      </c>
      <c r="D49" s="506">
        <f>'EC - Travel Time - Roadway'!S74</f>
        <v>1390116.4882258968</v>
      </c>
      <c r="E49" s="506">
        <f>'Environmental Protection'!I111</f>
        <v>715738.71594177315</v>
      </c>
      <c r="F49" s="234">
        <f>Safety!AB102</f>
        <v>11930755</v>
      </c>
      <c r="G49" s="243">
        <f t="shared" si="1"/>
        <v>39844186.380792864</v>
      </c>
      <c r="H49" s="566">
        <f>G49*NPV!C40</f>
        <v>3046361.3091841764</v>
      </c>
    </row>
    <row r="50" spans="1:8" x14ac:dyDescent="0.2">
      <c r="B50" s="232"/>
      <c r="C50" s="235"/>
      <c r="D50" s="235"/>
      <c r="E50" s="235"/>
      <c r="F50" s="235"/>
      <c r="G50" s="234">
        <f>SUM(G13:G49)</f>
        <v>905112619.40415359</v>
      </c>
      <c r="H50" s="234">
        <f>SUM(H13:H49)</f>
        <v>203221104.28074223</v>
      </c>
    </row>
    <row r="52" spans="1:8" x14ac:dyDescent="0.2">
      <c r="A52" s="237"/>
    </row>
    <row r="53" spans="1:8" ht="15.75" x14ac:dyDescent="0.25">
      <c r="A53" s="237"/>
      <c r="B53" s="717" t="s">
        <v>426</v>
      </c>
      <c r="C53" s="717"/>
      <c r="D53" s="717"/>
      <c r="E53" s="717"/>
      <c r="F53" s="717"/>
    </row>
    <row r="54" spans="1:8" x14ac:dyDescent="0.2">
      <c r="B54" s="230"/>
      <c r="C54" s="709" t="s">
        <v>2</v>
      </c>
      <c r="D54" s="709"/>
      <c r="E54" s="709"/>
      <c r="F54" s="242"/>
    </row>
    <row r="55" spans="1:8" ht="36" x14ac:dyDescent="0.2">
      <c r="B55" s="230" t="s">
        <v>208</v>
      </c>
      <c r="C55" s="230" t="s">
        <v>3</v>
      </c>
      <c r="D55" s="230" t="s">
        <v>211</v>
      </c>
      <c r="E55" s="230" t="s">
        <v>212</v>
      </c>
      <c r="F55" s="242" t="s">
        <v>213</v>
      </c>
    </row>
    <row r="56" spans="1:8" x14ac:dyDescent="0.2">
      <c r="B56" s="231">
        <f t="shared" ref="B56:B92" si="2">B13</f>
        <v>2019</v>
      </c>
      <c r="C56" s="233">
        <f>Costs!G8</f>
        <v>24869055.900000002</v>
      </c>
      <c r="D56" s="233">
        <f>Costs!H8</f>
        <v>0</v>
      </c>
      <c r="E56" s="233">
        <f>+C56+D56</f>
        <v>24869055.900000002</v>
      </c>
      <c r="F56" s="521">
        <f>E56*NPV!C4</f>
        <v>21721596.55865141</v>
      </c>
    </row>
    <row r="57" spans="1:8" x14ac:dyDescent="0.2">
      <c r="B57" s="231">
        <f t="shared" si="2"/>
        <v>2020</v>
      </c>
      <c r="C57" s="233">
        <f>Costs!G9</f>
        <v>27724700</v>
      </c>
      <c r="D57" s="233">
        <f>Costs!H9</f>
        <v>0</v>
      </c>
      <c r="E57" s="233">
        <f t="shared" ref="E57:E92" si="3">+C57+D57</f>
        <v>27724700</v>
      </c>
      <c r="F57" s="521">
        <f>E57*NPV!C5</f>
        <v>22631613.747435801</v>
      </c>
    </row>
    <row r="58" spans="1:8" x14ac:dyDescent="0.2">
      <c r="B58" s="231">
        <f t="shared" si="2"/>
        <v>2021</v>
      </c>
      <c r="C58" s="233">
        <f>Costs!G10</f>
        <v>49904460</v>
      </c>
      <c r="D58" s="233">
        <f>Costs!H10</f>
        <v>376376.79999999981</v>
      </c>
      <c r="E58" s="233">
        <f t="shared" si="3"/>
        <v>50280836.799999997</v>
      </c>
      <c r="F58" s="521">
        <f>E58*NPV!C6</f>
        <v>38359009.652463004</v>
      </c>
    </row>
    <row r="59" spans="1:8" x14ac:dyDescent="0.2">
      <c r="B59" s="231">
        <f t="shared" si="2"/>
        <v>2022</v>
      </c>
      <c r="C59" s="233">
        <f>Costs!G11</f>
        <v>66539280</v>
      </c>
      <c r="D59" s="233">
        <f>Costs!H11</f>
        <v>177486.39999999991</v>
      </c>
      <c r="E59" s="233">
        <f t="shared" si="3"/>
        <v>66716766.399999999</v>
      </c>
      <c r="F59" s="521">
        <f>E59*NPV!C7</f>
        <v>47568132.383040376</v>
      </c>
    </row>
    <row r="60" spans="1:8" x14ac:dyDescent="0.2">
      <c r="B60" s="231">
        <f t="shared" si="2"/>
        <v>2023</v>
      </c>
      <c r="C60" s="233">
        <f>Costs!G12</f>
        <v>58221870</v>
      </c>
      <c r="D60" s="233">
        <f>Costs!H12</f>
        <v>177486.40000000002</v>
      </c>
      <c r="E60" s="233">
        <f t="shared" si="3"/>
        <v>58399356.399999999</v>
      </c>
      <c r="F60" s="521">
        <f>E60*NPV!C8</f>
        <v>38913957.013029084</v>
      </c>
    </row>
    <row r="61" spans="1:8" x14ac:dyDescent="0.2">
      <c r="B61" s="231">
        <f t="shared" si="2"/>
        <v>2024</v>
      </c>
      <c r="C61" s="233">
        <f>Costs!G13</f>
        <v>50486678.700000003</v>
      </c>
      <c r="D61" s="233">
        <f>Costs!H13</f>
        <v>177486.40000000002</v>
      </c>
      <c r="E61" s="233">
        <f t="shared" si="3"/>
        <v>50664165.100000001</v>
      </c>
      <c r="F61" s="521">
        <f>E61*NPV!C9</f>
        <v>31551095.73882331</v>
      </c>
    </row>
    <row r="62" spans="1:8" x14ac:dyDescent="0.2">
      <c r="B62" s="231">
        <f t="shared" si="2"/>
        <v>2025</v>
      </c>
      <c r="C62" s="233">
        <f>Costs!G14</f>
        <v>0</v>
      </c>
      <c r="D62" s="233">
        <f>Costs!H14</f>
        <v>177486.40000000002</v>
      </c>
      <c r="E62" s="233">
        <f t="shared" si="3"/>
        <v>177486.40000000002</v>
      </c>
      <c r="F62" s="521">
        <f>E62*NPV!C10</f>
        <v>103298.70073647225</v>
      </c>
    </row>
    <row r="63" spans="1:8" x14ac:dyDescent="0.2">
      <c r="B63" s="231">
        <f t="shared" si="2"/>
        <v>2026</v>
      </c>
      <c r="C63" s="233">
        <f>Costs!G15</f>
        <v>0</v>
      </c>
      <c r="D63" s="233">
        <f>Costs!H15</f>
        <v>177486.40000000002</v>
      </c>
      <c r="E63" s="233">
        <f t="shared" si="3"/>
        <v>177486.40000000002</v>
      </c>
      <c r="F63" s="521">
        <f>E63*NPV!C11</f>
        <v>96540.841809787147</v>
      </c>
    </row>
    <row r="64" spans="1:8" x14ac:dyDescent="0.2">
      <c r="B64" s="231">
        <f t="shared" si="2"/>
        <v>2027</v>
      </c>
      <c r="C64" s="233">
        <f>Costs!G16</f>
        <v>0</v>
      </c>
      <c r="D64" s="233">
        <f>Costs!H16</f>
        <v>4864206.4000000004</v>
      </c>
      <c r="E64" s="233">
        <f t="shared" si="3"/>
        <v>4864206.4000000004</v>
      </c>
      <c r="F64" s="521">
        <f>E64*NPV!C12</f>
        <v>2472715.880237164</v>
      </c>
    </row>
    <row r="65" spans="2:6" x14ac:dyDescent="0.2">
      <c r="B65" s="231">
        <f t="shared" si="2"/>
        <v>2028</v>
      </c>
      <c r="C65" s="233">
        <f>Costs!G17</f>
        <v>0</v>
      </c>
      <c r="D65" s="233">
        <f>Costs!H17</f>
        <v>177486.39999999991</v>
      </c>
      <c r="E65" s="233">
        <f t="shared" si="3"/>
        <v>177486.39999999991</v>
      </c>
      <c r="F65" s="521">
        <f>E65*NPV!C13</f>
        <v>84322.51009676572</v>
      </c>
    </row>
    <row r="66" spans="2:6" x14ac:dyDescent="0.2">
      <c r="B66" s="231">
        <f t="shared" si="2"/>
        <v>2029</v>
      </c>
      <c r="C66" s="233">
        <f>Costs!G18</f>
        <v>0</v>
      </c>
      <c r="D66" s="233">
        <f>Costs!H18</f>
        <v>177486.39999999991</v>
      </c>
      <c r="E66" s="233">
        <f t="shared" si="3"/>
        <v>177486.39999999991</v>
      </c>
      <c r="F66" s="521">
        <f>E66*NPV!C14</f>
        <v>78806.084202584796</v>
      </c>
    </row>
    <row r="67" spans="2:6" x14ac:dyDescent="0.2">
      <c r="B67" s="231">
        <f t="shared" si="2"/>
        <v>2030</v>
      </c>
      <c r="C67" s="233">
        <f>Costs!G19</f>
        <v>0</v>
      </c>
      <c r="D67" s="233">
        <f>Costs!H19</f>
        <v>177486.40000000002</v>
      </c>
      <c r="E67" s="233">
        <f t="shared" si="3"/>
        <v>177486.40000000002</v>
      </c>
      <c r="F67" s="521">
        <f>E67*NPV!C15</f>
        <v>73650.545983724151</v>
      </c>
    </row>
    <row r="68" spans="2:6" x14ac:dyDescent="0.2">
      <c r="B68" s="231">
        <f t="shared" si="2"/>
        <v>2031</v>
      </c>
      <c r="C68" s="233">
        <f>Costs!G20</f>
        <v>0</v>
      </c>
      <c r="D68" s="233">
        <f>Costs!H20</f>
        <v>177486.40000000002</v>
      </c>
      <c r="E68" s="233">
        <f t="shared" si="3"/>
        <v>177486.40000000002</v>
      </c>
      <c r="F68" s="521">
        <f>E68*NPV!C16</f>
        <v>68832.285966097348</v>
      </c>
    </row>
    <row r="69" spans="2:6" x14ac:dyDescent="0.2">
      <c r="B69" s="231">
        <f t="shared" si="2"/>
        <v>2032</v>
      </c>
      <c r="C69" s="233">
        <f>Costs!G21</f>
        <v>0</v>
      </c>
      <c r="D69" s="233">
        <f>Costs!H21</f>
        <v>177486.40000000002</v>
      </c>
      <c r="E69" s="233">
        <f t="shared" si="3"/>
        <v>177486.40000000002</v>
      </c>
      <c r="F69" s="521">
        <f>E69*NPV!C17</f>
        <v>64329.239220651718</v>
      </c>
    </row>
    <row r="70" spans="2:6" x14ac:dyDescent="0.2">
      <c r="B70" s="231">
        <f t="shared" si="2"/>
        <v>2033</v>
      </c>
      <c r="C70" s="233">
        <f>Costs!G22</f>
        <v>0</v>
      </c>
      <c r="D70" s="233">
        <f>Costs!H22</f>
        <v>177486.40000000002</v>
      </c>
      <c r="E70" s="233">
        <f t="shared" si="3"/>
        <v>177486.40000000002</v>
      </c>
      <c r="F70" s="521">
        <f>E70*NPV!C18</f>
        <v>60120.784318366095</v>
      </c>
    </row>
    <row r="71" spans="2:6" x14ac:dyDescent="0.2">
      <c r="B71" s="231">
        <f t="shared" si="2"/>
        <v>2034</v>
      </c>
      <c r="C71" s="233">
        <f>Costs!G23</f>
        <v>0</v>
      </c>
      <c r="D71" s="233">
        <f>Costs!H23</f>
        <v>4864206.4000000004</v>
      </c>
      <c r="E71" s="233">
        <f t="shared" si="3"/>
        <v>4864206.4000000004</v>
      </c>
      <c r="F71" s="521">
        <f>E71*NPV!C19</f>
        <v>1539883.1761716239</v>
      </c>
    </row>
    <row r="72" spans="2:6" x14ac:dyDescent="0.2">
      <c r="B72" s="231">
        <f t="shared" si="2"/>
        <v>2035</v>
      </c>
      <c r="C72" s="233">
        <f>Costs!G24</f>
        <v>0</v>
      </c>
      <c r="D72" s="233">
        <f>Costs!H24</f>
        <v>177486.40000000037</v>
      </c>
      <c r="E72" s="233">
        <f t="shared" si="3"/>
        <v>177486.40000000037</v>
      </c>
      <c r="F72" s="521">
        <f>E72*NPV!C20</f>
        <v>52511.821397821826</v>
      </c>
    </row>
    <row r="73" spans="2:6" x14ac:dyDescent="0.2">
      <c r="B73" s="231">
        <f t="shared" si="2"/>
        <v>2036</v>
      </c>
      <c r="C73" s="233">
        <f>Costs!G25</f>
        <v>0</v>
      </c>
      <c r="D73" s="233">
        <f>Costs!H25</f>
        <v>177486.40000000037</v>
      </c>
      <c r="E73" s="233">
        <f t="shared" si="3"/>
        <v>177486.40000000037</v>
      </c>
      <c r="F73" s="521">
        <f>E73*NPV!C21</f>
        <v>49076.468596095168</v>
      </c>
    </row>
    <row r="74" spans="2:6" x14ac:dyDescent="0.2">
      <c r="B74" s="231">
        <f t="shared" si="2"/>
        <v>2037</v>
      </c>
      <c r="C74" s="233">
        <f>Costs!G26</f>
        <v>0</v>
      </c>
      <c r="D74" s="233">
        <f>Costs!H26</f>
        <v>177486.40000000002</v>
      </c>
      <c r="E74" s="233">
        <f t="shared" si="3"/>
        <v>177486.40000000002</v>
      </c>
      <c r="F74" s="521">
        <f>E74*NPV!C22</f>
        <v>45865.858501023431</v>
      </c>
    </row>
    <row r="75" spans="2:6" x14ac:dyDescent="0.2">
      <c r="B75" s="231">
        <f t="shared" si="2"/>
        <v>2038</v>
      </c>
      <c r="C75" s="233">
        <f>Costs!G27</f>
        <v>0</v>
      </c>
      <c r="D75" s="233">
        <f>Costs!H27</f>
        <v>177486.39999999991</v>
      </c>
      <c r="E75" s="233">
        <f t="shared" si="3"/>
        <v>177486.39999999991</v>
      </c>
      <c r="F75" s="521">
        <f>E75*NPV!C23</f>
        <v>42865.288318713458</v>
      </c>
    </row>
    <row r="76" spans="2:6" x14ac:dyDescent="0.2">
      <c r="B76" s="231">
        <f t="shared" si="2"/>
        <v>2039</v>
      </c>
      <c r="C76" s="233">
        <f>Costs!G28</f>
        <v>0</v>
      </c>
      <c r="D76" s="233">
        <f>Costs!H28</f>
        <v>177486.40000000002</v>
      </c>
      <c r="E76" s="233">
        <f t="shared" si="3"/>
        <v>177486.40000000002</v>
      </c>
      <c r="F76" s="521">
        <f>E76*NPV!C24</f>
        <v>40061.017120292978</v>
      </c>
    </row>
    <row r="77" spans="2:6" x14ac:dyDescent="0.2">
      <c r="B77" s="231">
        <f t="shared" si="2"/>
        <v>2040</v>
      </c>
      <c r="C77" s="233">
        <f>Costs!G29</f>
        <v>0</v>
      </c>
      <c r="D77" s="233">
        <f>Costs!H29</f>
        <v>936962.39999999991</v>
      </c>
      <c r="E77" s="233">
        <f t="shared" si="3"/>
        <v>936962.39999999991</v>
      </c>
      <c r="F77" s="521">
        <f>E77*NPV!C25</f>
        <v>197649.29809164995</v>
      </c>
    </row>
    <row r="78" spans="2:6" x14ac:dyDescent="0.2">
      <c r="B78" s="231">
        <f t="shared" si="2"/>
        <v>2041</v>
      </c>
      <c r="C78" s="233">
        <f>Costs!G30</f>
        <v>0</v>
      </c>
      <c r="D78" s="233">
        <f>Costs!H30</f>
        <v>9550926.4000000004</v>
      </c>
      <c r="E78" s="233">
        <f t="shared" si="3"/>
        <v>9550926.4000000004</v>
      </c>
      <c r="F78" s="521">
        <f>E78*NPV!C26</f>
        <v>1882932.8571397259</v>
      </c>
    </row>
    <row r="79" spans="2:6" x14ac:dyDescent="0.2">
      <c r="B79" s="231">
        <f t="shared" si="2"/>
        <v>2042</v>
      </c>
      <c r="C79" s="233">
        <f>Costs!G31</f>
        <v>0</v>
      </c>
      <c r="D79" s="233">
        <f>Costs!H31</f>
        <v>177486.39999999991</v>
      </c>
      <c r="E79" s="233">
        <f t="shared" si="3"/>
        <v>177486.39999999991</v>
      </c>
      <c r="F79" s="521">
        <f>E79*NPV!C27</f>
        <v>32701.723221383203</v>
      </c>
    </row>
    <row r="80" spans="2:6" x14ac:dyDescent="0.2">
      <c r="B80" s="231">
        <f t="shared" si="2"/>
        <v>2043</v>
      </c>
      <c r="C80" s="233">
        <f>Costs!G32</f>
        <v>0</v>
      </c>
      <c r="D80" s="233">
        <f>Costs!H32</f>
        <v>177486.39999999991</v>
      </c>
      <c r="E80" s="233">
        <f t="shared" si="3"/>
        <v>177486.39999999991</v>
      </c>
      <c r="F80" s="521">
        <f>E80*NPV!C28</f>
        <v>30562.358150825428</v>
      </c>
    </row>
    <row r="81" spans="1:6" x14ac:dyDescent="0.2">
      <c r="B81" s="231">
        <f t="shared" si="2"/>
        <v>2044</v>
      </c>
      <c r="C81" s="233">
        <f>Costs!G33</f>
        <v>0</v>
      </c>
      <c r="D81" s="233">
        <f>Costs!H33</f>
        <v>177486.40000000002</v>
      </c>
      <c r="E81" s="233">
        <f t="shared" si="3"/>
        <v>177486.40000000002</v>
      </c>
      <c r="F81" s="521">
        <f>E81*NPV!C29</f>
        <v>28562.951542827515</v>
      </c>
    </row>
    <row r="82" spans="1:6" x14ac:dyDescent="0.2">
      <c r="B82" s="231">
        <f t="shared" si="2"/>
        <v>2045</v>
      </c>
      <c r="C82" s="233">
        <f>Costs!G34</f>
        <v>0</v>
      </c>
      <c r="D82" s="233">
        <f>Costs!H34</f>
        <v>177486.40000000002</v>
      </c>
      <c r="E82" s="233">
        <f t="shared" si="3"/>
        <v>177486.40000000002</v>
      </c>
      <c r="F82" s="521">
        <f>E82*NPV!C30</f>
        <v>26694.347236287402</v>
      </c>
    </row>
    <row r="83" spans="1:6" x14ac:dyDescent="0.2">
      <c r="B83" s="231">
        <f t="shared" si="2"/>
        <v>2046</v>
      </c>
      <c r="C83" s="233">
        <f>Costs!G35</f>
        <v>0</v>
      </c>
      <c r="D83" s="233">
        <f>Costs!H35</f>
        <v>177486.40000000002</v>
      </c>
      <c r="E83" s="233">
        <f t="shared" si="3"/>
        <v>177486.40000000002</v>
      </c>
      <c r="F83" s="521">
        <f>E83*NPV!C31</f>
        <v>24947.988071296641</v>
      </c>
    </row>
    <row r="84" spans="1:6" x14ac:dyDescent="0.2">
      <c r="B84" s="231">
        <f t="shared" si="2"/>
        <v>2047</v>
      </c>
      <c r="C84" s="233">
        <f>Costs!G36</f>
        <v>0</v>
      </c>
      <c r="D84" s="233">
        <f>Costs!H36</f>
        <v>177486.40000000002</v>
      </c>
      <c r="E84" s="233">
        <f t="shared" si="3"/>
        <v>177486.40000000002</v>
      </c>
      <c r="F84" s="521">
        <f>E84*NPV!C32</f>
        <v>23315.876702146394</v>
      </c>
    </row>
    <row r="85" spans="1:6" x14ac:dyDescent="0.2">
      <c r="B85" s="231">
        <f t="shared" si="2"/>
        <v>2048</v>
      </c>
      <c r="C85" s="233">
        <f>Costs!G37</f>
        <v>0</v>
      </c>
      <c r="D85" s="233">
        <f>Costs!H37</f>
        <v>4864206.4000000004</v>
      </c>
      <c r="E85" s="233">
        <f t="shared" si="3"/>
        <v>4864206.4000000004</v>
      </c>
      <c r="F85" s="521">
        <f>E85*NPV!C33</f>
        <v>597193.24487187422</v>
      </c>
    </row>
    <row r="86" spans="1:6" x14ac:dyDescent="0.2">
      <c r="B86" s="231">
        <f t="shared" si="2"/>
        <v>2049</v>
      </c>
      <c r="C86" s="233">
        <f>Costs!G38</f>
        <v>0</v>
      </c>
      <c r="D86" s="233">
        <f>Costs!H38</f>
        <v>177486.39999999991</v>
      </c>
      <c r="E86" s="233">
        <f t="shared" si="3"/>
        <v>177486.39999999991</v>
      </c>
      <c r="F86" s="521">
        <f>E86*NPV!C34</f>
        <v>20364.989695297732</v>
      </c>
    </row>
    <row r="87" spans="1:6" x14ac:dyDescent="0.2">
      <c r="B87" s="231">
        <f t="shared" si="2"/>
        <v>2050</v>
      </c>
      <c r="C87" s="233">
        <f>Costs!G39</f>
        <v>0</v>
      </c>
      <c r="D87" s="233">
        <f>Costs!H39</f>
        <v>177486.39999999991</v>
      </c>
      <c r="E87" s="233">
        <f t="shared" si="3"/>
        <v>177486.39999999991</v>
      </c>
      <c r="F87" s="521">
        <f>E87*NPV!C35</f>
        <v>19032.700649810966</v>
      </c>
    </row>
    <row r="88" spans="1:6" x14ac:dyDescent="0.2">
      <c r="B88" s="231">
        <f t="shared" si="2"/>
        <v>2051</v>
      </c>
      <c r="C88" s="233">
        <f>Costs!G40</f>
        <v>0</v>
      </c>
      <c r="D88" s="233">
        <f>Costs!H40</f>
        <v>177486.40000000002</v>
      </c>
      <c r="E88" s="233">
        <f t="shared" si="3"/>
        <v>177486.40000000002</v>
      </c>
      <c r="F88" s="521">
        <f>E88*NPV!C36</f>
        <v>17787.570700757926</v>
      </c>
    </row>
    <row r="89" spans="1:6" x14ac:dyDescent="0.2">
      <c r="B89" s="231">
        <f t="shared" si="2"/>
        <v>2052</v>
      </c>
      <c r="C89" s="233">
        <f>Costs!G41</f>
        <v>0</v>
      </c>
      <c r="D89" s="233">
        <f>Costs!H41</f>
        <v>177486.40000000002</v>
      </c>
      <c r="E89" s="233">
        <f t="shared" si="3"/>
        <v>177486.40000000002</v>
      </c>
      <c r="F89" s="521">
        <f>E89*NPV!C37</f>
        <v>16623.897851175629</v>
      </c>
    </row>
    <row r="90" spans="1:6" x14ac:dyDescent="0.2">
      <c r="B90" s="231">
        <f t="shared" si="2"/>
        <v>2053</v>
      </c>
      <c r="C90" s="233">
        <f>Costs!G42</f>
        <v>0</v>
      </c>
      <c r="D90" s="233">
        <f>Costs!H42</f>
        <v>177486.40000000002</v>
      </c>
      <c r="E90" s="233">
        <f t="shared" si="3"/>
        <v>177486.40000000002</v>
      </c>
      <c r="F90" s="521">
        <f>E90*NPV!C38</f>
        <v>15536.353131939839</v>
      </c>
    </row>
    <row r="91" spans="1:6" x14ac:dyDescent="0.2">
      <c r="B91" s="231">
        <f>B48</f>
        <v>2054</v>
      </c>
      <c r="C91" s="233">
        <f>Costs!G43</f>
        <v>0</v>
      </c>
      <c r="D91" s="233">
        <f>Costs!H43</f>
        <v>177486.40000000002</v>
      </c>
      <c r="E91" s="233">
        <f t="shared" si="3"/>
        <v>177486.40000000002</v>
      </c>
      <c r="F91" s="521">
        <f>E91*NPV!C39</f>
        <v>14519.956198074617</v>
      </c>
    </row>
    <row r="92" spans="1:6" x14ac:dyDescent="0.2">
      <c r="B92" s="231">
        <f t="shared" si="2"/>
        <v>2055</v>
      </c>
      <c r="C92" s="233">
        <f>Costs!G44</f>
        <v>-110898800</v>
      </c>
      <c r="D92" s="233">
        <f>Costs!H44</f>
        <v>4864206.4000000004</v>
      </c>
      <c r="E92" s="233">
        <f t="shared" si="3"/>
        <v>-106034593.59999999</v>
      </c>
      <c r="F92" s="521">
        <f>E92*NPV!C40</f>
        <v>-8107071.8897606032</v>
      </c>
    </row>
    <row r="93" spans="1:6" ht="15" x14ac:dyDescent="0.25">
      <c r="C93" s="236"/>
      <c r="D93" s="241" t="s">
        <v>41</v>
      </c>
      <c r="E93" s="234">
        <f>SUM(E56:E92)</f>
        <v>202137954.99999931</v>
      </c>
      <c r="F93" s="234">
        <f>SUM(F56:F92)</f>
        <v>200459639.81961465</v>
      </c>
    </row>
    <row r="94" spans="1:6" x14ac:dyDescent="0.2">
      <c r="A94" s="205"/>
      <c r="B94" s="205"/>
    </row>
    <row r="96" spans="1:6" ht="14.45" customHeight="1" x14ac:dyDescent="0.2">
      <c r="B96" s="710" t="s">
        <v>388</v>
      </c>
      <c r="C96" s="710"/>
      <c r="D96" s="710"/>
      <c r="E96" s="710"/>
    </row>
    <row r="97" spans="2:5" ht="24" x14ac:dyDescent="0.2">
      <c r="B97" s="230" t="s">
        <v>208</v>
      </c>
      <c r="C97" s="230" t="s">
        <v>214</v>
      </c>
      <c r="D97" s="230" t="s">
        <v>175</v>
      </c>
      <c r="E97" s="230" t="s">
        <v>215</v>
      </c>
    </row>
    <row r="98" spans="2:5" x14ac:dyDescent="0.2">
      <c r="B98" s="231">
        <f t="shared" ref="B98:B134" si="4">B56</f>
        <v>2019</v>
      </c>
      <c r="C98" s="522">
        <f>F56</f>
        <v>21721596.55865141</v>
      </c>
      <c r="D98" s="522">
        <f t="shared" ref="D98:D120" si="5">H13</f>
        <v>0</v>
      </c>
      <c r="E98" s="234">
        <f t="shared" ref="E98:E134" si="6">D98-C98</f>
        <v>-21721596.55865141</v>
      </c>
    </row>
    <row r="99" spans="2:5" x14ac:dyDescent="0.2">
      <c r="B99" s="231">
        <f t="shared" si="4"/>
        <v>2020</v>
      </c>
      <c r="C99" s="522">
        <f t="shared" ref="C99:C124" si="7">F57</f>
        <v>22631613.747435801</v>
      </c>
      <c r="D99" s="234">
        <f t="shared" si="5"/>
        <v>0</v>
      </c>
      <c r="E99" s="234">
        <f t="shared" si="6"/>
        <v>-22631613.747435801</v>
      </c>
    </row>
    <row r="100" spans="2:5" x14ac:dyDescent="0.2">
      <c r="B100" s="231">
        <f t="shared" si="4"/>
        <v>2021</v>
      </c>
      <c r="C100" s="522">
        <f t="shared" si="7"/>
        <v>38359009.652463004</v>
      </c>
      <c r="D100" s="234">
        <f t="shared" si="5"/>
        <v>0</v>
      </c>
      <c r="E100" s="234">
        <f t="shared" si="6"/>
        <v>-38359009.652463004</v>
      </c>
    </row>
    <row r="101" spans="2:5" x14ac:dyDescent="0.2">
      <c r="B101" s="231">
        <f t="shared" si="4"/>
        <v>2022</v>
      </c>
      <c r="C101" s="522">
        <f t="shared" si="7"/>
        <v>47568132.383040376</v>
      </c>
      <c r="D101" s="234">
        <f t="shared" si="5"/>
        <v>0</v>
      </c>
      <c r="E101" s="234">
        <f t="shared" si="6"/>
        <v>-47568132.383040376</v>
      </c>
    </row>
    <row r="102" spans="2:5" x14ac:dyDescent="0.2">
      <c r="B102" s="231">
        <f t="shared" si="4"/>
        <v>2023</v>
      </c>
      <c r="C102" s="522">
        <f t="shared" si="7"/>
        <v>38913957.013029084</v>
      </c>
      <c r="D102" s="234">
        <f t="shared" si="5"/>
        <v>0</v>
      </c>
      <c r="E102" s="234">
        <f t="shared" si="6"/>
        <v>-38913957.013029084</v>
      </c>
    </row>
    <row r="103" spans="2:5" x14ac:dyDescent="0.2">
      <c r="B103" s="231">
        <f t="shared" si="4"/>
        <v>2024</v>
      </c>
      <c r="C103" s="522">
        <f t="shared" si="7"/>
        <v>31551095.73882331</v>
      </c>
      <c r="D103" s="234">
        <f t="shared" si="5"/>
        <v>0</v>
      </c>
      <c r="E103" s="234">
        <f t="shared" si="6"/>
        <v>-31551095.73882331</v>
      </c>
    </row>
    <row r="104" spans="2:5" x14ac:dyDescent="0.2">
      <c r="B104" s="231">
        <f t="shared" si="4"/>
        <v>2025</v>
      </c>
      <c r="C104" s="522">
        <f t="shared" si="7"/>
        <v>103298.70073647225</v>
      </c>
      <c r="D104" s="234">
        <f t="shared" si="5"/>
        <v>11862963.901541062</v>
      </c>
      <c r="E104" s="234">
        <f t="shared" si="6"/>
        <v>11759665.200804589</v>
      </c>
    </row>
    <row r="105" spans="2:5" x14ac:dyDescent="0.2">
      <c r="B105" s="231">
        <f t="shared" si="4"/>
        <v>2026</v>
      </c>
      <c r="C105" s="522">
        <f t="shared" si="7"/>
        <v>96540.841809787147</v>
      </c>
      <c r="D105" s="234">
        <f t="shared" si="5"/>
        <v>11442518.251160301</v>
      </c>
      <c r="E105" s="234">
        <f t="shared" si="6"/>
        <v>11345977.409350514</v>
      </c>
    </row>
    <row r="106" spans="2:5" x14ac:dyDescent="0.2">
      <c r="B106" s="231">
        <f t="shared" si="4"/>
        <v>2027</v>
      </c>
      <c r="C106" s="522">
        <f t="shared" si="7"/>
        <v>2472715.880237164</v>
      </c>
      <c r="D106" s="234">
        <f t="shared" si="5"/>
        <v>10840147.734215988</v>
      </c>
      <c r="E106" s="234">
        <f t="shared" si="6"/>
        <v>8367431.8539788239</v>
      </c>
    </row>
    <row r="107" spans="2:5" x14ac:dyDescent="0.2">
      <c r="B107" s="231">
        <f t="shared" si="4"/>
        <v>2028</v>
      </c>
      <c r="C107" s="522">
        <f t="shared" si="7"/>
        <v>84322.51009676572</v>
      </c>
      <c r="D107" s="234">
        <f t="shared" si="5"/>
        <v>10410136.840422073</v>
      </c>
      <c r="E107" s="234">
        <f t="shared" si="6"/>
        <v>10325814.330325307</v>
      </c>
    </row>
    <row r="108" spans="2:5" x14ac:dyDescent="0.2">
      <c r="B108" s="231">
        <f t="shared" si="4"/>
        <v>2029</v>
      </c>
      <c r="C108" s="522">
        <f t="shared" si="7"/>
        <v>78806.084202584796</v>
      </c>
      <c r="D108" s="234">
        <f t="shared" si="5"/>
        <v>9911321.6613505483</v>
      </c>
      <c r="E108" s="234">
        <f t="shared" si="6"/>
        <v>9832515.5771479644</v>
      </c>
    </row>
    <row r="109" spans="2:5" x14ac:dyDescent="0.2">
      <c r="B109" s="231">
        <f t="shared" si="4"/>
        <v>2030</v>
      </c>
      <c r="C109" s="522">
        <f t="shared" si="7"/>
        <v>73650.545983724151</v>
      </c>
      <c r="D109" s="234">
        <f t="shared" si="5"/>
        <v>9434649.1365514584</v>
      </c>
      <c r="E109" s="234">
        <f t="shared" si="6"/>
        <v>9360998.5905677341</v>
      </c>
    </row>
    <row r="110" spans="2:5" x14ac:dyDescent="0.2">
      <c r="B110" s="231">
        <f t="shared" si="4"/>
        <v>2031</v>
      </c>
      <c r="C110" s="522">
        <f t="shared" si="7"/>
        <v>68832.285966097348</v>
      </c>
      <c r="D110" s="234">
        <f t="shared" si="5"/>
        <v>9028515.3049984369</v>
      </c>
      <c r="E110" s="234">
        <f t="shared" si="6"/>
        <v>8959683.0190323405</v>
      </c>
    </row>
    <row r="111" spans="2:5" x14ac:dyDescent="0.2">
      <c r="B111" s="231">
        <f t="shared" si="4"/>
        <v>2032</v>
      </c>
      <c r="C111" s="522">
        <f t="shared" si="7"/>
        <v>64329.239220651718</v>
      </c>
      <c r="D111" s="234">
        <f t="shared" si="5"/>
        <v>8710057.5192956664</v>
      </c>
      <c r="E111" s="234">
        <f t="shared" si="6"/>
        <v>8645728.2800750155</v>
      </c>
    </row>
    <row r="112" spans="2:5" x14ac:dyDescent="0.2">
      <c r="B112" s="231">
        <f t="shared" si="4"/>
        <v>2033</v>
      </c>
      <c r="C112" s="522">
        <f t="shared" si="7"/>
        <v>60120.784318366095</v>
      </c>
      <c r="D112" s="234">
        <f t="shared" si="5"/>
        <v>8402049.6565212272</v>
      </c>
      <c r="E112" s="234">
        <f t="shared" si="6"/>
        <v>8341928.8722028611</v>
      </c>
    </row>
    <row r="113" spans="2:5" x14ac:dyDescent="0.2">
      <c r="B113" s="231">
        <f t="shared" si="4"/>
        <v>2034</v>
      </c>
      <c r="C113" s="522">
        <f t="shared" si="7"/>
        <v>1539883.1761716239</v>
      </c>
      <c r="D113" s="234">
        <f t="shared" si="5"/>
        <v>7860428.2364104195</v>
      </c>
      <c r="E113" s="234">
        <f t="shared" si="6"/>
        <v>6320545.0602387954</v>
      </c>
    </row>
    <row r="114" spans="2:5" x14ac:dyDescent="0.2">
      <c r="B114" s="231">
        <f t="shared" si="4"/>
        <v>2035</v>
      </c>
      <c r="C114" s="522">
        <f t="shared" si="7"/>
        <v>52511.821397821826</v>
      </c>
      <c r="D114" s="234">
        <f t="shared" si="5"/>
        <v>7590003.4289287785</v>
      </c>
      <c r="E114" s="234">
        <f t="shared" si="6"/>
        <v>7537491.6075309571</v>
      </c>
    </row>
    <row r="115" spans="2:5" x14ac:dyDescent="0.2">
      <c r="B115" s="231">
        <f t="shared" si="4"/>
        <v>2036</v>
      </c>
      <c r="C115" s="522">
        <f t="shared" si="7"/>
        <v>49076.468596095168</v>
      </c>
      <c r="D115" s="234">
        <f t="shared" si="5"/>
        <v>7246941.5788032403</v>
      </c>
      <c r="E115" s="234">
        <f t="shared" si="6"/>
        <v>7197865.1102071451</v>
      </c>
    </row>
    <row r="116" spans="2:5" x14ac:dyDescent="0.2">
      <c r="B116" s="231">
        <f t="shared" si="4"/>
        <v>2037</v>
      </c>
      <c r="C116" s="522">
        <f t="shared" si="7"/>
        <v>45865.858501023431</v>
      </c>
      <c r="D116" s="234">
        <f t="shared" si="5"/>
        <v>6978163.0697276313</v>
      </c>
      <c r="E116" s="234">
        <f t="shared" si="6"/>
        <v>6932297.2112266077</v>
      </c>
    </row>
    <row r="117" spans="2:5" x14ac:dyDescent="0.2">
      <c r="B117" s="231">
        <f t="shared" si="4"/>
        <v>2038</v>
      </c>
      <c r="C117" s="522">
        <f t="shared" si="7"/>
        <v>42865.288318713458</v>
      </c>
      <c r="D117" s="234">
        <f t="shared" si="5"/>
        <v>6673091.3818948036</v>
      </c>
      <c r="E117" s="234">
        <f t="shared" si="6"/>
        <v>6630226.0935760904</v>
      </c>
    </row>
    <row r="118" spans="2:5" x14ac:dyDescent="0.2">
      <c r="B118" s="231">
        <f t="shared" si="4"/>
        <v>2039</v>
      </c>
      <c r="C118" s="522">
        <f t="shared" si="7"/>
        <v>40061.017120292978</v>
      </c>
      <c r="D118" s="234">
        <f t="shared" si="5"/>
        <v>6413232.2166080829</v>
      </c>
      <c r="E118" s="234">
        <f t="shared" si="6"/>
        <v>6373171.1994877895</v>
      </c>
    </row>
    <row r="119" spans="2:5" x14ac:dyDescent="0.2">
      <c r="B119" s="231">
        <f t="shared" si="4"/>
        <v>2040</v>
      </c>
      <c r="C119" s="522">
        <f t="shared" si="7"/>
        <v>197649.29809164995</v>
      </c>
      <c r="D119" s="234">
        <f t="shared" si="5"/>
        <v>6225664.2595220301</v>
      </c>
      <c r="E119" s="234">
        <f t="shared" si="6"/>
        <v>6028014.9614303801</v>
      </c>
    </row>
    <row r="120" spans="2:5" x14ac:dyDescent="0.2">
      <c r="B120" s="231">
        <f t="shared" si="4"/>
        <v>2041</v>
      </c>
      <c r="C120" s="522">
        <f t="shared" si="7"/>
        <v>1882932.8571397259</v>
      </c>
      <c r="D120" s="234">
        <f t="shared" si="5"/>
        <v>5890826.5221844343</v>
      </c>
      <c r="E120" s="234">
        <f t="shared" si="6"/>
        <v>4007893.6650447082</v>
      </c>
    </row>
    <row r="121" spans="2:5" x14ac:dyDescent="0.2">
      <c r="B121" s="231">
        <f t="shared" si="4"/>
        <v>2042</v>
      </c>
      <c r="C121" s="522">
        <f t="shared" si="7"/>
        <v>32701.723221383203</v>
      </c>
      <c r="D121" s="234">
        <f t="shared" ref="D121:D124" si="8">H36</f>
        <v>5557161.2312815245</v>
      </c>
      <c r="E121" s="234">
        <f t="shared" si="6"/>
        <v>5524459.5080601415</v>
      </c>
    </row>
    <row r="122" spans="2:5" x14ac:dyDescent="0.2">
      <c r="B122" s="231">
        <f t="shared" si="4"/>
        <v>2043</v>
      </c>
      <c r="C122" s="522">
        <f t="shared" si="7"/>
        <v>30562.358150825428</v>
      </c>
      <c r="D122" s="234">
        <f t="shared" si="8"/>
        <v>5329331.5505975522</v>
      </c>
      <c r="E122" s="234">
        <f t="shared" si="6"/>
        <v>5298769.1924467264</v>
      </c>
    </row>
    <row r="123" spans="2:5" x14ac:dyDescent="0.2">
      <c r="B123" s="231">
        <f t="shared" si="4"/>
        <v>2044</v>
      </c>
      <c r="C123" s="522">
        <f t="shared" si="7"/>
        <v>28562.951542827515</v>
      </c>
      <c r="D123" s="234">
        <f t="shared" si="8"/>
        <v>5063229.3760117814</v>
      </c>
      <c r="E123" s="234">
        <f t="shared" si="6"/>
        <v>5034666.4244689541</v>
      </c>
    </row>
    <row r="124" spans="2:5" x14ac:dyDescent="0.2">
      <c r="B124" s="231">
        <f t="shared" si="4"/>
        <v>2045</v>
      </c>
      <c r="C124" s="522">
        <f t="shared" si="7"/>
        <v>26694.347236287402</v>
      </c>
      <c r="D124" s="234">
        <f t="shared" si="8"/>
        <v>4844016.6076410729</v>
      </c>
      <c r="E124" s="234">
        <f t="shared" si="6"/>
        <v>4817322.2604047852</v>
      </c>
    </row>
    <row r="125" spans="2:5" x14ac:dyDescent="0.2">
      <c r="B125" s="231">
        <f t="shared" si="4"/>
        <v>2046</v>
      </c>
      <c r="C125" s="522">
        <f t="shared" ref="C125:C127" si="9">F83</f>
        <v>24947.988071296641</v>
      </c>
      <c r="D125" s="234">
        <f t="shared" ref="D125:D127" si="10">H40</f>
        <v>4580736.7542432295</v>
      </c>
      <c r="E125" s="234">
        <f t="shared" ref="E125:E127" si="11">D125-C125</f>
        <v>4555788.7661719332</v>
      </c>
    </row>
    <row r="126" spans="2:5" x14ac:dyDescent="0.2">
      <c r="B126" s="231">
        <f t="shared" si="4"/>
        <v>2047</v>
      </c>
      <c r="C126" s="522">
        <f t="shared" si="9"/>
        <v>23315.876702146394</v>
      </c>
      <c r="D126" s="234">
        <f t="shared" si="10"/>
        <v>4399242.677145429</v>
      </c>
      <c r="E126" s="234">
        <f t="shared" si="11"/>
        <v>4375926.8004432824</v>
      </c>
    </row>
    <row r="127" spans="2:5" x14ac:dyDescent="0.2">
      <c r="B127" s="231">
        <f t="shared" si="4"/>
        <v>2048</v>
      </c>
      <c r="C127" s="522">
        <f t="shared" si="9"/>
        <v>597193.24487187422</v>
      </c>
      <c r="D127" s="234">
        <f t="shared" si="10"/>
        <v>4189605.5822880021</v>
      </c>
      <c r="E127" s="234">
        <f t="shared" si="11"/>
        <v>3592412.3374161278</v>
      </c>
    </row>
    <row r="128" spans="2:5" x14ac:dyDescent="0.2">
      <c r="B128" s="231">
        <f t="shared" si="4"/>
        <v>2049</v>
      </c>
      <c r="C128" s="522">
        <f t="shared" ref="C128:C134" si="12">F86</f>
        <v>20364.989695297732</v>
      </c>
      <c r="D128" s="234">
        <f t="shared" ref="D128:D134" si="13">H43</f>
        <v>3949702.0695043849</v>
      </c>
      <c r="E128" s="234">
        <f t="shared" si="6"/>
        <v>3929337.0798090873</v>
      </c>
    </row>
    <row r="129" spans="2:5" x14ac:dyDescent="0.2">
      <c r="B129" s="231">
        <f t="shared" si="4"/>
        <v>2050</v>
      </c>
      <c r="C129" s="522">
        <f t="shared" si="12"/>
        <v>19032.700649810966</v>
      </c>
      <c r="D129" s="234">
        <f t="shared" si="13"/>
        <v>3780872.4717182056</v>
      </c>
      <c r="E129" s="234">
        <f t="shared" si="6"/>
        <v>3761839.7710683946</v>
      </c>
    </row>
    <row r="130" spans="2:5" x14ac:dyDescent="0.2">
      <c r="B130" s="231">
        <f t="shared" si="4"/>
        <v>2051</v>
      </c>
      <c r="C130" s="522">
        <f t="shared" si="12"/>
        <v>17787.570700757926</v>
      </c>
      <c r="D130" s="234">
        <f t="shared" si="13"/>
        <v>3611180.1275620805</v>
      </c>
      <c r="E130" s="234">
        <f t="shared" si="6"/>
        <v>3593392.5568613224</v>
      </c>
    </row>
    <row r="131" spans="2:5" x14ac:dyDescent="0.2">
      <c r="B131" s="231">
        <f t="shared" si="4"/>
        <v>2052</v>
      </c>
      <c r="C131" s="522">
        <f t="shared" si="12"/>
        <v>16623.897851175629</v>
      </c>
      <c r="D131" s="234">
        <f t="shared" si="13"/>
        <v>3453066.272287657</v>
      </c>
      <c r="E131" s="234">
        <f t="shared" si="6"/>
        <v>3436442.3744364814</v>
      </c>
    </row>
    <row r="132" spans="2:5" x14ac:dyDescent="0.2">
      <c r="B132" s="231">
        <f t="shared" si="4"/>
        <v>2053</v>
      </c>
      <c r="C132" s="522">
        <f t="shared" si="12"/>
        <v>15536.353131939839</v>
      </c>
      <c r="D132" s="234">
        <f t="shared" si="13"/>
        <v>3324165.0694249743</v>
      </c>
      <c r="E132" s="234">
        <f t="shared" si="6"/>
        <v>3308628.7162930346</v>
      </c>
    </row>
    <row r="133" spans="2:5" x14ac:dyDescent="0.2">
      <c r="B133" s="231">
        <f t="shared" si="4"/>
        <v>2054</v>
      </c>
      <c r="C133" s="522">
        <f t="shared" si="12"/>
        <v>14519.956198074617</v>
      </c>
      <c r="D133" s="234">
        <f t="shared" si="13"/>
        <v>3171722.4817160177</v>
      </c>
      <c r="E133" s="234">
        <f t="shared" si="6"/>
        <v>3157202.5255179433</v>
      </c>
    </row>
    <row r="134" spans="2:5" x14ac:dyDescent="0.2">
      <c r="B134" s="231">
        <f t="shared" si="4"/>
        <v>2055</v>
      </c>
      <c r="C134" s="522">
        <f t="shared" si="12"/>
        <v>-8107071.8897606032</v>
      </c>
      <c r="D134" s="234">
        <f t="shared" si="13"/>
        <v>3046361.3091841764</v>
      </c>
      <c r="E134" s="234">
        <f t="shared" si="6"/>
        <v>11153433.198944779</v>
      </c>
    </row>
  </sheetData>
  <mergeCells count="11">
    <mergeCell ref="C54:E54"/>
    <mergeCell ref="B96:E96"/>
    <mergeCell ref="C11:D11"/>
    <mergeCell ref="G11:H11"/>
    <mergeCell ref="B4:B7"/>
    <mergeCell ref="C4:D4"/>
    <mergeCell ref="C5:D5"/>
    <mergeCell ref="C6:D6"/>
    <mergeCell ref="C7:D7"/>
    <mergeCell ref="B53:F53"/>
    <mergeCell ref="B10:H10"/>
  </mergeCells>
  <pageMargins left="0.25" right="0.25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C41"/>
  <sheetViews>
    <sheetView zoomScaleNormal="100" workbookViewId="0">
      <selection activeCell="C4" sqref="C4"/>
    </sheetView>
  </sheetViews>
  <sheetFormatPr defaultRowHeight="12.75" x14ac:dyDescent="0.2"/>
  <cols>
    <col min="5" max="5" width="9.5703125" bestFit="1" customWidth="1"/>
  </cols>
  <sheetData>
    <row r="2" spans="1:3" x14ac:dyDescent="0.2">
      <c r="A2" s="718" t="s">
        <v>7</v>
      </c>
      <c r="B2" s="719"/>
      <c r="C2" s="719"/>
    </row>
    <row r="3" spans="1:3" x14ac:dyDescent="0.2">
      <c r="A3" s="131">
        <v>1</v>
      </c>
      <c r="B3" s="131">
        <v>2018</v>
      </c>
      <c r="C3" s="131">
        <f>1/(1+$C$41)^A3</f>
        <v>0.93457943925233644</v>
      </c>
    </row>
    <row r="4" spans="1:3" x14ac:dyDescent="0.2">
      <c r="A4" s="24">
        <v>2</v>
      </c>
      <c r="B4" s="24">
        <f>B3+1</f>
        <v>2019</v>
      </c>
      <c r="C4" s="24">
        <f>1/(1+$C$41)^A4</f>
        <v>0.87343872827321156</v>
      </c>
    </row>
    <row r="5" spans="1:3" x14ac:dyDescent="0.2">
      <c r="A5" s="24">
        <v>3</v>
      </c>
      <c r="B5" s="24">
        <f t="shared" ref="B5:B40" si="0">B4+1</f>
        <v>2020</v>
      </c>
      <c r="C5" s="24">
        <f t="shared" ref="C5:C40" si="1">1/(1+$C$41)^A5</f>
        <v>0.81629787689085187</v>
      </c>
    </row>
    <row r="6" spans="1:3" x14ac:dyDescent="0.2">
      <c r="A6" s="24">
        <v>4</v>
      </c>
      <c r="B6" s="24">
        <f t="shared" si="0"/>
        <v>2021</v>
      </c>
      <c r="C6" s="24">
        <f t="shared" si="1"/>
        <v>0.7628952120475252</v>
      </c>
    </row>
    <row r="7" spans="1:3" x14ac:dyDescent="0.2">
      <c r="A7" s="24">
        <v>5</v>
      </c>
      <c r="B7" s="24">
        <f t="shared" si="0"/>
        <v>2022</v>
      </c>
      <c r="C7" s="24">
        <f t="shared" si="1"/>
        <v>0.71298617948366838</v>
      </c>
    </row>
    <row r="8" spans="1:3" x14ac:dyDescent="0.2">
      <c r="A8" s="24">
        <v>6</v>
      </c>
      <c r="B8" s="24">
        <f t="shared" si="0"/>
        <v>2023</v>
      </c>
      <c r="C8" s="24">
        <f t="shared" si="1"/>
        <v>0.66634222381651254</v>
      </c>
    </row>
    <row r="9" spans="1:3" x14ac:dyDescent="0.2">
      <c r="A9" s="24">
        <v>7</v>
      </c>
      <c r="B9" s="24">
        <f t="shared" si="0"/>
        <v>2024</v>
      </c>
      <c r="C9" s="24">
        <f t="shared" si="1"/>
        <v>0.62274974188459109</v>
      </c>
    </row>
    <row r="10" spans="1:3" x14ac:dyDescent="0.2">
      <c r="A10" s="24">
        <v>8</v>
      </c>
      <c r="B10" s="24">
        <f t="shared" si="0"/>
        <v>2025</v>
      </c>
      <c r="C10" s="24">
        <f t="shared" si="1"/>
        <v>0.5820091045650384</v>
      </c>
    </row>
    <row r="11" spans="1:3" x14ac:dyDescent="0.2">
      <c r="A11" s="24">
        <v>9</v>
      </c>
      <c r="B11" s="24">
        <f t="shared" si="0"/>
        <v>2026</v>
      </c>
      <c r="C11" s="24">
        <f t="shared" si="1"/>
        <v>0.54393374258414806</v>
      </c>
    </row>
    <row r="12" spans="1:3" x14ac:dyDescent="0.2">
      <c r="A12" s="24">
        <v>10</v>
      </c>
      <c r="B12" s="24">
        <f t="shared" si="0"/>
        <v>2027</v>
      </c>
      <c r="C12" s="24">
        <f t="shared" si="1"/>
        <v>0.5083492921347178</v>
      </c>
    </row>
    <row r="13" spans="1:3" x14ac:dyDescent="0.2">
      <c r="A13" s="24">
        <v>11</v>
      </c>
      <c r="B13" s="24">
        <f t="shared" si="0"/>
        <v>2028</v>
      </c>
      <c r="C13" s="24">
        <f t="shared" si="1"/>
        <v>0.47509279638758667</v>
      </c>
    </row>
    <row r="14" spans="1:3" x14ac:dyDescent="0.2">
      <c r="A14" s="24">
        <v>12</v>
      </c>
      <c r="B14" s="24">
        <f t="shared" si="0"/>
        <v>2029</v>
      </c>
      <c r="C14" s="24">
        <f t="shared" si="1"/>
        <v>0.44401195924073528</v>
      </c>
    </row>
    <row r="15" spans="1:3" x14ac:dyDescent="0.2">
      <c r="A15" s="24">
        <v>13</v>
      </c>
      <c r="B15" s="24">
        <f t="shared" si="0"/>
        <v>2030</v>
      </c>
      <c r="C15" s="24">
        <f t="shared" si="1"/>
        <v>0.41496444788853759</v>
      </c>
    </row>
    <row r="16" spans="1:3" x14ac:dyDescent="0.2">
      <c r="A16" s="24">
        <v>14</v>
      </c>
      <c r="B16" s="24">
        <f t="shared" si="0"/>
        <v>2031</v>
      </c>
      <c r="C16" s="24">
        <f t="shared" si="1"/>
        <v>0.3878172410173249</v>
      </c>
    </row>
    <row r="17" spans="1:3" x14ac:dyDescent="0.2">
      <c r="A17" s="24">
        <v>15</v>
      </c>
      <c r="B17" s="24">
        <f t="shared" si="0"/>
        <v>2032</v>
      </c>
      <c r="C17" s="24">
        <f t="shared" si="1"/>
        <v>0.36244601964235967</v>
      </c>
    </row>
    <row r="18" spans="1:3" x14ac:dyDescent="0.2">
      <c r="A18" s="24">
        <v>16</v>
      </c>
      <c r="B18" s="24">
        <f t="shared" si="0"/>
        <v>2033</v>
      </c>
      <c r="C18" s="24">
        <f t="shared" si="1"/>
        <v>0.33873459779659787</v>
      </c>
    </row>
    <row r="19" spans="1:3" x14ac:dyDescent="0.2">
      <c r="A19" s="24">
        <v>17</v>
      </c>
      <c r="B19" s="24">
        <f t="shared" si="0"/>
        <v>2034</v>
      </c>
      <c r="C19" s="24">
        <f t="shared" si="1"/>
        <v>0.31657439046411018</v>
      </c>
    </row>
    <row r="20" spans="1:3" x14ac:dyDescent="0.2">
      <c r="A20" s="24">
        <v>18</v>
      </c>
      <c r="B20" s="24">
        <f t="shared" si="0"/>
        <v>2035</v>
      </c>
      <c r="C20" s="24">
        <f t="shared" si="1"/>
        <v>0.29586391632159825</v>
      </c>
    </row>
    <row r="21" spans="1:3" x14ac:dyDescent="0.2">
      <c r="A21" s="24">
        <v>19</v>
      </c>
      <c r="B21" s="24">
        <f t="shared" si="0"/>
        <v>2036</v>
      </c>
      <c r="C21" s="24">
        <f t="shared" si="1"/>
        <v>0.27650833301083949</v>
      </c>
    </row>
    <row r="22" spans="1:3" x14ac:dyDescent="0.2">
      <c r="A22" s="24">
        <v>20</v>
      </c>
      <c r="B22" s="24">
        <f t="shared" si="0"/>
        <v>2037</v>
      </c>
      <c r="C22" s="24">
        <f t="shared" si="1"/>
        <v>0.2584190028138687</v>
      </c>
    </row>
    <row r="23" spans="1:3" x14ac:dyDescent="0.2">
      <c r="A23" s="24">
        <v>21</v>
      </c>
      <c r="B23" s="24">
        <f t="shared" si="0"/>
        <v>2038</v>
      </c>
      <c r="C23" s="24">
        <f t="shared" si="1"/>
        <v>0.24151308674193336</v>
      </c>
    </row>
    <row r="24" spans="1:3" x14ac:dyDescent="0.2">
      <c r="A24" s="24">
        <v>22</v>
      </c>
      <c r="B24" s="24">
        <f t="shared" si="0"/>
        <v>2039</v>
      </c>
      <c r="C24" s="24">
        <f t="shared" si="1"/>
        <v>0.22571316517937698</v>
      </c>
    </row>
    <row r="25" spans="1:3" x14ac:dyDescent="0.2">
      <c r="A25" s="24">
        <v>23</v>
      </c>
      <c r="B25" s="24">
        <f t="shared" si="0"/>
        <v>2040</v>
      </c>
      <c r="C25" s="24">
        <f t="shared" si="1"/>
        <v>0.21094688334521211</v>
      </c>
    </row>
    <row r="26" spans="1:3" x14ac:dyDescent="0.2">
      <c r="A26" s="24">
        <v>24</v>
      </c>
      <c r="B26" s="24">
        <f t="shared" si="0"/>
        <v>2041</v>
      </c>
      <c r="C26" s="24">
        <f t="shared" si="1"/>
        <v>0.19714661994879637</v>
      </c>
    </row>
    <row r="27" spans="1:3" x14ac:dyDescent="0.2">
      <c r="A27" s="24">
        <v>25</v>
      </c>
      <c r="B27" s="24">
        <f t="shared" si="0"/>
        <v>2042</v>
      </c>
      <c r="C27" s="24">
        <f t="shared" si="1"/>
        <v>0.18424917752223957</v>
      </c>
    </row>
    <row r="28" spans="1:3" x14ac:dyDescent="0.2">
      <c r="A28" s="24">
        <v>26</v>
      </c>
      <c r="B28" s="24">
        <f t="shared" si="0"/>
        <v>2043</v>
      </c>
      <c r="C28" s="24">
        <f t="shared" si="1"/>
        <v>0.17219549301143888</v>
      </c>
    </row>
    <row r="29" spans="1:3" x14ac:dyDescent="0.2">
      <c r="A29" s="24">
        <v>27</v>
      </c>
      <c r="B29" s="24">
        <f t="shared" si="0"/>
        <v>2044</v>
      </c>
      <c r="C29" s="24">
        <f t="shared" si="1"/>
        <v>0.16093036730041013</v>
      </c>
    </row>
    <row r="30" spans="1:3" x14ac:dyDescent="0.2">
      <c r="A30" s="24">
        <v>28</v>
      </c>
      <c r="B30" s="24">
        <f t="shared" si="0"/>
        <v>2045</v>
      </c>
      <c r="C30" s="24">
        <f t="shared" si="1"/>
        <v>0.15040221243028987</v>
      </c>
    </row>
    <row r="31" spans="1:3" x14ac:dyDescent="0.2">
      <c r="A31" s="24">
        <v>29</v>
      </c>
      <c r="B31" s="24">
        <f t="shared" si="0"/>
        <v>2046</v>
      </c>
      <c r="C31" s="24">
        <f t="shared" si="1"/>
        <v>0.1405628153554111</v>
      </c>
    </row>
    <row r="32" spans="1:3" x14ac:dyDescent="0.2">
      <c r="A32" s="24">
        <v>30</v>
      </c>
      <c r="B32" s="24">
        <f t="shared" si="0"/>
        <v>2047</v>
      </c>
      <c r="C32" s="24">
        <f t="shared" si="1"/>
        <v>0.13136711715458982</v>
      </c>
    </row>
    <row r="33" spans="1:3" x14ac:dyDescent="0.2">
      <c r="A33" s="24">
        <v>31</v>
      </c>
      <c r="B33" s="24">
        <f t="shared" si="0"/>
        <v>2048</v>
      </c>
      <c r="C33" s="24">
        <f t="shared" si="1"/>
        <v>0.1227730066865325</v>
      </c>
    </row>
    <row r="34" spans="1:3" x14ac:dyDescent="0.2">
      <c r="A34" s="24">
        <v>32</v>
      </c>
      <c r="B34" s="24">
        <f t="shared" si="0"/>
        <v>2049</v>
      </c>
      <c r="C34" s="24">
        <f t="shared" si="1"/>
        <v>0.11474112774442291</v>
      </c>
    </row>
    <row r="35" spans="1:3" x14ac:dyDescent="0.2">
      <c r="A35" s="24">
        <v>33</v>
      </c>
      <c r="B35" s="24">
        <f t="shared" si="0"/>
        <v>2050</v>
      </c>
      <c r="C35" s="24">
        <f t="shared" si="1"/>
        <v>0.10723469882656347</v>
      </c>
    </row>
    <row r="36" spans="1:3" x14ac:dyDescent="0.2">
      <c r="A36" s="24">
        <v>34</v>
      </c>
      <c r="B36" s="24">
        <f t="shared" si="0"/>
        <v>2051</v>
      </c>
      <c r="C36" s="24">
        <f t="shared" si="1"/>
        <v>0.10021934469772288</v>
      </c>
    </row>
    <row r="37" spans="1:3" x14ac:dyDescent="0.2">
      <c r="A37" s="24">
        <v>35</v>
      </c>
      <c r="B37" s="24">
        <f t="shared" si="0"/>
        <v>2052</v>
      </c>
      <c r="C37" s="24">
        <f t="shared" si="1"/>
        <v>9.366293896983445E-2</v>
      </c>
    </row>
    <row r="38" spans="1:3" x14ac:dyDescent="0.2">
      <c r="A38" s="24">
        <v>36</v>
      </c>
      <c r="B38" s="24">
        <f t="shared" si="0"/>
        <v>2053</v>
      </c>
      <c r="C38" s="24">
        <f t="shared" si="1"/>
        <v>8.7535456981153698E-2</v>
      </c>
    </row>
    <row r="39" spans="1:3" x14ac:dyDescent="0.2">
      <c r="A39" s="24">
        <v>37</v>
      </c>
      <c r="B39" s="24">
        <f t="shared" si="0"/>
        <v>2054</v>
      </c>
      <c r="C39" s="24">
        <f t="shared" si="1"/>
        <v>8.1808838300143641E-2</v>
      </c>
    </row>
    <row r="40" spans="1:3" x14ac:dyDescent="0.2">
      <c r="A40" s="25">
        <v>38</v>
      </c>
      <c r="B40" s="25">
        <f t="shared" si="0"/>
        <v>2055</v>
      </c>
      <c r="C40" s="25">
        <f t="shared" si="1"/>
        <v>7.6456858224433308E-2</v>
      </c>
    </row>
    <row r="41" spans="1:3" x14ac:dyDescent="0.2">
      <c r="A41" s="3"/>
      <c r="B41" s="109" t="s">
        <v>8</v>
      </c>
      <c r="C41" s="130">
        <f>0.07</f>
        <v>7.0000000000000007E-2</v>
      </c>
    </row>
  </sheetData>
  <mergeCells count="1">
    <mergeCell ref="A2:C2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I45"/>
  <sheetViews>
    <sheetView topLeftCell="A28" zoomScaleNormal="100" workbookViewId="0">
      <selection activeCell="I47" sqref="I47"/>
    </sheetView>
  </sheetViews>
  <sheetFormatPr defaultRowHeight="12.75" x14ac:dyDescent="0.2"/>
  <cols>
    <col min="1" max="1" width="24.7109375" bestFit="1" customWidth="1"/>
    <col min="2" max="2" width="5.7109375" customWidth="1"/>
    <col min="3" max="3" width="16.7109375" customWidth="1"/>
    <col min="5" max="5" width="7.5703125" customWidth="1"/>
    <col min="6" max="6" width="18.28515625" customWidth="1"/>
    <col min="7" max="7" width="18" customWidth="1"/>
    <col min="8" max="8" width="17.28515625" bestFit="1" customWidth="1"/>
    <col min="9" max="9" width="15.7109375" customWidth="1"/>
  </cols>
  <sheetData>
    <row r="2" spans="1:9" x14ac:dyDescent="0.2">
      <c r="A2" s="720" t="s">
        <v>422</v>
      </c>
      <c r="B2" s="720"/>
      <c r="C2" s="567">
        <v>277247000</v>
      </c>
    </row>
    <row r="3" spans="1:9" x14ac:dyDescent="0.2">
      <c r="A3" s="720" t="s">
        <v>423</v>
      </c>
      <c r="B3" s="720"/>
      <c r="C3" s="568">
        <f>((C4-30)/C4)*C2</f>
        <v>110898800</v>
      </c>
    </row>
    <row r="4" spans="1:9" x14ac:dyDescent="0.2">
      <c r="A4" s="720" t="s">
        <v>421</v>
      </c>
      <c r="B4" s="720"/>
      <c r="C4" s="565">
        <v>50</v>
      </c>
    </row>
    <row r="6" spans="1:9" x14ac:dyDescent="0.2">
      <c r="A6" s="498"/>
      <c r="E6" s="710" t="s">
        <v>424</v>
      </c>
      <c r="F6" s="710"/>
      <c r="G6" s="710"/>
      <c r="H6" s="710"/>
      <c r="I6" s="710"/>
    </row>
    <row r="7" spans="1:9" ht="26.25" thickBot="1" x14ac:dyDescent="0.25">
      <c r="A7" s="498"/>
      <c r="E7" s="529" t="s">
        <v>1</v>
      </c>
      <c r="F7" s="530" t="s">
        <v>137</v>
      </c>
      <c r="G7" s="530" t="s">
        <v>136</v>
      </c>
      <c r="H7" s="530" t="s">
        <v>256</v>
      </c>
      <c r="I7" s="530" t="s">
        <v>138</v>
      </c>
    </row>
    <row r="8" spans="1:9" ht="13.5" thickTop="1" x14ac:dyDescent="0.2">
      <c r="A8" s="498"/>
      <c r="E8" s="57">
        <v>2019</v>
      </c>
      <c r="F8" s="114">
        <v>8.9700000000000002E-2</v>
      </c>
      <c r="G8" s="116">
        <f t="shared" ref="G8:G33" si="0">$C$2*F8</f>
        <v>24869055.900000002</v>
      </c>
      <c r="H8" s="115">
        <v>0</v>
      </c>
      <c r="I8" s="115">
        <f>ROUND((G8+H8)*NPV!C4,0)</f>
        <v>21721597</v>
      </c>
    </row>
    <row r="9" spans="1:9" x14ac:dyDescent="0.2">
      <c r="A9" s="498"/>
      <c r="E9" s="24">
        <f>E8+1</f>
        <v>2020</v>
      </c>
      <c r="F9" s="114">
        <v>0.1</v>
      </c>
      <c r="G9" s="116">
        <f t="shared" si="0"/>
        <v>27724700</v>
      </c>
      <c r="H9" s="115">
        <v>0</v>
      </c>
      <c r="I9" s="115">
        <f>ROUND((G9+H9)*NPV!C5,0)</f>
        <v>22631614</v>
      </c>
    </row>
    <row r="10" spans="1:9" x14ac:dyDescent="0.2">
      <c r="A10" s="498"/>
      <c r="E10" s="24">
        <f t="shared" ref="E10:E31" si="1">E9+1</f>
        <v>2021</v>
      </c>
      <c r="F10" s="113">
        <v>0.18</v>
      </c>
      <c r="G10" s="116">
        <f t="shared" si="0"/>
        <v>49904460</v>
      </c>
      <c r="H10" s="115">
        <f>-'Maintenance Costs'!B53</f>
        <v>376376.79999999981</v>
      </c>
      <c r="I10" s="115">
        <f>ROUND((G10+H10)*NPV!C6,0)</f>
        <v>38359010</v>
      </c>
    </row>
    <row r="11" spans="1:9" x14ac:dyDescent="0.2">
      <c r="E11" s="24">
        <f t="shared" si="1"/>
        <v>2022</v>
      </c>
      <c r="F11" s="113">
        <v>0.24</v>
      </c>
      <c r="G11" s="116">
        <f t="shared" si="0"/>
        <v>66539280</v>
      </c>
      <c r="H11" s="115">
        <f>-'Maintenance Costs'!B54</f>
        <v>177486.39999999991</v>
      </c>
      <c r="I11" s="115">
        <f>ROUND((G11+H11)*NPV!C7,0)</f>
        <v>47568132</v>
      </c>
    </row>
    <row r="12" spans="1:9" x14ac:dyDescent="0.2">
      <c r="E12" s="24">
        <f t="shared" si="1"/>
        <v>2023</v>
      </c>
      <c r="F12" s="113">
        <v>0.21</v>
      </c>
      <c r="G12" s="116">
        <f t="shared" si="0"/>
        <v>58221870</v>
      </c>
      <c r="H12" s="115">
        <f>-'Maintenance Costs'!B55</f>
        <v>177486.40000000002</v>
      </c>
      <c r="I12" s="115">
        <f>ROUND((G12+H12)*NPV!C8,0)</f>
        <v>38913957</v>
      </c>
    </row>
    <row r="13" spans="1:9" x14ac:dyDescent="0.2">
      <c r="E13" s="24">
        <f t="shared" si="1"/>
        <v>2024</v>
      </c>
      <c r="F13" s="113">
        <v>0.18210000000000001</v>
      </c>
      <c r="G13" s="116">
        <f t="shared" si="0"/>
        <v>50486678.700000003</v>
      </c>
      <c r="H13" s="115">
        <f>-'Maintenance Costs'!B56</f>
        <v>177486.40000000002</v>
      </c>
      <c r="I13" s="115">
        <f>ROUND((G13+H13)*NPV!C9,0)</f>
        <v>31551096</v>
      </c>
    </row>
    <row r="14" spans="1:9" x14ac:dyDescent="0.2">
      <c r="E14" s="24">
        <f t="shared" si="1"/>
        <v>2025</v>
      </c>
      <c r="F14" s="113"/>
      <c r="G14" s="116">
        <f t="shared" si="0"/>
        <v>0</v>
      </c>
      <c r="H14" s="115">
        <f>-'Maintenance Costs'!B57</f>
        <v>177486.40000000002</v>
      </c>
      <c r="I14" s="115">
        <f>ROUND((G14+H14)*NPV!C10,0)</f>
        <v>103299</v>
      </c>
    </row>
    <row r="15" spans="1:9" x14ac:dyDescent="0.2">
      <c r="E15" s="24">
        <f t="shared" si="1"/>
        <v>2026</v>
      </c>
      <c r="F15" s="113"/>
      <c r="G15" s="116">
        <f t="shared" si="0"/>
        <v>0</v>
      </c>
      <c r="H15" s="115">
        <f>-'Maintenance Costs'!B58</f>
        <v>177486.40000000002</v>
      </c>
      <c r="I15" s="115">
        <f>ROUND((G15+H15)*NPV!C11,0)</f>
        <v>96541</v>
      </c>
    </row>
    <row r="16" spans="1:9" x14ac:dyDescent="0.2">
      <c r="E16" s="24">
        <f t="shared" si="1"/>
        <v>2027</v>
      </c>
      <c r="F16" s="113"/>
      <c r="G16" s="116">
        <f t="shared" si="0"/>
        <v>0</v>
      </c>
      <c r="H16" s="115">
        <f>-'Maintenance Costs'!B59</f>
        <v>4864206.4000000004</v>
      </c>
      <c r="I16" s="115">
        <f>ROUND((G16+H16)*NPV!C12,0)</f>
        <v>2472716</v>
      </c>
    </row>
    <row r="17" spans="5:9" x14ac:dyDescent="0.2">
      <c r="E17" s="24">
        <f t="shared" si="1"/>
        <v>2028</v>
      </c>
      <c r="F17" s="113"/>
      <c r="G17" s="116">
        <f t="shared" si="0"/>
        <v>0</v>
      </c>
      <c r="H17" s="115">
        <f>-'Maintenance Costs'!B60</f>
        <v>177486.39999999991</v>
      </c>
      <c r="I17" s="115">
        <f>ROUND((G17+H17)*NPV!C13,0)</f>
        <v>84323</v>
      </c>
    </row>
    <row r="18" spans="5:9" x14ac:dyDescent="0.2">
      <c r="E18" s="24">
        <f t="shared" si="1"/>
        <v>2029</v>
      </c>
      <c r="F18" s="113"/>
      <c r="G18" s="116">
        <f t="shared" si="0"/>
        <v>0</v>
      </c>
      <c r="H18" s="115">
        <f>-'Maintenance Costs'!B61</f>
        <v>177486.39999999991</v>
      </c>
      <c r="I18" s="115">
        <f>ROUND((G18+H18)*NPV!C14,0)</f>
        <v>78806</v>
      </c>
    </row>
    <row r="19" spans="5:9" x14ac:dyDescent="0.2">
      <c r="E19" s="24">
        <f t="shared" si="1"/>
        <v>2030</v>
      </c>
      <c r="F19" s="113"/>
      <c r="G19" s="116">
        <f t="shared" si="0"/>
        <v>0</v>
      </c>
      <c r="H19" s="115">
        <f>-'Maintenance Costs'!B62</f>
        <v>177486.40000000002</v>
      </c>
      <c r="I19" s="115">
        <f>ROUND((G19+H19)*NPV!C15,0)</f>
        <v>73651</v>
      </c>
    </row>
    <row r="20" spans="5:9" x14ac:dyDescent="0.2">
      <c r="E20" s="24">
        <f t="shared" si="1"/>
        <v>2031</v>
      </c>
      <c r="F20" s="113"/>
      <c r="G20" s="116">
        <f t="shared" si="0"/>
        <v>0</v>
      </c>
      <c r="H20" s="115">
        <f>-'Maintenance Costs'!B63</f>
        <v>177486.40000000002</v>
      </c>
      <c r="I20" s="115">
        <f>ROUND((G20+H20)*NPV!C16,0)</f>
        <v>68832</v>
      </c>
    </row>
    <row r="21" spans="5:9" x14ac:dyDescent="0.2">
      <c r="E21" s="24">
        <f t="shared" si="1"/>
        <v>2032</v>
      </c>
      <c r="F21" s="113"/>
      <c r="G21" s="116">
        <f t="shared" si="0"/>
        <v>0</v>
      </c>
      <c r="H21" s="115">
        <f>-'Maintenance Costs'!B64</f>
        <v>177486.40000000002</v>
      </c>
      <c r="I21" s="115">
        <f>ROUND((G21+H21)*NPV!C17,0)</f>
        <v>64329</v>
      </c>
    </row>
    <row r="22" spans="5:9" x14ac:dyDescent="0.2">
      <c r="E22" s="24">
        <f t="shared" si="1"/>
        <v>2033</v>
      </c>
      <c r="F22" s="113"/>
      <c r="G22" s="116">
        <f t="shared" si="0"/>
        <v>0</v>
      </c>
      <c r="H22" s="115">
        <f>-'Maintenance Costs'!B65</f>
        <v>177486.40000000002</v>
      </c>
      <c r="I22" s="115">
        <f>ROUND((G22+H22)*NPV!C18,0)</f>
        <v>60121</v>
      </c>
    </row>
    <row r="23" spans="5:9" x14ac:dyDescent="0.2">
      <c r="E23" s="24">
        <f t="shared" si="1"/>
        <v>2034</v>
      </c>
      <c r="F23" s="113"/>
      <c r="G23" s="116">
        <f t="shared" si="0"/>
        <v>0</v>
      </c>
      <c r="H23" s="115">
        <f>-'Maintenance Costs'!B66</f>
        <v>4864206.4000000004</v>
      </c>
      <c r="I23" s="115">
        <f>ROUND((G23+H23)*NPV!C19,0)</f>
        <v>1539883</v>
      </c>
    </row>
    <row r="24" spans="5:9" x14ac:dyDescent="0.2">
      <c r="E24" s="24">
        <f t="shared" si="1"/>
        <v>2035</v>
      </c>
      <c r="F24" s="113"/>
      <c r="G24" s="116">
        <f t="shared" si="0"/>
        <v>0</v>
      </c>
      <c r="H24" s="115">
        <f>-'Maintenance Costs'!B67</f>
        <v>177486.40000000037</v>
      </c>
      <c r="I24" s="115">
        <f>ROUND((G24+H24)*NPV!C20,0)</f>
        <v>52512</v>
      </c>
    </row>
    <row r="25" spans="5:9" x14ac:dyDescent="0.2">
      <c r="E25" s="24">
        <f t="shared" si="1"/>
        <v>2036</v>
      </c>
      <c r="F25" s="113"/>
      <c r="G25" s="116">
        <f t="shared" si="0"/>
        <v>0</v>
      </c>
      <c r="H25" s="115">
        <f>-'Maintenance Costs'!B68</f>
        <v>177486.40000000037</v>
      </c>
      <c r="I25" s="115">
        <f>ROUND((G25+H25)*NPV!C21,0)</f>
        <v>49076</v>
      </c>
    </row>
    <row r="26" spans="5:9" x14ac:dyDescent="0.2">
      <c r="E26" s="24">
        <f t="shared" si="1"/>
        <v>2037</v>
      </c>
      <c r="F26" s="113"/>
      <c r="G26" s="116">
        <f t="shared" si="0"/>
        <v>0</v>
      </c>
      <c r="H26" s="115">
        <f>-'Maintenance Costs'!B69</f>
        <v>177486.40000000002</v>
      </c>
      <c r="I26" s="115">
        <f>ROUND((G26+H26)*NPV!C22,0)</f>
        <v>45866</v>
      </c>
    </row>
    <row r="27" spans="5:9" x14ac:dyDescent="0.2">
      <c r="E27" s="24">
        <f t="shared" si="1"/>
        <v>2038</v>
      </c>
      <c r="F27" s="113"/>
      <c r="G27" s="116">
        <f t="shared" si="0"/>
        <v>0</v>
      </c>
      <c r="H27" s="115">
        <f>-'Maintenance Costs'!B70</f>
        <v>177486.39999999991</v>
      </c>
      <c r="I27" s="115">
        <f>ROUND((G27+H27)*NPV!C23,0)</f>
        <v>42865</v>
      </c>
    </row>
    <row r="28" spans="5:9" x14ac:dyDescent="0.2">
      <c r="E28" s="24">
        <f t="shared" si="1"/>
        <v>2039</v>
      </c>
      <c r="F28" s="113"/>
      <c r="G28" s="116">
        <f t="shared" si="0"/>
        <v>0</v>
      </c>
      <c r="H28" s="115">
        <f>-'Maintenance Costs'!B71</f>
        <v>177486.40000000002</v>
      </c>
      <c r="I28" s="115">
        <f>ROUND((G28+H28)*NPV!C24,0)</f>
        <v>40061</v>
      </c>
    </row>
    <row r="29" spans="5:9" x14ac:dyDescent="0.2">
      <c r="E29" s="24">
        <f t="shared" si="1"/>
        <v>2040</v>
      </c>
      <c r="F29" s="113"/>
      <c r="G29" s="116">
        <f t="shared" si="0"/>
        <v>0</v>
      </c>
      <c r="H29" s="115">
        <f>-'Maintenance Costs'!B72</f>
        <v>936962.39999999991</v>
      </c>
      <c r="I29" s="115">
        <f>ROUND((G29+H29)*NPV!C25,0)</f>
        <v>197649</v>
      </c>
    </row>
    <row r="30" spans="5:9" x14ac:dyDescent="0.2">
      <c r="E30" s="24">
        <f t="shared" si="1"/>
        <v>2041</v>
      </c>
      <c r="F30" s="113"/>
      <c r="G30" s="116">
        <f t="shared" si="0"/>
        <v>0</v>
      </c>
      <c r="H30" s="115">
        <f>-'Maintenance Costs'!B73</f>
        <v>9550926.4000000004</v>
      </c>
      <c r="I30" s="115">
        <f>ROUND((G30+H30)*NPV!C26,0)</f>
        <v>1882933</v>
      </c>
    </row>
    <row r="31" spans="5:9" x14ac:dyDescent="0.2">
      <c r="E31" s="24">
        <f t="shared" si="1"/>
        <v>2042</v>
      </c>
      <c r="F31" s="113"/>
      <c r="G31" s="116">
        <f t="shared" si="0"/>
        <v>0</v>
      </c>
      <c r="H31" s="115">
        <f>-'Maintenance Costs'!B74</f>
        <v>177486.39999999991</v>
      </c>
      <c r="I31" s="115">
        <f>ROUND((G31+H31)*NPV!C27,0)</f>
        <v>32702</v>
      </c>
    </row>
    <row r="32" spans="5:9" x14ac:dyDescent="0.2">
      <c r="E32" s="24">
        <v>2043</v>
      </c>
      <c r="F32" s="113"/>
      <c r="G32" s="116">
        <f t="shared" si="0"/>
        <v>0</v>
      </c>
      <c r="H32" s="115">
        <f>-'Maintenance Costs'!B75</f>
        <v>177486.39999999991</v>
      </c>
      <c r="I32" s="115">
        <f>ROUND((G32+H32)*NPV!C28,0)</f>
        <v>30562</v>
      </c>
    </row>
    <row r="33" spans="5:9" x14ac:dyDescent="0.2">
      <c r="E33" s="24">
        <v>2044</v>
      </c>
      <c r="F33" s="113"/>
      <c r="G33" s="116">
        <f t="shared" si="0"/>
        <v>0</v>
      </c>
      <c r="H33" s="115">
        <f>-'Maintenance Costs'!B76</f>
        <v>177486.40000000002</v>
      </c>
      <c r="I33" s="115">
        <f>ROUND((G33+H33)*NPV!C29,0)</f>
        <v>28563</v>
      </c>
    </row>
    <row r="34" spans="5:9" x14ac:dyDescent="0.2">
      <c r="E34" s="24">
        <v>2045</v>
      </c>
      <c r="F34" s="113"/>
      <c r="G34" s="116">
        <v>0</v>
      </c>
      <c r="H34" s="115">
        <f>-'Maintenance Costs'!B77</f>
        <v>177486.40000000002</v>
      </c>
      <c r="I34" s="115">
        <f>ROUND((G34+H34)*NPV!C30,0)</f>
        <v>26694</v>
      </c>
    </row>
    <row r="35" spans="5:9" x14ac:dyDescent="0.2">
      <c r="E35" s="24">
        <v>2046</v>
      </c>
      <c r="F35" s="113"/>
      <c r="G35" s="116">
        <f t="shared" ref="G35:G43" si="2">$C$2*F35</f>
        <v>0</v>
      </c>
      <c r="H35" s="115">
        <f>-'Maintenance Costs'!B78</f>
        <v>177486.40000000002</v>
      </c>
      <c r="I35" s="115">
        <f>ROUND((G35+H35)*NPV!C31,0)</f>
        <v>24948</v>
      </c>
    </row>
    <row r="36" spans="5:9" x14ac:dyDescent="0.2">
      <c r="E36" s="24">
        <v>2047</v>
      </c>
      <c r="F36" s="113"/>
      <c r="G36" s="116">
        <f t="shared" si="2"/>
        <v>0</v>
      </c>
      <c r="H36" s="115">
        <f>-'Maintenance Costs'!B79</f>
        <v>177486.40000000002</v>
      </c>
      <c r="I36" s="115">
        <f>ROUND((G36+H36)*NPV!C32,0)</f>
        <v>23316</v>
      </c>
    </row>
    <row r="37" spans="5:9" x14ac:dyDescent="0.2">
      <c r="E37" s="24">
        <v>2048</v>
      </c>
      <c r="F37" s="113"/>
      <c r="G37" s="116">
        <f t="shared" si="2"/>
        <v>0</v>
      </c>
      <c r="H37" s="115">
        <f>-'Maintenance Costs'!B80</f>
        <v>4864206.4000000004</v>
      </c>
      <c r="I37" s="115">
        <f>ROUND((G37+H37)*NPV!C33,0)</f>
        <v>597193</v>
      </c>
    </row>
    <row r="38" spans="5:9" x14ac:dyDescent="0.2">
      <c r="E38" s="24">
        <v>2049</v>
      </c>
      <c r="F38" s="113"/>
      <c r="G38" s="116">
        <f t="shared" si="2"/>
        <v>0</v>
      </c>
      <c r="H38" s="115">
        <f>-'Maintenance Costs'!B81</f>
        <v>177486.39999999991</v>
      </c>
      <c r="I38" s="115">
        <f>ROUND((G38+H38)*NPV!C34,0)</f>
        <v>20365</v>
      </c>
    </row>
    <row r="39" spans="5:9" x14ac:dyDescent="0.2">
      <c r="E39" s="24">
        <v>2050</v>
      </c>
      <c r="F39" s="113"/>
      <c r="G39" s="116">
        <f t="shared" si="2"/>
        <v>0</v>
      </c>
      <c r="H39" s="115">
        <f>-'Maintenance Costs'!B82</f>
        <v>177486.39999999991</v>
      </c>
      <c r="I39" s="115">
        <f>ROUND((G39+H39)*NPV!C35,0)</f>
        <v>19033</v>
      </c>
    </row>
    <row r="40" spans="5:9" x14ac:dyDescent="0.2">
      <c r="E40" s="24">
        <v>2051</v>
      </c>
      <c r="F40" s="113"/>
      <c r="G40" s="116">
        <f t="shared" si="2"/>
        <v>0</v>
      </c>
      <c r="H40" s="115">
        <f>-'Maintenance Costs'!B83</f>
        <v>177486.40000000002</v>
      </c>
      <c r="I40" s="115">
        <f>ROUND((G40+H40)*NPV!C36,0)</f>
        <v>17788</v>
      </c>
    </row>
    <row r="41" spans="5:9" x14ac:dyDescent="0.2">
      <c r="E41" s="24">
        <v>2052</v>
      </c>
      <c r="F41" s="113"/>
      <c r="G41" s="116">
        <f t="shared" si="2"/>
        <v>0</v>
      </c>
      <c r="H41" s="115">
        <f>-'Maintenance Costs'!B84</f>
        <v>177486.40000000002</v>
      </c>
      <c r="I41" s="115">
        <f>ROUND((G41+H41)*NPV!C37,0)</f>
        <v>16624</v>
      </c>
    </row>
    <row r="42" spans="5:9" x14ac:dyDescent="0.2">
      <c r="E42" s="24">
        <v>2053</v>
      </c>
      <c r="F42" s="113"/>
      <c r="G42" s="116">
        <f t="shared" si="2"/>
        <v>0</v>
      </c>
      <c r="H42" s="115">
        <f>-'Maintenance Costs'!B85</f>
        <v>177486.40000000002</v>
      </c>
      <c r="I42" s="115">
        <f>ROUND((G42+H42)*NPV!C38,0)</f>
        <v>15536</v>
      </c>
    </row>
    <row r="43" spans="5:9" x14ac:dyDescent="0.2">
      <c r="E43" s="24">
        <v>2054</v>
      </c>
      <c r="F43" s="113"/>
      <c r="G43" s="116">
        <f t="shared" si="2"/>
        <v>0</v>
      </c>
      <c r="H43" s="115">
        <f>-'Maintenance Costs'!B86</f>
        <v>177486.40000000002</v>
      </c>
      <c r="I43" s="115">
        <f>ROUND((G43+H43)*NPV!C39,0)</f>
        <v>14520</v>
      </c>
    </row>
    <row r="44" spans="5:9" x14ac:dyDescent="0.2">
      <c r="E44" s="477">
        <v>2055</v>
      </c>
      <c r="F44" s="478"/>
      <c r="G44" s="116">
        <f>-$C$3</f>
        <v>-110898800</v>
      </c>
      <c r="H44" s="115">
        <f>-'Maintenance Costs'!B87</f>
        <v>4864206.4000000004</v>
      </c>
      <c r="I44" s="115">
        <f>ROUND((G44+H44)*NPV!C40,0)</f>
        <v>-8107072</v>
      </c>
    </row>
    <row r="45" spans="5:9" x14ac:dyDescent="0.2">
      <c r="E45" s="527" t="s">
        <v>0</v>
      </c>
      <c r="F45" s="112">
        <f>SUM(F8:F43)</f>
        <v>1.0018</v>
      </c>
      <c r="G45" s="117">
        <f>SUM(G8:G44)</f>
        <v>166847244.60000002</v>
      </c>
      <c r="H45" s="117">
        <f>SUM(H8:H44)</f>
        <v>35290710.399999984</v>
      </c>
      <c r="I45" s="117">
        <f>SUM(I8:I44)</f>
        <v>200459641</v>
      </c>
    </row>
  </sheetData>
  <mergeCells count="4">
    <mergeCell ref="E6:I6"/>
    <mergeCell ref="A2:B2"/>
    <mergeCell ref="A4:B4"/>
    <mergeCell ref="A3:B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AF103"/>
  <sheetViews>
    <sheetView tabSelected="1" topLeftCell="J70" zoomScale="70" zoomScaleNormal="70" workbookViewId="0">
      <selection activeCell="AC103" sqref="AC103"/>
    </sheetView>
  </sheetViews>
  <sheetFormatPr defaultRowHeight="12.75" x14ac:dyDescent="0.2"/>
  <cols>
    <col min="1" max="1" width="22.85546875" customWidth="1"/>
    <col min="2" max="2" width="18.28515625" customWidth="1"/>
    <col min="3" max="3" width="16.140625" bestFit="1" customWidth="1"/>
    <col min="4" max="4" width="19.140625" bestFit="1" customWidth="1"/>
    <col min="5" max="12" width="9.7109375" customWidth="1"/>
    <col min="13" max="13" width="18.28515625" bestFit="1" customWidth="1"/>
    <col min="14" max="14" width="16.85546875" bestFit="1" customWidth="1"/>
    <col min="15" max="15" width="18.5703125" customWidth="1"/>
    <col min="16" max="17" width="13.42578125" customWidth="1"/>
    <col min="18" max="19" width="21.5703125" customWidth="1"/>
    <col min="20" max="26" width="9.7109375" customWidth="1"/>
    <col min="27" max="27" width="16.7109375" bestFit="1" customWidth="1"/>
    <col min="28" max="29" width="15.7109375" customWidth="1"/>
  </cols>
  <sheetData>
    <row r="1" spans="1:32" x14ac:dyDescent="0.2">
      <c r="A1" s="758" t="s">
        <v>164</v>
      </c>
      <c r="B1" s="758"/>
      <c r="C1" s="758"/>
      <c r="D1" s="758"/>
      <c r="E1" s="758"/>
      <c r="F1" s="758"/>
      <c r="G1" s="758"/>
      <c r="H1" s="758"/>
      <c r="I1" s="758"/>
      <c r="K1" s="212"/>
      <c r="L1" s="425"/>
      <c r="M1" s="425"/>
      <c r="N1" s="425"/>
      <c r="O1" s="721" t="s">
        <v>379</v>
      </c>
      <c r="P1" s="722"/>
      <c r="Q1" s="722"/>
      <c r="R1" s="723"/>
      <c r="S1" s="471"/>
      <c r="T1" s="212"/>
      <c r="U1" s="212"/>
      <c r="X1" s="425"/>
      <c r="Y1" s="425"/>
      <c r="Z1" s="425"/>
      <c r="AA1" s="425"/>
      <c r="AB1" s="212"/>
      <c r="AC1" s="212"/>
      <c r="AD1" s="212"/>
      <c r="AE1" s="212"/>
      <c r="AF1" s="212"/>
    </row>
    <row r="2" spans="1:32" x14ac:dyDescent="0.2">
      <c r="A2" s="727" t="s">
        <v>23</v>
      </c>
      <c r="B2" s="728"/>
      <c r="C2" s="728"/>
      <c r="D2" s="728"/>
      <c r="E2" s="728"/>
      <c r="F2" s="728"/>
      <c r="G2" s="728"/>
      <c r="H2" s="728"/>
      <c r="I2" s="729"/>
      <c r="K2" s="212"/>
      <c r="L2" s="214"/>
      <c r="M2" s="214"/>
      <c r="N2" s="214"/>
      <c r="O2" s="444" t="s">
        <v>332</v>
      </c>
      <c r="P2" s="206" t="s">
        <v>333</v>
      </c>
      <c r="Q2" s="206" t="s">
        <v>338</v>
      </c>
      <c r="R2" s="206" t="s">
        <v>339</v>
      </c>
      <c r="S2" s="214"/>
      <c r="T2" s="214"/>
      <c r="U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32" x14ac:dyDescent="0.2">
      <c r="A3" s="761"/>
      <c r="B3" s="761"/>
      <c r="C3" s="62">
        <v>2013</v>
      </c>
      <c r="D3" s="61">
        <v>2014</v>
      </c>
      <c r="E3" s="61">
        <v>2015</v>
      </c>
      <c r="F3" s="61">
        <v>2016</v>
      </c>
      <c r="G3" s="61">
        <v>2017</v>
      </c>
      <c r="H3" s="760" t="s">
        <v>40</v>
      </c>
      <c r="I3" s="760"/>
      <c r="K3" s="212"/>
      <c r="L3" s="426"/>
      <c r="M3" s="426"/>
      <c r="N3" s="427"/>
      <c r="O3" s="453" t="s">
        <v>334</v>
      </c>
      <c r="P3" s="443">
        <v>15482</v>
      </c>
      <c r="Q3" s="443">
        <f>P3*1</f>
        <v>15482</v>
      </c>
      <c r="R3" s="735"/>
      <c r="S3" s="428"/>
      <c r="T3" s="154"/>
      <c r="U3" s="154"/>
      <c r="X3" s="426"/>
      <c r="Y3" s="426"/>
      <c r="Z3" s="427"/>
      <c r="AA3" s="43"/>
      <c r="AB3" s="43"/>
      <c r="AC3" s="43"/>
      <c r="AD3" s="43"/>
      <c r="AE3" s="154"/>
      <c r="AF3" s="154"/>
    </row>
    <row r="4" spans="1:32" x14ac:dyDescent="0.2">
      <c r="A4" s="732" t="s">
        <v>9</v>
      </c>
      <c r="B4" s="63" t="s">
        <v>20</v>
      </c>
      <c r="C4" s="433">
        <v>2</v>
      </c>
      <c r="D4" s="433">
        <v>0</v>
      </c>
      <c r="E4" s="433">
        <v>1</v>
      </c>
      <c r="F4" s="433">
        <v>0</v>
      </c>
      <c r="G4" s="433">
        <v>1</v>
      </c>
      <c r="H4" s="65">
        <f>SUM(C4:G4)</f>
        <v>4</v>
      </c>
      <c r="I4" s="432">
        <f>H4/$H$14</f>
        <v>5.9435364041604752E-3</v>
      </c>
      <c r="K4" s="212"/>
      <c r="L4" s="428"/>
      <c r="M4" s="133"/>
      <c r="N4" s="429"/>
      <c r="O4" s="454" t="s">
        <v>335</v>
      </c>
      <c r="P4" s="455">
        <v>50561</v>
      </c>
      <c r="Q4" s="443">
        <f>P4*2</f>
        <v>101122</v>
      </c>
      <c r="R4" s="736"/>
      <c r="S4" s="428"/>
      <c r="T4" s="430"/>
      <c r="U4" s="431"/>
      <c r="X4" s="428"/>
      <c r="Y4" s="133"/>
      <c r="Z4" s="429"/>
      <c r="AA4" s="429"/>
      <c r="AB4" s="429"/>
      <c r="AC4" s="429"/>
      <c r="AD4" s="429"/>
      <c r="AE4" s="430"/>
      <c r="AF4" s="431"/>
    </row>
    <row r="5" spans="1:32" x14ac:dyDescent="0.2">
      <c r="A5" s="732"/>
      <c r="B5" s="17" t="s">
        <v>21</v>
      </c>
      <c r="C5" s="433">
        <v>2</v>
      </c>
      <c r="D5" s="433">
        <v>0</v>
      </c>
      <c r="E5" s="433">
        <v>1</v>
      </c>
      <c r="F5" s="433">
        <v>0</v>
      </c>
      <c r="G5" s="433">
        <v>1</v>
      </c>
      <c r="H5" s="25"/>
      <c r="I5" s="26"/>
      <c r="K5" s="212"/>
      <c r="L5" s="428"/>
      <c r="M5" s="133"/>
      <c r="N5" s="429"/>
      <c r="O5" s="454" t="s">
        <v>336</v>
      </c>
      <c r="P5" s="455">
        <v>4562</v>
      </c>
      <c r="Q5" s="443">
        <f>P5*3</f>
        <v>13686</v>
      </c>
      <c r="R5" s="736"/>
      <c r="S5" s="428"/>
      <c r="T5" s="430"/>
      <c r="U5" s="431"/>
      <c r="X5" s="428"/>
      <c r="Y5" s="133"/>
      <c r="Z5" s="429"/>
      <c r="AA5" s="429"/>
      <c r="AB5" s="429"/>
      <c r="AC5" s="429"/>
      <c r="AD5" s="429"/>
      <c r="AE5" s="430"/>
      <c r="AF5" s="431"/>
    </row>
    <row r="6" spans="1:32" x14ac:dyDescent="0.2">
      <c r="A6" s="732" t="s">
        <v>16</v>
      </c>
      <c r="B6" s="63" t="s">
        <v>20</v>
      </c>
      <c r="C6" s="433">
        <v>5</v>
      </c>
      <c r="D6" s="433">
        <v>5</v>
      </c>
      <c r="E6" s="433">
        <v>0</v>
      </c>
      <c r="F6" s="433">
        <v>6</v>
      </c>
      <c r="G6" s="433">
        <v>2</v>
      </c>
      <c r="H6" s="65">
        <f>SUM(C6:G6)</f>
        <v>18</v>
      </c>
      <c r="I6" s="432">
        <f>H6/$H$14</f>
        <v>2.6745913818722138E-2</v>
      </c>
      <c r="K6" s="212"/>
      <c r="L6" s="428"/>
      <c r="M6" s="133"/>
      <c r="N6" s="429"/>
      <c r="O6" s="454" t="s">
        <v>337</v>
      </c>
      <c r="P6" s="455">
        <v>810</v>
      </c>
      <c r="Q6" s="443">
        <f>P6*4</f>
        <v>3240</v>
      </c>
      <c r="R6" s="737"/>
      <c r="S6" s="428"/>
      <c r="T6" s="430"/>
      <c r="U6" s="431"/>
      <c r="X6" s="428"/>
      <c r="Y6" s="133"/>
      <c r="Z6" s="429"/>
      <c r="AA6" s="429"/>
      <c r="AB6" s="429"/>
      <c r="AC6" s="429"/>
      <c r="AD6" s="429"/>
      <c r="AE6" s="430"/>
      <c r="AF6" s="431"/>
    </row>
    <row r="7" spans="1:32" x14ac:dyDescent="0.2">
      <c r="A7" s="732"/>
      <c r="B7" s="17" t="s">
        <v>21</v>
      </c>
      <c r="C7" s="433">
        <v>6</v>
      </c>
      <c r="D7" s="433">
        <v>5</v>
      </c>
      <c r="E7" s="433">
        <v>0</v>
      </c>
      <c r="F7" s="433">
        <v>6</v>
      </c>
      <c r="G7" s="433">
        <v>3</v>
      </c>
      <c r="H7" s="25"/>
      <c r="I7" s="26"/>
      <c r="K7" s="212"/>
      <c r="L7" s="428"/>
      <c r="M7" s="133"/>
      <c r="N7" s="429"/>
      <c r="O7" s="457" t="s">
        <v>0</v>
      </c>
      <c r="P7" s="455">
        <f>SUM(P3:P6)</f>
        <v>71415</v>
      </c>
      <c r="Q7" s="455">
        <f>SUM(Q3:Q6)</f>
        <v>133530</v>
      </c>
      <c r="R7" s="456">
        <f>Q7/P7</f>
        <v>1.8697752572988868</v>
      </c>
      <c r="S7" s="489"/>
      <c r="T7" s="430"/>
      <c r="U7" s="431"/>
      <c r="X7" s="428"/>
      <c r="Y7" s="133"/>
      <c r="Z7" s="429"/>
      <c r="AA7" s="429"/>
      <c r="AB7" s="429"/>
      <c r="AC7" s="429"/>
      <c r="AD7" s="429"/>
      <c r="AE7" s="430"/>
      <c r="AF7" s="431"/>
    </row>
    <row r="8" spans="1:32" x14ac:dyDescent="0.2">
      <c r="A8" s="732" t="s">
        <v>17</v>
      </c>
      <c r="B8" s="63" t="s">
        <v>20</v>
      </c>
      <c r="C8" s="433">
        <v>18</v>
      </c>
      <c r="D8" s="433">
        <v>12</v>
      </c>
      <c r="E8" s="433">
        <v>9</v>
      </c>
      <c r="F8" s="433">
        <v>12</v>
      </c>
      <c r="G8" s="433">
        <v>7</v>
      </c>
      <c r="H8" s="65">
        <f>SUM(C8:G8)</f>
        <v>58</v>
      </c>
      <c r="I8" s="432">
        <f>H8/$H$14</f>
        <v>8.6181277860326894E-2</v>
      </c>
      <c r="K8" s="212"/>
      <c r="L8" s="428"/>
      <c r="M8" s="133"/>
      <c r="N8" s="429"/>
      <c r="O8" s="452"/>
      <c r="P8" s="429"/>
      <c r="Q8" s="429"/>
      <c r="R8" s="429"/>
      <c r="S8" s="429"/>
      <c r="T8" s="430"/>
      <c r="U8" s="431"/>
      <c r="X8" s="428"/>
      <c r="Y8" s="133"/>
      <c r="Z8" s="429"/>
      <c r="AA8" s="429"/>
      <c r="AB8" s="429"/>
      <c r="AC8" s="429"/>
      <c r="AD8" s="429"/>
      <c r="AE8" s="430"/>
      <c r="AF8" s="431"/>
    </row>
    <row r="9" spans="1:32" x14ac:dyDescent="0.2">
      <c r="A9" s="732"/>
      <c r="B9" s="17" t="s">
        <v>21</v>
      </c>
      <c r="C9" s="433">
        <v>30</v>
      </c>
      <c r="D9" s="433">
        <v>16</v>
      </c>
      <c r="E9" s="433">
        <v>12</v>
      </c>
      <c r="F9" s="433">
        <v>20</v>
      </c>
      <c r="G9" s="433">
        <v>10</v>
      </c>
      <c r="H9" s="25"/>
      <c r="I9" s="26"/>
      <c r="K9" s="212"/>
      <c r="L9" s="428"/>
      <c r="M9" s="133"/>
      <c r="N9" s="429"/>
      <c r="O9" s="429"/>
      <c r="P9" s="429"/>
      <c r="Q9" s="429"/>
      <c r="R9" s="429"/>
      <c r="S9" s="429"/>
      <c r="T9" s="430"/>
      <c r="U9" s="431"/>
      <c r="X9" s="428"/>
      <c r="Y9" s="133"/>
      <c r="Z9" s="429"/>
      <c r="AA9" s="429"/>
      <c r="AB9" s="429"/>
      <c r="AC9" s="429"/>
      <c r="AD9" s="429"/>
      <c r="AE9" s="430"/>
      <c r="AF9" s="431"/>
    </row>
    <row r="10" spans="1:32" x14ac:dyDescent="0.2">
      <c r="A10" s="732" t="s">
        <v>18</v>
      </c>
      <c r="B10" s="63" t="s">
        <v>20</v>
      </c>
      <c r="C10" s="433">
        <v>25</v>
      </c>
      <c r="D10" s="433">
        <v>27</v>
      </c>
      <c r="E10" s="433">
        <v>15</v>
      </c>
      <c r="F10" s="433">
        <v>29</v>
      </c>
      <c r="G10" s="433">
        <v>20</v>
      </c>
      <c r="H10" s="65">
        <f>SUM(C10:G10)</f>
        <v>116</v>
      </c>
      <c r="I10" s="432">
        <f>H10/$H$14</f>
        <v>0.17236255572065379</v>
      </c>
      <c r="K10" s="212"/>
      <c r="L10" s="428"/>
      <c r="M10" s="133"/>
      <c r="N10" s="429"/>
      <c r="O10" s="429"/>
      <c r="P10" s="429"/>
      <c r="Q10" s="429"/>
      <c r="R10" s="429"/>
      <c r="S10" s="429"/>
      <c r="T10" s="430"/>
      <c r="U10" s="431"/>
      <c r="X10" s="428"/>
      <c r="Y10" s="133"/>
      <c r="Z10" s="429"/>
      <c r="AA10" s="429"/>
      <c r="AB10" s="429"/>
      <c r="AC10" s="429"/>
      <c r="AD10" s="429"/>
      <c r="AE10" s="430"/>
      <c r="AF10" s="431"/>
    </row>
    <row r="11" spans="1:32" x14ac:dyDescent="0.2">
      <c r="A11" s="732"/>
      <c r="B11" s="17" t="s">
        <v>21</v>
      </c>
      <c r="C11" s="433">
        <v>41</v>
      </c>
      <c r="D11" s="433">
        <v>37</v>
      </c>
      <c r="E11" s="433">
        <v>21</v>
      </c>
      <c r="F11" s="433">
        <v>44</v>
      </c>
      <c r="G11" s="433">
        <v>26</v>
      </c>
      <c r="H11" s="25"/>
      <c r="I11" s="26"/>
      <c r="K11" s="212"/>
      <c r="L11" s="428"/>
      <c r="M11" s="133"/>
      <c r="N11" s="429"/>
      <c r="O11" s="429"/>
      <c r="P11" s="429"/>
      <c r="Q11" s="429"/>
      <c r="R11" s="429"/>
      <c r="S11" s="429"/>
      <c r="T11" s="430"/>
      <c r="U11" s="431"/>
      <c r="X11" s="428"/>
      <c r="Y11" s="133"/>
      <c r="Z11" s="429"/>
      <c r="AA11" s="429"/>
      <c r="AB11" s="429"/>
      <c r="AC11" s="429"/>
      <c r="AD11" s="429"/>
      <c r="AE11" s="430"/>
      <c r="AF11" s="431"/>
    </row>
    <row r="12" spans="1:32" x14ac:dyDescent="0.2">
      <c r="A12" s="732" t="s">
        <v>19</v>
      </c>
      <c r="B12" s="63" t="s">
        <v>20</v>
      </c>
      <c r="C12" s="433">
        <v>110</v>
      </c>
      <c r="D12" s="433">
        <v>88</v>
      </c>
      <c r="E12" s="433">
        <v>106</v>
      </c>
      <c r="F12" s="433">
        <v>86</v>
      </c>
      <c r="G12" s="433">
        <v>87</v>
      </c>
      <c r="H12" s="65">
        <f>SUM(C12:G12)</f>
        <v>477</v>
      </c>
      <c r="I12" s="432">
        <f>H12/$H$14</f>
        <v>0.70876671619613674</v>
      </c>
      <c r="K12" s="212"/>
      <c r="L12" s="428"/>
      <c r="M12" s="133"/>
      <c r="N12" s="429"/>
      <c r="O12" s="429"/>
      <c r="P12" s="429"/>
      <c r="Q12" s="429"/>
      <c r="R12" s="429"/>
      <c r="S12" s="429"/>
      <c r="T12" s="430"/>
      <c r="U12" s="431"/>
      <c r="X12" s="428"/>
      <c r="Y12" s="133"/>
      <c r="Z12" s="429"/>
      <c r="AA12" s="429"/>
      <c r="AB12" s="429"/>
      <c r="AC12" s="429"/>
      <c r="AD12" s="429"/>
      <c r="AE12" s="430"/>
      <c r="AF12" s="431"/>
    </row>
    <row r="13" spans="1:32" x14ac:dyDescent="0.2">
      <c r="A13" s="732"/>
      <c r="B13" s="17" t="s">
        <v>21</v>
      </c>
      <c r="C13" s="433">
        <v>0</v>
      </c>
      <c r="D13" s="433">
        <v>0</v>
      </c>
      <c r="E13" s="433">
        <v>0</v>
      </c>
      <c r="F13" s="433">
        <v>0</v>
      </c>
      <c r="G13" s="433">
        <v>0</v>
      </c>
      <c r="H13" s="25"/>
      <c r="I13" s="26"/>
      <c r="K13" s="212"/>
      <c r="L13" s="428"/>
      <c r="M13" s="133"/>
      <c r="N13" s="429"/>
      <c r="O13" s="429"/>
      <c r="P13" s="429"/>
      <c r="Q13" s="429"/>
      <c r="R13" s="429"/>
      <c r="S13" s="429"/>
      <c r="T13" s="430"/>
      <c r="U13" s="431"/>
      <c r="X13" s="428"/>
      <c r="Y13" s="133"/>
      <c r="Z13" s="429"/>
      <c r="AA13" s="429"/>
      <c r="AB13" s="429"/>
      <c r="AC13" s="429"/>
      <c r="AD13" s="429"/>
      <c r="AE13" s="430"/>
      <c r="AF13" s="431"/>
    </row>
    <row r="14" spans="1:32" x14ac:dyDescent="0.2">
      <c r="A14" s="732" t="s">
        <v>0</v>
      </c>
      <c r="B14" s="63" t="s">
        <v>20</v>
      </c>
      <c r="C14" s="64">
        <f t="shared" ref="C14:G15" si="0">SUM(C4,C6,C8,C10,C12)</f>
        <v>160</v>
      </c>
      <c r="D14" s="64">
        <f t="shared" si="0"/>
        <v>132</v>
      </c>
      <c r="E14" s="64">
        <f t="shared" si="0"/>
        <v>131</v>
      </c>
      <c r="F14" s="64">
        <f t="shared" si="0"/>
        <v>133</v>
      </c>
      <c r="G14" s="64">
        <f t="shared" si="0"/>
        <v>117</v>
      </c>
      <c r="H14" s="65">
        <f>SUM(C14:G14)</f>
        <v>673</v>
      </c>
      <c r="I14" s="432">
        <f>H14/$H$14</f>
        <v>1</v>
      </c>
      <c r="K14" s="212"/>
      <c r="L14" s="428"/>
      <c r="M14" s="133"/>
      <c r="N14" s="429"/>
      <c r="O14" s="429"/>
      <c r="P14" s="429"/>
      <c r="Q14" s="429"/>
      <c r="R14" s="429"/>
      <c r="S14" s="429"/>
      <c r="T14" s="430"/>
      <c r="U14" s="431"/>
      <c r="X14" s="428"/>
      <c r="Y14" s="133"/>
      <c r="Z14" s="429"/>
      <c r="AA14" s="429"/>
      <c r="AB14" s="429"/>
      <c r="AC14" s="429"/>
      <c r="AD14" s="429"/>
      <c r="AE14" s="430"/>
      <c r="AF14" s="431"/>
    </row>
    <row r="15" spans="1:32" x14ac:dyDescent="0.2">
      <c r="A15" s="733"/>
      <c r="B15" s="45" t="s">
        <v>21</v>
      </c>
      <c r="C15" s="46">
        <f t="shared" si="0"/>
        <v>79</v>
      </c>
      <c r="D15" s="46">
        <f t="shared" si="0"/>
        <v>58</v>
      </c>
      <c r="E15" s="46">
        <f t="shared" si="0"/>
        <v>34</v>
      </c>
      <c r="F15" s="46">
        <f t="shared" si="0"/>
        <v>70</v>
      </c>
      <c r="G15" s="46">
        <f t="shared" si="0"/>
        <v>40</v>
      </c>
      <c r="H15" s="25"/>
      <c r="I15" s="26"/>
      <c r="K15" s="212"/>
      <c r="L15" s="428"/>
      <c r="M15" s="133"/>
      <c r="N15" s="429"/>
      <c r="O15" s="429"/>
      <c r="P15" s="429"/>
      <c r="Q15" s="429"/>
      <c r="R15" s="429"/>
      <c r="S15" s="429"/>
      <c r="T15" s="430"/>
      <c r="U15" s="431"/>
      <c r="X15" s="428"/>
      <c r="Y15" s="133"/>
      <c r="Z15" s="429"/>
      <c r="AA15" s="429"/>
      <c r="AB15" s="429"/>
      <c r="AC15" s="429"/>
      <c r="AD15" s="429"/>
      <c r="AE15" s="430"/>
      <c r="AF15" s="431"/>
    </row>
    <row r="16" spans="1:32" x14ac:dyDescent="0.2">
      <c r="A16" s="206" t="s">
        <v>22</v>
      </c>
      <c r="B16" s="206"/>
      <c r="C16" s="206"/>
      <c r="D16" s="206"/>
      <c r="E16" s="206"/>
      <c r="F16" s="206"/>
      <c r="G16" s="206"/>
      <c r="H16" s="206"/>
      <c r="I16" s="206"/>
      <c r="K16" s="212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X16" s="214"/>
      <c r="Y16" s="214"/>
      <c r="Z16" s="214"/>
      <c r="AA16" s="214"/>
      <c r="AB16" s="214"/>
      <c r="AC16" s="214"/>
      <c r="AD16" s="214"/>
      <c r="AE16" s="214"/>
      <c r="AF16" s="214"/>
    </row>
    <row r="17" spans="1:20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R17" s="32"/>
      <c r="S17" s="32"/>
      <c r="T17" s="32"/>
    </row>
    <row r="18" spans="1:20" x14ac:dyDescent="0.2">
      <c r="A18" s="759" t="s">
        <v>36</v>
      </c>
      <c r="B18" s="759"/>
    </row>
    <row r="19" spans="1:20" x14ac:dyDescent="0.2">
      <c r="A19" s="36"/>
      <c r="B19" s="47" t="s">
        <v>25</v>
      </c>
    </row>
    <row r="20" spans="1:20" x14ac:dyDescent="0.2">
      <c r="A20" s="37" t="s">
        <v>37</v>
      </c>
      <c r="B20" s="50">
        <v>4300</v>
      </c>
    </row>
    <row r="21" spans="1:20" x14ac:dyDescent="0.2">
      <c r="A21" s="726" t="s">
        <v>26</v>
      </c>
      <c r="B21" s="726"/>
    </row>
    <row r="22" spans="1:20" x14ac:dyDescent="0.2">
      <c r="A22" s="38"/>
      <c r="B22" s="38"/>
    </row>
    <row r="23" spans="1:20" x14ac:dyDescent="0.2">
      <c r="A23" s="27" t="s">
        <v>24</v>
      </c>
      <c r="B23" s="27"/>
    </row>
    <row r="24" spans="1:20" x14ac:dyDescent="0.2">
      <c r="A24" s="29" t="s">
        <v>27</v>
      </c>
      <c r="B24" s="29" t="s">
        <v>28</v>
      </c>
    </row>
    <row r="25" spans="1:20" x14ac:dyDescent="0.2">
      <c r="A25" s="30" t="s">
        <v>29</v>
      </c>
      <c r="B25" s="48">
        <v>3200</v>
      </c>
    </row>
    <row r="26" spans="1:20" x14ac:dyDescent="0.2">
      <c r="A26" s="31" t="s">
        <v>30</v>
      </c>
      <c r="B26" s="49">
        <v>63900</v>
      </c>
    </row>
    <row r="27" spans="1:20" x14ac:dyDescent="0.2">
      <c r="A27" s="31" t="s">
        <v>31</v>
      </c>
      <c r="B27" s="49">
        <v>125000</v>
      </c>
    </row>
    <row r="28" spans="1:20" x14ac:dyDescent="0.2">
      <c r="A28" s="31" t="s">
        <v>32</v>
      </c>
      <c r="B28" s="49">
        <v>459100</v>
      </c>
    </row>
    <row r="29" spans="1:20" x14ac:dyDescent="0.2">
      <c r="A29" s="31" t="s">
        <v>33</v>
      </c>
      <c r="B29" s="49">
        <v>9600000</v>
      </c>
    </row>
    <row r="30" spans="1:20" ht="25.5" x14ac:dyDescent="0.2">
      <c r="A30" s="34" t="s">
        <v>34</v>
      </c>
      <c r="B30" s="169">
        <v>174000</v>
      </c>
    </row>
    <row r="31" spans="1:20" ht="25.5" x14ac:dyDescent="0.2">
      <c r="A31" s="35" t="s">
        <v>35</v>
      </c>
      <c r="B31" s="170">
        <v>132200</v>
      </c>
    </row>
    <row r="32" spans="1:20" x14ac:dyDescent="0.2">
      <c r="A32" s="726" t="s">
        <v>26</v>
      </c>
      <c r="B32" s="726"/>
    </row>
    <row r="33" spans="1:17" x14ac:dyDescent="0.2">
      <c r="A33" s="38"/>
      <c r="B33" s="38"/>
    </row>
    <row r="34" spans="1:17" x14ac:dyDescent="0.2">
      <c r="A34" s="724" t="s">
        <v>42</v>
      </c>
      <c r="B34" s="724"/>
    </row>
    <row r="35" spans="1:17" x14ac:dyDescent="0.2">
      <c r="A35" s="40" t="s">
        <v>43</v>
      </c>
      <c r="B35" s="40" t="s">
        <v>46</v>
      </c>
    </row>
    <row r="36" spans="1:17" x14ac:dyDescent="0.2">
      <c r="A36" s="41" t="s">
        <v>44</v>
      </c>
      <c r="B36" s="704">
        <v>1.68</v>
      </c>
    </row>
    <row r="37" spans="1:17" x14ac:dyDescent="0.2">
      <c r="A37" s="42" t="s">
        <v>45</v>
      </c>
      <c r="B37" s="171">
        <v>1</v>
      </c>
    </row>
    <row r="38" spans="1:17" x14ac:dyDescent="0.2">
      <c r="A38" s="726" t="s">
        <v>26</v>
      </c>
      <c r="B38" s="726"/>
      <c r="P38" s="449"/>
      <c r="Q38" s="449"/>
    </row>
    <row r="39" spans="1:17" x14ac:dyDescent="0.2">
      <c r="A39" s="39"/>
      <c r="B39" s="39"/>
      <c r="P39" s="449"/>
      <c r="Q39" s="449"/>
    </row>
    <row r="40" spans="1:17" x14ac:dyDescent="0.2">
      <c r="A40" s="724" t="s">
        <v>49</v>
      </c>
      <c r="B40" s="724"/>
      <c r="P40" s="449"/>
      <c r="Q40" s="449"/>
    </row>
    <row r="41" spans="1:17" x14ac:dyDescent="0.2">
      <c r="A41" s="44" t="s">
        <v>50</v>
      </c>
      <c r="B41" s="450">
        <f>R7</f>
        <v>1.8697752572988868</v>
      </c>
      <c r="P41" s="449"/>
      <c r="Q41" s="449"/>
    </row>
    <row r="42" spans="1:17" x14ac:dyDescent="0.2">
      <c r="A42" s="725" t="s">
        <v>340</v>
      </c>
      <c r="B42" s="725"/>
      <c r="P42" s="449"/>
      <c r="Q42" s="449"/>
    </row>
    <row r="43" spans="1:17" x14ac:dyDescent="0.2">
      <c r="A43" s="43"/>
      <c r="B43" s="43"/>
    </row>
    <row r="44" spans="1:17" x14ac:dyDescent="0.2">
      <c r="A44" s="724" t="s">
        <v>51</v>
      </c>
      <c r="B44" s="724"/>
      <c r="O44" s="451"/>
    </row>
    <row r="45" spans="1:17" x14ac:dyDescent="0.2">
      <c r="A45" s="41" t="s">
        <v>331</v>
      </c>
      <c r="B45" s="69">
        <f>AVERAGE(C14/B59,D14/B60,E14/B61,F14/B62,G14/B63)</f>
        <v>1.080702046587935E-2</v>
      </c>
      <c r="C45" s="205"/>
    </row>
    <row r="46" spans="1:17" x14ac:dyDescent="0.2">
      <c r="A46" s="726" t="s">
        <v>22</v>
      </c>
      <c r="B46" s="726"/>
    </row>
    <row r="47" spans="1:17" x14ac:dyDescent="0.2">
      <c r="A47" s="38"/>
      <c r="B47" s="38"/>
    </row>
    <row r="48" spans="1:17" x14ac:dyDescent="0.2">
      <c r="A48" s="724" t="s">
        <v>371</v>
      </c>
      <c r="B48" s="724"/>
    </row>
    <row r="49" spans="1:18" x14ac:dyDescent="0.2">
      <c r="A49" s="443" t="s">
        <v>372</v>
      </c>
      <c r="B49" s="450">
        <v>120.98</v>
      </c>
    </row>
    <row r="50" spans="1:18" x14ac:dyDescent="0.2">
      <c r="A50" s="725" t="s">
        <v>340</v>
      </c>
      <c r="B50" s="725"/>
    </row>
    <row r="51" spans="1:18" x14ac:dyDescent="0.2">
      <c r="A51" s="33"/>
      <c r="B51" s="38"/>
    </row>
    <row r="52" spans="1:18" x14ac:dyDescent="0.2">
      <c r="A52" s="710" t="s">
        <v>62</v>
      </c>
      <c r="B52" s="710"/>
      <c r="C52" s="710"/>
      <c r="D52" s="710"/>
    </row>
    <row r="53" spans="1:18" x14ac:dyDescent="0.2">
      <c r="A53" s="3"/>
      <c r="B53" s="21" t="s">
        <v>325</v>
      </c>
      <c r="C53" s="21" t="s">
        <v>326</v>
      </c>
      <c r="D53" s="21" t="s">
        <v>324</v>
      </c>
    </row>
    <row r="54" spans="1:18" x14ac:dyDescent="0.2">
      <c r="A54" s="3">
        <f>'Segment AADTs'!C30</f>
        <v>2017</v>
      </c>
      <c r="B54" s="381">
        <f>'Segment AADTs'!D30</f>
        <v>12885.688405797102</v>
      </c>
      <c r="C54" s="381">
        <f>'Segment AADTs'!E30</f>
        <v>9162.1365517241375</v>
      </c>
      <c r="D54" s="381">
        <f>'Segment AADTs'!F30</f>
        <v>4290.7447595561043</v>
      </c>
    </row>
    <row r="55" spans="1:18" x14ac:dyDescent="0.2">
      <c r="A55" s="3">
        <f>'Segment AADTs'!C38</f>
        <v>2025</v>
      </c>
      <c r="B55" s="381">
        <f>'Segment AADTs'!D38</f>
        <v>14630.436679980785</v>
      </c>
      <c r="C55" s="381">
        <f>'Segment AADTs'!E38</f>
        <v>10402.708373192692</v>
      </c>
      <c r="D55" s="381">
        <f>'Segment AADTs'!F38</f>
        <v>4871.7202789416424</v>
      </c>
    </row>
    <row r="56" spans="1:18" x14ac:dyDescent="0.2">
      <c r="A56" s="3">
        <f>'Segment AADTs'!C58</f>
        <v>2045</v>
      </c>
      <c r="B56" s="381">
        <f>'Segment AADTs'!D58</f>
        <v>19414.166024461127</v>
      </c>
      <c r="C56" s="381">
        <f>'Segment AADTs'!E58</f>
        <v>13804.092924824452</v>
      </c>
      <c r="D56" s="381">
        <f>'Segment AADTs'!F58</f>
        <v>6464.6318075744093</v>
      </c>
    </row>
    <row r="57" spans="1:18" x14ac:dyDescent="0.2">
      <c r="A57" s="3">
        <f>'Segment AADTs'!C68</f>
        <v>2055</v>
      </c>
      <c r="B57" s="381">
        <f>'Segment AADTs'!D68</f>
        <v>21233.930993165071</v>
      </c>
      <c r="C57" s="381">
        <f>'Segment AADTs'!E68</f>
        <v>15098.004015194187</v>
      </c>
      <c r="D57" s="381">
        <f>'Segment AADTs'!F68</f>
        <v>7070.5867831407495</v>
      </c>
      <c r="R57" s="493"/>
    </row>
    <row r="58" spans="1:18" x14ac:dyDescent="0.2">
      <c r="A58" s="745" t="s">
        <v>61</v>
      </c>
      <c r="B58" s="746"/>
      <c r="C58" s="747"/>
      <c r="D58" s="70">
        <v>1.6E-2</v>
      </c>
      <c r="E58" s="205"/>
      <c r="R58" s="493"/>
    </row>
    <row r="59" spans="1:18" x14ac:dyDescent="0.2">
      <c r="A59" s="396">
        <f>C3</f>
        <v>2013</v>
      </c>
      <c r="B59" s="424">
        <f>ROUND($B$54*(1+$D$58)^(A59-$A$54),0)</f>
        <v>12093</v>
      </c>
      <c r="C59" s="424">
        <f>ROUND($C$54*(1+$D$58)^(A59-$A$54),0)</f>
        <v>8598</v>
      </c>
      <c r="D59" s="424">
        <f>ROUND($D$54*(1+$D$58)^(A59-$A$54),0)</f>
        <v>4027</v>
      </c>
      <c r="E59" s="205"/>
    </row>
    <row r="60" spans="1:18" x14ac:dyDescent="0.2">
      <c r="A60" s="396">
        <f>D3</f>
        <v>2014</v>
      </c>
      <c r="B60" s="424">
        <f t="shared" ref="B60:B63" si="1">ROUND($B$54*(1+$D$58)^(A60-$A$54),0)</f>
        <v>12286</v>
      </c>
      <c r="C60" s="424">
        <f t="shared" ref="C60:C64" si="2">ROUND($C$54*(1+$D$58)^(A60-$A$54),0)</f>
        <v>8736</v>
      </c>
      <c r="D60" s="424">
        <f>ROUND($D$54*(1+$D$58)^(A60-$A$54),0)</f>
        <v>4091</v>
      </c>
      <c r="E60" s="205"/>
      <c r="R60" s="493"/>
    </row>
    <row r="61" spans="1:18" x14ac:dyDescent="0.2">
      <c r="A61" s="396">
        <f>E3</f>
        <v>2015</v>
      </c>
      <c r="B61" s="424">
        <f t="shared" si="1"/>
        <v>12483</v>
      </c>
      <c r="C61" s="424">
        <f t="shared" si="2"/>
        <v>8876</v>
      </c>
      <c r="D61" s="424">
        <f t="shared" ref="D61:D64" si="3">ROUND($D$54*(1+$D$58)^(A61-$A$54),0)</f>
        <v>4157</v>
      </c>
      <c r="E61" s="205"/>
    </row>
    <row r="62" spans="1:18" x14ac:dyDescent="0.2">
      <c r="A62" s="396">
        <f>F3</f>
        <v>2016</v>
      </c>
      <c r="B62" s="424">
        <f t="shared" si="1"/>
        <v>12683</v>
      </c>
      <c r="C62" s="424">
        <f t="shared" si="2"/>
        <v>9018</v>
      </c>
      <c r="D62" s="424">
        <f t="shared" si="3"/>
        <v>4223</v>
      </c>
      <c r="E62" s="205"/>
    </row>
    <row r="63" spans="1:18" x14ac:dyDescent="0.2">
      <c r="A63" s="396">
        <f>G3</f>
        <v>2017</v>
      </c>
      <c r="B63" s="424">
        <f t="shared" si="1"/>
        <v>12886</v>
      </c>
      <c r="C63" s="424">
        <f t="shared" si="2"/>
        <v>9162</v>
      </c>
      <c r="D63" s="424">
        <f t="shared" si="3"/>
        <v>4291</v>
      </c>
      <c r="E63" s="205"/>
    </row>
    <row r="64" spans="1:18" x14ac:dyDescent="0.2">
      <c r="A64" s="396">
        <f>A55</f>
        <v>2025</v>
      </c>
      <c r="B64" s="424">
        <f>ROUND($B$54*(1+$D$58)^(A64-$A$54),0)</f>
        <v>14630</v>
      </c>
      <c r="C64" s="424">
        <f t="shared" si="2"/>
        <v>10403</v>
      </c>
      <c r="D64" s="424">
        <f t="shared" si="3"/>
        <v>4872</v>
      </c>
      <c r="E64" s="205"/>
    </row>
    <row r="65" spans="1:29" x14ac:dyDescent="0.2">
      <c r="A65" s="396">
        <f>A56</f>
        <v>2045</v>
      </c>
      <c r="B65" s="424">
        <f>B56</f>
        <v>19414.166024461127</v>
      </c>
      <c r="C65" s="424">
        <f t="shared" ref="C65:D66" si="4">C56</f>
        <v>13804.092924824452</v>
      </c>
      <c r="D65" s="424">
        <f t="shared" si="4"/>
        <v>6464.6318075744093</v>
      </c>
      <c r="E65" s="205"/>
      <c r="P65" s="6"/>
      <c r="Q65" s="6"/>
    </row>
    <row r="66" spans="1:29" x14ac:dyDescent="0.2">
      <c r="A66" s="396">
        <f t="shared" ref="A66" si="5">A57</f>
        <v>2055</v>
      </c>
      <c r="B66" s="424">
        <f>B57</f>
        <v>21233.930993165071</v>
      </c>
      <c r="C66" s="424">
        <f t="shared" si="4"/>
        <v>15098.004015194187</v>
      </c>
      <c r="D66" s="424">
        <f t="shared" si="4"/>
        <v>7070.5867831407495</v>
      </c>
      <c r="E66" s="205"/>
    </row>
    <row r="67" spans="1:29" x14ac:dyDescent="0.2">
      <c r="A67" s="744" t="s">
        <v>63</v>
      </c>
      <c r="B67" s="744"/>
      <c r="C67" s="744"/>
      <c r="D67" s="744"/>
    </row>
    <row r="68" spans="1:29" x14ac:dyDescent="0.2">
      <c r="A68" s="33"/>
      <c r="B68" s="38"/>
    </row>
    <row r="69" spans="1:29" x14ac:dyDescent="0.2">
      <c r="C69" s="738" t="s">
        <v>1</v>
      </c>
      <c r="D69" s="742" t="s">
        <v>316</v>
      </c>
      <c r="E69" s="738" t="s">
        <v>39</v>
      </c>
      <c r="F69" s="738"/>
      <c r="G69" s="738"/>
      <c r="H69" s="738"/>
      <c r="I69" s="738"/>
      <c r="J69" s="738"/>
      <c r="K69" s="738"/>
      <c r="L69" s="738"/>
      <c r="M69" s="738"/>
      <c r="N69" s="738"/>
      <c r="O69" s="738" t="s">
        <v>1</v>
      </c>
      <c r="P69" s="742" t="s">
        <v>316</v>
      </c>
      <c r="Q69" s="730" t="s">
        <v>373</v>
      </c>
      <c r="R69" s="760" t="s">
        <v>47</v>
      </c>
      <c r="S69" s="760"/>
      <c r="T69" s="760"/>
      <c r="U69" s="760"/>
      <c r="V69" s="760"/>
      <c r="W69" s="760"/>
      <c r="X69" s="760"/>
      <c r="Y69" s="760"/>
      <c r="Z69" s="760"/>
      <c r="AA69" s="760"/>
      <c r="AB69" s="732" t="s">
        <v>48</v>
      </c>
      <c r="AC69" s="732" t="s">
        <v>139</v>
      </c>
    </row>
    <row r="70" spans="1:29" x14ac:dyDescent="0.2">
      <c r="C70" s="739"/>
      <c r="D70" s="730"/>
      <c r="E70" s="730" t="s">
        <v>53</v>
      </c>
      <c r="F70" s="730" t="s">
        <v>54</v>
      </c>
      <c r="G70" s="730" t="s">
        <v>55</v>
      </c>
      <c r="H70" s="730" t="s">
        <v>56</v>
      </c>
      <c r="I70" s="730" t="s">
        <v>57</v>
      </c>
      <c r="J70" s="749" t="s">
        <v>182</v>
      </c>
      <c r="K70" s="750"/>
      <c r="L70" s="750"/>
      <c r="M70" s="751"/>
      <c r="N70" s="733" t="s">
        <v>41</v>
      </c>
      <c r="O70" s="739"/>
      <c r="P70" s="730"/>
      <c r="Q70" s="734"/>
      <c r="R70" s="733" t="s">
        <v>53</v>
      </c>
      <c r="S70" s="733" t="s">
        <v>54</v>
      </c>
      <c r="T70" s="733" t="s">
        <v>55</v>
      </c>
      <c r="U70" s="733" t="s">
        <v>56</v>
      </c>
      <c r="V70" s="733" t="s">
        <v>57</v>
      </c>
      <c r="W70" s="752" t="s">
        <v>182</v>
      </c>
      <c r="X70" s="753"/>
      <c r="Y70" s="753"/>
      <c r="Z70" s="754"/>
      <c r="AA70" s="447"/>
      <c r="AB70" s="733"/>
      <c r="AC70" s="733"/>
    </row>
    <row r="71" spans="1:29" ht="39" thickBot="1" x14ac:dyDescent="0.25">
      <c r="A71" s="205"/>
      <c r="C71" s="740"/>
      <c r="D71" s="743"/>
      <c r="E71" s="731"/>
      <c r="F71" s="731"/>
      <c r="G71" s="731"/>
      <c r="H71" s="731"/>
      <c r="I71" s="731"/>
      <c r="J71" s="67" t="s">
        <v>58</v>
      </c>
      <c r="K71" s="67" t="s">
        <v>59</v>
      </c>
      <c r="L71" s="67" t="s">
        <v>60</v>
      </c>
      <c r="M71" s="68" t="s">
        <v>9</v>
      </c>
      <c r="N71" s="748"/>
      <c r="O71" s="740"/>
      <c r="P71" s="743"/>
      <c r="Q71" s="731"/>
      <c r="R71" s="748"/>
      <c r="S71" s="748"/>
      <c r="T71" s="748"/>
      <c r="U71" s="748"/>
      <c r="V71" s="748"/>
      <c r="W71" s="84" t="s">
        <v>58</v>
      </c>
      <c r="X71" s="84" t="s">
        <v>59</v>
      </c>
      <c r="Y71" s="84" t="s">
        <v>60</v>
      </c>
      <c r="Z71" s="448" t="s">
        <v>9</v>
      </c>
      <c r="AA71" s="84" t="s">
        <v>41</v>
      </c>
      <c r="AB71" s="741"/>
      <c r="AC71" s="741"/>
    </row>
    <row r="72" spans="1:29" ht="13.5" thickTop="1" x14ac:dyDescent="0.2">
      <c r="A72" s="494"/>
      <c r="B72" s="12">
        <f>C72-$C$72</f>
        <v>0</v>
      </c>
      <c r="C72" s="57">
        <v>2025</v>
      </c>
      <c r="D72" s="66">
        <f>'Segment AADTs'!D38</f>
        <v>14630.436679980785</v>
      </c>
      <c r="E72" s="58">
        <f>ROUND(D72*$B$45,0)</f>
        <v>158</v>
      </c>
      <c r="F72" s="58">
        <f>ROUND(E72*$B$41,0)</f>
        <v>295</v>
      </c>
      <c r="G72" s="59">
        <f>ROUND(F72*$B$36,0)</f>
        <v>496</v>
      </c>
      <c r="H72" s="445">
        <f>E72*$I$12*$B$41</f>
        <v>209.38704612420196</v>
      </c>
      <c r="I72" s="58">
        <f>G72*$I$12</f>
        <v>351.54829123328381</v>
      </c>
      <c r="J72" s="445">
        <f>G72*$I$10</f>
        <v>85.491827637444274</v>
      </c>
      <c r="K72" s="445">
        <f>G72*$I$8</f>
        <v>42.745913818722137</v>
      </c>
      <c r="L72" s="446">
        <f>G72*$I$6</f>
        <v>13.26597325408618</v>
      </c>
      <c r="M72" s="446">
        <f>G72*$I$4</f>
        <v>2.9479940564635956</v>
      </c>
      <c r="N72" s="434">
        <f>ROUND((H72*$B$20)+(I72*$B$25)+(J72*$B$26)+(K72*$B$27)+(L72*$B$28)+(M72*$B$29),0)</f>
        <v>47222637</v>
      </c>
      <c r="O72" s="490">
        <f>C72</f>
        <v>2025</v>
      </c>
      <c r="P72" s="499">
        <f>'Segment AADTs'!E38</f>
        <v>10402.708373192692</v>
      </c>
      <c r="Q72" s="499">
        <f>'EC - Travel Time - Roadway'!C145</f>
        <v>14424177.121674001</v>
      </c>
      <c r="R72" s="58">
        <f>ROUND((P72*$B$45)+((Q72/100000000)*$B$49),0)</f>
        <v>130</v>
      </c>
      <c r="S72" s="58">
        <f>R72*$B$41</f>
        <v>243.07078344885528</v>
      </c>
      <c r="T72" s="59">
        <f>S72*$B$36</f>
        <v>408.35891619407687</v>
      </c>
      <c r="U72" s="445">
        <f>R72*$I$12*$B$41</f>
        <v>172.28048098826744</v>
      </c>
      <c r="V72" s="58">
        <f>T72*$I$12</f>
        <v>289.43120806028929</v>
      </c>
      <c r="W72" s="445">
        <f>T72*$I$10</f>
        <v>70.385786446527362</v>
      </c>
      <c r="X72" s="445">
        <f>T72*$I$8</f>
        <v>35.192893223263681</v>
      </c>
      <c r="Y72" s="446">
        <f>T72*$I$6</f>
        <v>10.921932379633557</v>
      </c>
      <c r="Z72" s="446">
        <f>T72*$I$4</f>
        <v>2.4270960843630123</v>
      </c>
      <c r="AA72" s="435">
        <f>ROUND((U72*$B$20)+(V72*$B$25)+(W72*$B$26)+(X72*$B$27)+(Y72*$B$28)+(Z72*$B$29),0)</f>
        <v>38878131</v>
      </c>
      <c r="AB72" s="434">
        <f>ROUND(N72-AA72,0)</f>
        <v>8344506</v>
      </c>
      <c r="AC72" s="434">
        <f>ROUND(AB72*NPV!C10,0)</f>
        <v>4856578</v>
      </c>
    </row>
    <row r="73" spans="1:29" x14ac:dyDescent="0.2">
      <c r="A73" s="494"/>
      <c r="B73" s="12">
        <f t="shared" ref="B73:B102" si="6">C73-$C$72</f>
        <v>1</v>
      </c>
      <c r="C73" s="24">
        <f>C72+1</f>
        <v>2026</v>
      </c>
      <c r="D73" s="66">
        <f>'Segment AADTs'!D39</f>
        <v>14864.523666860478</v>
      </c>
      <c r="E73" s="53">
        <f>ROUND(D73*$B$45,0)</f>
        <v>161</v>
      </c>
      <c r="F73" s="53">
        <f t="shared" ref="F73:F102" si="7">ROUND(E73*$B$41,0)</f>
        <v>301</v>
      </c>
      <c r="G73" s="54">
        <f t="shared" ref="G73:G102" si="8">ROUND(F73*$B$36,0)</f>
        <v>506</v>
      </c>
      <c r="H73" s="436">
        <f t="shared" ref="H73:H102" si="9">E73*$I$12*$B$41</f>
        <v>213.36274953162351</v>
      </c>
      <c r="I73" s="58">
        <f t="shared" ref="I73:I102" si="10">G73*$I$12</f>
        <v>358.63595839524521</v>
      </c>
      <c r="J73" s="436">
        <f t="shared" ref="J73:J102" si="11">G73*$I$10</f>
        <v>87.21545319465082</v>
      </c>
      <c r="K73" s="436">
        <f t="shared" ref="K73:K102" si="12">G73*$I$8</f>
        <v>43.60772659732541</v>
      </c>
      <c r="L73" s="437">
        <f t="shared" ref="L73:L102" si="13">G73*$I$6</f>
        <v>13.533432392273403</v>
      </c>
      <c r="M73" s="437">
        <f t="shared" ref="M73:M102" si="14">G73*$I$4</f>
        <v>3.0074294205052006</v>
      </c>
      <c r="N73" s="434">
        <f t="shared" ref="N73:N102" si="15">ROUND((H73*$B$20)+(I73*$B$25)+(J73*$B$26)+(K73*$B$27)+(L73*$B$28)+(M73*$B$29),0)</f>
        <v>48173649</v>
      </c>
      <c r="O73" s="491">
        <f t="shared" ref="O73:O102" si="16">C73</f>
        <v>2026</v>
      </c>
      <c r="P73" s="499">
        <f>'Segment AADTs'!E39</f>
        <v>10569.151707163775</v>
      </c>
      <c r="Q73" s="499">
        <f>'EC - Travel Time - Roadway'!C146</f>
        <v>14655433.75204389</v>
      </c>
      <c r="R73" s="58">
        <f t="shared" ref="R73:R102" si="17">ROUND((P73*$B$45)+((Q73/100000000)*$B$49),0)</f>
        <v>132</v>
      </c>
      <c r="S73" s="58">
        <f t="shared" ref="S73:S102" si="18">R73*$B$41</f>
        <v>246.81033396345305</v>
      </c>
      <c r="T73" s="59">
        <f>S73*$B$36</f>
        <v>414.64136105860109</v>
      </c>
      <c r="U73" s="436">
        <f>R73*$I$12*$B$41</f>
        <v>174.93094992654846</v>
      </c>
      <c r="V73" s="58">
        <f>T73*$I$12</f>
        <v>293.88399587660138</v>
      </c>
      <c r="W73" s="436">
        <f t="shared" ref="W73:W102" si="19">T73*$I$10</f>
        <v>71.46864469955085</v>
      </c>
      <c r="X73" s="436">
        <f t="shared" ref="X73:X102" si="20">T73*$I$8</f>
        <v>35.734322349775425</v>
      </c>
      <c r="Y73" s="437">
        <f t="shared" ref="Y73:Y102" si="21">T73*$I$6</f>
        <v>11.089962108550994</v>
      </c>
      <c r="Z73" s="437">
        <f t="shared" ref="Z73:Z102" si="22">T73*$I$4</f>
        <v>2.4644360241224432</v>
      </c>
      <c r="AA73" s="435">
        <f t="shared" ref="AA73:AA102" si="23">ROUND((U73*$B$20)+(V73*$B$25)+(W73*$B$26)+(X73*$B$27)+(Y73*$B$28)+(Z73*$B$29),0)</f>
        <v>39476256</v>
      </c>
      <c r="AB73" s="434">
        <f t="shared" ref="AB73:AB102" si="24">ROUND(N73-AA73,0)</f>
        <v>8697393</v>
      </c>
      <c r="AC73" s="434">
        <f>ROUND(AB73*NPV!C11,0)</f>
        <v>4730806</v>
      </c>
    </row>
    <row r="74" spans="1:29" x14ac:dyDescent="0.2">
      <c r="A74" s="494"/>
      <c r="B74" s="12">
        <f t="shared" si="6"/>
        <v>2</v>
      </c>
      <c r="C74" s="24">
        <f t="shared" ref="C74:C102" si="25">C73+1</f>
        <v>2027</v>
      </c>
      <c r="D74" s="66">
        <f>'Segment AADTs'!D40</f>
        <v>15102.356045530245</v>
      </c>
      <c r="E74" s="53">
        <f t="shared" ref="E74:E102" si="26">ROUND(D74*$B$45,0)</f>
        <v>163</v>
      </c>
      <c r="F74" s="53">
        <f t="shared" si="7"/>
        <v>305</v>
      </c>
      <c r="G74" s="54">
        <f t="shared" si="8"/>
        <v>512</v>
      </c>
      <c r="H74" s="436">
        <f t="shared" si="9"/>
        <v>216.01321846990456</v>
      </c>
      <c r="I74" s="58">
        <f t="shared" si="10"/>
        <v>362.88855869242201</v>
      </c>
      <c r="J74" s="436">
        <f t="shared" si="11"/>
        <v>88.249628528974739</v>
      </c>
      <c r="K74" s="436">
        <f t="shared" si="12"/>
        <v>44.12481426448737</v>
      </c>
      <c r="L74" s="437">
        <f t="shared" si="13"/>
        <v>13.693907875185735</v>
      </c>
      <c r="M74" s="437">
        <f t="shared" si="14"/>
        <v>3.0430906389301633</v>
      </c>
      <c r="N74" s="434">
        <f t="shared" si="15"/>
        <v>48745397</v>
      </c>
      <c r="O74" s="491">
        <f t="shared" si="16"/>
        <v>2027</v>
      </c>
      <c r="P74" s="499">
        <f>'Segment AADTs'!E40</f>
        <v>10738.258134478396</v>
      </c>
      <c r="Q74" s="499">
        <f>'EC - Travel Time - Roadway'!C147</f>
        <v>14890404.562193252</v>
      </c>
      <c r="R74" s="58">
        <f t="shared" si="17"/>
        <v>134</v>
      </c>
      <c r="S74" s="58">
        <f t="shared" si="18"/>
        <v>250.54988447805084</v>
      </c>
      <c r="T74" s="59">
        <f t="shared" ref="T74:T102" si="27">S74*$B$36</f>
        <v>420.92380592312537</v>
      </c>
      <c r="U74" s="436">
        <f t="shared" ref="U74:U102" si="28">R74*$I$12*$B$41</f>
        <v>177.58141886482952</v>
      </c>
      <c r="V74" s="58">
        <f t="shared" ref="V74:V102" si="29">T74*$I$12</f>
        <v>298.33678369291351</v>
      </c>
      <c r="W74" s="436">
        <f t="shared" si="19"/>
        <v>72.551502952574353</v>
      </c>
      <c r="X74" s="436">
        <f t="shared" si="20"/>
        <v>36.275751476287176</v>
      </c>
      <c r="Y74" s="437">
        <f t="shared" si="21"/>
        <v>11.257991837468435</v>
      </c>
      <c r="Z74" s="437">
        <f t="shared" si="22"/>
        <v>2.5017759638818742</v>
      </c>
      <c r="AA74" s="435">
        <f t="shared" si="23"/>
        <v>40074381</v>
      </c>
      <c r="AB74" s="434">
        <f t="shared" si="24"/>
        <v>8671016</v>
      </c>
      <c r="AC74" s="434">
        <f>ROUND(AB74*NPV!C12,0)</f>
        <v>4407905</v>
      </c>
    </row>
    <row r="75" spans="1:29" x14ac:dyDescent="0.2">
      <c r="A75" s="494"/>
      <c r="B75" s="12">
        <f t="shared" si="6"/>
        <v>3</v>
      </c>
      <c r="C75" s="24">
        <f t="shared" si="25"/>
        <v>2028</v>
      </c>
      <c r="D75" s="66">
        <f>'Segment AADTs'!D41</f>
        <v>15343.99374225873</v>
      </c>
      <c r="E75" s="53">
        <f t="shared" si="26"/>
        <v>166</v>
      </c>
      <c r="F75" s="53">
        <f t="shared" si="7"/>
        <v>310</v>
      </c>
      <c r="G75" s="54">
        <f t="shared" si="8"/>
        <v>521</v>
      </c>
      <c r="H75" s="436">
        <f t="shared" si="9"/>
        <v>219.98892187732608</v>
      </c>
      <c r="I75" s="58">
        <f t="shared" si="10"/>
        <v>369.26745913818723</v>
      </c>
      <c r="J75" s="436">
        <f t="shared" si="11"/>
        <v>89.800891530460618</v>
      </c>
      <c r="K75" s="436">
        <f t="shared" si="12"/>
        <v>44.900445765230309</v>
      </c>
      <c r="L75" s="437">
        <f t="shared" si="13"/>
        <v>13.934621099554233</v>
      </c>
      <c r="M75" s="437">
        <f t="shared" si="14"/>
        <v>3.0965824665676074</v>
      </c>
      <c r="N75" s="434">
        <f t="shared" si="15"/>
        <v>49603017</v>
      </c>
      <c r="O75" s="491">
        <f t="shared" si="16"/>
        <v>2028</v>
      </c>
      <c r="P75" s="499">
        <f>'Segment AADTs'!E41</f>
        <v>10910.070264630051</v>
      </c>
      <c r="Q75" s="499">
        <f>'EC - Travel Time - Roadway'!C148</f>
        <v>15129149.299703181</v>
      </c>
      <c r="R75" s="58">
        <f t="shared" si="17"/>
        <v>136</v>
      </c>
      <c r="S75" s="58">
        <f t="shared" si="18"/>
        <v>254.28943499264861</v>
      </c>
      <c r="T75" s="59">
        <f t="shared" si="27"/>
        <v>427.20625078764965</v>
      </c>
      <c r="U75" s="436">
        <f t="shared" si="28"/>
        <v>180.23188780311054</v>
      </c>
      <c r="V75" s="58">
        <f t="shared" si="29"/>
        <v>302.78957150922571</v>
      </c>
      <c r="W75" s="436">
        <f t="shared" si="19"/>
        <v>73.634361205597855</v>
      </c>
      <c r="X75" s="436">
        <f t="shared" si="20"/>
        <v>36.817180602798928</v>
      </c>
      <c r="Y75" s="437">
        <f t="shared" si="21"/>
        <v>11.426021566385874</v>
      </c>
      <c r="Z75" s="437">
        <f t="shared" si="22"/>
        <v>2.5391159036413056</v>
      </c>
      <c r="AA75" s="435">
        <f t="shared" si="23"/>
        <v>40672506</v>
      </c>
      <c r="AB75" s="434">
        <f t="shared" si="24"/>
        <v>8930511</v>
      </c>
      <c r="AC75" s="434">
        <f>ROUND(AB75*NPV!C13,0)</f>
        <v>4242821</v>
      </c>
    </row>
    <row r="76" spans="1:29" x14ac:dyDescent="0.2">
      <c r="A76" s="494"/>
      <c r="B76" s="12">
        <f t="shared" si="6"/>
        <v>4</v>
      </c>
      <c r="C76" s="24">
        <f t="shared" si="25"/>
        <v>2029</v>
      </c>
      <c r="D76" s="66">
        <f>'Segment AADTs'!D42</f>
        <v>15589.497642134869</v>
      </c>
      <c r="E76" s="53">
        <f t="shared" si="26"/>
        <v>168</v>
      </c>
      <c r="F76" s="53">
        <f t="shared" si="7"/>
        <v>314</v>
      </c>
      <c r="G76" s="54">
        <f t="shared" si="8"/>
        <v>528</v>
      </c>
      <c r="H76" s="436">
        <f t="shared" si="9"/>
        <v>222.63939081560713</v>
      </c>
      <c r="I76" s="58">
        <f t="shared" si="10"/>
        <v>374.22882615156021</v>
      </c>
      <c r="J76" s="436">
        <f t="shared" si="11"/>
        <v>91.007429420505204</v>
      </c>
      <c r="K76" s="436">
        <f t="shared" si="12"/>
        <v>45.503714710252602</v>
      </c>
      <c r="L76" s="437">
        <f t="shared" si="13"/>
        <v>14.121842496285289</v>
      </c>
      <c r="M76" s="437">
        <f t="shared" si="14"/>
        <v>3.138187221396731</v>
      </c>
      <c r="N76" s="434">
        <f t="shared" si="15"/>
        <v>50268156</v>
      </c>
      <c r="O76" s="491">
        <f t="shared" si="16"/>
        <v>2029</v>
      </c>
      <c r="P76" s="499">
        <f>'Segment AADTs'!E42</f>
        <v>11084.631388864131</v>
      </c>
      <c r="Q76" s="499">
        <f>'EC - Travel Time - Roadway'!C149</f>
        <v>15371728.674679071</v>
      </c>
      <c r="R76" s="58">
        <f t="shared" si="17"/>
        <v>138</v>
      </c>
      <c r="S76" s="58">
        <f t="shared" si="18"/>
        <v>258.02898550724638</v>
      </c>
      <c r="T76" s="59">
        <f t="shared" si="27"/>
        <v>433.48869565217387</v>
      </c>
      <c r="U76" s="436">
        <f t="shared" si="28"/>
        <v>182.88235674139156</v>
      </c>
      <c r="V76" s="58">
        <f t="shared" si="29"/>
        <v>307.24235932553779</v>
      </c>
      <c r="W76" s="436">
        <f t="shared" si="19"/>
        <v>74.717219458621344</v>
      </c>
      <c r="X76" s="436">
        <f t="shared" si="20"/>
        <v>37.358609729310672</v>
      </c>
      <c r="Y76" s="437">
        <f t="shared" si="21"/>
        <v>11.594051295303313</v>
      </c>
      <c r="Z76" s="437">
        <f t="shared" si="22"/>
        <v>2.5764558434007361</v>
      </c>
      <c r="AA76" s="435">
        <f t="shared" si="23"/>
        <v>41270631</v>
      </c>
      <c r="AB76" s="434">
        <f t="shared" si="24"/>
        <v>8997525</v>
      </c>
      <c r="AC76" s="434">
        <f>ROUND(AB76*NPV!C14,0)</f>
        <v>3995009</v>
      </c>
    </row>
    <row r="77" spans="1:29" x14ac:dyDescent="0.2">
      <c r="A77" s="494"/>
      <c r="B77" s="12">
        <f t="shared" si="6"/>
        <v>5</v>
      </c>
      <c r="C77" s="24">
        <f t="shared" si="25"/>
        <v>2030</v>
      </c>
      <c r="D77" s="66">
        <f>'Segment AADTs'!D43</f>
        <v>15838.929604409028</v>
      </c>
      <c r="E77" s="53">
        <f t="shared" si="26"/>
        <v>171</v>
      </c>
      <c r="F77" s="53">
        <f t="shared" si="7"/>
        <v>320</v>
      </c>
      <c r="G77" s="54">
        <f t="shared" si="8"/>
        <v>538</v>
      </c>
      <c r="H77" s="436">
        <f t="shared" si="9"/>
        <v>226.61509422302871</v>
      </c>
      <c r="I77" s="58">
        <f t="shared" si="10"/>
        <v>381.31649331352156</v>
      </c>
      <c r="J77" s="436">
        <f t="shared" si="11"/>
        <v>92.731054977711736</v>
      </c>
      <c r="K77" s="436">
        <f t="shared" si="12"/>
        <v>46.365527488855868</v>
      </c>
      <c r="L77" s="437">
        <f t="shared" si="13"/>
        <v>14.38930163447251</v>
      </c>
      <c r="M77" s="437">
        <f t="shared" si="14"/>
        <v>3.1976225854383356</v>
      </c>
      <c r="N77" s="434">
        <f t="shared" si="15"/>
        <v>51219168</v>
      </c>
      <c r="O77" s="491">
        <f t="shared" si="16"/>
        <v>2030</v>
      </c>
      <c r="P77" s="499">
        <f>'Segment AADTs'!E43</f>
        <v>11261.985491085958</v>
      </c>
      <c r="Q77" s="499">
        <f>'EC - Travel Time - Roadway'!C150</f>
        <v>15618204.375278076</v>
      </c>
      <c r="R77" s="58">
        <f t="shared" si="17"/>
        <v>141</v>
      </c>
      <c r="S77" s="58">
        <f t="shared" si="18"/>
        <v>263.63831127914307</v>
      </c>
      <c r="T77" s="59">
        <f t="shared" si="27"/>
        <v>442.91236294896032</v>
      </c>
      <c r="U77" s="436">
        <f t="shared" si="28"/>
        <v>186.85806014881314</v>
      </c>
      <c r="V77" s="58">
        <f t="shared" si="29"/>
        <v>313.92154105000606</v>
      </c>
      <c r="W77" s="436">
        <f t="shared" si="19"/>
        <v>76.341506838156604</v>
      </c>
      <c r="X77" s="436">
        <f t="shared" si="20"/>
        <v>38.170753419078302</v>
      </c>
      <c r="Y77" s="437">
        <f t="shared" si="21"/>
        <v>11.846095888679473</v>
      </c>
      <c r="Z77" s="437">
        <f t="shared" si="22"/>
        <v>2.6324657530398827</v>
      </c>
      <c r="AA77" s="435">
        <f t="shared" si="23"/>
        <v>42167819</v>
      </c>
      <c r="AB77" s="434">
        <f t="shared" si="24"/>
        <v>9051349</v>
      </c>
      <c r="AC77" s="434">
        <f>ROUND(AB77*NPV!C15,0)</f>
        <v>3755988</v>
      </c>
    </row>
    <row r="78" spans="1:29" x14ac:dyDescent="0.2">
      <c r="A78" s="494"/>
      <c r="B78" s="12">
        <f t="shared" si="6"/>
        <v>6</v>
      </c>
      <c r="C78" s="24">
        <f t="shared" si="25"/>
        <v>2031</v>
      </c>
      <c r="D78" s="66">
        <f>'Segment AADTs'!D44</f>
        <v>16092.352478079572</v>
      </c>
      <c r="E78" s="53">
        <f t="shared" si="26"/>
        <v>174</v>
      </c>
      <c r="F78" s="53">
        <f t="shared" si="7"/>
        <v>325</v>
      </c>
      <c r="G78" s="54">
        <f t="shared" si="8"/>
        <v>546</v>
      </c>
      <c r="H78" s="436">
        <f t="shared" si="9"/>
        <v>230.59079763045025</v>
      </c>
      <c r="I78" s="58">
        <f t="shared" si="10"/>
        <v>386.98662704309066</v>
      </c>
      <c r="J78" s="436">
        <f t="shared" si="11"/>
        <v>94.109955423476961</v>
      </c>
      <c r="K78" s="436">
        <f t="shared" si="12"/>
        <v>47.054977711738481</v>
      </c>
      <c r="L78" s="437">
        <f t="shared" si="13"/>
        <v>14.603268945022288</v>
      </c>
      <c r="M78" s="437">
        <f t="shared" si="14"/>
        <v>3.2451708766716196</v>
      </c>
      <c r="N78" s="434">
        <f t="shared" si="15"/>
        <v>51983397</v>
      </c>
      <c r="O78" s="491">
        <f t="shared" si="16"/>
        <v>2031</v>
      </c>
      <c r="P78" s="499">
        <f>'Segment AADTs'!E44</f>
        <v>11442.177258943333</v>
      </c>
      <c r="Q78" s="499">
        <f>'EC - Travel Time - Roadway'!C151</f>
        <v>15868639.083487403</v>
      </c>
      <c r="R78" s="58">
        <f t="shared" si="17"/>
        <v>143</v>
      </c>
      <c r="S78" s="58">
        <f t="shared" si="18"/>
        <v>267.37786179374081</v>
      </c>
      <c r="T78" s="59">
        <f t="shared" si="27"/>
        <v>449.19480781348454</v>
      </c>
      <c r="U78" s="436">
        <f t="shared" si="28"/>
        <v>189.50852908709416</v>
      </c>
      <c r="V78" s="58">
        <f t="shared" si="29"/>
        <v>318.37432886631819</v>
      </c>
      <c r="W78" s="436">
        <f t="shared" si="19"/>
        <v>77.424365091180093</v>
      </c>
      <c r="X78" s="436">
        <f t="shared" si="20"/>
        <v>38.712182545590046</v>
      </c>
      <c r="Y78" s="437">
        <f t="shared" si="21"/>
        <v>12.014125617596912</v>
      </c>
      <c r="Z78" s="437">
        <f t="shared" si="22"/>
        <v>2.6698056927993137</v>
      </c>
      <c r="AA78" s="435">
        <f t="shared" si="23"/>
        <v>42765944</v>
      </c>
      <c r="AB78" s="434">
        <f t="shared" si="24"/>
        <v>9217453</v>
      </c>
      <c r="AC78" s="434">
        <f>ROUND(AB78*NPV!C16,0)</f>
        <v>3574687</v>
      </c>
    </row>
    <row r="79" spans="1:29" x14ac:dyDescent="0.2">
      <c r="A79" s="494"/>
      <c r="B79" s="12">
        <f t="shared" si="6"/>
        <v>7</v>
      </c>
      <c r="C79" s="24">
        <f t="shared" si="25"/>
        <v>2032</v>
      </c>
      <c r="D79" s="66">
        <f>'Segment AADTs'!D45</f>
        <v>16349.830117728845</v>
      </c>
      <c r="E79" s="53">
        <f t="shared" si="26"/>
        <v>177</v>
      </c>
      <c r="F79" s="53">
        <f t="shared" si="7"/>
        <v>331</v>
      </c>
      <c r="G79" s="54">
        <f t="shared" si="8"/>
        <v>556</v>
      </c>
      <c r="H79" s="436">
        <f t="shared" si="9"/>
        <v>234.5665010378718</v>
      </c>
      <c r="I79" s="58">
        <f t="shared" si="10"/>
        <v>394.07429420505201</v>
      </c>
      <c r="J79" s="436">
        <f t="shared" si="11"/>
        <v>95.833580980683507</v>
      </c>
      <c r="K79" s="436">
        <f t="shared" si="12"/>
        <v>47.916790490341754</v>
      </c>
      <c r="L79" s="437">
        <f t="shared" si="13"/>
        <v>14.870728083209508</v>
      </c>
      <c r="M79" s="437">
        <f t="shared" si="14"/>
        <v>3.3046062407132242</v>
      </c>
      <c r="N79" s="434">
        <f t="shared" si="15"/>
        <v>52934410</v>
      </c>
      <c r="O79" s="491">
        <f t="shared" si="16"/>
        <v>2032</v>
      </c>
      <c r="P79" s="499">
        <f>'Segment AADTs'!E45</f>
        <v>11625.252095086427</v>
      </c>
      <c r="Q79" s="499">
        <f>'EC - Travel Time - Roadway'!C152</f>
        <v>16123096.491157455</v>
      </c>
      <c r="R79" s="58">
        <f t="shared" si="17"/>
        <v>145</v>
      </c>
      <c r="S79" s="58">
        <f t="shared" si="18"/>
        <v>271.1174123083386</v>
      </c>
      <c r="T79" s="59">
        <f t="shared" si="27"/>
        <v>455.47725267800882</v>
      </c>
      <c r="U79" s="436">
        <f t="shared" si="28"/>
        <v>192.15899802537521</v>
      </c>
      <c r="V79" s="58">
        <f t="shared" si="29"/>
        <v>322.82711668263033</v>
      </c>
      <c r="W79" s="436">
        <f t="shared" si="19"/>
        <v>78.507223344203595</v>
      </c>
      <c r="X79" s="436">
        <f t="shared" si="20"/>
        <v>39.253611672101798</v>
      </c>
      <c r="Y79" s="437">
        <f t="shared" si="21"/>
        <v>12.182155346514351</v>
      </c>
      <c r="Z79" s="437">
        <f t="shared" si="22"/>
        <v>2.7071456325587446</v>
      </c>
      <c r="AA79" s="435">
        <f t="shared" si="23"/>
        <v>43364069</v>
      </c>
      <c r="AB79" s="434">
        <f t="shared" si="24"/>
        <v>9570341</v>
      </c>
      <c r="AC79" s="434">
        <f>ROUND(AB79*NPV!C17,0)</f>
        <v>3468732</v>
      </c>
    </row>
    <row r="80" spans="1:29" x14ac:dyDescent="0.2">
      <c r="A80" s="494"/>
      <c r="B80" s="12">
        <f t="shared" si="6"/>
        <v>8</v>
      </c>
      <c r="C80" s="24">
        <f t="shared" si="25"/>
        <v>2033</v>
      </c>
      <c r="D80" s="66">
        <f>'Segment AADTs'!D46</f>
        <v>16611.427399612508</v>
      </c>
      <c r="E80" s="53">
        <f t="shared" si="26"/>
        <v>180</v>
      </c>
      <c r="F80" s="53">
        <f t="shared" si="7"/>
        <v>337</v>
      </c>
      <c r="G80" s="54">
        <f t="shared" si="8"/>
        <v>566</v>
      </c>
      <c r="H80" s="436">
        <f t="shared" si="9"/>
        <v>238.54220444529335</v>
      </c>
      <c r="I80" s="58">
        <f t="shared" si="10"/>
        <v>401.16196136701342</v>
      </c>
      <c r="J80" s="436">
        <f t="shared" si="11"/>
        <v>97.557206537890039</v>
      </c>
      <c r="K80" s="436">
        <f t="shared" si="12"/>
        <v>48.77860326894502</v>
      </c>
      <c r="L80" s="437">
        <f t="shared" si="13"/>
        <v>15.138187221396731</v>
      </c>
      <c r="M80" s="437">
        <f t="shared" si="14"/>
        <v>3.3640416047548292</v>
      </c>
      <c r="N80" s="434">
        <f t="shared" si="15"/>
        <v>53885422</v>
      </c>
      <c r="O80" s="491">
        <f t="shared" si="16"/>
        <v>2033</v>
      </c>
      <c r="P80" s="499">
        <f>'Segment AADTs'!E46</f>
        <v>11811.256128607811</v>
      </c>
      <c r="Q80" s="499">
        <f>'EC - Travel Time - Roadway'!C153</f>
        <v>16381641.316294013</v>
      </c>
      <c r="R80" s="58">
        <f t="shared" si="17"/>
        <v>147</v>
      </c>
      <c r="S80" s="58">
        <f t="shared" si="18"/>
        <v>274.85696282293634</v>
      </c>
      <c r="T80" s="59">
        <f t="shared" si="27"/>
        <v>461.75969754253305</v>
      </c>
      <c r="U80" s="436">
        <f t="shared" si="28"/>
        <v>194.80946696365626</v>
      </c>
      <c r="V80" s="58">
        <f t="shared" si="29"/>
        <v>327.27990449894247</v>
      </c>
      <c r="W80" s="436">
        <f t="shared" si="19"/>
        <v>79.590081597227098</v>
      </c>
      <c r="X80" s="436">
        <f t="shared" si="20"/>
        <v>39.795040798613549</v>
      </c>
      <c r="Y80" s="437">
        <f t="shared" si="21"/>
        <v>12.35018507543179</v>
      </c>
      <c r="Z80" s="437">
        <f t="shared" si="22"/>
        <v>2.7444855723181756</v>
      </c>
      <c r="AA80" s="435">
        <f t="shared" si="23"/>
        <v>43962194</v>
      </c>
      <c r="AB80" s="434">
        <f t="shared" si="24"/>
        <v>9923228</v>
      </c>
      <c r="AC80" s="434">
        <f>ROUND(AB80*NPV!C18,0)</f>
        <v>3361341</v>
      </c>
    </row>
    <row r="81" spans="1:29" x14ac:dyDescent="0.2">
      <c r="A81" s="494"/>
      <c r="B81" s="12">
        <f t="shared" si="6"/>
        <v>9</v>
      </c>
      <c r="C81" s="24">
        <f t="shared" si="25"/>
        <v>2034</v>
      </c>
      <c r="D81" s="66">
        <f>'Segment AADTs'!D47</f>
        <v>16877.210238006308</v>
      </c>
      <c r="E81" s="53">
        <f t="shared" si="26"/>
        <v>182</v>
      </c>
      <c r="F81" s="53">
        <f t="shared" si="7"/>
        <v>340</v>
      </c>
      <c r="G81" s="54">
        <f t="shared" si="8"/>
        <v>571</v>
      </c>
      <c r="H81" s="436">
        <f t="shared" si="9"/>
        <v>241.19267338357443</v>
      </c>
      <c r="I81" s="58">
        <f t="shared" si="10"/>
        <v>404.70579494799409</v>
      </c>
      <c r="J81" s="436">
        <f t="shared" si="11"/>
        <v>98.419019316493319</v>
      </c>
      <c r="K81" s="436">
        <f t="shared" si="12"/>
        <v>49.20950965824666</v>
      </c>
      <c r="L81" s="437">
        <f t="shared" si="13"/>
        <v>15.271916790490341</v>
      </c>
      <c r="M81" s="437">
        <f t="shared" si="14"/>
        <v>3.3937592867756314</v>
      </c>
      <c r="N81" s="434">
        <f t="shared" si="15"/>
        <v>54363777</v>
      </c>
      <c r="O81" s="491">
        <f t="shared" si="16"/>
        <v>2034</v>
      </c>
      <c r="P81" s="499">
        <f>'Segment AADTs'!E47</f>
        <v>12000.236226665536</v>
      </c>
      <c r="Q81" s="499">
        <f>'EC - Travel Time - Roadway'!C154</f>
        <v>16644339.319613595</v>
      </c>
      <c r="R81" s="58">
        <f t="shared" si="17"/>
        <v>150</v>
      </c>
      <c r="S81" s="58">
        <f t="shared" si="18"/>
        <v>280.46628859483303</v>
      </c>
      <c r="T81" s="59">
        <f t="shared" si="27"/>
        <v>471.18336483931949</v>
      </c>
      <c r="U81" s="436">
        <f t="shared" si="28"/>
        <v>198.78517037107778</v>
      </c>
      <c r="V81" s="58">
        <f t="shared" si="29"/>
        <v>333.95908622341074</v>
      </c>
      <c r="W81" s="436">
        <f t="shared" si="19"/>
        <v>81.214368976762344</v>
      </c>
      <c r="X81" s="436">
        <f t="shared" si="20"/>
        <v>40.607184488381172</v>
      </c>
      <c r="Y81" s="437">
        <f t="shared" si="21"/>
        <v>12.602229668807951</v>
      </c>
      <c r="Z81" s="437">
        <f t="shared" si="22"/>
        <v>2.8004954819573222</v>
      </c>
      <c r="AA81" s="435">
        <f t="shared" si="23"/>
        <v>44859382</v>
      </c>
      <c r="AB81" s="434">
        <f t="shared" si="24"/>
        <v>9504395</v>
      </c>
      <c r="AC81" s="434">
        <f>ROUND(AB81*NPV!C19,0)</f>
        <v>3008848</v>
      </c>
    </row>
    <row r="82" spans="1:29" x14ac:dyDescent="0.2">
      <c r="A82" s="494"/>
      <c r="B82" s="12">
        <f t="shared" si="6"/>
        <v>10</v>
      </c>
      <c r="C82" s="24">
        <f t="shared" si="25"/>
        <v>2035</v>
      </c>
      <c r="D82" s="66">
        <f>'Segment AADTs'!D48</f>
        <v>17147.245601814408</v>
      </c>
      <c r="E82" s="53">
        <f t="shared" si="26"/>
        <v>185</v>
      </c>
      <c r="F82" s="53">
        <f t="shared" si="7"/>
        <v>346</v>
      </c>
      <c r="G82" s="54">
        <f t="shared" si="8"/>
        <v>581</v>
      </c>
      <c r="H82" s="436">
        <f t="shared" si="9"/>
        <v>245.16837679099595</v>
      </c>
      <c r="I82" s="58">
        <f t="shared" si="10"/>
        <v>411.79346210995544</v>
      </c>
      <c r="J82" s="436">
        <f t="shared" si="11"/>
        <v>100.14264487369985</v>
      </c>
      <c r="K82" s="436">
        <f t="shared" si="12"/>
        <v>50.071322436849925</v>
      </c>
      <c r="L82" s="437">
        <f t="shared" si="13"/>
        <v>15.539375928677563</v>
      </c>
      <c r="M82" s="437">
        <f t="shared" si="14"/>
        <v>3.453194650817236</v>
      </c>
      <c r="N82" s="434">
        <f t="shared" si="15"/>
        <v>55314790</v>
      </c>
      <c r="O82" s="491">
        <f t="shared" si="16"/>
        <v>2035</v>
      </c>
      <c r="P82" s="499">
        <f>'Segment AADTs'!E48</f>
        <v>12192.240006292184</v>
      </c>
      <c r="Q82" s="499">
        <f>'EC - Travel Time - Roadway'!C155</f>
        <v>16911257.321366239</v>
      </c>
      <c r="R82" s="58">
        <f t="shared" si="17"/>
        <v>152</v>
      </c>
      <c r="S82" s="58">
        <f t="shared" si="18"/>
        <v>284.20583910943083</v>
      </c>
      <c r="T82" s="59">
        <f t="shared" si="27"/>
        <v>477.46580970384377</v>
      </c>
      <c r="U82" s="436">
        <f t="shared" si="28"/>
        <v>201.43563930935883</v>
      </c>
      <c r="V82" s="58">
        <f t="shared" si="29"/>
        <v>338.41187403972287</v>
      </c>
      <c r="W82" s="436">
        <f t="shared" si="19"/>
        <v>82.297227229785847</v>
      </c>
      <c r="X82" s="436">
        <f t="shared" si="20"/>
        <v>41.148613614892923</v>
      </c>
      <c r="Y82" s="437">
        <f t="shared" si="21"/>
        <v>12.77025939772539</v>
      </c>
      <c r="Z82" s="437">
        <f t="shared" si="22"/>
        <v>2.8378354217167532</v>
      </c>
      <c r="AA82" s="435">
        <f t="shared" si="23"/>
        <v>45457507</v>
      </c>
      <c r="AB82" s="434">
        <f t="shared" si="24"/>
        <v>9857283</v>
      </c>
      <c r="AC82" s="434">
        <f>ROUND(AB82*NPV!C20,0)</f>
        <v>2916414</v>
      </c>
    </row>
    <row r="83" spans="1:29" x14ac:dyDescent="0.2">
      <c r="A83" s="494"/>
      <c r="B83" s="12">
        <f t="shared" si="6"/>
        <v>11</v>
      </c>
      <c r="C83" s="24">
        <f t="shared" si="25"/>
        <v>2036</v>
      </c>
      <c r="D83" s="66">
        <f>'Segment AADTs'!D49</f>
        <v>17421.601531443437</v>
      </c>
      <c r="E83" s="53">
        <f t="shared" si="26"/>
        <v>188</v>
      </c>
      <c r="F83" s="53">
        <f t="shared" si="7"/>
        <v>352</v>
      </c>
      <c r="G83" s="54">
        <f t="shared" si="8"/>
        <v>591</v>
      </c>
      <c r="H83" s="436">
        <f t="shared" si="9"/>
        <v>249.1440801984175</v>
      </c>
      <c r="I83" s="58">
        <f t="shared" si="10"/>
        <v>418.88112927191679</v>
      </c>
      <c r="J83" s="436">
        <f t="shared" si="11"/>
        <v>101.86627043090638</v>
      </c>
      <c r="K83" s="436">
        <f t="shared" si="12"/>
        <v>50.933135215453191</v>
      </c>
      <c r="L83" s="437">
        <f t="shared" si="13"/>
        <v>15.806835066864783</v>
      </c>
      <c r="M83" s="437">
        <f t="shared" si="14"/>
        <v>3.512630014858841</v>
      </c>
      <c r="N83" s="434">
        <f t="shared" si="15"/>
        <v>56265802</v>
      </c>
      <c r="O83" s="491">
        <f t="shared" si="16"/>
        <v>2036</v>
      </c>
      <c r="P83" s="499">
        <f>'Segment AADTs'!E49</f>
        <v>12387.315846392859</v>
      </c>
      <c r="Q83" s="499">
        <f>'EC - Travel Time - Roadway'!C156</f>
        <v>17182463.218430076</v>
      </c>
      <c r="R83" s="58">
        <f t="shared" si="17"/>
        <v>155</v>
      </c>
      <c r="S83" s="58">
        <f t="shared" si="18"/>
        <v>289.81516488132746</v>
      </c>
      <c r="T83" s="59">
        <f t="shared" si="27"/>
        <v>486.88947700063011</v>
      </c>
      <c r="U83" s="436">
        <f t="shared" si="28"/>
        <v>205.41134271678038</v>
      </c>
      <c r="V83" s="58">
        <f t="shared" si="29"/>
        <v>345.09105576419103</v>
      </c>
      <c r="W83" s="436">
        <f t="shared" si="19"/>
        <v>83.921514609321093</v>
      </c>
      <c r="X83" s="436">
        <f t="shared" si="20"/>
        <v>41.960757304660547</v>
      </c>
      <c r="Y83" s="437">
        <f t="shared" si="21"/>
        <v>13.022303991101548</v>
      </c>
      <c r="Z83" s="437">
        <f t="shared" si="22"/>
        <v>2.8938453313558994</v>
      </c>
      <c r="AA83" s="435">
        <f t="shared" si="23"/>
        <v>46354695</v>
      </c>
      <c r="AB83" s="434">
        <f t="shared" si="24"/>
        <v>9911107</v>
      </c>
      <c r="AC83" s="434">
        <f>ROUND(AB83*NPV!C21,0)</f>
        <v>2740504</v>
      </c>
    </row>
    <row r="84" spans="1:29" x14ac:dyDescent="0.2">
      <c r="A84" s="494"/>
      <c r="B84" s="12">
        <f t="shared" si="6"/>
        <v>12</v>
      </c>
      <c r="C84" s="24">
        <f t="shared" si="25"/>
        <v>2037</v>
      </c>
      <c r="D84" s="66">
        <f>'Segment AADTs'!D50</f>
        <v>17700.347155946532</v>
      </c>
      <c r="E84" s="53">
        <f t="shared" si="26"/>
        <v>191</v>
      </c>
      <c r="F84" s="53">
        <f t="shared" si="7"/>
        <v>357</v>
      </c>
      <c r="G84" s="54">
        <f t="shared" si="8"/>
        <v>600</v>
      </c>
      <c r="H84" s="436">
        <f t="shared" si="9"/>
        <v>253.11978360583907</v>
      </c>
      <c r="I84" s="58">
        <f t="shared" si="10"/>
        <v>425.26002971768202</v>
      </c>
      <c r="J84" s="436">
        <f t="shared" si="11"/>
        <v>103.41753343239228</v>
      </c>
      <c r="K84" s="436">
        <f t="shared" si="12"/>
        <v>51.708766716196138</v>
      </c>
      <c r="L84" s="437">
        <f t="shared" si="13"/>
        <v>16.047548291233284</v>
      </c>
      <c r="M84" s="437">
        <f t="shared" si="14"/>
        <v>3.5661218424962851</v>
      </c>
      <c r="N84" s="434">
        <f t="shared" si="15"/>
        <v>57123422</v>
      </c>
      <c r="O84" s="491">
        <f t="shared" si="16"/>
        <v>2037</v>
      </c>
      <c r="P84" s="499">
        <f>'Segment AADTs'!E50</f>
        <v>12585.512899935145</v>
      </c>
      <c r="Q84" s="499">
        <f>'EC - Travel Time - Roadway'!C157</f>
        <v>17458026.001682106</v>
      </c>
      <c r="R84" s="58">
        <f t="shared" si="17"/>
        <v>157</v>
      </c>
      <c r="S84" s="58">
        <f t="shared" si="18"/>
        <v>293.55471539592526</v>
      </c>
      <c r="T84" s="59">
        <f t="shared" si="27"/>
        <v>493.17192186515439</v>
      </c>
      <c r="U84" s="436">
        <f t="shared" si="28"/>
        <v>208.06181165506143</v>
      </c>
      <c r="V84" s="58">
        <f t="shared" si="29"/>
        <v>349.54384358050322</v>
      </c>
      <c r="W84" s="436">
        <f t="shared" si="19"/>
        <v>85.004372862344596</v>
      </c>
      <c r="X84" s="436">
        <f t="shared" si="20"/>
        <v>42.502186431172298</v>
      </c>
      <c r="Y84" s="437">
        <f t="shared" si="21"/>
        <v>13.190333720018987</v>
      </c>
      <c r="Z84" s="437">
        <f t="shared" si="22"/>
        <v>2.9311852711153303</v>
      </c>
      <c r="AA84" s="435">
        <f t="shared" si="23"/>
        <v>46952820</v>
      </c>
      <c r="AB84" s="434">
        <f t="shared" si="24"/>
        <v>10170602</v>
      </c>
      <c r="AC84" s="434">
        <f>ROUND(AB84*NPV!C22,0)</f>
        <v>2628277</v>
      </c>
    </row>
    <row r="85" spans="1:29" x14ac:dyDescent="0.2">
      <c r="A85" s="494"/>
      <c r="B85" s="12">
        <f t="shared" si="6"/>
        <v>13</v>
      </c>
      <c r="C85" s="24">
        <f t="shared" si="25"/>
        <v>2038</v>
      </c>
      <c r="D85" s="66">
        <f>'Segment AADTs'!D51</f>
        <v>17983.552710441676</v>
      </c>
      <c r="E85" s="53">
        <f t="shared" si="26"/>
        <v>194</v>
      </c>
      <c r="F85" s="53">
        <f t="shared" si="7"/>
        <v>363</v>
      </c>
      <c r="G85" s="54">
        <f t="shared" si="8"/>
        <v>610</v>
      </c>
      <c r="H85" s="436">
        <f t="shared" si="9"/>
        <v>257.09548701326059</v>
      </c>
      <c r="I85" s="58">
        <f t="shared" si="10"/>
        <v>432.34769687964342</v>
      </c>
      <c r="J85" s="436">
        <f t="shared" si="11"/>
        <v>105.14115898959881</v>
      </c>
      <c r="K85" s="436">
        <f t="shared" si="12"/>
        <v>52.570579494799404</v>
      </c>
      <c r="L85" s="437">
        <f t="shared" si="13"/>
        <v>16.315007429420504</v>
      </c>
      <c r="M85" s="437">
        <f t="shared" si="14"/>
        <v>3.62555720653789</v>
      </c>
      <c r="N85" s="434">
        <f t="shared" si="15"/>
        <v>58074435</v>
      </c>
      <c r="O85" s="491">
        <f t="shared" si="16"/>
        <v>2038</v>
      </c>
      <c r="P85" s="499">
        <f>'Segment AADTs'!E51</f>
        <v>12786.881106334107</v>
      </c>
      <c r="Q85" s="499">
        <f>'EC - Travel Time - Roadway'!C158</f>
        <v>17738015.773649562</v>
      </c>
      <c r="R85" s="58">
        <f t="shared" si="17"/>
        <v>160</v>
      </c>
      <c r="S85" s="58">
        <f t="shared" si="18"/>
        <v>299.16404116782189</v>
      </c>
      <c r="T85" s="59">
        <f t="shared" si="27"/>
        <v>502.59558916194078</v>
      </c>
      <c r="U85" s="436">
        <f t="shared" si="28"/>
        <v>212.03751506248298</v>
      </c>
      <c r="V85" s="58">
        <f t="shared" si="29"/>
        <v>356.22302530497143</v>
      </c>
      <c r="W85" s="436">
        <f t="shared" si="19"/>
        <v>86.628660241879842</v>
      </c>
      <c r="X85" s="436">
        <f t="shared" si="20"/>
        <v>43.314330120939921</v>
      </c>
      <c r="Y85" s="437">
        <f t="shared" si="21"/>
        <v>13.442378313395146</v>
      </c>
      <c r="Z85" s="437">
        <f t="shared" si="22"/>
        <v>2.987195180754477</v>
      </c>
      <c r="AA85" s="435">
        <f t="shared" si="23"/>
        <v>47850007</v>
      </c>
      <c r="AB85" s="434">
        <f t="shared" si="24"/>
        <v>10224428</v>
      </c>
      <c r="AC85" s="434">
        <f>ROUND(AB85*NPV!C23,0)</f>
        <v>2469333</v>
      </c>
    </row>
    <row r="86" spans="1:29" x14ac:dyDescent="0.2">
      <c r="A86" s="494"/>
      <c r="B86" s="12">
        <f t="shared" si="6"/>
        <v>14</v>
      </c>
      <c r="C86" s="24">
        <f t="shared" si="25"/>
        <v>2039</v>
      </c>
      <c r="D86" s="66">
        <f>'Segment AADTs'!D52</f>
        <v>18271.289553808743</v>
      </c>
      <c r="E86" s="53">
        <f t="shared" si="26"/>
        <v>197</v>
      </c>
      <c r="F86" s="53">
        <f t="shared" si="7"/>
        <v>368</v>
      </c>
      <c r="G86" s="54">
        <f t="shared" si="8"/>
        <v>618</v>
      </c>
      <c r="H86" s="436">
        <f t="shared" si="9"/>
        <v>261.07119042068217</v>
      </c>
      <c r="I86" s="58">
        <f t="shared" si="10"/>
        <v>438.01783060921252</v>
      </c>
      <c r="J86" s="436">
        <f t="shared" si="11"/>
        <v>106.52005943536405</v>
      </c>
      <c r="K86" s="436">
        <f t="shared" si="12"/>
        <v>53.260029717682023</v>
      </c>
      <c r="L86" s="437">
        <f t="shared" si="13"/>
        <v>16.52897473997028</v>
      </c>
      <c r="M86" s="437">
        <f t="shared" si="14"/>
        <v>3.6731054977711737</v>
      </c>
      <c r="N86" s="434">
        <f t="shared" si="15"/>
        <v>58838664</v>
      </c>
      <c r="O86" s="491">
        <f t="shared" si="16"/>
        <v>2039</v>
      </c>
      <c r="P86" s="499">
        <f>'Segment AADTs'!E52</f>
        <v>12991.471204035453</v>
      </c>
      <c r="Q86" s="499">
        <f>'EC - Travel Time - Roadway'!C159</f>
        <v>18022503.766446471</v>
      </c>
      <c r="R86" s="58">
        <f t="shared" si="17"/>
        <v>162</v>
      </c>
      <c r="S86" s="58">
        <f t="shared" si="18"/>
        <v>302.90359168241969</v>
      </c>
      <c r="T86" s="59">
        <f t="shared" si="27"/>
        <v>508.87803402646506</v>
      </c>
      <c r="U86" s="436">
        <f t="shared" si="28"/>
        <v>214.68798400076403</v>
      </c>
      <c r="V86" s="58">
        <f t="shared" si="29"/>
        <v>360.67581312128357</v>
      </c>
      <c r="W86" s="436">
        <f t="shared" si="19"/>
        <v>87.711518494903331</v>
      </c>
      <c r="X86" s="436">
        <f t="shared" si="20"/>
        <v>43.855759247451665</v>
      </c>
      <c r="Y86" s="437">
        <f t="shared" si="21"/>
        <v>13.610408042312587</v>
      </c>
      <c r="Z86" s="437">
        <f t="shared" si="22"/>
        <v>3.0245351205139079</v>
      </c>
      <c r="AA86" s="435">
        <f t="shared" si="23"/>
        <v>48448132</v>
      </c>
      <c r="AB86" s="434">
        <f t="shared" si="24"/>
        <v>10390532</v>
      </c>
      <c r="AC86" s="434">
        <f>ROUND(AB86*NPV!C24,0)</f>
        <v>2345280</v>
      </c>
    </row>
    <row r="87" spans="1:29" x14ac:dyDescent="0.2">
      <c r="A87" s="494"/>
      <c r="B87" s="12">
        <f t="shared" si="6"/>
        <v>15</v>
      </c>
      <c r="C87" s="24">
        <f t="shared" si="25"/>
        <v>2040</v>
      </c>
      <c r="D87" s="66">
        <f>'Segment AADTs'!D53</f>
        <v>18563.630186669685</v>
      </c>
      <c r="E87" s="53">
        <f t="shared" si="26"/>
        <v>201</v>
      </c>
      <c r="F87" s="53">
        <f t="shared" si="7"/>
        <v>376</v>
      </c>
      <c r="G87" s="54">
        <f t="shared" si="8"/>
        <v>632</v>
      </c>
      <c r="H87" s="436">
        <f t="shared" si="9"/>
        <v>266.37212829724422</v>
      </c>
      <c r="I87" s="58">
        <f t="shared" si="10"/>
        <v>447.94056463595842</v>
      </c>
      <c r="J87" s="436">
        <f t="shared" si="11"/>
        <v>108.93313521545319</v>
      </c>
      <c r="K87" s="436">
        <f t="shared" si="12"/>
        <v>54.466567607726596</v>
      </c>
      <c r="L87" s="437">
        <f t="shared" si="13"/>
        <v>16.903417533432393</v>
      </c>
      <c r="M87" s="437">
        <f t="shared" si="14"/>
        <v>3.7563150074294205</v>
      </c>
      <c r="N87" s="434">
        <f t="shared" si="15"/>
        <v>60168941</v>
      </c>
      <c r="O87" s="491">
        <f t="shared" si="16"/>
        <v>2040</v>
      </c>
      <c r="P87" s="499">
        <f>'Segment AADTs'!E53</f>
        <v>13199.334743300022</v>
      </c>
      <c r="Q87" s="499">
        <f>'EC - Travel Time - Roadway'!C160</f>
        <v>18311562.360000003</v>
      </c>
      <c r="R87" s="58">
        <f t="shared" si="17"/>
        <v>165</v>
      </c>
      <c r="S87" s="58">
        <f t="shared" si="18"/>
        <v>308.51291745431632</v>
      </c>
      <c r="T87" s="59">
        <f t="shared" si="27"/>
        <v>518.30170132325145</v>
      </c>
      <c r="U87" s="436">
        <f t="shared" si="28"/>
        <v>218.66368740818558</v>
      </c>
      <c r="V87" s="58">
        <f t="shared" si="29"/>
        <v>367.35499484575178</v>
      </c>
      <c r="W87" s="436">
        <f t="shared" si="19"/>
        <v>89.335805874438591</v>
      </c>
      <c r="X87" s="436">
        <f t="shared" si="20"/>
        <v>44.667902937219296</v>
      </c>
      <c r="Y87" s="437">
        <f t="shared" si="21"/>
        <v>13.862452635688745</v>
      </c>
      <c r="Z87" s="437">
        <f t="shared" si="22"/>
        <v>3.0805450301530546</v>
      </c>
      <c r="AA87" s="435">
        <f t="shared" si="23"/>
        <v>49345320</v>
      </c>
      <c r="AB87" s="434">
        <f t="shared" si="24"/>
        <v>10823621</v>
      </c>
      <c r="AC87" s="434">
        <f>ROUND(AB87*NPV!C25,0)</f>
        <v>2283209</v>
      </c>
    </row>
    <row r="88" spans="1:29" x14ac:dyDescent="0.2">
      <c r="A88" s="494"/>
      <c r="B88" s="12">
        <f t="shared" si="6"/>
        <v>16</v>
      </c>
      <c r="C88" s="24">
        <f t="shared" si="25"/>
        <v>2041</v>
      </c>
      <c r="D88" s="66">
        <f>'Segment AADTs'!D54</f>
        <v>18730.702858349709</v>
      </c>
      <c r="E88" s="53">
        <f t="shared" si="26"/>
        <v>202</v>
      </c>
      <c r="F88" s="53">
        <f t="shared" si="7"/>
        <v>378</v>
      </c>
      <c r="G88" s="54">
        <f t="shared" si="8"/>
        <v>635</v>
      </c>
      <c r="H88" s="436">
        <f t="shared" si="9"/>
        <v>267.6973627663848</v>
      </c>
      <c r="I88" s="58">
        <f t="shared" si="10"/>
        <v>450.06686478454685</v>
      </c>
      <c r="J88" s="436">
        <f t="shared" si="11"/>
        <v>109.45022288261515</v>
      </c>
      <c r="K88" s="436">
        <f t="shared" si="12"/>
        <v>54.725111441307575</v>
      </c>
      <c r="L88" s="437">
        <f t="shared" si="13"/>
        <v>16.983655274888559</v>
      </c>
      <c r="M88" s="437">
        <f t="shared" si="14"/>
        <v>3.7741456166419018</v>
      </c>
      <c r="N88" s="434">
        <f t="shared" si="15"/>
        <v>60454815</v>
      </c>
      <c r="O88" s="491">
        <f t="shared" si="16"/>
        <v>2041</v>
      </c>
      <c r="P88" s="499">
        <f>'Segment AADTs'!E54</f>
        <v>13318.128755989721</v>
      </c>
      <c r="Q88" s="499">
        <f>'EC - Travel Time - Roadway'!C161</f>
        <v>18477268.192407779</v>
      </c>
      <c r="R88" s="58">
        <f t="shared" si="17"/>
        <v>166</v>
      </c>
      <c r="S88" s="58">
        <f t="shared" si="18"/>
        <v>310.38269271161522</v>
      </c>
      <c r="T88" s="59">
        <f t="shared" si="27"/>
        <v>521.44292375551356</v>
      </c>
      <c r="U88" s="436">
        <f t="shared" si="28"/>
        <v>219.98892187732608</v>
      </c>
      <c r="V88" s="58">
        <f t="shared" si="29"/>
        <v>369.58138875390785</v>
      </c>
      <c r="W88" s="436">
        <f t="shared" si="19"/>
        <v>89.877235000950336</v>
      </c>
      <c r="X88" s="436">
        <f t="shared" si="20"/>
        <v>44.938617500475168</v>
      </c>
      <c r="Y88" s="437">
        <f t="shared" si="21"/>
        <v>13.946467500147465</v>
      </c>
      <c r="Z88" s="437">
        <f t="shared" si="22"/>
        <v>3.0992150000327698</v>
      </c>
      <c r="AA88" s="435">
        <f t="shared" si="23"/>
        <v>49644383</v>
      </c>
      <c r="AB88" s="434">
        <f t="shared" si="24"/>
        <v>10810432</v>
      </c>
      <c r="AC88" s="434">
        <f>ROUND(AB88*NPV!C26,0)</f>
        <v>2131240</v>
      </c>
    </row>
    <row r="89" spans="1:29" x14ac:dyDescent="0.2">
      <c r="A89" s="494"/>
      <c r="B89" s="12">
        <f t="shared" si="6"/>
        <v>17</v>
      </c>
      <c r="C89" s="24">
        <f t="shared" si="25"/>
        <v>2042</v>
      </c>
      <c r="D89" s="66">
        <f>'Segment AADTs'!D55</f>
        <v>18899.279184074854</v>
      </c>
      <c r="E89" s="53">
        <f t="shared" si="26"/>
        <v>204</v>
      </c>
      <c r="F89" s="53">
        <f t="shared" si="7"/>
        <v>381</v>
      </c>
      <c r="G89" s="54">
        <f t="shared" si="8"/>
        <v>640</v>
      </c>
      <c r="H89" s="436">
        <f t="shared" si="9"/>
        <v>270.34783170466579</v>
      </c>
      <c r="I89" s="58">
        <f t="shared" si="10"/>
        <v>453.61069836552753</v>
      </c>
      <c r="J89" s="436">
        <f t="shared" si="11"/>
        <v>110.31203566121843</v>
      </c>
      <c r="K89" s="436">
        <f t="shared" si="12"/>
        <v>55.156017830609215</v>
      </c>
      <c r="L89" s="437">
        <f t="shared" si="13"/>
        <v>17.117384843982169</v>
      </c>
      <c r="M89" s="437">
        <f t="shared" si="14"/>
        <v>3.8038632986627041</v>
      </c>
      <c r="N89" s="434">
        <f t="shared" si="15"/>
        <v>60933170</v>
      </c>
      <c r="O89" s="491">
        <f t="shared" si="16"/>
        <v>2042</v>
      </c>
      <c r="P89" s="499">
        <f>'Segment AADTs'!E55</f>
        <v>13437.991914793627</v>
      </c>
      <c r="Q89" s="499">
        <f>'EC - Travel Time - Roadway'!C162</f>
        <v>18644479.313508876</v>
      </c>
      <c r="R89" s="58">
        <f>ROUND((P89*$B$45)+((Q89/100000000)*$B$49),0)</f>
        <v>168</v>
      </c>
      <c r="S89" s="58">
        <f t="shared" si="18"/>
        <v>314.12224322621296</v>
      </c>
      <c r="T89" s="59">
        <f t="shared" si="27"/>
        <v>527.72536862003778</v>
      </c>
      <c r="U89" s="436">
        <f t="shared" si="28"/>
        <v>222.63939081560713</v>
      </c>
      <c r="V89" s="58">
        <f t="shared" si="29"/>
        <v>374.03417657021998</v>
      </c>
      <c r="W89" s="436">
        <f t="shared" si="19"/>
        <v>90.960093253973824</v>
      </c>
      <c r="X89" s="436">
        <f t="shared" si="20"/>
        <v>45.480046626986912</v>
      </c>
      <c r="Y89" s="437">
        <f t="shared" si="21"/>
        <v>14.114497229064902</v>
      </c>
      <c r="Z89" s="437">
        <f t="shared" si="22"/>
        <v>3.1365549397922008</v>
      </c>
      <c r="AA89" s="435">
        <f t="shared" si="23"/>
        <v>50242508</v>
      </c>
      <c r="AB89" s="434">
        <f t="shared" si="24"/>
        <v>10690662</v>
      </c>
      <c r="AC89" s="434">
        <f>ROUND(AB89*NPV!C27,0)</f>
        <v>1969746</v>
      </c>
    </row>
    <row r="90" spans="1:29" x14ac:dyDescent="0.2">
      <c r="A90" s="494"/>
      <c r="B90" s="12">
        <f t="shared" si="6"/>
        <v>18</v>
      </c>
      <c r="C90" s="24">
        <f t="shared" si="25"/>
        <v>2043</v>
      </c>
      <c r="D90" s="66">
        <f>'Segment AADTs'!D56</f>
        <v>19069.372696731527</v>
      </c>
      <c r="E90" s="53">
        <f t="shared" si="26"/>
        <v>206</v>
      </c>
      <c r="F90" s="53">
        <f t="shared" si="7"/>
        <v>385</v>
      </c>
      <c r="G90" s="54">
        <f t="shared" si="8"/>
        <v>647</v>
      </c>
      <c r="H90" s="436">
        <f t="shared" si="9"/>
        <v>272.99830064294684</v>
      </c>
      <c r="I90" s="58">
        <f t="shared" si="10"/>
        <v>458.57206537890045</v>
      </c>
      <c r="J90" s="436">
        <f t="shared" si="11"/>
        <v>111.518573551263</v>
      </c>
      <c r="K90" s="436">
        <f t="shared" si="12"/>
        <v>55.759286775631502</v>
      </c>
      <c r="L90" s="437">
        <f t="shared" si="13"/>
        <v>17.304606240713223</v>
      </c>
      <c r="M90" s="437">
        <f t="shared" si="14"/>
        <v>3.8454680534918273</v>
      </c>
      <c r="N90" s="434">
        <f t="shared" si="15"/>
        <v>61598309</v>
      </c>
      <c r="O90" s="491">
        <f t="shared" si="16"/>
        <v>2043</v>
      </c>
      <c r="P90" s="499">
        <f>'Segment AADTs'!E56</f>
        <v>13558.933842026769</v>
      </c>
      <c r="Q90" s="499">
        <f>'EC - Travel Time - Roadway'!C163</f>
        <v>18813209.442741025</v>
      </c>
      <c r="R90" s="58">
        <f t="shared" si="17"/>
        <v>169</v>
      </c>
      <c r="S90" s="58">
        <f t="shared" si="18"/>
        <v>315.99201848351186</v>
      </c>
      <c r="T90" s="59">
        <f t="shared" si="27"/>
        <v>530.8665910522999</v>
      </c>
      <c r="U90" s="436">
        <f t="shared" si="28"/>
        <v>223.96462528474765</v>
      </c>
      <c r="V90" s="58">
        <f t="shared" si="29"/>
        <v>376.260570478376</v>
      </c>
      <c r="W90" s="436">
        <f t="shared" si="19"/>
        <v>91.501522380485568</v>
      </c>
      <c r="X90" s="436">
        <f t="shared" si="20"/>
        <v>45.750761190242784</v>
      </c>
      <c r="Y90" s="437">
        <f t="shared" si="21"/>
        <v>14.198512093523622</v>
      </c>
      <c r="Z90" s="437">
        <f t="shared" si="22"/>
        <v>3.155224909671916</v>
      </c>
      <c r="AA90" s="435">
        <f t="shared" si="23"/>
        <v>50541570</v>
      </c>
      <c r="AB90" s="434">
        <f t="shared" si="24"/>
        <v>11056739</v>
      </c>
      <c r="AC90" s="434">
        <f>ROUND(AB90*NPV!C28,0)</f>
        <v>1903921</v>
      </c>
    </row>
    <row r="91" spans="1:29" x14ac:dyDescent="0.2">
      <c r="A91" s="494"/>
      <c r="B91" s="12">
        <f t="shared" si="6"/>
        <v>19</v>
      </c>
      <c r="C91" s="24">
        <f t="shared" si="25"/>
        <v>2044</v>
      </c>
      <c r="D91" s="66">
        <f>'Segment AADTs'!D57</f>
        <v>19240.997051002108</v>
      </c>
      <c r="E91" s="53">
        <f t="shared" si="26"/>
        <v>208</v>
      </c>
      <c r="F91" s="53">
        <f t="shared" si="7"/>
        <v>389</v>
      </c>
      <c r="G91" s="54">
        <f t="shared" si="8"/>
        <v>654</v>
      </c>
      <c r="H91" s="436">
        <f t="shared" si="9"/>
        <v>275.6487695812279</v>
      </c>
      <c r="I91" s="58">
        <f t="shared" si="10"/>
        <v>463.53343239227343</v>
      </c>
      <c r="J91" s="436">
        <f t="shared" si="11"/>
        <v>112.72511144130758</v>
      </c>
      <c r="K91" s="436">
        <f t="shared" si="12"/>
        <v>56.362555720653788</v>
      </c>
      <c r="L91" s="437">
        <f t="shared" si="13"/>
        <v>17.491827637444278</v>
      </c>
      <c r="M91" s="437">
        <f t="shared" si="14"/>
        <v>3.8870728083209509</v>
      </c>
      <c r="N91" s="434">
        <f t="shared" si="15"/>
        <v>62263448</v>
      </c>
      <c r="O91" s="491">
        <f t="shared" si="16"/>
        <v>2044</v>
      </c>
      <c r="P91" s="499">
        <f>'Segment AADTs'!E57</f>
        <v>13680.964246605008</v>
      </c>
      <c r="Q91" s="499">
        <f>'EC - Travel Time - Roadway'!C164</f>
        <v>18983472.424952921</v>
      </c>
      <c r="R91" s="58">
        <f t="shared" si="17"/>
        <v>171</v>
      </c>
      <c r="S91" s="58">
        <f t="shared" si="18"/>
        <v>319.73156899810965</v>
      </c>
      <c r="T91" s="59">
        <f t="shared" si="27"/>
        <v>537.14903591682423</v>
      </c>
      <c r="U91" s="436">
        <f t="shared" si="28"/>
        <v>226.61509422302871</v>
      </c>
      <c r="V91" s="58">
        <f t="shared" si="29"/>
        <v>380.71335829468819</v>
      </c>
      <c r="W91" s="436">
        <f t="shared" si="19"/>
        <v>92.584380633509085</v>
      </c>
      <c r="X91" s="436">
        <f t="shared" si="20"/>
        <v>46.292190316754542</v>
      </c>
      <c r="Y91" s="437">
        <f t="shared" si="21"/>
        <v>14.366541822441063</v>
      </c>
      <c r="Z91" s="437">
        <f t="shared" si="22"/>
        <v>3.1925648494313474</v>
      </c>
      <c r="AA91" s="435">
        <f t="shared" si="23"/>
        <v>51139695</v>
      </c>
      <c r="AB91" s="434">
        <f t="shared" si="24"/>
        <v>11123753</v>
      </c>
      <c r="AC91" s="434">
        <f>ROUND(AB91*NPV!C29,0)</f>
        <v>1790150</v>
      </c>
    </row>
    <row r="92" spans="1:29" x14ac:dyDescent="0.2">
      <c r="A92" s="494"/>
      <c r="B92" s="100">
        <f t="shared" si="6"/>
        <v>20</v>
      </c>
      <c r="C92" s="24">
        <f t="shared" si="25"/>
        <v>2045</v>
      </c>
      <c r="D92" s="66">
        <f>'Segment AADTs'!D58</f>
        <v>19414.166024461127</v>
      </c>
      <c r="E92" s="53">
        <f t="shared" si="26"/>
        <v>210</v>
      </c>
      <c r="F92" s="53">
        <f t="shared" si="7"/>
        <v>393</v>
      </c>
      <c r="G92" s="54">
        <f t="shared" si="8"/>
        <v>660</v>
      </c>
      <c r="H92" s="436">
        <f t="shared" si="9"/>
        <v>278.29923851950895</v>
      </c>
      <c r="I92" s="58">
        <f t="shared" si="10"/>
        <v>467.78603268945022</v>
      </c>
      <c r="J92" s="436">
        <f t="shared" si="11"/>
        <v>113.75928677563149</v>
      </c>
      <c r="K92" s="436">
        <f t="shared" si="12"/>
        <v>56.879643387815747</v>
      </c>
      <c r="L92" s="437">
        <f t="shared" si="13"/>
        <v>17.65230312035661</v>
      </c>
      <c r="M92" s="437">
        <f t="shared" si="14"/>
        <v>3.9227340267459136</v>
      </c>
      <c r="N92" s="434">
        <f t="shared" si="15"/>
        <v>62835195</v>
      </c>
      <c r="O92" s="491">
        <f t="shared" si="16"/>
        <v>2045</v>
      </c>
      <c r="P92" s="499">
        <f>'Segment AADTs'!E58</f>
        <v>13804.092924824452</v>
      </c>
      <c r="Q92" s="499">
        <f>'EC - Travel Time - Roadway'!C165</f>
        <v>19155282.231553793</v>
      </c>
      <c r="R92" s="58">
        <f t="shared" si="17"/>
        <v>172</v>
      </c>
      <c r="S92" s="58">
        <f t="shared" si="18"/>
        <v>321.60134425540855</v>
      </c>
      <c r="T92" s="59">
        <f t="shared" si="27"/>
        <v>540.29025834908634</v>
      </c>
      <c r="U92" s="436">
        <f t="shared" si="28"/>
        <v>227.9403286921692</v>
      </c>
      <c r="V92" s="58">
        <f t="shared" si="29"/>
        <v>382.93975220284426</v>
      </c>
      <c r="W92" s="436">
        <f t="shared" si="19"/>
        <v>93.125809760020829</v>
      </c>
      <c r="X92" s="436">
        <f t="shared" si="20"/>
        <v>46.562904880010414</v>
      </c>
      <c r="Y92" s="437">
        <f t="shared" si="21"/>
        <v>14.450556686899782</v>
      </c>
      <c r="Z92" s="437">
        <f t="shared" si="22"/>
        <v>3.2112348193110627</v>
      </c>
      <c r="AA92" s="435">
        <f t="shared" si="23"/>
        <v>51438758</v>
      </c>
      <c r="AB92" s="434">
        <f t="shared" si="24"/>
        <v>11396437</v>
      </c>
      <c r="AC92" s="434">
        <f>ROUND(AB92*NPV!C30,0)</f>
        <v>1714049</v>
      </c>
    </row>
    <row r="93" spans="1:29" x14ac:dyDescent="0.2">
      <c r="A93" s="494"/>
      <c r="B93" s="100">
        <f t="shared" si="6"/>
        <v>21</v>
      </c>
      <c r="C93" s="24">
        <f t="shared" si="25"/>
        <v>2046</v>
      </c>
      <c r="D93" s="66">
        <f>'Segment AADTs'!D59</f>
        <v>19588.893518681274</v>
      </c>
      <c r="E93" s="53">
        <f t="shared" si="26"/>
        <v>212</v>
      </c>
      <c r="F93" s="53">
        <f t="shared" si="7"/>
        <v>396</v>
      </c>
      <c r="G93" s="54">
        <f t="shared" si="8"/>
        <v>665</v>
      </c>
      <c r="H93" s="436">
        <f t="shared" si="9"/>
        <v>280.94970745779</v>
      </c>
      <c r="I93" s="58">
        <f t="shared" si="10"/>
        <v>471.32986627043095</v>
      </c>
      <c r="J93" s="436">
        <f t="shared" si="11"/>
        <v>114.62109955423477</v>
      </c>
      <c r="K93" s="436">
        <f t="shared" si="12"/>
        <v>57.310549777117387</v>
      </c>
      <c r="L93" s="437">
        <f t="shared" si="13"/>
        <v>17.786032689450224</v>
      </c>
      <c r="M93" s="437">
        <f t="shared" si="14"/>
        <v>3.9524517087667159</v>
      </c>
      <c r="N93" s="434">
        <f t="shared" si="15"/>
        <v>63313550</v>
      </c>
      <c r="O93" s="491">
        <f t="shared" si="16"/>
        <v>2046</v>
      </c>
      <c r="P93" s="499">
        <f>'Segment AADTs'!E59</f>
        <v>13928.32976114787</v>
      </c>
      <c r="Q93" s="499">
        <f>'EC - Travel Time - Roadway'!C166</f>
        <v>19328652.961673513</v>
      </c>
      <c r="R93" s="58">
        <f t="shared" si="17"/>
        <v>174</v>
      </c>
      <c r="S93" s="58">
        <f t="shared" si="18"/>
        <v>325.34089477000629</v>
      </c>
      <c r="T93" s="59">
        <f t="shared" si="27"/>
        <v>546.57270321361057</v>
      </c>
      <c r="U93" s="436">
        <f t="shared" si="28"/>
        <v>230.59079763045025</v>
      </c>
      <c r="V93" s="58">
        <f t="shared" si="29"/>
        <v>387.3925400191564</v>
      </c>
      <c r="W93" s="436">
        <f t="shared" si="19"/>
        <v>94.208668013044317</v>
      </c>
      <c r="X93" s="436">
        <f t="shared" si="20"/>
        <v>47.104334006522159</v>
      </c>
      <c r="Y93" s="437">
        <f t="shared" si="21"/>
        <v>14.618586415817221</v>
      </c>
      <c r="Z93" s="437">
        <f t="shared" si="22"/>
        <v>3.2485747590704936</v>
      </c>
      <c r="AA93" s="435">
        <f t="shared" si="23"/>
        <v>52036883</v>
      </c>
      <c r="AB93" s="434">
        <f t="shared" si="24"/>
        <v>11276667</v>
      </c>
      <c r="AC93" s="434">
        <f>ROUND(AB93*NPV!C31,0)</f>
        <v>1585080</v>
      </c>
    </row>
    <row r="94" spans="1:29" x14ac:dyDescent="0.2">
      <c r="A94" s="494"/>
      <c r="B94" s="100">
        <f t="shared" si="6"/>
        <v>22</v>
      </c>
      <c r="C94" s="24">
        <f t="shared" si="25"/>
        <v>2047</v>
      </c>
      <c r="D94" s="66">
        <f>'Segment AADTs'!D60</f>
        <v>19765.193560349402</v>
      </c>
      <c r="E94" s="53">
        <f t="shared" si="26"/>
        <v>214</v>
      </c>
      <c r="F94" s="53">
        <f t="shared" si="7"/>
        <v>400</v>
      </c>
      <c r="G94" s="54">
        <f t="shared" si="8"/>
        <v>672</v>
      </c>
      <c r="H94" s="436">
        <f t="shared" si="9"/>
        <v>283.60017639607099</v>
      </c>
      <c r="I94" s="58">
        <f t="shared" si="10"/>
        <v>476.29123328380388</v>
      </c>
      <c r="J94" s="436">
        <f t="shared" si="11"/>
        <v>115.82763744427935</v>
      </c>
      <c r="K94" s="436">
        <f t="shared" si="12"/>
        <v>57.913818722139673</v>
      </c>
      <c r="L94" s="437">
        <f t="shared" si="13"/>
        <v>17.973254086181278</v>
      </c>
      <c r="M94" s="437">
        <f t="shared" si="14"/>
        <v>3.9940564635958395</v>
      </c>
      <c r="N94" s="434">
        <f t="shared" si="15"/>
        <v>63978689</v>
      </c>
      <c r="O94" s="491">
        <f t="shared" si="16"/>
        <v>2047</v>
      </c>
      <c r="P94" s="499">
        <f>'Segment AADTs'!E60</f>
        <v>14053.6847289982</v>
      </c>
      <c r="Q94" s="499">
        <f>'EC - Travel Time - Roadway'!C167</f>
        <v>19503598.843333401</v>
      </c>
      <c r="R94" s="58">
        <f t="shared" si="17"/>
        <v>175</v>
      </c>
      <c r="S94" s="58">
        <f t="shared" si="18"/>
        <v>327.21067002730518</v>
      </c>
      <c r="T94" s="59">
        <f t="shared" si="27"/>
        <v>549.71392564587268</v>
      </c>
      <c r="U94" s="436">
        <f t="shared" si="28"/>
        <v>231.91603209959078</v>
      </c>
      <c r="V94" s="58">
        <f t="shared" si="29"/>
        <v>389.61893392731247</v>
      </c>
      <c r="W94" s="436">
        <f t="shared" si="19"/>
        <v>94.750097139556061</v>
      </c>
      <c r="X94" s="436">
        <f t="shared" si="20"/>
        <v>47.375048569778031</v>
      </c>
      <c r="Y94" s="437">
        <f t="shared" si="21"/>
        <v>14.702601280275941</v>
      </c>
      <c r="Z94" s="437">
        <f t="shared" si="22"/>
        <v>3.2672447289502089</v>
      </c>
      <c r="AA94" s="435">
        <f t="shared" si="23"/>
        <v>52335945</v>
      </c>
      <c r="AB94" s="434">
        <f t="shared" si="24"/>
        <v>11642744</v>
      </c>
      <c r="AC94" s="434">
        <f>ROUND(AB94*NPV!C32,0)</f>
        <v>1529474</v>
      </c>
    </row>
    <row r="95" spans="1:29" x14ac:dyDescent="0.2">
      <c r="A95" s="494"/>
      <c r="B95" s="100">
        <f t="shared" si="6"/>
        <v>23</v>
      </c>
      <c r="C95" s="24">
        <f t="shared" si="25"/>
        <v>2048</v>
      </c>
      <c r="D95" s="66">
        <f>'Segment AADTs'!D61</f>
        <v>19943.080302392544</v>
      </c>
      <c r="E95" s="53">
        <f t="shared" si="26"/>
        <v>216</v>
      </c>
      <c r="F95" s="53">
        <f t="shared" si="7"/>
        <v>404</v>
      </c>
      <c r="G95" s="54">
        <f t="shared" si="8"/>
        <v>679</v>
      </c>
      <c r="H95" s="436">
        <f t="shared" si="9"/>
        <v>286.25064533435199</v>
      </c>
      <c r="I95" s="58">
        <f t="shared" si="10"/>
        <v>481.25260029717685</v>
      </c>
      <c r="J95" s="436">
        <f t="shared" si="11"/>
        <v>117.03417533432392</v>
      </c>
      <c r="K95" s="436">
        <f t="shared" si="12"/>
        <v>58.51708766716196</v>
      </c>
      <c r="L95" s="437">
        <f t="shared" si="13"/>
        <v>18.160475482912332</v>
      </c>
      <c r="M95" s="437">
        <f t="shared" si="14"/>
        <v>4.0356612184249627</v>
      </c>
      <c r="N95" s="434">
        <f t="shared" si="15"/>
        <v>64643828</v>
      </c>
      <c r="O95" s="491">
        <f t="shared" si="16"/>
        <v>2048</v>
      </c>
      <c r="P95" s="499">
        <f>'Segment AADTs'!E61</f>
        <v>14180.167891559182</v>
      </c>
      <c r="Q95" s="499">
        <f>'EC - Travel Time - Roadway'!C168</f>
        <v>19680134.234627742</v>
      </c>
      <c r="R95" s="58">
        <f t="shared" si="17"/>
        <v>177</v>
      </c>
      <c r="S95" s="58">
        <f t="shared" si="18"/>
        <v>330.95022054190298</v>
      </c>
      <c r="T95" s="59">
        <f t="shared" si="27"/>
        <v>555.99637051039701</v>
      </c>
      <c r="U95" s="436">
        <f t="shared" si="28"/>
        <v>234.5665010378718</v>
      </c>
      <c r="V95" s="58">
        <f t="shared" si="29"/>
        <v>394.07172174362466</v>
      </c>
      <c r="W95" s="436">
        <f t="shared" si="19"/>
        <v>95.832955392579578</v>
      </c>
      <c r="X95" s="436">
        <f t="shared" si="20"/>
        <v>47.916477696289789</v>
      </c>
      <c r="Y95" s="437">
        <f t="shared" si="21"/>
        <v>14.870631009193382</v>
      </c>
      <c r="Z95" s="437">
        <f t="shared" si="22"/>
        <v>3.3045846687096403</v>
      </c>
      <c r="AA95" s="435">
        <f t="shared" si="23"/>
        <v>52934071</v>
      </c>
      <c r="AB95" s="434">
        <f t="shared" si="24"/>
        <v>11709757</v>
      </c>
      <c r="AC95" s="434">
        <f>ROUND(AB95*NPV!C33,0)</f>
        <v>1437642</v>
      </c>
    </row>
    <row r="96" spans="1:29" x14ac:dyDescent="0.2">
      <c r="A96" s="494"/>
      <c r="B96" s="100">
        <f t="shared" si="6"/>
        <v>24</v>
      </c>
      <c r="C96" s="24">
        <f t="shared" si="25"/>
        <v>2049</v>
      </c>
      <c r="D96" s="66">
        <f>'Segment AADTs'!D62</f>
        <v>20122.568025114073</v>
      </c>
      <c r="E96" s="53">
        <f t="shared" si="26"/>
        <v>217</v>
      </c>
      <c r="F96" s="53">
        <f t="shared" si="7"/>
        <v>406</v>
      </c>
      <c r="G96" s="54">
        <f t="shared" si="8"/>
        <v>682</v>
      </c>
      <c r="H96" s="436">
        <f t="shared" si="9"/>
        <v>287.57587980349257</v>
      </c>
      <c r="I96" s="58">
        <f t="shared" si="10"/>
        <v>483.37890044576528</v>
      </c>
      <c r="J96" s="436">
        <f t="shared" si="11"/>
        <v>117.55126300148588</v>
      </c>
      <c r="K96" s="436">
        <f t="shared" si="12"/>
        <v>58.775631500742939</v>
      </c>
      <c r="L96" s="437">
        <f t="shared" si="13"/>
        <v>18.240713224368498</v>
      </c>
      <c r="M96" s="437">
        <f t="shared" si="14"/>
        <v>4.0534918276374441</v>
      </c>
      <c r="N96" s="434">
        <f t="shared" si="15"/>
        <v>64929701</v>
      </c>
      <c r="O96" s="491">
        <f t="shared" si="16"/>
        <v>2049</v>
      </c>
      <c r="P96" s="499">
        <f>'Segment AADTs'!E62</f>
        <v>14307.789402583214</v>
      </c>
      <c r="Q96" s="499">
        <f>'EC - Travel Time - Roadway'!C169</f>
        <v>19858273.624916255</v>
      </c>
      <c r="R96" s="58">
        <f t="shared" si="17"/>
        <v>179</v>
      </c>
      <c r="S96" s="58">
        <f t="shared" si="18"/>
        <v>334.68977105650072</v>
      </c>
      <c r="T96" s="59">
        <f t="shared" si="27"/>
        <v>562.27881537492124</v>
      </c>
      <c r="U96" s="436">
        <f t="shared" si="28"/>
        <v>237.21696997615282</v>
      </c>
      <c r="V96" s="58">
        <f t="shared" si="29"/>
        <v>398.52450955993675</v>
      </c>
      <c r="W96" s="436">
        <f t="shared" si="19"/>
        <v>96.915813645603066</v>
      </c>
      <c r="X96" s="436">
        <f t="shared" si="20"/>
        <v>48.457906822801533</v>
      </c>
      <c r="Y96" s="437">
        <f t="shared" si="21"/>
        <v>15.038660738110821</v>
      </c>
      <c r="Z96" s="437">
        <f t="shared" si="22"/>
        <v>3.3419246084690712</v>
      </c>
      <c r="AA96" s="435">
        <f t="shared" si="23"/>
        <v>53532196</v>
      </c>
      <c r="AB96" s="434">
        <f t="shared" si="24"/>
        <v>11397505</v>
      </c>
      <c r="AC96" s="434">
        <f>ROUND(AB96*NPV!C34,0)</f>
        <v>1307763</v>
      </c>
    </row>
    <row r="97" spans="1:29" x14ac:dyDescent="0.2">
      <c r="A97" s="494"/>
      <c r="B97" s="100">
        <f t="shared" si="6"/>
        <v>25</v>
      </c>
      <c r="C97" s="24">
        <f t="shared" si="25"/>
        <v>2050</v>
      </c>
      <c r="D97" s="66">
        <f>'Segment AADTs'!D63</f>
        <v>20303.671137340098</v>
      </c>
      <c r="E97" s="53">
        <f t="shared" si="26"/>
        <v>219</v>
      </c>
      <c r="F97" s="53">
        <f t="shared" si="7"/>
        <v>409</v>
      </c>
      <c r="G97" s="54">
        <f t="shared" si="8"/>
        <v>687</v>
      </c>
      <c r="H97" s="436">
        <f t="shared" si="9"/>
        <v>290.22634874177362</v>
      </c>
      <c r="I97" s="58">
        <f t="shared" si="10"/>
        <v>486.92273402674596</v>
      </c>
      <c r="J97" s="436">
        <f t="shared" si="11"/>
        <v>118.41307578008916</v>
      </c>
      <c r="K97" s="436">
        <f t="shared" si="12"/>
        <v>59.206537890044579</v>
      </c>
      <c r="L97" s="437">
        <f t="shared" si="13"/>
        <v>18.374442793462109</v>
      </c>
      <c r="M97" s="437">
        <f t="shared" si="14"/>
        <v>4.0832095096582464</v>
      </c>
      <c r="N97" s="434">
        <f t="shared" si="15"/>
        <v>65408057</v>
      </c>
      <c r="O97" s="491">
        <f t="shared" si="16"/>
        <v>2050</v>
      </c>
      <c r="P97" s="499">
        <f>'Segment AADTs'!E63</f>
        <v>14436.559507206461</v>
      </c>
      <c r="Q97" s="499">
        <f>'EC - Travel Time - Roadway'!C170</f>
        <v>20038031.636027414</v>
      </c>
      <c r="R97" s="58">
        <f t="shared" si="17"/>
        <v>180</v>
      </c>
      <c r="S97" s="58">
        <f t="shared" si="18"/>
        <v>336.55954631379961</v>
      </c>
      <c r="T97" s="59">
        <f t="shared" si="27"/>
        <v>565.42003780718335</v>
      </c>
      <c r="U97" s="436">
        <f t="shared" si="28"/>
        <v>238.54220444529335</v>
      </c>
      <c r="V97" s="58">
        <f t="shared" si="29"/>
        <v>400.75090346809282</v>
      </c>
      <c r="W97" s="436">
        <f t="shared" si="19"/>
        <v>97.45724277211481</v>
      </c>
      <c r="X97" s="436">
        <f t="shared" si="20"/>
        <v>48.728621386057405</v>
      </c>
      <c r="Y97" s="437">
        <f t="shared" si="21"/>
        <v>15.122675602569538</v>
      </c>
      <c r="Z97" s="437">
        <f t="shared" si="22"/>
        <v>3.3605945783487865</v>
      </c>
      <c r="AA97" s="435">
        <f t="shared" si="23"/>
        <v>53831258</v>
      </c>
      <c r="AB97" s="434">
        <f t="shared" si="24"/>
        <v>11576799</v>
      </c>
      <c r="AC97" s="434">
        <f>ROUND(AB97*NPV!C35,0)</f>
        <v>1241435</v>
      </c>
    </row>
    <row r="98" spans="1:29" x14ac:dyDescent="0.2">
      <c r="A98" s="494"/>
      <c r="B98" s="100">
        <f t="shared" si="6"/>
        <v>26</v>
      </c>
      <c r="C98" s="24">
        <f t="shared" si="25"/>
        <v>2051</v>
      </c>
      <c r="D98" s="66">
        <f>'Segment AADTs'!D64</f>
        <v>20486.404177576158</v>
      </c>
      <c r="E98" s="53">
        <f t="shared" si="26"/>
        <v>221</v>
      </c>
      <c r="F98" s="53">
        <f t="shared" si="7"/>
        <v>413</v>
      </c>
      <c r="G98" s="54">
        <f t="shared" si="8"/>
        <v>694</v>
      </c>
      <c r="H98" s="436">
        <f t="shared" si="9"/>
        <v>292.87681768005461</v>
      </c>
      <c r="I98" s="58">
        <f t="shared" si="10"/>
        <v>491.88410104011888</v>
      </c>
      <c r="J98" s="436">
        <f t="shared" si="11"/>
        <v>119.61961367013373</v>
      </c>
      <c r="K98" s="436">
        <f t="shared" si="12"/>
        <v>59.809806835066865</v>
      </c>
      <c r="L98" s="437">
        <f t="shared" si="13"/>
        <v>18.561664190193163</v>
      </c>
      <c r="M98" s="437">
        <f t="shared" si="14"/>
        <v>4.1248142644873695</v>
      </c>
      <c r="N98" s="434">
        <f t="shared" si="15"/>
        <v>66073196</v>
      </c>
      <c r="O98" s="491">
        <f t="shared" si="16"/>
        <v>2051</v>
      </c>
      <c r="P98" s="499">
        <f>'Segment AADTs'!E64</f>
        <v>14566.488542771318</v>
      </c>
      <c r="Q98" s="499">
        <f>'EC - Travel Time - Roadway'!C171</f>
        <v>20219423.023472905</v>
      </c>
      <c r="R98" s="58">
        <f t="shared" si="17"/>
        <v>182</v>
      </c>
      <c r="S98" s="58">
        <f t="shared" si="18"/>
        <v>340.29909682839741</v>
      </c>
      <c r="T98" s="59">
        <f t="shared" si="27"/>
        <v>571.70248267170757</v>
      </c>
      <c r="U98" s="436">
        <f t="shared" si="28"/>
        <v>241.19267338357443</v>
      </c>
      <c r="V98" s="58">
        <f t="shared" si="29"/>
        <v>405.20369128440495</v>
      </c>
      <c r="W98" s="436">
        <f t="shared" si="19"/>
        <v>98.540101025138298</v>
      </c>
      <c r="X98" s="436">
        <f t="shared" si="20"/>
        <v>49.270050512569149</v>
      </c>
      <c r="Y98" s="437">
        <f t="shared" si="21"/>
        <v>15.290705331486977</v>
      </c>
      <c r="Z98" s="437">
        <f t="shared" si="22"/>
        <v>3.397934518108217</v>
      </c>
      <c r="AA98" s="435">
        <f t="shared" si="23"/>
        <v>54429383</v>
      </c>
      <c r="AB98" s="434">
        <f t="shared" si="24"/>
        <v>11643813</v>
      </c>
      <c r="AC98" s="434">
        <f>ROUND(AB98*NPV!C36,0)</f>
        <v>1166935</v>
      </c>
    </row>
    <row r="99" spans="1:29" x14ac:dyDescent="0.2">
      <c r="A99" s="494"/>
      <c r="B99" s="100">
        <f t="shared" si="6"/>
        <v>27</v>
      </c>
      <c r="C99" s="24">
        <f t="shared" si="25"/>
        <v>2052</v>
      </c>
      <c r="D99" s="66">
        <f>'Segment AADTs'!D65</f>
        <v>20670.781815174341</v>
      </c>
      <c r="E99" s="53">
        <f t="shared" si="26"/>
        <v>223</v>
      </c>
      <c r="F99" s="53">
        <f t="shared" si="7"/>
        <v>417</v>
      </c>
      <c r="G99" s="54">
        <f t="shared" si="8"/>
        <v>701</v>
      </c>
      <c r="H99" s="436">
        <f t="shared" si="9"/>
        <v>295.52728661833567</v>
      </c>
      <c r="I99" s="58">
        <f t="shared" si="10"/>
        <v>496.84546805349186</v>
      </c>
      <c r="J99" s="436">
        <f t="shared" si="11"/>
        <v>120.8261515601783</v>
      </c>
      <c r="K99" s="436">
        <f t="shared" si="12"/>
        <v>60.413075780089152</v>
      </c>
      <c r="L99" s="437">
        <f t="shared" si="13"/>
        <v>18.748885586924217</v>
      </c>
      <c r="M99" s="437">
        <f t="shared" si="14"/>
        <v>4.1664190193164927</v>
      </c>
      <c r="N99" s="434">
        <f t="shared" si="15"/>
        <v>66738334</v>
      </c>
      <c r="O99" s="491">
        <f t="shared" si="16"/>
        <v>2052</v>
      </c>
      <c r="P99" s="499">
        <f>'Segment AADTs'!E65</f>
        <v>14697.586939656258</v>
      </c>
      <c r="Q99" s="499">
        <f>'EC - Travel Time - Roadway'!C172</f>
        <v>20402462.677673224</v>
      </c>
      <c r="R99" s="58">
        <f t="shared" si="17"/>
        <v>184</v>
      </c>
      <c r="S99" s="58">
        <f t="shared" si="18"/>
        <v>344.0386473429952</v>
      </c>
      <c r="T99" s="59">
        <f t="shared" si="27"/>
        <v>577.98492753623191</v>
      </c>
      <c r="U99" s="436">
        <f t="shared" si="28"/>
        <v>243.84314232185545</v>
      </c>
      <c r="V99" s="58">
        <f t="shared" si="29"/>
        <v>409.65647910071715</v>
      </c>
      <c r="W99" s="436">
        <f t="shared" si="19"/>
        <v>99.622959278161815</v>
      </c>
      <c r="X99" s="436">
        <f t="shared" si="20"/>
        <v>49.811479639080908</v>
      </c>
      <c r="Y99" s="437">
        <f t="shared" si="21"/>
        <v>15.458735060404418</v>
      </c>
      <c r="Z99" s="437">
        <f t="shared" si="22"/>
        <v>3.4352744578676484</v>
      </c>
      <c r="AA99" s="435">
        <f t="shared" si="23"/>
        <v>55027508</v>
      </c>
      <c r="AB99" s="434">
        <f t="shared" si="24"/>
        <v>11710826</v>
      </c>
      <c r="AC99" s="434">
        <f>ROUND(AB99*NPV!C37,0)</f>
        <v>1096870</v>
      </c>
    </row>
    <row r="100" spans="1:29" x14ac:dyDescent="0.2">
      <c r="A100" s="494"/>
      <c r="B100" s="100">
        <f t="shared" si="6"/>
        <v>28</v>
      </c>
      <c r="C100" s="24">
        <f t="shared" si="25"/>
        <v>2053</v>
      </c>
      <c r="D100" s="66">
        <f>'Segment AADTs'!D66</f>
        <v>20856.818851510907</v>
      </c>
      <c r="E100" s="53">
        <f t="shared" si="26"/>
        <v>225</v>
      </c>
      <c r="F100" s="53">
        <f t="shared" si="7"/>
        <v>421</v>
      </c>
      <c r="G100" s="54">
        <f t="shared" si="8"/>
        <v>707</v>
      </c>
      <c r="H100" s="436">
        <f t="shared" si="9"/>
        <v>298.17775555661672</v>
      </c>
      <c r="I100" s="58">
        <f t="shared" si="10"/>
        <v>501.09806835066865</v>
      </c>
      <c r="J100" s="436">
        <f t="shared" si="11"/>
        <v>121.86032689450222</v>
      </c>
      <c r="K100" s="436">
        <f t="shared" si="12"/>
        <v>60.930163447251111</v>
      </c>
      <c r="L100" s="437">
        <f t="shared" si="13"/>
        <v>18.909361069836553</v>
      </c>
      <c r="M100" s="437">
        <f t="shared" si="14"/>
        <v>4.2020802377414563</v>
      </c>
      <c r="N100" s="434">
        <f t="shared" si="15"/>
        <v>67310081</v>
      </c>
      <c r="O100" s="491">
        <f t="shared" si="16"/>
        <v>2053</v>
      </c>
      <c r="P100" s="499">
        <f>'Segment AADTs'!E66</f>
        <v>14829.865222113162</v>
      </c>
      <c r="Q100" s="499">
        <f>'EC - Travel Time - Roadway'!C173</f>
        <v>20587165.625194535</v>
      </c>
      <c r="R100" s="58">
        <f t="shared" si="17"/>
        <v>185</v>
      </c>
      <c r="S100" s="58">
        <f t="shared" si="18"/>
        <v>345.90842260029405</v>
      </c>
      <c r="T100" s="59">
        <f t="shared" si="27"/>
        <v>581.12614996849402</v>
      </c>
      <c r="U100" s="436">
        <f t="shared" si="28"/>
        <v>245.16837679099595</v>
      </c>
      <c r="V100" s="58">
        <f t="shared" si="29"/>
        <v>411.88287300887322</v>
      </c>
      <c r="W100" s="436">
        <f t="shared" si="19"/>
        <v>100.16438840467356</v>
      </c>
      <c r="X100" s="436">
        <f t="shared" si="20"/>
        <v>50.08219420233678</v>
      </c>
      <c r="Y100" s="437">
        <f t="shared" si="21"/>
        <v>15.542749924863138</v>
      </c>
      <c r="Z100" s="437">
        <f t="shared" si="22"/>
        <v>3.4539444277473641</v>
      </c>
      <c r="AA100" s="435">
        <f t="shared" si="23"/>
        <v>55326571</v>
      </c>
      <c r="AB100" s="434">
        <f t="shared" si="24"/>
        <v>11983510</v>
      </c>
      <c r="AC100" s="434">
        <f>ROUND(AB100*NPV!C38,0)</f>
        <v>1048982</v>
      </c>
    </row>
    <row r="101" spans="1:29" x14ac:dyDescent="0.2">
      <c r="A101" s="494"/>
      <c r="B101" s="100">
        <f t="shared" si="6"/>
        <v>29</v>
      </c>
      <c r="C101" s="24">
        <f t="shared" si="25"/>
        <v>2054</v>
      </c>
      <c r="D101" s="66">
        <f>'Segment AADTs'!D67</f>
        <v>21044.530221174504</v>
      </c>
      <c r="E101" s="53">
        <f t="shared" si="26"/>
        <v>227</v>
      </c>
      <c r="F101" s="53">
        <f t="shared" si="7"/>
        <v>424</v>
      </c>
      <c r="G101" s="54">
        <f t="shared" si="8"/>
        <v>712</v>
      </c>
      <c r="H101" s="436">
        <f t="shared" si="9"/>
        <v>300.82822449489777</v>
      </c>
      <c r="I101" s="58">
        <f t="shared" si="10"/>
        <v>504.64190193164933</v>
      </c>
      <c r="J101" s="436">
        <f t="shared" si="11"/>
        <v>122.7221396731055</v>
      </c>
      <c r="K101" s="436">
        <f t="shared" si="12"/>
        <v>61.361069836552751</v>
      </c>
      <c r="L101" s="437">
        <f t="shared" si="13"/>
        <v>19.043090638930163</v>
      </c>
      <c r="M101" s="437">
        <f t="shared" si="14"/>
        <v>4.2317979197622586</v>
      </c>
      <c r="N101" s="434">
        <f t="shared" si="15"/>
        <v>67788437</v>
      </c>
      <c r="O101" s="491">
        <f t="shared" si="16"/>
        <v>2054</v>
      </c>
      <c r="P101" s="499">
        <f>'Segment AADTs'!E67</f>
        <v>14963.334009112179</v>
      </c>
      <c r="Q101" s="499">
        <f>'EC - Travel Time - Roadway'!C174</f>
        <v>20773547.029996891</v>
      </c>
      <c r="R101" s="58">
        <f t="shared" si="17"/>
        <v>187</v>
      </c>
      <c r="S101" s="58">
        <f t="shared" si="18"/>
        <v>349.64797311489184</v>
      </c>
      <c r="T101" s="59">
        <f t="shared" si="27"/>
        <v>587.40859483301824</v>
      </c>
      <c r="U101" s="436">
        <f t="shared" si="28"/>
        <v>247.818845729277</v>
      </c>
      <c r="V101" s="58">
        <f t="shared" si="29"/>
        <v>416.3356608251853</v>
      </c>
      <c r="W101" s="436">
        <f t="shared" si="19"/>
        <v>101.24724665769705</v>
      </c>
      <c r="X101" s="436">
        <f t="shared" si="20"/>
        <v>50.623623328848524</v>
      </c>
      <c r="Y101" s="437">
        <f t="shared" si="21"/>
        <v>15.710779653780577</v>
      </c>
      <c r="Z101" s="437">
        <f t="shared" si="22"/>
        <v>3.4912843675067946</v>
      </c>
      <c r="AA101" s="435">
        <f t="shared" si="23"/>
        <v>55924696</v>
      </c>
      <c r="AB101" s="434">
        <f t="shared" si="24"/>
        <v>11863741</v>
      </c>
      <c r="AC101" s="434">
        <f>ROUND(AB101*NPV!C39,0)</f>
        <v>970559</v>
      </c>
    </row>
    <row r="102" spans="1:29" x14ac:dyDescent="0.2">
      <c r="A102" s="494"/>
      <c r="B102" s="12">
        <f t="shared" si="6"/>
        <v>30</v>
      </c>
      <c r="C102" s="24">
        <f t="shared" si="25"/>
        <v>2055</v>
      </c>
      <c r="D102" s="66">
        <f>'Segment AADTs'!D68</f>
        <v>21233.930993165071</v>
      </c>
      <c r="E102" s="55">
        <f t="shared" si="26"/>
        <v>229</v>
      </c>
      <c r="F102" s="55">
        <f t="shared" si="7"/>
        <v>428</v>
      </c>
      <c r="G102" s="56">
        <f t="shared" si="8"/>
        <v>719</v>
      </c>
      <c r="H102" s="436">
        <f t="shared" si="9"/>
        <v>303.47869343317876</v>
      </c>
      <c r="I102" s="58">
        <f t="shared" si="10"/>
        <v>509.60326894502231</v>
      </c>
      <c r="J102" s="436">
        <f t="shared" si="11"/>
        <v>123.92867756315007</v>
      </c>
      <c r="K102" s="436">
        <f t="shared" si="12"/>
        <v>61.964338781575037</v>
      </c>
      <c r="L102" s="437">
        <f t="shared" si="13"/>
        <v>19.230312035661218</v>
      </c>
      <c r="M102" s="437">
        <f t="shared" si="14"/>
        <v>4.2734026745913818</v>
      </c>
      <c r="N102" s="434">
        <f t="shared" si="15"/>
        <v>68453576</v>
      </c>
      <c r="O102" s="492">
        <f t="shared" si="16"/>
        <v>2055</v>
      </c>
      <c r="P102" s="499">
        <f>'Segment AADTs'!E68</f>
        <v>15098.004015194187</v>
      </c>
      <c r="Q102" s="499">
        <f>'EC - Travel Time - Roadway'!C175</f>
        <v>20961622.194693979</v>
      </c>
      <c r="R102" s="58">
        <f t="shared" si="17"/>
        <v>189</v>
      </c>
      <c r="S102" s="58">
        <f t="shared" si="18"/>
        <v>353.38752362948964</v>
      </c>
      <c r="T102" s="59">
        <f t="shared" si="27"/>
        <v>593.69103969754258</v>
      </c>
      <c r="U102" s="436">
        <f t="shared" si="28"/>
        <v>250.46931466755802</v>
      </c>
      <c r="V102" s="58">
        <f t="shared" si="29"/>
        <v>420.7884486414975</v>
      </c>
      <c r="W102" s="436">
        <f t="shared" si="19"/>
        <v>102.33010491072056</v>
      </c>
      <c r="X102" s="436">
        <f t="shared" si="20"/>
        <v>51.165052455360282</v>
      </c>
      <c r="Y102" s="437">
        <f t="shared" si="21"/>
        <v>15.878809382698018</v>
      </c>
      <c r="Z102" s="437">
        <f t="shared" si="22"/>
        <v>3.528624307266226</v>
      </c>
      <c r="AA102" s="435">
        <f t="shared" si="23"/>
        <v>56522821</v>
      </c>
      <c r="AB102" s="434">
        <f t="shared" si="24"/>
        <v>11930755</v>
      </c>
      <c r="AC102" s="434">
        <f>ROUND(AB102*NPV!C40,0)</f>
        <v>912188</v>
      </c>
    </row>
    <row r="103" spans="1:29" x14ac:dyDescent="0.2">
      <c r="C103" s="755" t="s">
        <v>0</v>
      </c>
      <c r="D103" s="756"/>
      <c r="E103" s="756"/>
      <c r="F103" s="756"/>
      <c r="G103" s="756"/>
      <c r="H103" s="756"/>
      <c r="I103" s="756"/>
      <c r="J103" s="756"/>
      <c r="K103" s="756"/>
      <c r="L103" s="756"/>
      <c r="M103" s="756"/>
      <c r="N103" s="162">
        <f>SUM(N72:N102)</f>
        <v>1820907470</v>
      </c>
      <c r="O103" s="164"/>
      <c r="P103" s="164"/>
      <c r="Q103" s="164"/>
      <c r="R103" s="756" t="s">
        <v>0</v>
      </c>
      <c r="S103" s="756"/>
      <c r="T103" s="756"/>
      <c r="U103" s="756"/>
      <c r="V103" s="756"/>
      <c r="W103" s="756"/>
      <c r="X103" s="756"/>
      <c r="Y103" s="756"/>
      <c r="Z103" s="756"/>
      <c r="AA103" s="757"/>
      <c r="AB103" s="52">
        <f>SUM(AB72:AB102)</f>
        <v>324099430</v>
      </c>
      <c r="AC103" s="52">
        <f>SUM(AC72:AC102)</f>
        <v>76591766</v>
      </c>
    </row>
  </sheetData>
  <mergeCells count="50">
    <mergeCell ref="C103:M103"/>
    <mergeCell ref="R103:AA103"/>
    <mergeCell ref="O69:O71"/>
    <mergeCell ref="P69:P71"/>
    <mergeCell ref="A1:I1"/>
    <mergeCell ref="A18:B18"/>
    <mergeCell ref="A21:B21"/>
    <mergeCell ref="H3:I3"/>
    <mergeCell ref="A3:B3"/>
    <mergeCell ref="A4:A5"/>
    <mergeCell ref="A6:A7"/>
    <mergeCell ref="A8:A9"/>
    <mergeCell ref="A10:A11"/>
    <mergeCell ref="A12:A13"/>
    <mergeCell ref="R69:AA69"/>
    <mergeCell ref="A42:B42"/>
    <mergeCell ref="AC69:AC71"/>
    <mergeCell ref="D69:D71"/>
    <mergeCell ref="A52:D52"/>
    <mergeCell ref="A67:D67"/>
    <mergeCell ref="A58:C58"/>
    <mergeCell ref="N70:N71"/>
    <mergeCell ref="J70:M70"/>
    <mergeCell ref="I70:I71"/>
    <mergeCell ref="R70:R71"/>
    <mergeCell ref="S70:S71"/>
    <mergeCell ref="T70:T71"/>
    <mergeCell ref="U70:U71"/>
    <mergeCell ref="V70:V71"/>
    <mergeCell ref="W70:Z70"/>
    <mergeCell ref="AB69:AB71"/>
    <mergeCell ref="E69:N69"/>
    <mergeCell ref="G70:G71"/>
    <mergeCell ref="H70:H71"/>
    <mergeCell ref="A14:A15"/>
    <mergeCell ref="Q69:Q71"/>
    <mergeCell ref="R3:R6"/>
    <mergeCell ref="C69:C71"/>
    <mergeCell ref="A44:B44"/>
    <mergeCell ref="A46:B46"/>
    <mergeCell ref="E70:E71"/>
    <mergeCell ref="F70:F71"/>
    <mergeCell ref="O1:R1"/>
    <mergeCell ref="A48:B48"/>
    <mergeCell ref="A50:B50"/>
    <mergeCell ref="A32:B32"/>
    <mergeCell ref="A40:B40"/>
    <mergeCell ref="A34:B34"/>
    <mergeCell ref="A38:B38"/>
    <mergeCell ref="A2:I2"/>
  </mergeCells>
  <pageMargins left="0.25" right="0.25" top="0.75" bottom="0.75" header="0.3" footer="0.3"/>
  <pageSetup scale="9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L57"/>
  <sheetViews>
    <sheetView workbookViewId="0">
      <selection sqref="A1:C17"/>
    </sheetView>
  </sheetViews>
  <sheetFormatPr defaultRowHeight="12.75" x14ac:dyDescent="0.2"/>
  <cols>
    <col min="1" max="1" width="20.7109375" customWidth="1"/>
    <col min="2" max="2" width="18.140625" bestFit="1" customWidth="1"/>
    <col min="5" max="6" width="12.5703125" customWidth="1"/>
    <col min="7" max="7" width="20.7109375" bestFit="1" customWidth="1"/>
    <col min="8" max="8" width="18.140625" bestFit="1" customWidth="1"/>
    <col min="9" max="9" width="18.140625" customWidth="1"/>
    <col min="10" max="10" width="5.7109375" customWidth="1"/>
    <col min="11" max="11" width="11.140625" bestFit="1" customWidth="1"/>
  </cols>
  <sheetData>
    <row r="1" spans="1:12" x14ac:dyDescent="0.2">
      <c r="A1" s="710" t="s">
        <v>317</v>
      </c>
      <c r="B1" s="710"/>
      <c r="D1" s="110"/>
      <c r="E1" s="110"/>
      <c r="F1" s="110"/>
      <c r="G1" s="110"/>
      <c r="L1" s="6"/>
    </row>
    <row r="2" spans="1:12" x14ac:dyDescent="0.2">
      <c r="A2" s="51" t="s">
        <v>327</v>
      </c>
      <c r="B2" s="77">
        <f>Safety!B64</f>
        <v>14630</v>
      </c>
      <c r="C2" s="393"/>
      <c r="D2" s="110"/>
      <c r="E2" s="110"/>
      <c r="F2" s="110"/>
      <c r="G2" s="110"/>
      <c r="K2" s="110"/>
    </row>
    <row r="3" spans="1:12" x14ac:dyDescent="0.2">
      <c r="A3" s="395" t="s">
        <v>329</v>
      </c>
      <c r="B3" s="78">
        <v>1.6E-2</v>
      </c>
      <c r="C3" s="205"/>
      <c r="D3" s="110"/>
      <c r="E3" s="110"/>
      <c r="F3" s="110"/>
      <c r="G3" s="110"/>
    </row>
    <row r="4" spans="1:12" x14ac:dyDescent="0.2">
      <c r="A4" s="395" t="s">
        <v>330</v>
      </c>
      <c r="B4" s="78">
        <v>8.9999999999999993E-3</v>
      </c>
      <c r="C4" s="205"/>
      <c r="D4" s="110"/>
      <c r="E4" s="110"/>
      <c r="F4" s="110"/>
      <c r="G4" s="110"/>
    </row>
    <row r="5" spans="1:12" x14ac:dyDescent="0.2">
      <c r="A5" s="767" t="s">
        <v>66</v>
      </c>
      <c r="B5" s="767"/>
      <c r="D5" s="110"/>
      <c r="E5" s="110"/>
      <c r="F5" s="110"/>
      <c r="G5" s="110"/>
    </row>
    <row r="6" spans="1:12" x14ac:dyDescent="0.2">
      <c r="A6" s="28"/>
      <c r="B6" s="79"/>
      <c r="D6" s="110"/>
      <c r="E6" s="110"/>
      <c r="F6" s="110"/>
      <c r="G6" s="110"/>
    </row>
    <row r="7" spans="1:12" ht="25.5" customHeight="1" x14ac:dyDescent="0.2">
      <c r="A7" s="764" t="s">
        <v>67</v>
      </c>
      <c r="B7" s="764"/>
      <c r="D7" s="441"/>
      <c r="E7" s="441"/>
      <c r="F7" s="441"/>
      <c r="G7" s="441"/>
      <c r="H7" s="441"/>
      <c r="I7" s="441"/>
      <c r="J7" s="441"/>
    </row>
    <row r="8" spans="1:12" ht="25.5" x14ac:dyDescent="0.2">
      <c r="A8" s="51" t="s">
        <v>69</v>
      </c>
      <c r="B8" s="82">
        <v>457</v>
      </c>
      <c r="C8" s="438"/>
      <c r="D8" s="441"/>
      <c r="E8" s="441"/>
      <c r="F8" s="441"/>
      <c r="G8" s="441"/>
      <c r="H8" s="441"/>
      <c r="I8" s="441"/>
      <c r="J8" s="441"/>
    </row>
    <row r="9" spans="1:12" ht="27" customHeight="1" x14ac:dyDescent="0.2">
      <c r="A9" s="768" t="s">
        <v>68</v>
      </c>
      <c r="B9" s="769"/>
    </row>
    <row r="10" spans="1:12" ht="38.25" x14ac:dyDescent="0.2">
      <c r="A10" s="51" t="s">
        <v>70</v>
      </c>
      <c r="B10" s="180">
        <v>0.02</v>
      </c>
      <c r="C10" s="438"/>
    </row>
    <row r="11" spans="1:12" ht="25.5" x14ac:dyDescent="0.2">
      <c r="A11" s="51" t="s">
        <v>71</v>
      </c>
      <c r="B11" s="83">
        <f>B10*B8</f>
        <v>9.14</v>
      </c>
      <c r="C11" s="438"/>
    </row>
    <row r="12" spans="1:12" x14ac:dyDescent="0.2">
      <c r="A12" s="28"/>
      <c r="B12" s="118"/>
      <c r="C12" s="6"/>
    </row>
    <row r="13" spans="1:12" x14ac:dyDescent="0.2">
      <c r="A13" s="764" t="s">
        <v>318</v>
      </c>
      <c r="B13" s="764"/>
      <c r="C13" s="6"/>
    </row>
    <row r="14" spans="1:12" x14ac:dyDescent="0.2">
      <c r="A14" s="51" t="s">
        <v>327</v>
      </c>
      <c r="B14" s="135">
        <f>B2</f>
        <v>14630</v>
      </c>
      <c r="C14" s="438"/>
    </row>
    <row r="15" spans="1:12" x14ac:dyDescent="0.2">
      <c r="A15" s="120" t="s">
        <v>328</v>
      </c>
      <c r="B15" s="439">
        <f>B14*B16</f>
        <v>2487.1000000000004</v>
      </c>
      <c r="C15" s="393"/>
    </row>
    <row r="16" spans="1:12" x14ac:dyDescent="0.2">
      <c r="A16" s="120" t="s">
        <v>141</v>
      </c>
      <c r="B16" s="134">
        <v>0.17</v>
      </c>
      <c r="C16" s="6" t="s">
        <v>180</v>
      </c>
    </row>
    <row r="17" spans="1:10" x14ac:dyDescent="0.2">
      <c r="A17" s="765" t="s">
        <v>142</v>
      </c>
      <c r="B17" s="766"/>
    </row>
    <row r="18" spans="1:10" ht="13.5" thickBot="1" x14ac:dyDescent="0.25">
      <c r="A18" s="119"/>
    </row>
    <row r="19" spans="1:10" ht="39" thickBot="1" x14ac:dyDescent="0.25">
      <c r="C19" s="1"/>
      <c r="D19" s="172"/>
      <c r="F19" s="175" t="s">
        <v>1</v>
      </c>
      <c r="G19" s="176" t="s">
        <v>64</v>
      </c>
      <c r="H19" s="176" t="s">
        <v>79</v>
      </c>
      <c r="I19" s="177" t="s">
        <v>149</v>
      </c>
      <c r="J19" s="1"/>
    </row>
    <row r="20" spans="1:10" ht="13.5" thickTop="1" x14ac:dyDescent="0.2">
      <c r="C20" s="173"/>
      <c r="D20" s="173"/>
      <c r="E20" s="12">
        <f t="shared" ref="E20:E39" si="0">F20-$F$20</f>
        <v>0</v>
      </c>
      <c r="F20" s="165">
        <v>2024</v>
      </c>
      <c r="G20" s="80">
        <f>ROUND($B$2*(1+$B$3)^E20,0)</f>
        <v>14630</v>
      </c>
      <c r="H20" s="72">
        <f t="shared" ref="H20:H50" si="1">ROUND(G20*$B$11,0)</f>
        <v>133718</v>
      </c>
      <c r="I20" s="440">
        <f>H20*NPV!C9</f>
        <v>83272.849985323744</v>
      </c>
      <c r="J20" s="1"/>
    </row>
    <row r="21" spans="1:10" x14ac:dyDescent="0.2">
      <c r="C21" s="173"/>
      <c r="D21" s="173"/>
      <c r="E21" s="12">
        <f t="shared" si="0"/>
        <v>1</v>
      </c>
      <c r="F21" s="166">
        <f>F20+1</f>
        <v>2025</v>
      </c>
      <c r="G21" s="81">
        <f>ROUND($B$2*(1+$B$3)^E21,0)</f>
        <v>14864</v>
      </c>
      <c r="H21" s="71">
        <f t="shared" si="1"/>
        <v>135857</v>
      </c>
      <c r="I21" s="167">
        <f>H21*NPV!C10</f>
        <v>79070.010918892425</v>
      </c>
      <c r="J21" s="1"/>
    </row>
    <row r="22" spans="1:10" x14ac:dyDescent="0.2">
      <c r="C22" s="173"/>
      <c r="D22" s="173"/>
      <c r="E22" s="12">
        <f t="shared" si="0"/>
        <v>2</v>
      </c>
      <c r="F22" s="166">
        <f t="shared" ref="F22:F50" si="2">F21+1</f>
        <v>2026</v>
      </c>
      <c r="G22" s="81">
        <f t="shared" ref="G22:G35" si="3">ROUND($B$2*(1+$B$3)^E22,0)</f>
        <v>15102</v>
      </c>
      <c r="H22" s="71">
        <f t="shared" si="1"/>
        <v>138032</v>
      </c>
      <c r="I22" s="167">
        <f>H22*NPV!C11</f>
        <v>75080.262356375126</v>
      </c>
      <c r="J22" s="1"/>
    </row>
    <row r="23" spans="1:10" x14ac:dyDescent="0.2">
      <c r="C23" s="173"/>
      <c r="D23" s="173"/>
      <c r="E23" s="12">
        <f t="shared" si="0"/>
        <v>3</v>
      </c>
      <c r="F23" s="166">
        <f t="shared" si="2"/>
        <v>2027</v>
      </c>
      <c r="G23" s="81">
        <f t="shared" si="3"/>
        <v>15344</v>
      </c>
      <c r="H23" s="71">
        <f t="shared" si="1"/>
        <v>140244</v>
      </c>
      <c r="I23" s="167">
        <f>H23*NPV!C12</f>
        <v>71292.938126141366</v>
      </c>
      <c r="J23" s="1"/>
    </row>
    <row r="24" spans="1:10" x14ac:dyDescent="0.2">
      <c r="C24" s="173"/>
      <c r="D24" s="173"/>
      <c r="E24" s="12">
        <f t="shared" si="0"/>
        <v>4</v>
      </c>
      <c r="F24" s="166">
        <f t="shared" si="2"/>
        <v>2028</v>
      </c>
      <c r="G24" s="81">
        <f t="shared" si="3"/>
        <v>15589</v>
      </c>
      <c r="H24" s="71">
        <f t="shared" si="1"/>
        <v>142483</v>
      </c>
      <c r="I24" s="167">
        <f>H24*NPV!C13</f>
        <v>67692.646907692513</v>
      </c>
      <c r="J24" s="1"/>
    </row>
    <row r="25" spans="1:10" x14ac:dyDescent="0.2">
      <c r="C25" s="173"/>
      <c r="D25" s="173"/>
      <c r="E25" s="12">
        <f t="shared" si="0"/>
        <v>5</v>
      </c>
      <c r="F25" s="166">
        <f t="shared" si="2"/>
        <v>2029</v>
      </c>
      <c r="G25" s="81">
        <f t="shared" si="3"/>
        <v>15838</v>
      </c>
      <c r="H25" s="71">
        <f t="shared" si="1"/>
        <v>144759</v>
      </c>
      <c r="I25" s="167">
        <f>H25*NPV!C14</f>
        <v>64274.7272077296</v>
      </c>
      <c r="J25" s="1"/>
    </row>
    <row r="26" spans="1:10" x14ac:dyDescent="0.2">
      <c r="C26" s="173"/>
      <c r="D26" s="173"/>
      <c r="E26" s="12">
        <f t="shared" si="0"/>
        <v>6</v>
      </c>
      <c r="F26" s="166">
        <f t="shared" si="2"/>
        <v>2030</v>
      </c>
      <c r="G26" s="81">
        <f t="shared" si="3"/>
        <v>16092</v>
      </c>
      <c r="H26" s="71">
        <f t="shared" si="1"/>
        <v>147081</v>
      </c>
      <c r="I26" s="167">
        <f>H26*NPV!C15</f>
        <v>61033.385959893996</v>
      </c>
      <c r="J26" s="1"/>
    </row>
    <row r="27" spans="1:10" x14ac:dyDescent="0.2">
      <c r="C27" s="173"/>
      <c r="D27" s="173"/>
      <c r="E27" s="12">
        <f t="shared" si="0"/>
        <v>7</v>
      </c>
      <c r="F27" s="166">
        <f t="shared" si="2"/>
        <v>2031</v>
      </c>
      <c r="G27" s="81">
        <f t="shared" si="3"/>
        <v>16349</v>
      </c>
      <c r="H27" s="71">
        <f t="shared" si="1"/>
        <v>149430</v>
      </c>
      <c r="I27" s="167">
        <f>H27*NPV!C16</f>
        <v>57951.530325218861</v>
      </c>
      <c r="J27" s="1"/>
    </row>
    <row r="28" spans="1:10" x14ac:dyDescent="0.2">
      <c r="C28" s="173"/>
      <c r="D28" s="173"/>
      <c r="E28" s="12">
        <f t="shared" si="0"/>
        <v>8</v>
      </c>
      <c r="F28" s="166">
        <f t="shared" si="2"/>
        <v>2032</v>
      </c>
      <c r="G28" s="81">
        <f t="shared" si="3"/>
        <v>16611</v>
      </c>
      <c r="H28" s="71">
        <f t="shared" si="1"/>
        <v>151825</v>
      </c>
      <c r="I28" s="167">
        <f>H28*NPV!C17</f>
        <v>55028.366932201257</v>
      </c>
      <c r="J28" s="1"/>
    </row>
    <row r="29" spans="1:10" x14ac:dyDescent="0.2">
      <c r="C29" s="173"/>
      <c r="D29" s="173"/>
      <c r="E29" s="12">
        <f t="shared" si="0"/>
        <v>9</v>
      </c>
      <c r="F29" s="166">
        <f t="shared" si="2"/>
        <v>2033</v>
      </c>
      <c r="G29" s="81">
        <f t="shared" si="3"/>
        <v>16877</v>
      </c>
      <c r="H29" s="71">
        <f t="shared" si="1"/>
        <v>154256</v>
      </c>
      <c r="I29" s="167">
        <f>H29*NPV!C18</f>
        <v>52251.844117712004</v>
      </c>
      <c r="J29" s="1"/>
    </row>
    <row r="30" spans="1:10" x14ac:dyDescent="0.2">
      <c r="C30" s="173"/>
      <c r="D30" s="173"/>
      <c r="E30" s="12">
        <f t="shared" si="0"/>
        <v>10</v>
      </c>
      <c r="F30" s="166">
        <f t="shared" si="2"/>
        <v>2034</v>
      </c>
      <c r="G30" s="81">
        <f t="shared" si="3"/>
        <v>17147</v>
      </c>
      <c r="H30" s="71">
        <f t="shared" si="1"/>
        <v>156724</v>
      </c>
      <c r="I30" s="167">
        <f>H30*NPV!C19</f>
        <v>49614.804771097202</v>
      </c>
      <c r="J30" s="1"/>
    </row>
    <row r="31" spans="1:10" x14ac:dyDescent="0.2">
      <c r="C31" s="173"/>
      <c r="D31" s="173"/>
      <c r="E31" s="12">
        <f t="shared" si="0"/>
        <v>11</v>
      </c>
      <c r="F31" s="166">
        <f t="shared" si="2"/>
        <v>2035</v>
      </c>
      <c r="G31" s="81">
        <f t="shared" si="3"/>
        <v>17421</v>
      </c>
      <c r="H31" s="71">
        <f t="shared" si="1"/>
        <v>159228</v>
      </c>
      <c r="I31" s="167">
        <f>H31*NPV!C20</f>
        <v>47109.819668055447</v>
      </c>
      <c r="J31" s="1"/>
    </row>
    <row r="32" spans="1:10" x14ac:dyDescent="0.2">
      <c r="C32" s="173"/>
      <c r="D32" s="173"/>
      <c r="E32" s="12">
        <f t="shared" si="0"/>
        <v>12</v>
      </c>
      <c r="F32" s="166">
        <f t="shared" si="2"/>
        <v>2036</v>
      </c>
      <c r="G32" s="81">
        <f t="shared" si="3"/>
        <v>17700</v>
      </c>
      <c r="H32" s="71">
        <f t="shared" si="1"/>
        <v>161778</v>
      </c>
      <c r="I32" s="167">
        <f>H32*NPV!C21</f>
        <v>44732.965097827589</v>
      </c>
      <c r="J32" s="1"/>
    </row>
    <row r="33" spans="3:10" x14ac:dyDescent="0.2">
      <c r="C33" s="173"/>
      <c r="D33" s="173"/>
      <c r="E33" s="12">
        <f t="shared" si="0"/>
        <v>13</v>
      </c>
      <c r="F33" s="166">
        <f t="shared" si="2"/>
        <v>2037</v>
      </c>
      <c r="G33" s="81">
        <f t="shared" si="3"/>
        <v>17983</v>
      </c>
      <c r="H33" s="71">
        <f t="shared" si="1"/>
        <v>164365</v>
      </c>
      <c r="I33" s="167">
        <f>H33*NPV!C22</f>
        <v>42475.039397501532</v>
      </c>
      <c r="J33" s="1"/>
    </row>
    <row r="34" spans="3:10" x14ac:dyDescent="0.2">
      <c r="C34" s="173"/>
      <c r="D34" s="173"/>
      <c r="E34" s="12">
        <f t="shared" si="0"/>
        <v>14</v>
      </c>
      <c r="F34" s="166">
        <f t="shared" si="2"/>
        <v>2038</v>
      </c>
      <c r="G34" s="81">
        <f t="shared" si="3"/>
        <v>18271</v>
      </c>
      <c r="H34" s="71">
        <f t="shared" si="1"/>
        <v>166997</v>
      </c>
      <c r="I34" s="167">
        <f>H34*NPV!C23</f>
        <v>40331.960946642648</v>
      </c>
      <c r="J34" s="1"/>
    </row>
    <row r="35" spans="3:10" x14ac:dyDescent="0.2">
      <c r="C35" s="173"/>
      <c r="D35" s="173"/>
      <c r="E35" s="12">
        <f t="shared" si="0"/>
        <v>15</v>
      </c>
      <c r="F35" s="166">
        <f t="shared" si="2"/>
        <v>2039</v>
      </c>
      <c r="G35" s="81">
        <f t="shared" si="3"/>
        <v>18563</v>
      </c>
      <c r="H35" s="71">
        <f t="shared" si="1"/>
        <v>169666</v>
      </c>
      <c r="I35" s="167">
        <f>H35*NPV!C24</f>
        <v>38295.849883324176</v>
      </c>
      <c r="J35" s="1"/>
    </row>
    <row r="36" spans="3:10" x14ac:dyDescent="0.2">
      <c r="C36" s="173"/>
      <c r="D36" s="173"/>
      <c r="E36" s="12">
        <f t="shared" si="0"/>
        <v>16</v>
      </c>
      <c r="F36" s="166">
        <f t="shared" si="2"/>
        <v>2040</v>
      </c>
      <c r="G36" s="81">
        <f>ROUND($B$2*(1+$B$3)^E36,0)</f>
        <v>18860</v>
      </c>
      <c r="H36" s="71">
        <f t="shared" si="1"/>
        <v>172380</v>
      </c>
      <c r="I36" s="167">
        <f>H36*NPV!C25</f>
        <v>36363.023751047665</v>
      </c>
      <c r="J36" s="1"/>
    </row>
    <row r="37" spans="3:10" x14ac:dyDescent="0.2">
      <c r="C37" s="173"/>
      <c r="D37" s="173"/>
      <c r="E37" s="12">
        <f t="shared" si="0"/>
        <v>17</v>
      </c>
      <c r="F37" s="166">
        <f t="shared" si="2"/>
        <v>2041</v>
      </c>
      <c r="G37" s="81">
        <f>ROUND($G$36*(1+$B$4)^(F37-$F$36),0)</f>
        <v>19030</v>
      </c>
      <c r="H37" s="71">
        <f t="shared" si="1"/>
        <v>173934</v>
      </c>
      <c r="I37" s="167">
        <f>H37*NPV!C26</f>
        <v>34290.500194173947</v>
      </c>
      <c r="J37" s="1"/>
    </row>
    <row r="38" spans="3:10" x14ac:dyDescent="0.2">
      <c r="C38" s="173"/>
      <c r="D38" s="173"/>
      <c r="E38" s="12">
        <f t="shared" si="0"/>
        <v>18</v>
      </c>
      <c r="F38" s="166">
        <f t="shared" si="2"/>
        <v>2042</v>
      </c>
      <c r="G38" s="81">
        <f t="shared" ref="G38:G50" si="4">ROUND($G$36*(1+$B$4)^(F38-$F$36),0)</f>
        <v>19201</v>
      </c>
      <c r="H38" s="71">
        <f t="shared" si="1"/>
        <v>175497</v>
      </c>
      <c r="I38" s="167">
        <f>H38*NPV!C27</f>
        <v>32335.177907620477</v>
      </c>
      <c r="J38" s="1"/>
    </row>
    <row r="39" spans="3:10" x14ac:dyDescent="0.2">
      <c r="C39" s="173"/>
      <c r="D39" s="173"/>
      <c r="E39" s="12">
        <f t="shared" si="0"/>
        <v>19</v>
      </c>
      <c r="F39" s="166">
        <f t="shared" si="2"/>
        <v>2043</v>
      </c>
      <c r="G39" s="81">
        <f t="shared" si="4"/>
        <v>19374</v>
      </c>
      <c r="H39" s="71">
        <f t="shared" si="1"/>
        <v>177078</v>
      </c>
      <c r="I39" s="167">
        <f>H39*NPV!C28</f>
        <v>30492.033511479574</v>
      </c>
      <c r="J39" s="1"/>
    </row>
    <row r="40" spans="3:10" x14ac:dyDescent="0.2">
      <c r="C40" s="173"/>
      <c r="D40" s="173"/>
      <c r="E40" s="100">
        <f t="shared" ref="E40:E49" si="5">F40-$F$20</f>
        <v>20</v>
      </c>
      <c r="F40" s="166">
        <f t="shared" si="2"/>
        <v>2044</v>
      </c>
      <c r="G40" s="81">
        <f t="shared" si="4"/>
        <v>19548</v>
      </c>
      <c r="H40" s="71">
        <f t="shared" si="1"/>
        <v>178669</v>
      </c>
      <c r="I40" s="167">
        <f>H40*NPV!C29</f>
        <v>28753.267795196978</v>
      </c>
      <c r="J40" s="1"/>
    </row>
    <row r="41" spans="3:10" x14ac:dyDescent="0.2">
      <c r="C41" s="173"/>
      <c r="D41" s="173"/>
      <c r="E41" s="100">
        <f t="shared" si="5"/>
        <v>21</v>
      </c>
      <c r="F41" s="166">
        <f t="shared" si="2"/>
        <v>2045</v>
      </c>
      <c r="G41" s="81">
        <f t="shared" si="4"/>
        <v>19724</v>
      </c>
      <c r="H41" s="71">
        <f t="shared" si="1"/>
        <v>180277</v>
      </c>
      <c r="I41" s="167">
        <f>H41*NPV!C30</f>
        <v>27114.059650295367</v>
      </c>
      <c r="J41" s="1"/>
    </row>
    <row r="42" spans="3:10" x14ac:dyDescent="0.2">
      <c r="C42" s="173"/>
      <c r="D42" s="173"/>
      <c r="E42" s="100">
        <f t="shared" si="5"/>
        <v>22</v>
      </c>
      <c r="F42" s="166">
        <f t="shared" si="2"/>
        <v>2046</v>
      </c>
      <c r="G42" s="81">
        <f t="shared" si="4"/>
        <v>19902</v>
      </c>
      <c r="H42" s="71">
        <f t="shared" si="1"/>
        <v>181904</v>
      </c>
      <c r="I42" s="167">
        <f>H42*NPV!C31</f>
        <v>25568.9383644107</v>
      </c>
      <c r="J42" s="1"/>
    </row>
    <row r="43" spans="3:10" x14ac:dyDescent="0.2">
      <c r="C43" s="173"/>
      <c r="D43" s="173"/>
      <c r="E43" s="100">
        <f t="shared" si="5"/>
        <v>23</v>
      </c>
      <c r="F43" s="166">
        <f t="shared" si="2"/>
        <v>2047</v>
      </c>
      <c r="G43" s="81">
        <f t="shared" si="4"/>
        <v>20081</v>
      </c>
      <c r="H43" s="71">
        <f t="shared" si="1"/>
        <v>183540</v>
      </c>
      <c r="I43" s="167">
        <f>H43*NPV!C32</f>
        <v>24111.120682553414</v>
      </c>
      <c r="J43" s="1"/>
    </row>
    <row r="44" spans="3:10" x14ac:dyDescent="0.2">
      <c r="C44" s="173"/>
      <c r="D44" s="173"/>
      <c r="E44" s="100">
        <f t="shared" si="5"/>
        <v>24</v>
      </c>
      <c r="F44" s="166">
        <f t="shared" si="2"/>
        <v>2048</v>
      </c>
      <c r="G44" s="81">
        <f t="shared" si="4"/>
        <v>20261</v>
      </c>
      <c r="H44" s="71">
        <f t="shared" si="1"/>
        <v>185186</v>
      </c>
      <c r="I44" s="167">
        <f>H44*NPV!C33</f>
        <v>22735.842016252209</v>
      </c>
      <c r="J44" s="1"/>
    </row>
    <row r="45" spans="3:10" x14ac:dyDescent="0.2">
      <c r="C45" s="173"/>
      <c r="D45" s="173"/>
      <c r="E45" s="100">
        <f t="shared" si="5"/>
        <v>25</v>
      </c>
      <c r="F45" s="166">
        <f t="shared" si="2"/>
        <v>2049</v>
      </c>
      <c r="G45" s="81">
        <f t="shared" si="4"/>
        <v>20444</v>
      </c>
      <c r="H45" s="71">
        <f t="shared" si="1"/>
        <v>186858</v>
      </c>
      <c r="I45" s="167">
        <f>H45*NPV!C34</f>
        <v>21440.297648067375</v>
      </c>
      <c r="J45" s="1"/>
    </row>
    <row r="46" spans="3:10" x14ac:dyDescent="0.2">
      <c r="C46" s="173"/>
      <c r="D46" s="173"/>
      <c r="E46" s="100">
        <f t="shared" si="5"/>
        <v>26</v>
      </c>
      <c r="F46" s="166">
        <f t="shared" si="2"/>
        <v>2050</v>
      </c>
      <c r="G46" s="81">
        <f t="shared" si="4"/>
        <v>20628</v>
      </c>
      <c r="H46" s="71">
        <f t="shared" si="1"/>
        <v>188540</v>
      </c>
      <c r="I46" s="167">
        <f>H46*NPV!C35</f>
        <v>20218.030116760277</v>
      </c>
      <c r="J46" s="1"/>
    </row>
    <row r="47" spans="3:10" x14ac:dyDescent="0.2">
      <c r="C47" s="173"/>
      <c r="D47" s="173"/>
      <c r="E47" s="100">
        <f t="shared" si="5"/>
        <v>27</v>
      </c>
      <c r="F47" s="166">
        <f t="shared" si="2"/>
        <v>2051</v>
      </c>
      <c r="G47" s="81">
        <f t="shared" si="4"/>
        <v>20813</v>
      </c>
      <c r="H47" s="71">
        <f t="shared" si="1"/>
        <v>190231</v>
      </c>
      <c r="I47" s="167">
        <f>H47*NPV!C36</f>
        <v>19064.826161192523</v>
      </c>
      <c r="J47" s="1"/>
    </row>
    <row r="48" spans="3:10" x14ac:dyDescent="0.2">
      <c r="C48" s="173"/>
      <c r="D48" s="173"/>
      <c r="E48" s="100">
        <f t="shared" si="5"/>
        <v>28</v>
      </c>
      <c r="F48" s="166">
        <f t="shared" si="2"/>
        <v>2052</v>
      </c>
      <c r="G48" s="81">
        <f t="shared" si="4"/>
        <v>21001</v>
      </c>
      <c r="H48" s="71">
        <f t="shared" si="1"/>
        <v>191949</v>
      </c>
      <c r="I48" s="167">
        <f>H48*NPV!C37</f>
        <v>17978.507472320754</v>
      </c>
      <c r="J48" s="1"/>
    </row>
    <row r="49" spans="3:10" x14ac:dyDescent="0.2">
      <c r="C49" s="173"/>
      <c r="D49" s="173"/>
      <c r="E49" s="100">
        <f t="shared" si="5"/>
        <v>29</v>
      </c>
      <c r="F49" s="166">
        <f t="shared" si="2"/>
        <v>2053</v>
      </c>
      <c r="G49" s="81">
        <f t="shared" si="4"/>
        <v>21190</v>
      </c>
      <c r="H49" s="71">
        <f t="shared" si="1"/>
        <v>193677</v>
      </c>
      <c r="I49" s="167">
        <f>H49*NPV!C38</f>
        <v>16953.604701738906</v>
      </c>
      <c r="J49" s="1"/>
    </row>
    <row r="50" spans="3:10" x14ac:dyDescent="0.2">
      <c r="C50" s="173"/>
      <c r="D50" s="173"/>
      <c r="E50" s="12">
        <f>F50-$F$20</f>
        <v>30</v>
      </c>
      <c r="F50" s="166">
        <f t="shared" si="2"/>
        <v>2054</v>
      </c>
      <c r="G50" s="81">
        <f t="shared" si="4"/>
        <v>21381</v>
      </c>
      <c r="H50" s="71">
        <f t="shared" si="1"/>
        <v>195422</v>
      </c>
      <c r="I50" s="167">
        <f>H50*NPV!C40</f>
        <v>14941.352147935206</v>
      </c>
      <c r="J50" s="1"/>
    </row>
    <row r="51" spans="3:10" ht="13.5" thickBot="1" x14ac:dyDescent="0.25">
      <c r="C51" s="1"/>
      <c r="D51" s="174"/>
      <c r="F51" s="762" t="s">
        <v>0</v>
      </c>
      <c r="G51" s="763"/>
      <c r="H51" s="178">
        <f>SUM(H20:H50)</f>
        <v>5171585</v>
      </c>
      <c r="I51" s="179">
        <f>SUM(I20:I50)</f>
        <v>1301869.5847226745</v>
      </c>
      <c r="J51" s="1"/>
    </row>
    <row r="56" spans="3:10" x14ac:dyDescent="0.2">
      <c r="G56" s="6"/>
    </row>
    <row r="57" spans="3:10" x14ac:dyDescent="0.2">
      <c r="G57" s="132"/>
    </row>
  </sheetData>
  <mergeCells count="7">
    <mergeCell ref="F51:G51"/>
    <mergeCell ref="A13:B13"/>
    <mergeCell ref="A17:B17"/>
    <mergeCell ref="A1:B1"/>
    <mergeCell ref="A5:B5"/>
    <mergeCell ref="A7:B7"/>
    <mergeCell ref="A9:B9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2"/>
  <sheetViews>
    <sheetView zoomScaleNormal="100" workbookViewId="0">
      <selection activeCell="Y62" sqref="Y62"/>
    </sheetView>
  </sheetViews>
  <sheetFormatPr defaultRowHeight="12.75" x14ac:dyDescent="0.2"/>
  <cols>
    <col min="1" max="1" width="19.5703125" customWidth="1"/>
    <col min="2" max="2" width="27.140625" bestFit="1" customWidth="1"/>
    <col min="3" max="10" width="12.5703125" customWidth="1"/>
    <col min="11" max="12" width="10.7109375" customWidth="1"/>
    <col min="13" max="13" width="7.42578125" style="73" customWidth="1"/>
    <col min="14" max="14" width="10.7109375" customWidth="1"/>
    <col min="15" max="15" width="6.85546875" customWidth="1"/>
    <col min="16" max="16" width="11.140625" customWidth="1"/>
    <col min="17" max="17" width="8.28515625" customWidth="1"/>
    <col min="18" max="18" width="10.28515625" customWidth="1"/>
    <col min="19" max="19" width="7.5703125" customWidth="1"/>
    <col min="20" max="20" width="11.7109375" customWidth="1"/>
    <col min="21" max="21" width="10.42578125" customWidth="1"/>
    <col min="22" max="22" width="12.42578125" customWidth="1"/>
    <col min="23" max="23" width="10.7109375" customWidth="1"/>
    <col min="24" max="24" width="15.28515625" customWidth="1"/>
    <col min="25" max="25" width="14.85546875" customWidth="1"/>
    <col min="26" max="27" width="15.7109375" customWidth="1"/>
  </cols>
  <sheetData>
    <row r="1" spans="1:22" x14ac:dyDescent="0.2">
      <c r="A1" s="710" t="s">
        <v>94</v>
      </c>
      <c r="B1" s="787" t="s">
        <v>93</v>
      </c>
      <c r="C1" s="790" t="s">
        <v>166</v>
      </c>
      <c r="D1" s="791"/>
      <c r="E1" s="791"/>
      <c r="F1" s="792"/>
      <c r="G1" s="783" t="s">
        <v>183</v>
      </c>
      <c r="H1" s="784"/>
      <c r="I1" s="784"/>
      <c r="J1" s="785"/>
      <c r="K1" s="790" t="s">
        <v>165</v>
      </c>
      <c r="L1" s="791"/>
      <c r="M1" s="791"/>
      <c r="N1" s="792"/>
      <c r="O1" s="783" t="s">
        <v>184</v>
      </c>
      <c r="P1" s="784"/>
      <c r="Q1" s="784"/>
      <c r="R1" s="785"/>
      <c r="S1" s="789" t="s">
        <v>97</v>
      </c>
      <c r="T1" s="764" t="s">
        <v>98</v>
      </c>
    </row>
    <row r="2" spans="1:22" ht="38.25" x14ac:dyDescent="0.2">
      <c r="A2" s="710"/>
      <c r="B2" s="787"/>
      <c r="C2" s="141" t="s">
        <v>95</v>
      </c>
      <c r="D2" s="89" t="s">
        <v>158</v>
      </c>
      <c r="E2" s="89" t="s">
        <v>96</v>
      </c>
      <c r="F2" s="142" t="s">
        <v>159</v>
      </c>
      <c r="G2" s="141" t="s">
        <v>95</v>
      </c>
      <c r="H2" s="89" t="s">
        <v>158</v>
      </c>
      <c r="I2" s="89" t="s">
        <v>96</v>
      </c>
      <c r="J2" s="142" t="s">
        <v>159</v>
      </c>
      <c r="K2" s="141" t="s">
        <v>95</v>
      </c>
      <c r="L2" s="89" t="s">
        <v>158</v>
      </c>
      <c r="M2" s="89" t="s">
        <v>96</v>
      </c>
      <c r="N2" s="142" t="s">
        <v>159</v>
      </c>
      <c r="O2" s="141" t="s">
        <v>95</v>
      </c>
      <c r="P2" s="89" t="s">
        <v>158</v>
      </c>
      <c r="Q2" s="89" t="s">
        <v>96</v>
      </c>
      <c r="R2" s="142" t="s">
        <v>159</v>
      </c>
      <c r="S2" s="789"/>
      <c r="T2" s="764"/>
    </row>
    <row r="3" spans="1:22" x14ac:dyDescent="0.2">
      <c r="A3" s="21">
        <v>1</v>
      </c>
      <c r="B3" s="139"/>
      <c r="C3" s="146">
        <f>90+576+30+25+5+15+35+1198+30+31+5+90</f>
        <v>2130</v>
      </c>
      <c r="D3" s="127">
        <v>14</v>
      </c>
      <c r="E3" s="127">
        <f>200+1202+40+35+10+25+15+903+45+45+10+150</f>
        <v>2680</v>
      </c>
      <c r="F3" s="145">
        <v>15.6</v>
      </c>
      <c r="G3" s="146">
        <f>29+566+30+25+5+15+35+1260+30+90+5+31</f>
        <v>2121</v>
      </c>
      <c r="H3" s="127">
        <v>18</v>
      </c>
      <c r="I3" s="127">
        <f>65+1225+40+35+10+25+15+963+45+45+10+150</f>
        <v>2628</v>
      </c>
      <c r="J3" s="145">
        <v>17.7</v>
      </c>
      <c r="K3" s="146">
        <f>127+1109+54+45+6+26+78+2100+53+69+6+127</f>
        <v>3800</v>
      </c>
      <c r="L3" s="127">
        <v>106.7</v>
      </c>
      <c r="M3" s="127">
        <f>292+2203+71+62+13+44+26+1727+100+100+13+212</f>
        <v>4863</v>
      </c>
      <c r="N3" s="145">
        <v>120</v>
      </c>
      <c r="O3" s="146">
        <f>45+1067+60+50+8+30+60+2191+50+45+8+130</f>
        <v>3744</v>
      </c>
      <c r="P3" s="127">
        <v>34.6</v>
      </c>
      <c r="Q3" s="127">
        <f>110+2191+80+70+15+50+85+1641+30+75+15+250</f>
        <v>4612</v>
      </c>
      <c r="R3" s="145">
        <v>48.8</v>
      </c>
      <c r="S3" s="140">
        <f t="shared" ref="S3:S9" si="0">L3-P3</f>
        <v>72.099999999999994</v>
      </c>
      <c r="T3" s="23">
        <f t="shared" ref="T3:T9" si="1">N3-R3</f>
        <v>71.2</v>
      </c>
    </row>
    <row r="4" spans="1:22" x14ac:dyDescent="0.2">
      <c r="A4" s="21">
        <f>A3+1</f>
        <v>2</v>
      </c>
      <c r="B4" s="139"/>
      <c r="C4" s="146">
        <f>22+934+59+49+2+19+25+1533+10+6+2+22</f>
        <v>2683</v>
      </c>
      <c r="D4" s="127">
        <v>19.7</v>
      </c>
      <c r="E4" s="127">
        <f>32+1928+53+63+3+24+24+1522+10+8+2+29</f>
        <v>3698</v>
      </c>
      <c r="F4" s="145">
        <v>14.2</v>
      </c>
      <c r="G4" s="146">
        <f>149+598+22+7+2+168+45+1383+7+49+2+19</f>
        <v>2451</v>
      </c>
      <c r="H4" s="127">
        <v>13</v>
      </c>
      <c r="I4" s="127">
        <f>85+3+24+45+1185+8+15+2+340+175+1306+32</f>
        <v>3220</v>
      </c>
      <c r="J4" s="145">
        <v>17.899999999999999</v>
      </c>
      <c r="K4" s="146">
        <f>70+1495+100+2+40+30+2445+52+69+2+18</f>
        <v>4323</v>
      </c>
      <c r="L4" s="127">
        <v>81.900000000000006</v>
      </c>
      <c r="M4" s="127">
        <f>102+3040+109+129+3+50+50+2389+30+24+2+92</f>
        <v>6020</v>
      </c>
      <c r="N4" s="145">
        <v>164.7</v>
      </c>
      <c r="O4" s="146">
        <f>67+1112+230+49+2+40+75+2397+34+20+2+288</f>
        <v>4316</v>
      </c>
      <c r="P4" s="127">
        <v>64.8</v>
      </c>
      <c r="Q4" s="127">
        <f>103+2216+255+85+3+40+75+2046+35+30+2+618</f>
        <v>5508</v>
      </c>
      <c r="R4" s="145">
        <v>137.4</v>
      </c>
      <c r="S4" s="140">
        <f t="shared" ref="S4:S5" si="2">L4-P4</f>
        <v>17.100000000000009</v>
      </c>
      <c r="T4" s="137">
        <f t="shared" ref="T4:T5" si="3">N4-R4</f>
        <v>27.299999999999983</v>
      </c>
    </row>
    <row r="5" spans="1:22" x14ac:dyDescent="0.2">
      <c r="A5" s="106">
        <f t="shared" ref="A5" si="4">A4+1</f>
        <v>3</v>
      </c>
      <c r="B5" s="139"/>
      <c r="C5" s="146">
        <f>20+210+80+1+805+1344+260</f>
        <v>2720</v>
      </c>
      <c r="D5" s="127">
        <v>10.8</v>
      </c>
      <c r="E5" s="127">
        <f>300+20+90+1+1713+1334+280</f>
        <v>3738</v>
      </c>
      <c r="F5" s="145">
        <v>38.299999999999997</v>
      </c>
      <c r="G5" s="146">
        <f>210+20+599+1+80+1340+260</f>
        <v>2510</v>
      </c>
      <c r="H5" s="127">
        <v>6.6</v>
      </c>
      <c r="I5" s="127">
        <f>300+20+90+1+1215+1330+280</f>
        <v>3236</v>
      </c>
      <c r="J5" s="145">
        <v>15.4</v>
      </c>
      <c r="K5" s="146">
        <f>40+422+176+1+1264+499+2115</f>
        <v>4517</v>
      </c>
      <c r="L5" s="127">
        <v>101.3</v>
      </c>
      <c r="M5" s="127">
        <f>40+564+198+1+2687+2099+511</f>
        <v>6100</v>
      </c>
      <c r="N5" s="145">
        <v>293.10000000000002</v>
      </c>
      <c r="O5" s="146">
        <f>30+445+175+1+964+2235+499</f>
        <v>4349</v>
      </c>
      <c r="P5" s="127">
        <v>103.9</v>
      </c>
      <c r="Q5" s="127">
        <f>40+590+200+1+1984+2225+524</f>
        <v>5564</v>
      </c>
      <c r="R5" s="145">
        <v>182.6</v>
      </c>
      <c r="S5" s="140">
        <f t="shared" si="2"/>
        <v>-2.6000000000000085</v>
      </c>
      <c r="T5" s="137">
        <f t="shared" si="3"/>
        <v>110.50000000000003</v>
      </c>
    </row>
    <row r="6" spans="1:22" x14ac:dyDescent="0.2">
      <c r="A6" s="106"/>
      <c r="B6" s="139"/>
      <c r="C6" s="143"/>
      <c r="D6" s="136"/>
      <c r="E6" s="136"/>
      <c r="F6" s="144"/>
      <c r="G6" s="143"/>
      <c r="H6" s="136"/>
      <c r="I6" s="136"/>
      <c r="J6" s="144"/>
      <c r="K6" s="143"/>
      <c r="L6" s="136"/>
      <c r="M6" s="136"/>
      <c r="N6" s="144"/>
      <c r="O6" s="143"/>
      <c r="P6" s="136"/>
      <c r="Q6" s="136"/>
      <c r="R6" s="144"/>
      <c r="S6" s="795" t="s">
        <v>171</v>
      </c>
      <c r="T6" s="796"/>
    </row>
    <row r="7" spans="1:22" x14ac:dyDescent="0.2">
      <c r="A7" s="106"/>
      <c r="B7" s="139"/>
      <c r="C7" s="143"/>
      <c r="D7" s="136"/>
      <c r="E7" s="136"/>
      <c r="F7" s="144"/>
      <c r="G7" s="143"/>
      <c r="H7" s="136"/>
      <c r="I7" s="136"/>
      <c r="J7" s="144"/>
      <c r="K7" s="143"/>
      <c r="L7" s="136"/>
      <c r="M7" s="136"/>
      <c r="N7" s="144"/>
      <c r="O7" s="143"/>
      <c r="P7" s="136"/>
      <c r="Q7" s="136"/>
      <c r="R7" s="144"/>
      <c r="S7" s="138">
        <f>+D9-H9</f>
        <v>6.8999999999999986</v>
      </c>
      <c r="T7" s="138">
        <f>+F9-J9</f>
        <v>17.100000000000001</v>
      </c>
    </row>
    <row r="8" spans="1:22" x14ac:dyDescent="0.2">
      <c r="A8" s="106"/>
      <c r="B8" s="139"/>
      <c r="C8" s="143"/>
      <c r="D8" s="136"/>
      <c r="E8" s="136"/>
      <c r="F8" s="144"/>
      <c r="G8" s="143"/>
      <c r="H8" s="136"/>
      <c r="I8" s="136"/>
      <c r="J8" s="144"/>
      <c r="K8" s="143"/>
      <c r="L8" s="136"/>
      <c r="M8" s="136"/>
      <c r="N8" s="144"/>
      <c r="O8" s="143"/>
      <c r="P8" s="136"/>
      <c r="Q8" s="136"/>
      <c r="R8" s="144"/>
      <c r="S8" s="795" t="s">
        <v>172</v>
      </c>
      <c r="T8" s="796"/>
    </row>
    <row r="9" spans="1:22" ht="13.5" thickBot="1" x14ac:dyDescent="0.25">
      <c r="A9" s="755" t="s">
        <v>0</v>
      </c>
      <c r="B9" s="756"/>
      <c r="C9" s="208">
        <f>+C5</f>
        <v>2720</v>
      </c>
      <c r="D9" s="209">
        <f>SUM(D3:D8)</f>
        <v>44.5</v>
      </c>
      <c r="E9" s="208">
        <f>+E5</f>
        <v>3738</v>
      </c>
      <c r="F9" s="210">
        <f>SUM(F3:F8)</f>
        <v>68.099999999999994</v>
      </c>
      <c r="G9" s="208">
        <f>+G5</f>
        <v>2510</v>
      </c>
      <c r="H9" s="209">
        <f>SUM(H3:H8)</f>
        <v>37.6</v>
      </c>
      <c r="I9" s="208">
        <f>+I5</f>
        <v>3236</v>
      </c>
      <c r="J9" s="210">
        <f>SUM(J3:J8)</f>
        <v>50.999999999999993</v>
      </c>
      <c r="K9" s="208">
        <f>+K5</f>
        <v>4517</v>
      </c>
      <c r="L9" s="209">
        <f>SUM(L3:L8)</f>
        <v>289.90000000000003</v>
      </c>
      <c r="M9" s="208">
        <f>+M5</f>
        <v>6100</v>
      </c>
      <c r="N9" s="210">
        <f>SUM(N3:N8)</f>
        <v>577.79999999999995</v>
      </c>
      <c r="O9" s="208">
        <f>+O5</f>
        <v>4349</v>
      </c>
      <c r="P9" s="209">
        <f>SUM(P3:P8)</f>
        <v>203.3</v>
      </c>
      <c r="Q9" s="208">
        <f>+Q5</f>
        <v>5564</v>
      </c>
      <c r="R9" s="210">
        <f>SUM(R3:R8)</f>
        <v>368.79999999999995</v>
      </c>
      <c r="S9" s="138">
        <f t="shared" si="0"/>
        <v>86.600000000000023</v>
      </c>
      <c r="T9" s="98">
        <f t="shared" si="1"/>
        <v>209</v>
      </c>
    </row>
    <row r="10" spans="1:22" x14ac:dyDescent="0.2">
      <c r="A10" s="744" t="s">
        <v>176</v>
      </c>
      <c r="B10" s="744"/>
      <c r="C10" s="786"/>
      <c r="D10" s="786"/>
      <c r="E10" s="786"/>
      <c r="F10" s="786"/>
      <c r="G10" s="786"/>
      <c r="H10" s="786"/>
      <c r="I10" s="786"/>
      <c r="J10" s="786"/>
      <c r="K10" s="786"/>
      <c r="L10" s="786"/>
      <c r="M10" s="786"/>
      <c r="N10" s="786"/>
      <c r="O10" s="786"/>
      <c r="P10" s="786"/>
      <c r="Q10" s="786"/>
      <c r="R10" s="786"/>
      <c r="S10" s="744"/>
      <c r="T10" s="744"/>
      <c r="U10" s="123"/>
      <c r="V10" s="123"/>
    </row>
    <row r="11" spans="1:22" x14ac:dyDescent="0.2">
      <c r="A11" s="6"/>
    </row>
    <row r="12" spans="1:22" ht="30.75" customHeight="1" x14ac:dyDescent="0.2">
      <c r="A12" s="764" t="s">
        <v>81</v>
      </c>
      <c r="B12" s="764"/>
      <c r="C12" s="86"/>
      <c r="D12" s="121"/>
      <c r="E12" s="121"/>
      <c r="F12" s="121"/>
      <c r="G12" s="121"/>
      <c r="H12" s="121"/>
      <c r="I12" s="86"/>
      <c r="J12" s="86"/>
      <c r="L12" s="86"/>
      <c r="R12" t="s">
        <v>173</v>
      </c>
      <c r="S12" s="158">
        <f>+AVERAGE(S9,S7)</f>
        <v>46.750000000000014</v>
      </c>
      <c r="T12" s="158">
        <f>+AVERAGE(T9,T7)</f>
        <v>113.05</v>
      </c>
    </row>
    <row r="13" spans="1:22" x14ac:dyDescent="0.2">
      <c r="A13" s="21" t="s">
        <v>82</v>
      </c>
      <c r="B13" s="15" t="s">
        <v>83</v>
      </c>
      <c r="C13" s="133"/>
      <c r="D13" s="154"/>
      <c r="E13" s="70">
        <f>(E39/E17)^(1/($D$39-$D$17))-1</f>
        <v>2.3323108046233942E-2</v>
      </c>
      <c r="F13" s="70">
        <f>(F39/F17)^(1/($D$39-$D$17))-1</f>
        <v>2.2510441896744116E-2</v>
      </c>
      <c r="H13" s="70">
        <f>(H39/H17)^(1/($D$39-$D$17))-1</f>
        <v>2.5299423092086437E-2</v>
      </c>
      <c r="I13" s="70">
        <f>(I39/I17)^(1/($D$39-$D$17))-1</f>
        <v>2.4941380895517673E-2</v>
      </c>
      <c r="J13" s="70">
        <f>(J39/J17)^(1/($D$39-$D$17))-1</f>
        <v>0.1218621375058786</v>
      </c>
      <c r="K13" s="70">
        <f>(K39/K17)^(1/($D$39-$D$17))-1</f>
        <v>0.12051046525207099</v>
      </c>
      <c r="L13" s="133"/>
      <c r="R13" t="s">
        <v>174</v>
      </c>
      <c r="S13">
        <f>+S12/60</f>
        <v>0.7791666666666669</v>
      </c>
      <c r="T13">
        <f>+T12/60</f>
        <v>1.8841666666666665</v>
      </c>
      <c r="U13">
        <f>AVERAGE(S13:T13)</f>
        <v>1.3316666666666668</v>
      </c>
    </row>
    <row r="14" spans="1:22" ht="13.5" thickBot="1" x14ac:dyDescent="0.25">
      <c r="A14" s="773" t="s">
        <v>84</v>
      </c>
      <c r="B14" s="775"/>
      <c r="C14" s="148"/>
      <c r="D14" s="151"/>
      <c r="I14" s="148"/>
      <c r="J14" s="148"/>
      <c r="K14" s="148"/>
      <c r="L14" s="148"/>
    </row>
    <row r="15" spans="1:22" ht="27.75" customHeight="1" x14ac:dyDescent="0.2">
      <c r="A15" s="85" t="s">
        <v>85</v>
      </c>
      <c r="B15" s="181">
        <v>14.2</v>
      </c>
      <c r="C15" s="122"/>
      <c r="D15" s="182" t="s">
        <v>1</v>
      </c>
      <c r="E15" s="793" t="s">
        <v>178</v>
      </c>
      <c r="F15" s="794"/>
      <c r="G15" s="194" t="s">
        <v>1</v>
      </c>
      <c r="H15" s="793" t="s">
        <v>177</v>
      </c>
      <c r="I15" s="794"/>
      <c r="J15" s="797" t="s">
        <v>179</v>
      </c>
      <c r="K15" s="798"/>
      <c r="L15" s="149"/>
    </row>
    <row r="16" spans="1:22" x14ac:dyDescent="0.2">
      <c r="A16" s="18" t="s">
        <v>86</v>
      </c>
      <c r="B16" s="102">
        <v>26.5</v>
      </c>
      <c r="C16" s="122"/>
      <c r="D16" s="183"/>
      <c r="E16" s="188" t="s">
        <v>168</v>
      </c>
      <c r="F16" s="189" t="s">
        <v>169</v>
      </c>
      <c r="G16" s="195"/>
      <c r="H16" s="188" t="s">
        <v>168</v>
      </c>
      <c r="I16" s="189" t="s">
        <v>169</v>
      </c>
      <c r="J16" s="188" t="s">
        <v>167</v>
      </c>
      <c r="K16" s="142" t="s">
        <v>170</v>
      </c>
      <c r="L16" s="149"/>
    </row>
    <row r="17" spans="1:15" x14ac:dyDescent="0.2">
      <c r="A17" s="17" t="s">
        <v>87</v>
      </c>
      <c r="B17" s="103">
        <v>14.8</v>
      </c>
      <c r="C17" s="122"/>
      <c r="D17" s="184">
        <v>2018</v>
      </c>
      <c r="E17" s="200">
        <f>+C9</f>
        <v>2720</v>
      </c>
      <c r="F17" s="145">
        <f>+E9</f>
        <v>3738</v>
      </c>
      <c r="G17" s="196">
        <v>2018</v>
      </c>
      <c r="H17" s="200">
        <f>+G9</f>
        <v>2510</v>
      </c>
      <c r="I17" s="145">
        <f>+I9</f>
        <v>3236</v>
      </c>
      <c r="J17" s="201">
        <f>+S7</f>
        <v>6.8999999999999986</v>
      </c>
      <c r="K17" s="202">
        <f>+T7</f>
        <v>17.100000000000001</v>
      </c>
      <c r="L17" s="149"/>
    </row>
    <row r="18" spans="1:15" x14ac:dyDescent="0.2">
      <c r="A18" s="773" t="s">
        <v>88</v>
      </c>
      <c r="B18" s="774"/>
      <c r="C18" s="148"/>
      <c r="D18" s="185">
        <v>2019</v>
      </c>
      <c r="E18" s="190">
        <f>+$E$17*(1+E$13)^(D18-D$17)</f>
        <v>2783.4388538857565</v>
      </c>
      <c r="F18" s="191">
        <f>+F$17*(1+F$13)^(D18-D$17)</f>
        <v>3822.1440318100294</v>
      </c>
      <c r="G18" s="197">
        <v>2019</v>
      </c>
      <c r="H18" s="190">
        <f>+$H$17*(1+H$13)^(G18-G$17)</f>
        <v>2573.501551961137</v>
      </c>
      <c r="I18" s="191">
        <f>+$I$17*(1+I$13)^(G18-G$17)</f>
        <v>3316.7103085778954</v>
      </c>
      <c r="J18" s="190">
        <f>+$J$17*(1+J$13)^(G18-G$17)</f>
        <v>7.7408487487905608</v>
      </c>
      <c r="K18" s="191">
        <f>+$K$17*(1+K$13)^(G18-G$17)</f>
        <v>19.160728955810416</v>
      </c>
      <c r="L18" s="148"/>
    </row>
    <row r="19" spans="1:15" x14ac:dyDescent="0.2">
      <c r="A19" s="16" t="s">
        <v>89</v>
      </c>
      <c r="B19" s="126">
        <v>28.6</v>
      </c>
      <c r="C19" s="122"/>
      <c r="D19" s="186">
        <f>+D18+1</f>
        <v>2020</v>
      </c>
      <c r="E19" s="190">
        <f t="shared" ref="E19:E38" si="5">+$E$17*(1+E$13)^(D19-D$17)</f>
        <v>2848.3572990150192</v>
      </c>
      <c r="F19" s="191">
        <f t="shared" ref="F19:F40" si="6">+F$17*(1+F$13)^(D19-D$17)</f>
        <v>3908.1821829590763</v>
      </c>
      <c r="G19" s="198">
        <f>+G18+1</f>
        <v>2020</v>
      </c>
      <c r="H19" s="190">
        <f t="shared" ref="H19" si="7">+$E$17*(1+H$13)^(G19-G$17)</f>
        <v>2859.3698270208656</v>
      </c>
      <c r="I19" s="191">
        <f t="shared" ref="I19:I38" si="8">+$I$17*(1+I$13)^(G19-G$17)</f>
        <v>3399.4336437042266</v>
      </c>
      <c r="J19" s="190">
        <f t="shared" ref="J19:J38" si="9">+$J$17*(1+J$13)^(G19-G$17)</f>
        <v>8.6841651234278849</v>
      </c>
      <c r="K19" s="191">
        <f t="shared" ref="K19:K38" si="10">+$K$17*(1+K$13)^(G19-G$17)</f>
        <v>21.469797316843955</v>
      </c>
      <c r="L19" s="150"/>
    </row>
    <row r="20" spans="1:15" x14ac:dyDescent="0.2">
      <c r="A20" s="18" t="s">
        <v>90</v>
      </c>
      <c r="B20" s="102">
        <v>30</v>
      </c>
      <c r="C20" s="122"/>
      <c r="D20" s="186">
        <f t="shared" ref="D20:D37" si="11">+D19+1</f>
        <v>2021</v>
      </c>
      <c r="E20" s="190">
        <f t="shared" si="5"/>
        <v>2914.7898440542258</v>
      </c>
      <c r="F20" s="191">
        <f t="shared" si="6"/>
        <v>3996.1570909104671</v>
      </c>
      <c r="G20" s="198">
        <f t="shared" ref="G20:G37" si="12">+G19+1</f>
        <v>2021</v>
      </c>
      <c r="H20" s="190">
        <f t="shared" ref="H20" si="13">+$E$17*(1+H$13)^(G20-G$17)</f>
        <v>2931.7102340514125</v>
      </c>
      <c r="I20" s="191">
        <f t="shared" si="8"/>
        <v>3484.2202130408914</v>
      </c>
      <c r="J20" s="190">
        <f t="shared" si="9"/>
        <v>9.7424360478228085</v>
      </c>
      <c r="K20" s="191">
        <f t="shared" si="10"/>
        <v>24.057132580364488</v>
      </c>
      <c r="L20" s="149"/>
    </row>
    <row r="21" spans="1:15" x14ac:dyDescent="0.2">
      <c r="A21" s="18" t="s">
        <v>91</v>
      </c>
      <c r="B21" s="102">
        <v>48.9</v>
      </c>
      <c r="C21" s="122"/>
      <c r="D21" s="186">
        <f t="shared" si="11"/>
        <v>2022</v>
      </c>
      <c r="E21" s="190">
        <f t="shared" si="5"/>
        <v>2982.7718025191675</v>
      </c>
      <c r="F21" s="191">
        <f t="shared" si="6"/>
        <v>4086.1123529156689</v>
      </c>
      <c r="G21" s="198">
        <f t="shared" si="12"/>
        <v>2022</v>
      </c>
      <c r="H21" s="190">
        <f t="shared" ref="H21" si="14">+$E$17*(1+H$13)^(G21-G$17)</f>
        <v>3005.8808116460787</v>
      </c>
      <c r="I21" s="191">
        <f t="shared" si="8"/>
        <v>3571.121476498206</v>
      </c>
      <c r="J21" s="190">
        <f t="shared" si="9"/>
        <v>10.929670129124823</v>
      </c>
      <c r="K21" s="191">
        <f t="shared" si="10"/>
        <v>26.956268820254962</v>
      </c>
      <c r="L21" s="149"/>
    </row>
    <row r="22" spans="1:15" x14ac:dyDescent="0.2">
      <c r="A22" s="17" t="s">
        <v>92</v>
      </c>
      <c r="B22" s="103">
        <v>44.9</v>
      </c>
      <c r="C22" s="122"/>
      <c r="D22" s="186">
        <f t="shared" si="11"/>
        <v>2023</v>
      </c>
      <c r="E22" s="190">
        <f t="shared" si="5"/>
        <v>3052.3393115465819</v>
      </c>
      <c r="F22" s="191">
        <f t="shared" si="6"/>
        <v>4178.0925476195453</v>
      </c>
      <c r="G22" s="198">
        <f t="shared" si="12"/>
        <v>2023</v>
      </c>
      <c r="H22" s="190">
        <f t="shared" ref="H22" si="15">+$E$17*(1+H$13)^(G22-G$17)</f>
        <v>3081.9278620642972</v>
      </c>
      <c r="I22" s="191">
        <f t="shared" si="8"/>
        <v>3660.1901774677112</v>
      </c>
      <c r="J22" s="190">
        <f t="shared" si="9"/>
        <v>12.261583093294126</v>
      </c>
      <c r="K22" s="191">
        <f t="shared" si="10"/>
        <v>30.204781317243786</v>
      </c>
      <c r="L22" s="149"/>
    </row>
    <row r="23" spans="1:15" x14ac:dyDescent="0.2">
      <c r="A23" s="788" t="s">
        <v>26</v>
      </c>
      <c r="B23" s="788"/>
      <c r="C23" s="32"/>
      <c r="D23" s="186">
        <f t="shared" si="11"/>
        <v>2024</v>
      </c>
      <c r="E23" s="190">
        <f t="shared" si="5"/>
        <v>3123.5293511035502</v>
      </c>
      <c r="F23" s="191">
        <f t="shared" si="6"/>
        <v>4272.1432571519554</v>
      </c>
      <c r="G23" s="198">
        <f t="shared" si="12"/>
        <v>2024</v>
      </c>
      <c r="H23" s="190">
        <f t="shared" ref="H23" si="16">+$E$17*(1+H$13)^(G23-G$17)</f>
        <v>3159.8988589859509</v>
      </c>
      <c r="I23" s="191">
        <f t="shared" si="8"/>
        <v>3751.4803748339659</v>
      </c>
      <c r="J23" s="190">
        <f t="shared" si="9"/>
        <v>13.755805818248891</v>
      </c>
      <c r="K23" s="191">
        <f t="shared" si="10"/>
        <v>33.844773566621889</v>
      </c>
      <c r="L23" s="32"/>
    </row>
    <row r="24" spans="1:15" x14ac:dyDescent="0.2">
      <c r="A24" s="32"/>
      <c r="B24" s="32"/>
      <c r="C24" s="32"/>
      <c r="D24" s="186">
        <f t="shared" si="11"/>
        <v>2025</v>
      </c>
      <c r="E24" s="190">
        <f t="shared" si="5"/>
        <v>3196.3797636449208</v>
      </c>
      <c r="F24" s="191">
        <f t="shared" si="6"/>
        <v>4368.3110897166407</v>
      </c>
      <c r="G24" s="198">
        <f t="shared" si="12"/>
        <v>2025</v>
      </c>
      <c r="H24" s="190">
        <f t="shared" ref="H24" si="17">+$E$17*(1+H$13)^(G24-G$17)</f>
        <v>3239.842477147638</v>
      </c>
      <c r="I24" s="191">
        <f t="shared" si="8"/>
        <v>3845.0474757847592</v>
      </c>
      <c r="J24" s="190">
        <f t="shared" si="9"/>
        <v>15.432117718376501</v>
      </c>
      <c r="K24" s="191">
        <f t="shared" si="10"/>
        <v>37.923422975486488</v>
      </c>
      <c r="L24" s="32"/>
    </row>
    <row r="25" spans="1:15" x14ac:dyDescent="0.2">
      <c r="A25" s="99" t="s">
        <v>120</v>
      </c>
      <c r="B25" s="125">
        <v>261</v>
      </c>
      <c r="C25" s="148"/>
      <c r="D25" s="186">
        <f t="shared" si="11"/>
        <v>2026</v>
      </c>
      <c r="E25" s="190">
        <f t="shared" si="5"/>
        <v>3270.9292742292068</v>
      </c>
      <c r="F25" s="191">
        <f t="shared" si="6"/>
        <v>4466.6437026886106</v>
      </c>
      <c r="G25" s="198">
        <f t="shared" si="12"/>
        <v>2026</v>
      </c>
      <c r="H25" s="190">
        <f t="shared" ref="H25" si="18">+$E$17*(1+H$13)^(G25-G$17)</f>
        <v>3321.8086227287095</v>
      </c>
      <c r="I25" s="191">
        <f t="shared" si="8"/>
        <v>3940.9482694396565</v>
      </c>
      <c r="J25" s="190">
        <f t="shared" si="9"/>
        <v>17.312708569780209</v>
      </c>
      <c r="K25" s="191">
        <f t="shared" si="10"/>
        <v>42.493592322213445</v>
      </c>
      <c r="L25" s="111"/>
      <c r="N25" s="110"/>
      <c r="O25" s="110"/>
    </row>
    <row r="26" spans="1:15" ht="25.5" x14ac:dyDescent="0.2">
      <c r="A26" s="124" t="s">
        <v>144</v>
      </c>
      <c r="B26" s="127">
        <v>52</v>
      </c>
      <c r="C26" s="151"/>
      <c r="D26" s="186">
        <f t="shared" si="11"/>
        <v>2027</v>
      </c>
      <c r="E26" s="190">
        <f t="shared" si="5"/>
        <v>3347.217511103644</v>
      </c>
      <c r="F26" s="191">
        <f t="shared" si="6"/>
        <v>4567.1898262314407</v>
      </c>
      <c r="G26" s="198">
        <f t="shared" si="12"/>
        <v>2027</v>
      </c>
      <c r="H26" s="190">
        <f t="shared" ref="H26" si="19">+$E$17*(1+H$13)^(G26-G$17)</f>
        <v>3405.8484645060644</v>
      </c>
      <c r="I26" s="191">
        <f t="shared" si="8"/>
        <v>4039.2409613172817</v>
      </c>
      <c r="J26" s="190">
        <f t="shared" si="9"/>
        <v>19.422472242109965</v>
      </c>
      <c r="K26" s="191">
        <f t="shared" si="10"/>
        <v>47.614514903195222</v>
      </c>
      <c r="L26" s="111"/>
      <c r="N26" s="110"/>
      <c r="O26" s="110"/>
    </row>
    <row r="27" spans="1:15" x14ac:dyDescent="0.2">
      <c r="A27" s="99" t="s">
        <v>145</v>
      </c>
      <c r="B27" s="125">
        <f>B25+B26</f>
        <v>313</v>
      </c>
      <c r="C27" s="148"/>
      <c r="D27" s="186">
        <f t="shared" si="11"/>
        <v>2028</v>
      </c>
      <c r="E27" s="190">
        <f t="shared" si="5"/>
        <v>3425.2850267693607</v>
      </c>
      <c r="F27" s="191">
        <f t="shared" si="6"/>
        <v>4669.9992874462232</v>
      </c>
      <c r="G27" s="198">
        <f t="shared" si="12"/>
        <v>2028</v>
      </c>
      <c r="H27" s="190">
        <f t="shared" ref="H27" si="20">+$E$17*(1+H$13)^(G27-G$17)</f>
        <v>3492.0144657971364</v>
      </c>
      <c r="I27" s="191">
        <f t="shared" si="8"/>
        <v>4139.9852086622732</v>
      </c>
      <c r="J27" s="190">
        <f t="shared" si="9"/>
        <v>21.789336225182083</v>
      </c>
      <c r="K27" s="191">
        <f t="shared" si="10"/>
        <v>53.352562246930937</v>
      </c>
      <c r="L27" s="111"/>
      <c r="N27" s="110"/>
      <c r="O27" s="110"/>
    </row>
    <row r="28" spans="1:15" x14ac:dyDescent="0.2">
      <c r="A28" s="32"/>
      <c r="B28" s="32"/>
      <c r="C28" s="32"/>
      <c r="D28" s="186">
        <f t="shared" si="11"/>
        <v>2029</v>
      </c>
      <c r="E28" s="190">
        <f t="shared" si="5"/>
        <v>3505.1733195378497</v>
      </c>
      <c r="F28" s="191">
        <f t="shared" si="6"/>
        <v>4775.1230350641181</v>
      </c>
      <c r="G28" s="198">
        <f t="shared" si="12"/>
        <v>2029</v>
      </c>
      <c r="H28" s="190">
        <f t="shared" ref="H28" si="21">+$E$17*(1+H$13)^(G28-G$17)</f>
        <v>3580.360417211024</v>
      </c>
      <c r="I28" s="191">
        <f t="shared" si="8"/>
        <v>4243.2421566533285</v>
      </c>
      <c r="J28" s="190">
        <f t="shared" si="9"/>
        <v>24.444631312417044</v>
      </c>
      <c r="K28" s="191">
        <f t="shared" si="10"/>
        <v>59.782104345698663</v>
      </c>
      <c r="L28" s="32"/>
      <c r="N28" s="110"/>
      <c r="O28" s="110"/>
    </row>
    <row r="29" spans="1:15" x14ac:dyDescent="0.2">
      <c r="A29" s="36" t="s">
        <v>65</v>
      </c>
      <c r="B29" s="90">
        <f>Safety!D58</f>
        <v>1.6E-2</v>
      </c>
      <c r="C29" s="152"/>
      <c r="D29" s="186">
        <f t="shared" si="11"/>
        <v>2030</v>
      </c>
      <c r="E29" s="190">
        <f t="shared" si="5"/>
        <v>3586.9248555902068</v>
      </c>
      <c r="F29" s="191">
        <f t="shared" si="6"/>
        <v>4882.6131646947333</v>
      </c>
      <c r="G29" s="198">
        <f t="shared" si="12"/>
        <v>2030</v>
      </c>
      <c r="H29" s="190">
        <f t="shared" ref="H29" si="22">+$E$17*(1+H$13)^(G29-G$17)</f>
        <v>3670.9414702282047</v>
      </c>
      <c r="I29" s="191">
        <f t="shared" si="8"/>
        <v>4349.0744755143378</v>
      </c>
      <c r="J29" s="190">
        <f t="shared" si="9"/>
        <v>27.423506334691318</v>
      </c>
      <c r="K29" s="191">
        <f t="shared" si="10"/>
        <v>66.986473554146656</v>
      </c>
      <c r="L29" s="32"/>
    </row>
    <row r="30" spans="1:15" x14ac:dyDescent="0.2">
      <c r="A30" s="788" t="s">
        <v>66</v>
      </c>
      <c r="B30" s="788"/>
      <c r="C30" s="32"/>
      <c r="D30" s="186">
        <f t="shared" si="11"/>
        <v>2031</v>
      </c>
      <c r="E30" s="190">
        <f t="shared" si="5"/>
        <v>3670.5830915508595</v>
      </c>
      <c r="F30" s="191">
        <f t="shared" si="6"/>
        <v>4992.5229446428721</v>
      </c>
      <c r="G30" s="198">
        <f t="shared" si="12"/>
        <v>2031</v>
      </c>
      <c r="H30" s="190">
        <f t="shared" ref="H30" si="23">+$E$17*(1+H$13)^(G30-G$17)</f>
        <v>3763.8141716297941</v>
      </c>
      <c r="I30" s="191">
        <f t="shared" si="8"/>
        <v>4457.5463985511142</v>
      </c>
      <c r="J30" s="190">
        <f t="shared" si="9"/>
        <v>30.765393434542808</v>
      </c>
      <c r="K30" s="191">
        <f t="shared" si="10"/>
        <v>75.05904464775243</v>
      </c>
      <c r="L30" s="32"/>
    </row>
    <row r="31" spans="1:15" x14ac:dyDescent="0.2">
      <c r="A31" s="32"/>
      <c r="B31" s="32"/>
      <c r="C31" s="32"/>
      <c r="D31" s="186">
        <f t="shared" si="11"/>
        <v>2032</v>
      </c>
      <c r="E31" s="190">
        <f t="shared" si="5"/>
        <v>3756.1924975877796</v>
      </c>
      <c r="F31" s="191">
        <f t="shared" si="6"/>
        <v>5104.9068423064173</v>
      </c>
      <c r="G31" s="198">
        <f t="shared" si="12"/>
        <v>2032</v>
      </c>
      <c r="H31" s="190">
        <f t="shared" ref="H31" si="24">+$E$17*(1+H$13)^(G31-G$17)</f>
        <v>3859.0364987978469</v>
      </c>
      <c r="I31" s="191">
        <f t="shared" si="8"/>
        <v>4568.7237611368209</v>
      </c>
      <c r="J31" s="190">
        <f t="shared" si="9"/>
        <v>34.514530039685518</v>
      </c>
      <c r="K31" s="191">
        <f t="shared" si="10"/>
        <v>84.104445039629027</v>
      </c>
      <c r="L31" s="32"/>
    </row>
    <row r="32" spans="1:15" x14ac:dyDescent="0.2">
      <c r="A32" s="759" t="s">
        <v>140</v>
      </c>
      <c r="B32" s="759"/>
      <c r="C32" s="147"/>
      <c r="D32" s="186">
        <f t="shared" si="11"/>
        <v>2033</v>
      </c>
      <c r="E32" s="190">
        <f t="shared" si="5"/>
        <v>3843.7985810514724</v>
      </c>
      <c r="F32" s="191">
        <f t="shared" si="6"/>
        <v>5219.8205511684464</v>
      </c>
      <c r="G32" s="198">
        <f t="shared" si="12"/>
        <v>2033</v>
      </c>
      <c r="H32" s="190">
        <f t="shared" ref="H32" si="25">+$E$17*(1+H$13)^(G32-G$17)</f>
        <v>3956.6678959087371</v>
      </c>
      <c r="I32" s="191">
        <f t="shared" si="8"/>
        <v>4682.6740406697363</v>
      </c>
      <c r="J32" s="190">
        <f t="shared" si="9"/>
        <v>38.72054444533245</v>
      </c>
      <c r="K32" s="191">
        <f t="shared" si="10"/>
        <v>94.239910841121954</v>
      </c>
      <c r="L32" s="32"/>
    </row>
    <row r="33" spans="1:25" x14ac:dyDescent="0.2">
      <c r="A33" s="99" t="s">
        <v>141</v>
      </c>
      <c r="B33" s="134">
        <v>0.17</v>
      </c>
      <c r="C33" s="153"/>
      <c r="D33" s="186">
        <f t="shared" si="11"/>
        <v>2034</v>
      </c>
      <c r="E33" s="190">
        <f t="shared" si="5"/>
        <v>3933.4479106652961</v>
      </c>
      <c r="F33" s="191">
        <f t="shared" si="6"/>
        <v>5337.321018396955</v>
      </c>
      <c r="G33" s="198">
        <f t="shared" si="12"/>
        <v>2034</v>
      </c>
      <c r="H33" s="190">
        <f t="shared" ref="H33" si="26">+$E$17*(1+H$13)^(G33-G$17)</f>
        <v>4056.7693110422083</v>
      </c>
      <c r="I33" s="191">
        <f t="shared" si="8"/>
        <v>4799.4663975276335</v>
      </c>
      <c r="J33" s="190">
        <f t="shared" si="9"/>
        <v>43.439112756832046</v>
      </c>
      <c r="K33" s="191">
        <f t="shared" si="10"/>
        <v>105.59680634189924</v>
      </c>
      <c r="L33" s="32"/>
    </row>
    <row r="34" spans="1:25" x14ac:dyDescent="0.2">
      <c r="A34" s="781" t="s">
        <v>143</v>
      </c>
      <c r="B34" s="782"/>
      <c r="C34" s="32"/>
      <c r="D34" s="186">
        <f t="shared" si="11"/>
        <v>2035</v>
      </c>
      <c r="E34" s="190">
        <f t="shared" si="5"/>
        <v>4025.1881412799758</v>
      </c>
      <c r="F34" s="191">
        <f t="shared" si="6"/>
        <v>5457.4664730658506</v>
      </c>
      <c r="G34" s="198">
        <f t="shared" si="12"/>
        <v>2035</v>
      </c>
      <c r="H34" s="190">
        <f t="shared" ref="H34" si="27">+$E$17*(1+H$13)^(G34-G$17)</f>
        <v>4159.4032342292576</v>
      </c>
      <c r="I34" s="191">
        <f t="shared" si="8"/>
        <v>4919.1717170436086</v>
      </c>
      <c r="J34" s="190">
        <f t="shared" si="9"/>
        <v>48.732695888738483</v>
      </c>
      <c r="K34" s="191">
        <f t="shared" si="10"/>
        <v>118.32232660329434</v>
      </c>
      <c r="L34" s="32"/>
    </row>
    <row r="35" spans="1:25" x14ac:dyDescent="0.2">
      <c r="A35" s="32"/>
      <c r="B35" s="32"/>
      <c r="C35" s="32"/>
      <c r="D35" s="186">
        <f t="shared" si="11"/>
        <v>2036</v>
      </c>
      <c r="E35" s="190">
        <f t="shared" si="5"/>
        <v>4119.0680392054683</v>
      </c>
      <c r="F35" s="191">
        <f t="shared" si="6"/>
        <v>5580.3164550112288</v>
      </c>
      <c r="G35" s="198">
        <f t="shared" si="12"/>
        <v>2036</v>
      </c>
      <c r="H35" s="190">
        <f t="shared" ref="H35" si="28">+$E$17*(1+H$13)^(G35-G$17)</f>
        <v>4264.6337364626161</v>
      </c>
      <c r="I35" s="191">
        <f t="shared" si="8"/>
        <v>5041.862652528851</v>
      </c>
      <c r="J35" s="190">
        <f t="shared" si="9"/>
        <v>54.671366376164094</v>
      </c>
      <c r="K35" s="191">
        <f t="shared" si="10"/>
        <v>132.58140523196485</v>
      </c>
      <c r="L35" s="32"/>
    </row>
    <row r="36" spans="1:25" x14ac:dyDescent="0.2">
      <c r="A36" s="32"/>
      <c r="B36" s="32"/>
      <c r="C36" s="32"/>
      <c r="D36" s="186">
        <f t="shared" si="11"/>
        <v>2037</v>
      </c>
      <c r="E36" s="190">
        <f t="shared" si="5"/>
        <v>4215.1375081336464</v>
      </c>
      <c r="F36" s="191">
        <f t="shared" si="6"/>
        <v>5705.931844337204</v>
      </c>
      <c r="G36" s="198">
        <f t="shared" si="12"/>
        <v>2037</v>
      </c>
      <c r="H36" s="190">
        <f t="shared" ref="H36" si="29">+$E$17*(1+H$13)^(G36-G$17)</f>
        <v>4372.5265096941685</v>
      </c>
      <c r="I36" s="191">
        <f t="shared" si="8"/>
        <v>5167.6136693684584</v>
      </c>
      <c r="J36" s="190">
        <f t="shared" si="9"/>
        <v>61.333735943130471</v>
      </c>
      <c r="K36" s="191">
        <f t="shared" si="10"/>
        <v>148.55885206024229</v>
      </c>
      <c r="L36" s="32"/>
    </row>
    <row r="37" spans="1:25" x14ac:dyDescent="0.2">
      <c r="A37" s="32"/>
      <c r="B37" s="32"/>
      <c r="C37" s="32"/>
      <c r="D37" s="186">
        <f t="shared" si="11"/>
        <v>2038</v>
      </c>
      <c r="E37" s="190">
        <f t="shared" si="5"/>
        <v>4313.4476156655801</v>
      </c>
      <c r="F37" s="191">
        <f t="shared" si="6"/>
        <v>5834.3748915859378</v>
      </c>
      <c r="G37" s="198">
        <f t="shared" si="12"/>
        <v>2038</v>
      </c>
      <c r="H37" s="190">
        <f t="shared" ref="H37" si="30">+$E$17*(1+H$13)^(G37-G$17)</f>
        <v>4483.1489078442855</v>
      </c>
      <c r="I37" s="191">
        <f t="shared" si="8"/>
        <v>5296.5010902170607</v>
      </c>
      <c r="J37" s="190">
        <f t="shared" si="9"/>
        <v>68.807996106381495</v>
      </c>
      <c r="K37" s="191">
        <f t="shared" si="10"/>
        <v>166.46174843933565</v>
      </c>
      <c r="L37" s="32"/>
    </row>
    <row r="38" spans="1:25" x14ac:dyDescent="0.2">
      <c r="A38" s="6"/>
      <c r="D38" s="186">
        <f>+D37+1</f>
        <v>2039</v>
      </c>
      <c r="E38" s="190">
        <f t="shared" si="5"/>
        <v>4414.0506204575186</v>
      </c>
      <c r="F38" s="191">
        <f t="shared" si="6"/>
        <v>5965.7092485868061</v>
      </c>
      <c r="G38" s="198">
        <f>+G37+1</f>
        <v>2039</v>
      </c>
      <c r="H38" s="190">
        <f t="shared" ref="H38:H40" si="31">+$E$17*(1+H$13)^(G38-G$17)</f>
        <v>4596.5699888486643</v>
      </c>
      <c r="I38" s="191">
        <f t="shared" si="8"/>
        <v>5428.6031413216888</v>
      </c>
      <c r="J38" s="190">
        <f t="shared" si="9"/>
        <v>77.193085589401321</v>
      </c>
      <c r="K38" s="191">
        <f t="shared" si="10"/>
        <v>186.52213119043321</v>
      </c>
      <c r="M38" s="770" t="s">
        <v>1</v>
      </c>
      <c r="N38" s="773" t="s">
        <v>72</v>
      </c>
      <c r="O38" s="774"/>
      <c r="P38" s="774"/>
      <c r="Q38" s="775"/>
      <c r="R38" s="773" t="s">
        <v>75</v>
      </c>
      <c r="S38" s="774"/>
      <c r="T38" s="774"/>
      <c r="U38" s="775"/>
      <c r="V38" s="730" t="s">
        <v>77</v>
      </c>
      <c r="W38" s="730" t="s">
        <v>78</v>
      </c>
      <c r="X38" s="742" t="s">
        <v>80</v>
      </c>
      <c r="Y38" s="742" t="s">
        <v>150</v>
      </c>
    </row>
    <row r="39" spans="1:25" x14ac:dyDescent="0.2">
      <c r="A39" s="6"/>
      <c r="D39" s="186">
        <v>2040</v>
      </c>
      <c r="E39" s="200">
        <f>+K9</f>
        <v>4517</v>
      </c>
      <c r="F39" s="145">
        <f>+M9</f>
        <v>6100</v>
      </c>
      <c r="G39" s="198">
        <v>2040</v>
      </c>
      <c r="H39" s="200">
        <f>+O9</f>
        <v>4349</v>
      </c>
      <c r="I39" s="145">
        <f>+Q9</f>
        <v>5564</v>
      </c>
      <c r="J39" s="203">
        <f>+S9</f>
        <v>86.600000000000023</v>
      </c>
      <c r="K39" s="204">
        <f>+T9</f>
        <v>209</v>
      </c>
      <c r="M39" s="771"/>
      <c r="N39" s="773" t="s">
        <v>73</v>
      </c>
      <c r="O39" s="775"/>
      <c r="P39" s="776" t="s">
        <v>76</v>
      </c>
      <c r="Q39" s="779" t="s">
        <v>74</v>
      </c>
      <c r="R39" s="773" t="s">
        <v>73</v>
      </c>
      <c r="S39" s="775"/>
      <c r="T39" s="776" t="s">
        <v>76</v>
      </c>
      <c r="U39" s="779" t="s">
        <v>74</v>
      </c>
      <c r="V39" s="734"/>
      <c r="W39" s="734"/>
      <c r="X39" s="730"/>
      <c r="Y39" s="730"/>
    </row>
    <row r="40" spans="1:25" ht="40.5" customHeight="1" thickBot="1" x14ac:dyDescent="0.25">
      <c r="A40" s="6"/>
      <c r="D40" s="187">
        <v>2041</v>
      </c>
      <c r="E40" s="190">
        <f>+$E$17*(1+E$13)^(D40-D$17)</f>
        <v>4622.3504790448333</v>
      </c>
      <c r="F40" s="191">
        <f t="shared" si="6"/>
        <v>6237.3136955701266</v>
      </c>
      <c r="G40" s="199">
        <v>2041</v>
      </c>
      <c r="H40" s="190">
        <f t="shared" si="31"/>
        <v>4832.0932109939358</v>
      </c>
      <c r="I40" s="191">
        <f t="shared" ref="I40" si="32">+$I$17*(1+I$13)^(G40-G$17)</f>
        <v>5702.773843302658</v>
      </c>
      <c r="J40" s="190">
        <f t="shared" ref="J40" si="33">+$J$17*(1+J$13)^(G40-G$17)</f>
        <v>97.15326110800909</v>
      </c>
      <c r="K40" s="191">
        <f t="shared" ref="K40" si="34">+$K$17*(1+K$13)^(G40-G$17)</f>
        <v>234.18668723768297</v>
      </c>
      <c r="M40" s="772"/>
      <c r="N40" s="67" t="s">
        <v>44</v>
      </c>
      <c r="O40" s="96" t="s">
        <v>45</v>
      </c>
      <c r="P40" s="777"/>
      <c r="Q40" s="780"/>
      <c r="R40" s="96" t="s">
        <v>44</v>
      </c>
      <c r="S40" s="97" t="s">
        <v>45</v>
      </c>
      <c r="T40" s="777"/>
      <c r="U40" s="780"/>
      <c r="V40" s="731"/>
      <c r="W40" s="731"/>
      <c r="X40" s="743"/>
      <c r="Y40" s="743"/>
    </row>
    <row r="41" spans="1:25" ht="12.75" customHeight="1" thickTop="1" x14ac:dyDescent="0.2">
      <c r="D41" s="187">
        <v>2042</v>
      </c>
      <c r="E41" s="190">
        <f t="shared" ref="E41:E43" si="35">+$E$17*(1+E$13)^(D41-D$17)</f>
        <v>4730.1580586951568</v>
      </c>
      <c r="F41" s="191">
        <f t="shared" ref="F41:F43" si="36">+F$17*(1+F$13)^(D41-D$17)</f>
        <v>6377.7183831060238</v>
      </c>
      <c r="G41" s="199">
        <v>2042</v>
      </c>
      <c r="H41" s="190">
        <f t="shared" ref="H41" si="37">+$E$17*(1+H$13)^(G41-G$17)</f>
        <v>4954.3423815592696</v>
      </c>
      <c r="I41" s="191">
        <f t="shared" ref="I41:I43" si="38">+$I$17*(1+I$13)^(G41-G$17)</f>
        <v>5845.0088978894655</v>
      </c>
      <c r="J41" s="190">
        <f t="shared" ref="J41:J43" si="39">+$J$17*(1+J$13)^(G41-G$17)</f>
        <v>108.99256517229784</v>
      </c>
      <c r="K41" s="191">
        <f t="shared" ref="K41:K43" si="40">+$K$17*(1+K$13)^(G41-G$17)</f>
        <v>262.40863387253734</v>
      </c>
      <c r="L41" s="100">
        <v>0</v>
      </c>
      <c r="M41" s="57">
        <v>2024</v>
      </c>
      <c r="N41" s="58">
        <f>+H23</f>
        <v>3159.8988589859509</v>
      </c>
      <c r="O41" s="58">
        <f>ROUND(($O$9*$B$33)*(1+$B$29)^L41,0)</f>
        <v>739</v>
      </c>
      <c r="P41" s="58">
        <f>+J23</f>
        <v>13.755805818248891</v>
      </c>
      <c r="Q41" s="58">
        <f>(N41+O41)*P41</f>
        <v>53632.49560920291</v>
      </c>
      <c r="R41" s="58">
        <f>+I23</f>
        <v>3751.4803748339659</v>
      </c>
      <c r="S41" s="58">
        <f t="shared" ref="S41:S61" si="41">ROUND(($Q$9*$B$33)*(1+$B$29)^L41,0)</f>
        <v>946</v>
      </c>
      <c r="T41" s="58">
        <f>+K23</f>
        <v>33.844773566621889</v>
      </c>
      <c r="U41" s="58">
        <f>(R41+S41)*T41</f>
        <v>158985.15961990567</v>
      </c>
      <c r="V41" s="58">
        <f>Q41+U41</f>
        <v>212617.65522910858</v>
      </c>
      <c r="W41" s="58">
        <f>ROUND(V41/3600*$B$25,0)</f>
        <v>15415</v>
      </c>
      <c r="X41" s="74">
        <f>ROUND(W41*($B$17*(1-$B$33)+($B$19*$B$33)),0)</f>
        <v>264306</v>
      </c>
      <c r="Y41" s="74">
        <f>X41*NPV!C9</f>
        <v>164596.49327854873</v>
      </c>
    </row>
    <row r="42" spans="1:25" x14ac:dyDescent="0.2">
      <c r="D42" s="187">
        <v>2043</v>
      </c>
      <c r="E42" s="190">
        <f t="shared" si="35"/>
        <v>4840.4800461738687</v>
      </c>
      <c r="F42" s="191">
        <f t="shared" si="36"/>
        <v>6521.2836422027294</v>
      </c>
      <c r="G42" s="199">
        <v>2043</v>
      </c>
      <c r="H42" s="190">
        <f t="shared" ref="H42" si="42">+$E$17*(1+H$13)^(G42-G$17)</f>
        <v>5079.6843856133937</v>
      </c>
      <c r="I42" s="191">
        <f t="shared" si="38"/>
        <v>5990.7914911494154</v>
      </c>
      <c r="J42" s="190">
        <f t="shared" si="39"/>
        <v>122.27463213644283</v>
      </c>
      <c r="K42" s="191">
        <f t="shared" si="40"/>
        <v>294.03162042667719</v>
      </c>
      <c r="L42" s="100">
        <v>1</v>
      </c>
      <c r="M42" s="24">
        <f>M41+1</f>
        <v>2025</v>
      </c>
      <c r="N42" s="58">
        <f t="shared" ref="N42:N61" si="43">+H24</f>
        <v>3239.842477147638</v>
      </c>
      <c r="O42" s="53">
        <f t="shared" ref="O42:O61" si="44">ROUND(($O$9*$B$33)*(1+$B$29)^L42,0)</f>
        <v>751</v>
      </c>
      <c r="P42" s="53">
        <f t="shared" ref="P42:P61" si="45">+J24</f>
        <v>15.432117718376501</v>
      </c>
      <c r="Q42" s="53">
        <f t="shared" ref="Q42:Q61" si="46">(N42+O42)*P42</f>
        <v>61587.150902839632</v>
      </c>
      <c r="R42" s="58">
        <f t="shared" ref="R42:R61" si="47">+I24</f>
        <v>3845.0474757847592</v>
      </c>
      <c r="S42" s="53">
        <f t="shared" si="41"/>
        <v>961</v>
      </c>
      <c r="T42" s="53">
        <f t="shared" ref="T42:T61" si="48">+K24</f>
        <v>37.923422975486488</v>
      </c>
      <c r="U42" s="53">
        <f t="shared" ref="U42:U61" si="49">(R42+S42)*T42</f>
        <v>182261.77126445455</v>
      </c>
      <c r="V42" s="58">
        <f t="shared" ref="V42:V61" si="50">Q42+U42</f>
        <v>243848.92216729419</v>
      </c>
      <c r="W42" s="53">
        <f t="shared" ref="W42:W61" si="51">ROUND(V42/3600*$B$25,0)</f>
        <v>17679</v>
      </c>
      <c r="X42" s="75">
        <f t="shared" ref="X42:X61" si="52">ROUND(W42*($B$17*(1-$B$33)+($B$19*$B$33)),0)</f>
        <v>303124</v>
      </c>
      <c r="Y42" s="75">
        <f>X42*NPV!C10</f>
        <v>176420.92781217271</v>
      </c>
    </row>
    <row r="43" spans="1:25" ht="13.5" thickBot="1" x14ac:dyDescent="0.25">
      <c r="D43" s="187">
        <v>2044</v>
      </c>
      <c r="E43" s="192">
        <f t="shared" si="35"/>
        <v>4953.3750852864214</v>
      </c>
      <c r="F43" s="193">
        <f t="shared" si="36"/>
        <v>6668.0806187227217</v>
      </c>
      <c r="G43" s="199">
        <v>2044</v>
      </c>
      <c r="H43" s="192">
        <f t="shared" ref="H43" si="53">+$E$17*(1+H$13)^(G43-G$17)</f>
        <v>5208.1974700592918</v>
      </c>
      <c r="I43" s="193">
        <f t="shared" si="38"/>
        <v>6140.2101035958003</v>
      </c>
      <c r="J43" s="192">
        <f t="shared" si="39"/>
        <v>137.17528017133478</v>
      </c>
      <c r="K43" s="193">
        <f t="shared" si="40"/>
        <v>329.46550780311634</v>
      </c>
      <c r="L43" s="100">
        <v>2</v>
      </c>
      <c r="M43" s="24">
        <f t="shared" ref="M43:M61" si="54">M42+1</f>
        <v>2026</v>
      </c>
      <c r="N43" s="58">
        <f t="shared" si="43"/>
        <v>3321.8086227287095</v>
      </c>
      <c r="O43" s="53">
        <f t="shared" si="44"/>
        <v>763</v>
      </c>
      <c r="P43" s="53">
        <f t="shared" si="45"/>
        <v>17.312708569780209</v>
      </c>
      <c r="Q43" s="53">
        <f t="shared" si="46"/>
        <v>70719.101248627427</v>
      </c>
      <c r="R43" s="58">
        <f t="shared" si="47"/>
        <v>3940.9482694396565</v>
      </c>
      <c r="S43" s="53">
        <f t="shared" si="41"/>
        <v>976</v>
      </c>
      <c r="T43" s="53">
        <f t="shared" si="48"/>
        <v>42.493592322213445</v>
      </c>
      <c r="U43" s="53">
        <f t="shared" si="49"/>
        <v>208938.79523098166</v>
      </c>
      <c r="V43" s="58">
        <f t="shared" si="50"/>
        <v>279657.89647960907</v>
      </c>
      <c r="W43" s="53">
        <f t="shared" si="51"/>
        <v>20275</v>
      </c>
      <c r="X43" s="75">
        <f t="shared" si="52"/>
        <v>347635</v>
      </c>
      <c r="Y43" s="75">
        <f>X43*NPV!C11</f>
        <v>189090.40660324032</v>
      </c>
    </row>
    <row r="44" spans="1:25" x14ac:dyDescent="0.2">
      <c r="L44" s="100">
        <v>3</v>
      </c>
      <c r="M44" s="24">
        <f t="shared" si="54"/>
        <v>2027</v>
      </c>
      <c r="N44" s="58">
        <f t="shared" si="43"/>
        <v>3405.8484645060644</v>
      </c>
      <c r="O44" s="53">
        <f t="shared" si="44"/>
        <v>775</v>
      </c>
      <c r="P44" s="53">
        <f t="shared" si="45"/>
        <v>19.422472242109965</v>
      </c>
      <c r="Q44" s="53">
        <f t="shared" si="46"/>
        <v>81202.413250337107</v>
      </c>
      <c r="R44" s="58">
        <f t="shared" si="47"/>
        <v>4039.2409613172817</v>
      </c>
      <c r="S44" s="53">
        <f t="shared" si="41"/>
        <v>992</v>
      </c>
      <c r="T44" s="53">
        <f t="shared" si="48"/>
        <v>47.614514903195222</v>
      </c>
      <c r="U44" s="53">
        <f t="shared" si="49"/>
        <v>239560.09773420799</v>
      </c>
      <c r="V44" s="58">
        <f t="shared" si="50"/>
        <v>320762.51098454511</v>
      </c>
      <c r="W44" s="53">
        <f t="shared" si="51"/>
        <v>23255</v>
      </c>
      <c r="X44" s="75">
        <f t="shared" si="52"/>
        <v>398730</v>
      </c>
      <c r="Y44" s="75">
        <f>X44*NPV!C12</f>
        <v>202694.11325287604</v>
      </c>
    </row>
    <row r="45" spans="1:25" x14ac:dyDescent="0.2">
      <c r="L45" s="100">
        <v>4</v>
      </c>
      <c r="M45" s="24">
        <f t="shared" si="54"/>
        <v>2028</v>
      </c>
      <c r="N45" s="58">
        <f t="shared" si="43"/>
        <v>3492.0144657971364</v>
      </c>
      <c r="O45" s="53">
        <f t="shared" si="44"/>
        <v>788</v>
      </c>
      <c r="P45" s="53">
        <f t="shared" si="45"/>
        <v>21.789336225182083</v>
      </c>
      <c r="Q45" s="53">
        <f t="shared" si="46"/>
        <v>93258.674243896879</v>
      </c>
      <c r="R45" s="58">
        <f t="shared" si="47"/>
        <v>4139.9852086622732</v>
      </c>
      <c r="S45" s="53">
        <f t="shared" si="41"/>
        <v>1008</v>
      </c>
      <c r="T45" s="53">
        <f t="shared" si="48"/>
        <v>53.352562246930937</v>
      </c>
      <c r="U45" s="53">
        <f t="shared" si="49"/>
        <v>274658.20129143365</v>
      </c>
      <c r="V45" s="58">
        <f t="shared" si="50"/>
        <v>367916.8755353305</v>
      </c>
      <c r="W45" s="53">
        <f t="shared" si="51"/>
        <v>26674</v>
      </c>
      <c r="X45" s="75">
        <f t="shared" si="52"/>
        <v>457352</v>
      </c>
      <c r="Y45" s="75">
        <f>X45*NPV!C13</f>
        <v>217284.64061345553</v>
      </c>
    </row>
    <row r="46" spans="1:25" x14ac:dyDescent="0.2">
      <c r="L46" s="100">
        <v>5</v>
      </c>
      <c r="M46" s="24">
        <f t="shared" si="54"/>
        <v>2029</v>
      </c>
      <c r="N46" s="58">
        <f t="shared" si="43"/>
        <v>3580.360417211024</v>
      </c>
      <c r="O46" s="53">
        <f t="shared" si="44"/>
        <v>800</v>
      </c>
      <c r="P46" s="53">
        <f t="shared" si="45"/>
        <v>24.444631312417044</v>
      </c>
      <c r="Q46" s="53">
        <f t="shared" si="46"/>
        <v>107076.29541422879</v>
      </c>
      <c r="R46" s="58">
        <f t="shared" si="47"/>
        <v>4243.2421566533285</v>
      </c>
      <c r="S46" s="53">
        <f t="shared" si="41"/>
        <v>1024</v>
      </c>
      <c r="T46" s="53">
        <f t="shared" si="48"/>
        <v>59.782104345698663</v>
      </c>
      <c r="U46" s="53">
        <f t="shared" si="49"/>
        <v>314886.82022311212</v>
      </c>
      <c r="V46" s="58">
        <f t="shared" si="50"/>
        <v>421963.11563734093</v>
      </c>
      <c r="W46" s="53">
        <f t="shared" si="51"/>
        <v>30592</v>
      </c>
      <c r="X46" s="75">
        <f t="shared" si="52"/>
        <v>524530</v>
      </c>
      <c r="Y46" s="75">
        <f>X46*NPV!C14</f>
        <v>232897.59298054286</v>
      </c>
    </row>
    <row r="47" spans="1:25" x14ac:dyDescent="0.2">
      <c r="L47" s="100">
        <v>6</v>
      </c>
      <c r="M47" s="24">
        <f t="shared" si="54"/>
        <v>2030</v>
      </c>
      <c r="N47" s="58">
        <f t="shared" si="43"/>
        <v>3670.9414702282047</v>
      </c>
      <c r="O47" s="53">
        <f t="shared" si="44"/>
        <v>813</v>
      </c>
      <c r="P47" s="53">
        <f t="shared" si="45"/>
        <v>27.423506334691318</v>
      </c>
      <c r="Q47" s="53">
        <f t="shared" si="46"/>
        <v>122965.39731318827</v>
      </c>
      <c r="R47" s="58">
        <f t="shared" si="47"/>
        <v>4349.0744755143378</v>
      </c>
      <c r="S47" s="53">
        <f t="shared" si="41"/>
        <v>1040</v>
      </c>
      <c r="T47" s="53">
        <f t="shared" si="48"/>
        <v>66.986473554146656</v>
      </c>
      <c r="U47" s="53">
        <f t="shared" si="49"/>
        <v>360995.09483536793</v>
      </c>
      <c r="V47" s="58">
        <f t="shared" si="50"/>
        <v>483960.49214855616</v>
      </c>
      <c r="W47" s="53">
        <f t="shared" si="51"/>
        <v>35087</v>
      </c>
      <c r="X47" s="75">
        <f t="shared" si="52"/>
        <v>601602</v>
      </c>
      <c r="Y47" s="75">
        <f>X47*NPV!C15</f>
        <v>249643.44177864</v>
      </c>
    </row>
    <row r="48" spans="1:25" x14ac:dyDescent="0.2">
      <c r="L48" s="100">
        <v>7</v>
      </c>
      <c r="M48" s="24">
        <f t="shared" si="54"/>
        <v>2031</v>
      </c>
      <c r="N48" s="58">
        <f t="shared" si="43"/>
        <v>3763.8141716297941</v>
      </c>
      <c r="O48" s="53">
        <f t="shared" si="44"/>
        <v>826</v>
      </c>
      <c r="P48" s="53">
        <f t="shared" si="45"/>
        <v>30.765393434542808</v>
      </c>
      <c r="Q48" s="53">
        <f t="shared" si="46"/>
        <v>141207.4387816308</v>
      </c>
      <c r="R48" s="58">
        <f t="shared" si="47"/>
        <v>4457.5463985511142</v>
      </c>
      <c r="S48" s="53">
        <f t="shared" si="41"/>
        <v>1057</v>
      </c>
      <c r="T48" s="53">
        <f t="shared" si="48"/>
        <v>75.05904464775243</v>
      </c>
      <c r="U48" s="53">
        <f t="shared" si="49"/>
        <v>413916.58434095042</v>
      </c>
      <c r="V48" s="58">
        <f t="shared" si="50"/>
        <v>555124.02312258119</v>
      </c>
      <c r="W48" s="53">
        <f t="shared" si="51"/>
        <v>40246</v>
      </c>
      <c r="X48" s="75">
        <f t="shared" si="52"/>
        <v>690058</v>
      </c>
      <c r="Y48" s="75">
        <f>X48*NPV!C16</f>
        <v>267616.38970193319</v>
      </c>
    </row>
    <row r="49" spans="12:25" x14ac:dyDescent="0.2">
      <c r="L49" s="100">
        <v>8</v>
      </c>
      <c r="M49" s="24">
        <f t="shared" si="54"/>
        <v>2032</v>
      </c>
      <c r="N49" s="58">
        <f t="shared" si="43"/>
        <v>3859.0364987978469</v>
      </c>
      <c r="O49" s="53">
        <f t="shared" si="44"/>
        <v>839</v>
      </c>
      <c r="P49" s="53">
        <f t="shared" si="45"/>
        <v>34.514530039685518</v>
      </c>
      <c r="Q49" s="53">
        <f t="shared" si="46"/>
        <v>162150.52186529725</v>
      </c>
      <c r="R49" s="58">
        <f t="shared" si="47"/>
        <v>4568.7237611368209</v>
      </c>
      <c r="S49" s="53">
        <f t="shared" si="41"/>
        <v>1074</v>
      </c>
      <c r="T49" s="53">
        <f t="shared" si="48"/>
        <v>84.104445039629027</v>
      </c>
      <c r="U49" s="53">
        <f t="shared" si="49"/>
        <v>474578.15044234053</v>
      </c>
      <c r="V49" s="58">
        <f t="shared" si="50"/>
        <v>636728.67230763775</v>
      </c>
      <c r="W49" s="53">
        <f t="shared" si="51"/>
        <v>46163</v>
      </c>
      <c r="X49" s="75">
        <f t="shared" si="52"/>
        <v>791511</v>
      </c>
      <c r="Y49" s="75">
        <f>X49*NPV!C17</f>
        <v>286880.01145314373</v>
      </c>
    </row>
    <row r="50" spans="12:25" x14ac:dyDescent="0.2">
      <c r="L50" s="100">
        <v>9</v>
      </c>
      <c r="M50" s="24">
        <f t="shared" si="54"/>
        <v>2033</v>
      </c>
      <c r="N50" s="58">
        <f t="shared" si="43"/>
        <v>3956.6678959087371</v>
      </c>
      <c r="O50" s="53">
        <f t="shared" si="44"/>
        <v>853</v>
      </c>
      <c r="P50" s="53">
        <f t="shared" si="45"/>
        <v>38.72054444533245</v>
      </c>
      <c r="Q50" s="53">
        <f t="shared" si="46"/>
        <v>186232.95953082285</v>
      </c>
      <c r="R50" s="58">
        <f t="shared" si="47"/>
        <v>4682.6740406697363</v>
      </c>
      <c r="S50" s="53">
        <f t="shared" si="41"/>
        <v>1091</v>
      </c>
      <c r="T50" s="53">
        <f t="shared" si="48"/>
        <v>94.239910841121954</v>
      </c>
      <c r="U50" s="53">
        <f t="shared" si="49"/>
        <v>544110.52681841631</v>
      </c>
      <c r="V50" s="58">
        <f t="shared" si="50"/>
        <v>730343.48634923913</v>
      </c>
      <c r="W50" s="53">
        <f t="shared" si="51"/>
        <v>52950</v>
      </c>
      <c r="X50" s="75">
        <f t="shared" si="52"/>
        <v>907881</v>
      </c>
      <c r="Y50" s="75">
        <f>X50*NPV!C18</f>
        <v>307530.70538217307</v>
      </c>
    </row>
    <row r="51" spans="12:25" x14ac:dyDescent="0.2">
      <c r="L51" s="100">
        <v>10</v>
      </c>
      <c r="M51" s="24">
        <f t="shared" si="54"/>
        <v>2034</v>
      </c>
      <c r="N51" s="58">
        <f t="shared" si="43"/>
        <v>4056.7693110422083</v>
      </c>
      <c r="O51" s="53">
        <f t="shared" si="44"/>
        <v>867</v>
      </c>
      <c r="P51" s="53">
        <f t="shared" si="45"/>
        <v>43.439112756832046</v>
      </c>
      <c r="Q51" s="53">
        <f t="shared" si="46"/>
        <v>213884.17029099169</v>
      </c>
      <c r="R51" s="58">
        <f t="shared" si="47"/>
        <v>4799.4663975276335</v>
      </c>
      <c r="S51" s="53">
        <f t="shared" si="41"/>
        <v>1109</v>
      </c>
      <c r="T51" s="53">
        <f t="shared" si="48"/>
        <v>105.59680634189924</v>
      </c>
      <c r="U51" s="53">
        <f t="shared" si="49"/>
        <v>623915.18195734452</v>
      </c>
      <c r="V51" s="58">
        <f t="shared" si="50"/>
        <v>837799.35224833619</v>
      </c>
      <c r="W51" s="53">
        <f t="shared" si="51"/>
        <v>60740</v>
      </c>
      <c r="X51" s="75">
        <f t="shared" si="52"/>
        <v>1041448</v>
      </c>
      <c r="Y51" s="75">
        <f>X51*NPV!C19</f>
        <v>329695.76580006664</v>
      </c>
    </row>
    <row r="52" spans="12:25" x14ac:dyDescent="0.2">
      <c r="L52" s="100">
        <v>11</v>
      </c>
      <c r="M52" s="24">
        <f t="shared" si="54"/>
        <v>2035</v>
      </c>
      <c r="N52" s="58">
        <f t="shared" si="43"/>
        <v>4159.4032342292576</v>
      </c>
      <c r="O52" s="53">
        <f t="shared" si="44"/>
        <v>880</v>
      </c>
      <c r="P52" s="53">
        <f t="shared" si="45"/>
        <v>48.732695888738483</v>
      </c>
      <c r="Q52" s="53">
        <f t="shared" si="46"/>
        <v>245583.70527441957</v>
      </c>
      <c r="R52" s="58">
        <f t="shared" si="47"/>
        <v>4919.1717170436086</v>
      </c>
      <c r="S52" s="53">
        <f t="shared" si="41"/>
        <v>1126</v>
      </c>
      <c r="T52" s="53">
        <f t="shared" si="48"/>
        <v>118.32232660329434</v>
      </c>
      <c r="U52" s="53">
        <f t="shared" si="49"/>
        <v>715278.78227703157</v>
      </c>
      <c r="V52" s="58">
        <f t="shared" si="50"/>
        <v>960862.4875514512</v>
      </c>
      <c r="W52" s="53">
        <f t="shared" si="51"/>
        <v>69663</v>
      </c>
      <c r="X52" s="75">
        <f t="shared" si="52"/>
        <v>1194442</v>
      </c>
      <c r="Y52" s="75">
        <f>X52*NPV!C20</f>
        <v>353392.28793900245</v>
      </c>
    </row>
    <row r="53" spans="12:25" x14ac:dyDescent="0.2">
      <c r="L53" s="100">
        <v>12</v>
      </c>
      <c r="M53" s="24">
        <f t="shared" si="54"/>
        <v>2036</v>
      </c>
      <c r="N53" s="58">
        <f t="shared" si="43"/>
        <v>4264.6337364626161</v>
      </c>
      <c r="O53" s="53">
        <f t="shared" si="44"/>
        <v>894</v>
      </c>
      <c r="P53" s="53">
        <f t="shared" si="45"/>
        <v>54.671366376164094</v>
      </c>
      <c r="Q53" s="53">
        <f t="shared" si="46"/>
        <v>282029.55500658799</v>
      </c>
      <c r="R53" s="58">
        <f t="shared" si="47"/>
        <v>5041.862652528851</v>
      </c>
      <c r="S53" s="53">
        <f t="shared" si="41"/>
        <v>1144</v>
      </c>
      <c r="T53" s="53">
        <f t="shared" si="48"/>
        <v>132.58140523196485</v>
      </c>
      <c r="U53" s="53">
        <f t="shared" si="49"/>
        <v>820130.36304420454</v>
      </c>
      <c r="V53" s="58">
        <f t="shared" si="50"/>
        <v>1102159.9180507925</v>
      </c>
      <c r="W53" s="53">
        <f t="shared" si="51"/>
        <v>79907</v>
      </c>
      <c r="X53" s="75">
        <f t="shared" si="52"/>
        <v>1370085</v>
      </c>
      <c r="Y53" s="75">
        <f>X53*NPV!C21</f>
        <v>378839.91943315603</v>
      </c>
    </row>
    <row r="54" spans="12:25" x14ac:dyDescent="0.2">
      <c r="L54" s="100">
        <v>13</v>
      </c>
      <c r="M54" s="24">
        <f t="shared" si="54"/>
        <v>2037</v>
      </c>
      <c r="N54" s="58">
        <f t="shared" si="43"/>
        <v>4372.5265096941685</v>
      </c>
      <c r="O54" s="53">
        <f t="shared" si="44"/>
        <v>909</v>
      </c>
      <c r="P54" s="53">
        <f t="shared" si="45"/>
        <v>61.333735943130471</v>
      </c>
      <c r="Q54" s="53">
        <f t="shared" si="46"/>
        <v>323935.75232222566</v>
      </c>
      <c r="R54" s="58">
        <f t="shared" si="47"/>
        <v>5167.6136693684584</v>
      </c>
      <c r="S54" s="53">
        <f t="shared" si="41"/>
        <v>1163</v>
      </c>
      <c r="T54" s="53">
        <f t="shared" si="48"/>
        <v>148.55885206024229</v>
      </c>
      <c r="U54" s="53">
        <f t="shared" si="49"/>
        <v>940468.69955825643</v>
      </c>
      <c r="V54" s="58">
        <f t="shared" si="50"/>
        <v>1264404.451880482</v>
      </c>
      <c r="W54" s="53">
        <f t="shared" si="51"/>
        <v>91669</v>
      </c>
      <c r="X54" s="75">
        <f t="shared" si="52"/>
        <v>1571757</v>
      </c>
      <c r="Y54" s="75">
        <f>X54*NPV!C22</f>
        <v>406171.87660571781</v>
      </c>
    </row>
    <row r="55" spans="12:25" x14ac:dyDescent="0.2">
      <c r="L55" s="100">
        <v>14</v>
      </c>
      <c r="M55" s="24">
        <f t="shared" si="54"/>
        <v>2038</v>
      </c>
      <c r="N55" s="58">
        <f t="shared" si="43"/>
        <v>4483.1489078442855</v>
      </c>
      <c r="O55" s="53">
        <f t="shared" si="44"/>
        <v>923</v>
      </c>
      <c r="P55" s="53">
        <f t="shared" si="45"/>
        <v>68.807996106381495</v>
      </c>
      <c r="Q55" s="53">
        <f t="shared" si="46"/>
        <v>371986.27300146816</v>
      </c>
      <c r="R55" s="58">
        <f t="shared" si="47"/>
        <v>5296.5010902170607</v>
      </c>
      <c r="S55" s="53">
        <f t="shared" si="41"/>
        <v>1181</v>
      </c>
      <c r="T55" s="53">
        <f t="shared" si="48"/>
        <v>166.46174843933565</v>
      </c>
      <c r="U55" s="53">
        <f t="shared" si="49"/>
        <v>1078256.1569952348</v>
      </c>
      <c r="V55" s="58">
        <f t="shared" si="50"/>
        <v>1450242.4299967028</v>
      </c>
      <c r="W55" s="53">
        <f t="shared" si="51"/>
        <v>105143</v>
      </c>
      <c r="X55" s="75">
        <f t="shared" si="52"/>
        <v>1802782</v>
      </c>
      <c r="Y55" s="75">
        <f>X55*NPV!C23</f>
        <v>435395.44554279611</v>
      </c>
    </row>
    <row r="56" spans="12:25" x14ac:dyDescent="0.2">
      <c r="L56" s="100">
        <v>15</v>
      </c>
      <c r="M56" s="24">
        <f t="shared" si="54"/>
        <v>2039</v>
      </c>
      <c r="N56" s="58">
        <f t="shared" si="43"/>
        <v>4596.5699888486643</v>
      </c>
      <c r="O56" s="53">
        <f t="shared" si="44"/>
        <v>938</v>
      </c>
      <c r="P56" s="53">
        <f t="shared" si="45"/>
        <v>77.193085589401321</v>
      </c>
      <c r="Q56" s="53">
        <f t="shared" si="46"/>
        <v>427230.53484972683</v>
      </c>
      <c r="R56" s="58">
        <f t="shared" si="47"/>
        <v>5428.6031413216888</v>
      </c>
      <c r="S56" s="53">
        <f t="shared" si="41"/>
        <v>1200</v>
      </c>
      <c r="T56" s="53">
        <f t="shared" si="48"/>
        <v>186.52213119043321</v>
      </c>
      <c r="U56" s="53">
        <f t="shared" si="49"/>
        <v>1236381.1847349217</v>
      </c>
      <c r="V56" s="58">
        <f t="shared" si="50"/>
        <v>1663611.7195846485</v>
      </c>
      <c r="W56" s="53">
        <f t="shared" si="51"/>
        <v>120612</v>
      </c>
      <c r="X56" s="75">
        <f t="shared" si="52"/>
        <v>2068013</v>
      </c>
      <c r="Y56" s="75">
        <f>X56*NPV!C24</f>
        <v>466777.7598620989</v>
      </c>
    </row>
    <row r="57" spans="12:25" x14ac:dyDescent="0.2">
      <c r="L57" s="100">
        <v>16</v>
      </c>
      <c r="M57" s="24">
        <f t="shared" si="54"/>
        <v>2040</v>
      </c>
      <c r="N57" s="58">
        <f t="shared" si="43"/>
        <v>4349</v>
      </c>
      <c r="O57" s="53">
        <f t="shared" si="44"/>
        <v>953</v>
      </c>
      <c r="P57" s="53">
        <f t="shared" si="45"/>
        <v>86.600000000000023</v>
      </c>
      <c r="Q57" s="53">
        <f t="shared" si="46"/>
        <v>459153.20000000013</v>
      </c>
      <c r="R57" s="58">
        <f t="shared" si="47"/>
        <v>5564</v>
      </c>
      <c r="S57" s="53">
        <f t="shared" si="41"/>
        <v>1219</v>
      </c>
      <c r="T57" s="53">
        <f t="shared" si="48"/>
        <v>209</v>
      </c>
      <c r="U57" s="53">
        <f t="shared" si="49"/>
        <v>1417647</v>
      </c>
      <c r="V57" s="58">
        <f t="shared" si="50"/>
        <v>1876800.2000000002</v>
      </c>
      <c r="W57" s="53">
        <f t="shared" si="51"/>
        <v>136068</v>
      </c>
      <c r="X57" s="75">
        <f t="shared" si="52"/>
        <v>2333022</v>
      </c>
      <c r="Y57" s="75">
        <f>X57*NPV!C25</f>
        <v>492143.71967581345</v>
      </c>
    </row>
    <row r="58" spans="12:25" x14ac:dyDescent="0.2">
      <c r="L58" s="100">
        <v>17</v>
      </c>
      <c r="M58" s="24">
        <f t="shared" si="54"/>
        <v>2041</v>
      </c>
      <c r="N58" s="58">
        <f t="shared" si="43"/>
        <v>4832.0932109939358</v>
      </c>
      <c r="O58" s="53">
        <f t="shared" si="44"/>
        <v>968</v>
      </c>
      <c r="P58" s="53">
        <f t="shared" si="45"/>
        <v>97.15326110800909</v>
      </c>
      <c r="Q58" s="53">
        <f t="shared" si="46"/>
        <v>563497.97017848468</v>
      </c>
      <c r="R58" s="58">
        <f t="shared" si="47"/>
        <v>5702.773843302658</v>
      </c>
      <c r="S58" s="53">
        <f t="shared" si="41"/>
        <v>1239</v>
      </c>
      <c r="T58" s="53">
        <f t="shared" si="48"/>
        <v>234.18668723768297</v>
      </c>
      <c r="U58" s="53">
        <f t="shared" si="49"/>
        <v>1625671.019916248</v>
      </c>
      <c r="V58" s="58">
        <f t="shared" si="50"/>
        <v>2189168.9900947325</v>
      </c>
      <c r="W58" s="53">
        <f t="shared" si="51"/>
        <v>158715</v>
      </c>
      <c r="X58" s="75">
        <f t="shared" si="52"/>
        <v>2721327</v>
      </c>
      <c r="Y58" s="75">
        <f>X58*NPV!C26</f>
        <v>536500.41982539813</v>
      </c>
    </row>
    <row r="59" spans="12:25" x14ac:dyDescent="0.2">
      <c r="L59" s="100">
        <v>18</v>
      </c>
      <c r="M59" s="24">
        <f t="shared" si="54"/>
        <v>2042</v>
      </c>
      <c r="N59" s="58">
        <f t="shared" si="43"/>
        <v>4954.3423815592696</v>
      </c>
      <c r="O59" s="53">
        <f t="shared" si="44"/>
        <v>984</v>
      </c>
      <c r="P59" s="53">
        <f t="shared" si="45"/>
        <v>108.99256517229784</v>
      </c>
      <c r="Q59" s="53">
        <f t="shared" si="46"/>
        <v>647235.16903751704</v>
      </c>
      <c r="R59" s="58">
        <f t="shared" si="47"/>
        <v>5845.0088978894655</v>
      </c>
      <c r="S59" s="53">
        <f t="shared" si="41"/>
        <v>1259</v>
      </c>
      <c r="T59" s="53">
        <f t="shared" si="48"/>
        <v>262.40863387253734</v>
      </c>
      <c r="U59" s="53">
        <f t="shared" si="49"/>
        <v>1864153.2699135242</v>
      </c>
      <c r="V59" s="58">
        <f t="shared" si="50"/>
        <v>2511388.4389510411</v>
      </c>
      <c r="W59" s="53">
        <f t="shared" si="51"/>
        <v>182076</v>
      </c>
      <c r="X59" s="75">
        <f t="shared" si="52"/>
        <v>3121875</v>
      </c>
      <c r="Y59" s="75">
        <f>X59*NPV!C27</f>
        <v>575202.90107724164</v>
      </c>
    </row>
    <row r="60" spans="12:25" x14ac:dyDescent="0.2">
      <c r="L60" s="100">
        <v>19</v>
      </c>
      <c r="M60" s="24">
        <f t="shared" si="54"/>
        <v>2043</v>
      </c>
      <c r="N60" s="58">
        <f t="shared" si="43"/>
        <v>5079.6843856133937</v>
      </c>
      <c r="O60" s="53">
        <f t="shared" si="44"/>
        <v>1000</v>
      </c>
      <c r="P60" s="53">
        <f t="shared" si="45"/>
        <v>122.27463213644283</v>
      </c>
      <c r="Q60" s="53">
        <f t="shared" si="46"/>
        <v>743391.17175655311</v>
      </c>
      <c r="R60" s="58">
        <f t="shared" si="47"/>
        <v>5990.7914911494154</v>
      </c>
      <c r="S60" s="53">
        <f t="shared" si="41"/>
        <v>1279</v>
      </c>
      <c r="T60" s="53">
        <f t="shared" si="48"/>
        <v>294.03162042667719</v>
      </c>
      <c r="U60" s="53">
        <f t="shared" si="49"/>
        <v>2137548.5723067326</v>
      </c>
      <c r="V60" s="58">
        <f t="shared" si="50"/>
        <v>2880939.7440632856</v>
      </c>
      <c r="W60" s="53">
        <f t="shared" si="51"/>
        <v>208868</v>
      </c>
      <c r="X60" s="75">
        <f t="shared" si="52"/>
        <v>3581251</v>
      </c>
      <c r="Y60" s="75">
        <f>X60*NPV!C28</f>
        <v>616675.28154270852</v>
      </c>
    </row>
    <row r="61" spans="12:25" x14ac:dyDescent="0.2">
      <c r="L61" s="100">
        <v>20</v>
      </c>
      <c r="M61" s="25">
        <f t="shared" si="54"/>
        <v>2044</v>
      </c>
      <c r="N61" s="58">
        <f t="shared" si="43"/>
        <v>5208.1974700592918</v>
      </c>
      <c r="O61" s="55">
        <f t="shared" si="44"/>
        <v>1016</v>
      </c>
      <c r="P61" s="55">
        <f t="shared" si="45"/>
        <v>137.17528017133478</v>
      </c>
      <c r="Q61" s="55">
        <f t="shared" si="46"/>
        <v>853806.03179709648</v>
      </c>
      <c r="R61" s="58">
        <f t="shared" si="47"/>
        <v>6140.2101035958003</v>
      </c>
      <c r="S61" s="55">
        <f t="shared" si="41"/>
        <v>1299</v>
      </c>
      <c r="T61" s="55">
        <f t="shared" si="48"/>
        <v>329.46550780311634</v>
      </c>
      <c r="U61" s="55">
        <f t="shared" si="49"/>
        <v>2450963.1344352639</v>
      </c>
      <c r="V61" s="58">
        <f t="shared" si="50"/>
        <v>3304769.1662323605</v>
      </c>
      <c r="W61" s="55">
        <f t="shared" si="51"/>
        <v>239596</v>
      </c>
      <c r="X61" s="76">
        <f t="shared" si="52"/>
        <v>4108113</v>
      </c>
      <c r="Y61" s="76">
        <f>X61*NPV!C41</f>
        <v>287567.91000000003</v>
      </c>
    </row>
    <row r="62" spans="12:25" x14ac:dyDescent="0.2">
      <c r="M62" s="778" t="s">
        <v>0</v>
      </c>
      <c r="N62" s="778"/>
      <c r="O62" s="778"/>
      <c r="P62" s="778"/>
      <c r="Q62" s="778"/>
      <c r="R62" s="778"/>
      <c r="S62" s="778"/>
      <c r="T62" s="778"/>
      <c r="U62" s="168">
        <f>+SUM(U41:U61)</f>
        <v>18083304.566939931</v>
      </c>
      <c r="V62" s="746" t="s">
        <v>0</v>
      </c>
      <c r="W62" s="747"/>
      <c r="X62" s="7">
        <f>SUM(X41:X61)</f>
        <v>30200844</v>
      </c>
      <c r="Y62" s="7">
        <f>SUM(Y41:Y61)</f>
        <v>7173018.0101607265</v>
      </c>
    </row>
  </sheetData>
  <mergeCells count="37">
    <mergeCell ref="G1:J1"/>
    <mergeCell ref="E15:F15"/>
    <mergeCell ref="H15:I15"/>
    <mergeCell ref="S8:T8"/>
    <mergeCell ref="S6:T6"/>
    <mergeCell ref="J15:K15"/>
    <mergeCell ref="A1:A2"/>
    <mergeCell ref="A32:B32"/>
    <mergeCell ref="A34:B34"/>
    <mergeCell ref="O1:R1"/>
    <mergeCell ref="A10:T10"/>
    <mergeCell ref="B1:B2"/>
    <mergeCell ref="A12:B12"/>
    <mergeCell ref="A14:B14"/>
    <mergeCell ref="A18:B18"/>
    <mergeCell ref="A23:B23"/>
    <mergeCell ref="A9:B9"/>
    <mergeCell ref="S1:S2"/>
    <mergeCell ref="A30:B30"/>
    <mergeCell ref="K1:N1"/>
    <mergeCell ref="T1:T2"/>
    <mergeCell ref="C1:F1"/>
    <mergeCell ref="Y38:Y40"/>
    <mergeCell ref="X38:X40"/>
    <mergeCell ref="W38:W40"/>
    <mergeCell ref="Q39:Q40"/>
    <mergeCell ref="T39:T40"/>
    <mergeCell ref="U39:U40"/>
    <mergeCell ref="R39:S39"/>
    <mergeCell ref="V62:W62"/>
    <mergeCell ref="M38:M40"/>
    <mergeCell ref="V38:V40"/>
    <mergeCell ref="N38:Q38"/>
    <mergeCell ref="R38:U38"/>
    <mergeCell ref="N39:O39"/>
    <mergeCell ref="P39:P40"/>
    <mergeCell ref="M62:T62"/>
  </mergeCells>
  <pageMargins left="0.7" right="0.7" top="0.75" bottom="0.75" header="0.3" footer="0.3"/>
  <pageSetup orientation="portrait" r:id="rId1"/>
  <ignoredErrors>
    <ignoredError sqref="S41:S61 O41:O6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W266"/>
  <sheetViews>
    <sheetView topLeftCell="E1" zoomScale="70" zoomScaleNormal="70" workbookViewId="0">
      <selection activeCell="T6" sqref="T6"/>
    </sheetView>
  </sheetViews>
  <sheetFormatPr defaultRowHeight="12.75" x14ac:dyDescent="0.2"/>
  <cols>
    <col min="1" max="1" width="23.28515625" customWidth="1"/>
    <col min="2" max="2" width="27.140625" bestFit="1" customWidth="1"/>
    <col min="3" max="3" width="15.7109375" customWidth="1"/>
    <col min="4" max="4" width="18.7109375" customWidth="1"/>
    <col min="5" max="5" width="18.7109375" bestFit="1" customWidth="1"/>
    <col min="6" max="6" width="21.42578125" customWidth="1"/>
    <col min="7" max="7" width="12.5703125" customWidth="1"/>
    <col min="8" max="8" width="13.5703125" customWidth="1"/>
    <col min="9" max="9" width="15.140625" bestFit="1" customWidth="1"/>
    <col min="10" max="10" width="12.28515625" customWidth="1"/>
    <col min="11" max="11" width="23.140625" customWidth="1"/>
    <col min="12" max="12" width="19.140625" customWidth="1"/>
    <col min="13" max="13" width="18.7109375" style="73" customWidth="1"/>
    <col min="14" max="14" width="14.42578125" bestFit="1" customWidth="1"/>
    <col min="15" max="15" width="15.140625" bestFit="1" customWidth="1"/>
    <col min="16" max="16" width="15.42578125" bestFit="1" customWidth="1"/>
    <col min="17" max="17" width="18.7109375" bestFit="1" customWidth="1"/>
    <col min="18" max="18" width="14.85546875" customWidth="1"/>
    <col min="19" max="20" width="17.28515625" bestFit="1" customWidth="1"/>
    <col min="21" max="21" width="14.140625" bestFit="1" customWidth="1"/>
    <col min="22" max="22" width="14.85546875" bestFit="1" customWidth="1"/>
    <col min="23" max="23" width="11.7109375" customWidth="1"/>
    <col min="24" max="25" width="17.28515625" bestFit="1" customWidth="1"/>
    <col min="26" max="26" width="12.42578125" customWidth="1"/>
    <col min="27" max="27" width="10.7109375" customWidth="1"/>
    <col min="28" max="28" width="16.140625" customWidth="1"/>
    <col min="29" max="31" width="15.7109375" customWidth="1"/>
    <col min="35" max="35" width="10.7109375" bestFit="1" customWidth="1"/>
    <col min="37" max="37" width="11.7109375" customWidth="1"/>
    <col min="38" max="38" width="13.85546875" customWidth="1"/>
  </cols>
  <sheetData>
    <row r="1" spans="1:49" x14ac:dyDescent="0.2">
      <c r="A1" s="423"/>
      <c r="B1" s="423" t="s">
        <v>191</v>
      </c>
      <c r="C1" s="423" t="s">
        <v>52</v>
      </c>
      <c r="D1" s="211"/>
      <c r="E1" s="211"/>
      <c r="F1" s="211"/>
      <c r="G1" s="211"/>
      <c r="H1" s="211"/>
      <c r="I1" s="211"/>
      <c r="J1" s="211"/>
      <c r="K1" s="32"/>
      <c r="L1" s="225" t="s">
        <v>201</v>
      </c>
      <c r="M1"/>
      <c r="U1" s="215"/>
      <c r="V1" s="215"/>
      <c r="W1" s="215"/>
    </row>
    <row r="2" spans="1:49" s="73" customFormat="1" x14ac:dyDescent="0.2">
      <c r="A2" s="458" t="s">
        <v>188</v>
      </c>
      <c r="B2" s="459">
        <v>7.6</v>
      </c>
      <c r="C2" s="459">
        <v>8.5</v>
      </c>
      <c r="D2" s="216"/>
      <c r="F2" s="216"/>
      <c r="G2" s="216"/>
      <c r="H2" s="216"/>
      <c r="I2" s="216"/>
      <c r="J2" s="216"/>
      <c r="K2" s="32"/>
      <c r="M2"/>
      <c r="N2"/>
      <c r="O2"/>
      <c r="P2"/>
      <c r="Q2"/>
      <c r="R2"/>
      <c r="S2"/>
      <c r="T2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</row>
    <row r="3" spans="1:49" x14ac:dyDescent="0.2">
      <c r="A3" s="423" t="s">
        <v>189</v>
      </c>
      <c r="B3" s="303">
        <v>35</v>
      </c>
      <c r="C3" s="303">
        <v>70</v>
      </c>
      <c r="D3" s="211"/>
      <c r="E3" s="211"/>
      <c r="F3" s="211"/>
      <c r="G3" s="211"/>
      <c r="H3" s="211"/>
      <c r="I3" s="211"/>
      <c r="J3" s="211"/>
      <c r="L3" s="217"/>
      <c r="M3" s="773" t="s">
        <v>191</v>
      </c>
      <c r="N3" s="774"/>
      <c r="O3" s="773" t="s">
        <v>52</v>
      </c>
      <c r="P3" s="775"/>
      <c r="Q3" s="819" t="s">
        <v>195</v>
      </c>
      <c r="R3" s="820"/>
      <c r="S3" s="739" t="s">
        <v>196</v>
      </c>
      <c r="T3" s="739" t="s">
        <v>203</v>
      </c>
      <c r="U3" s="215"/>
      <c r="V3" s="215"/>
      <c r="W3" s="215"/>
    </row>
    <row r="4" spans="1:49" s="73" customFormat="1" ht="13.15" customHeight="1" x14ac:dyDescent="0.2">
      <c r="A4" s="458" t="s">
        <v>190</v>
      </c>
      <c r="B4" s="465">
        <v>14</v>
      </c>
      <c r="C4" s="466">
        <f>(C2*60)/C3</f>
        <v>7.2857142857142856</v>
      </c>
      <c r="D4" s="216"/>
      <c r="E4" s="216"/>
      <c r="F4" s="216"/>
      <c r="G4" s="467"/>
      <c r="H4" s="467"/>
      <c r="I4" s="216"/>
      <c r="J4" s="216"/>
      <c r="L4" s="739" t="s">
        <v>1</v>
      </c>
      <c r="M4" s="752" t="s">
        <v>192</v>
      </c>
      <c r="N4" s="754"/>
      <c r="O4" s="749" t="s">
        <v>192</v>
      </c>
      <c r="P4" s="751"/>
      <c r="Q4" s="821"/>
      <c r="R4" s="822"/>
      <c r="S4" s="818"/>
      <c r="T4" s="818"/>
      <c r="U4" s="214"/>
      <c r="V4" s="214"/>
      <c r="W4" s="214"/>
    </row>
    <row r="5" spans="1:49" s="205" customFormat="1" ht="26.25" thickBot="1" x14ac:dyDescent="0.25">
      <c r="A5" s="461"/>
      <c r="B5" s="462"/>
      <c r="C5" s="460"/>
      <c r="D5" s="211"/>
      <c r="E5" s="211"/>
      <c r="F5" s="211"/>
      <c r="G5" s="460"/>
      <c r="H5" s="460"/>
      <c r="I5" s="211"/>
      <c r="J5" s="211"/>
      <c r="K5"/>
      <c r="L5" s="799"/>
      <c r="M5" s="421" t="s">
        <v>44</v>
      </c>
      <c r="N5" s="421" t="s">
        <v>45</v>
      </c>
      <c r="O5" s="421" t="s">
        <v>44</v>
      </c>
      <c r="P5" s="421" t="s">
        <v>45</v>
      </c>
      <c r="Q5" s="422" t="s">
        <v>44</v>
      </c>
      <c r="R5" s="422" t="s">
        <v>45</v>
      </c>
      <c r="S5" s="799"/>
      <c r="T5" s="799"/>
      <c r="U5" s="215"/>
      <c r="V5" s="215"/>
      <c r="W5" s="215"/>
    </row>
    <row r="6" spans="1:49" ht="13.5" thickTop="1" x14ac:dyDescent="0.2">
      <c r="A6" s="206" t="s">
        <v>187</v>
      </c>
      <c r="B6" s="304">
        <v>0.17</v>
      </c>
      <c r="C6" s="211"/>
      <c r="D6" s="211"/>
      <c r="E6" s="211"/>
      <c r="F6" s="211"/>
      <c r="G6" s="211"/>
      <c r="H6" s="211"/>
      <c r="I6" s="211"/>
      <c r="J6" s="211"/>
      <c r="K6" s="100"/>
      <c r="L6" s="57">
        <v>2025</v>
      </c>
      <c r="M6" s="66">
        <f t="shared" ref="M6:M36" si="0">(E96/$B$3)+O96</f>
        <v>1381998.383780583</v>
      </c>
      <c r="N6" s="66">
        <f t="shared" ref="N6:N36" si="1">(D96/$B$3)+P96</f>
        <v>254995.93882379867</v>
      </c>
      <c r="O6" s="66">
        <f>(E145/$C$3)+(K145/$B$3)</f>
        <v>824083.42829799198</v>
      </c>
      <c r="P6" s="66">
        <f>(D145/$C$3)+(J145/$B$3)</f>
        <v>168788.17206103454</v>
      </c>
      <c r="Q6" s="58">
        <f>M6-O6</f>
        <v>557914.95548259106</v>
      </c>
      <c r="R6" s="58">
        <f>N6-P6</f>
        <v>86207.766762764135</v>
      </c>
      <c r="S6" s="74">
        <f>Q6*$A$12+R6*$A$11</f>
        <v>10722683.470557403</v>
      </c>
      <c r="T6" s="74">
        <f>S6*NPV!C10</f>
        <v>6240699.4052334521</v>
      </c>
      <c r="U6" s="215"/>
      <c r="V6" s="215"/>
      <c r="W6" s="215"/>
    </row>
    <row r="7" spans="1:49" x14ac:dyDescent="0.2">
      <c r="A7" s="726" t="s">
        <v>22</v>
      </c>
      <c r="B7" s="726"/>
      <c r="C7" s="211"/>
      <c r="D7" s="211"/>
      <c r="E7" s="211"/>
      <c r="F7" s="211"/>
      <c r="G7" s="211"/>
      <c r="H7" s="211"/>
      <c r="I7" s="211"/>
      <c r="J7" s="211"/>
      <c r="K7" s="100"/>
      <c r="L7" s="24">
        <f>L6+1</f>
        <v>2026</v>
      </c>
      <c r="M7" s="66">
        <f t="shared" si="0"/>
        <v>1410880.6606147436</v>
      </c>
      <c r="N7" s="58">
        <f t="shared" si="1"/>
        <v>259265.27053677288</v>
      </c>
      <c r="O7" s="58">
        <f>(E146/$C$3)+(K146/$B$3)</f>
        <v>837305.66988898569</v>
      </c>
      <c r="P7" s="58">
        <f t="shared" ref="P7:P36" si="2">(D146/$C$3)+(J146/$B$3)</f>
        <v>171496.34202545491</v>
      </c>
      <c r="Q7" s="58">
        <f t="shared" ref="Q7:Q35" si="3">M7-O7</f>
        <v>573574.9907257579</v>
      </c>
      <c r="R7" s="58">
        <f t="shared" ref="R7:R35" si="4">N7-P7</f>
        <v>87768.928511317965</v>
      </c>
      <c r="S7" s="74">
        <f t="shared" ref="S7:S36" si="5">Q7*$A$12+R7*$A$11</f>
        <v>10999101.218164911</v>
      </c>
      <c r="T7" s="74">
        <f>S7*NPV!C11</f>
        <v>5982782.2906583026</v>
      </c>
      <c r="U7" s="215"/>
      <c r="V7" s="215"/>
      <c r="W7" s="215"/>
    </row>
    <row r="8" spans="1:49" x14ac:dyDescent="0.2">
      <c r="A8" s="214"/>
      <c r="B8" s="218"/>
      <c r="C8" s="211"/>
      <c r="D8" s="211"/>
      <c r="E8" s="211"/>
      <c r="F8" s="211"/>
      <c r="G8" s="211"/>
      <c r="H8" s="211"/>
      <c r="I8" s="211"/>
      <c r="J8" s="211"/>
      <c r="K8" s="100"/>
      <c r="L8" s="24">
        <f t="shared" ref="L8:L36" si="6">L7+1</f>
        <v>2027</v>
      </c>
      <c r="M8" s="66">
        <f t="shared" si="0"/>
        <v>1440748.2290229653</v>
      </c>
      <c r="N8" s="58">
        <f t="shared" si="1"/>
        <v>263610.72819949861</v>
      </c>
      <c r="O8" s="58">
        <f t="shared" ref="O8:O36" si="7">(E147/$C$3)+(K147/$B$3)</f>
        <v>850740.15969349933</v>
      </c>
      <c r="P8" s="58">
        <f t="shared" si="2"/>
        <v>174247.98451553605</v>
      </c>
      <c r="Q8" s="58">
        <f t="shared" si="3"/>
        <v>590008.06932946597</v>
      </c>
      <c r="R8" s="58">
        <f t="shared" si="4"/>
        <v>89362.743683962559</v>
      </c>
      <c r="S8" s="74">
        <f t="shared" si="5"/>
        <v>11287893.895437427</v>
      </c>
      <c r="T8" s="74">
        <f>S8*NPV!C12</f>
        <v>5738192.8714374183</v>
      </c>
      <c r="U8" s="215"/>
      <c r="V8" s="215"/>
      <c r="W8" s="215"/>
    </row>
    <row r="9" spans="1:49" x14ac:dyDescent="0.2">
      <c r="A9" s="148"/>
      <c r="B9" s="148"/>
      <c r="C9" s="219"/>
      <c r="D9" s="151"/>
      <c r="E9" s="151"/>
      <c r="F9" s="148"/>
      <c r="G9" s="213"/>
      <c r="H9" s="148"/>
      <c r="I9" s="148"/>
      <c r="J9" s="148"/>
      <c r="K9" s="100"/>
      <c r="L9" s="24">
        <f t="shared" si="6"/>
        <v>2028</v>
      </c>
      <c r="M9" s="66">
        <f t="shared" si="0"/>
        <v>1471671.3638138003</v>
      </c>
      <c r="N9" s="58">
        <f t="shared" si="1"/>
        <v>268033.89463376091</v>
      </c>
      <c r="O9" s="58">
        <f t="shared" si="7"/>
        <v>864390.30628230306</v>
      </c>
      <c r="P9" s="58">
        <f t="shared" si="2"/>
        <v>177043.79767227898</v>
      </c>
      <c r="Q9" s="58">
        <f t="shared" si="3"/>
        <v>607281.05753149721</v>
      </c>
      <c r="R9" s="58">
        <f t="shared" si="4"/>
        <v>90990.096961481933</v>
      </c>
      <c r="S9" s="74">
        <f t="shared" si="5"/>
        <v>11590076.424564542</v>
      </c>
      <c r="T9" s="74">
        <f>S9*NPV!C13</f>
        <v>5506361.8188922107</v>
      </c>
    </row>
    <row r="10" spans="1:49" x14ac:dyDescent="0.2">
      <c r="A10" s="148"/>
      <c r="B10" s="148"/>
      <c r="C10" s="219"/>
      <c r="D10" s="151"/>
      <c r="E10" s="151"/>
      <c r="F10" s="148"/>
      <c r="G10" s="213"/>
      <c r="H10" s="148"/>
      <c r="I10" s="148"/>
      <c r="J10" s="148"/>
      <c r="K10" s="100"/>
      <c r="L10" s="24">
        <f t="shared" si="6"/>
        <v>2029</v>
      </c>
      <c r="M10" s="66">
        <f t="shared" si="0"/>
        <v>1503729.000411828</v>
      </c>
      <c r="N10" s="58">
        <f t="shared" si="1"/>
        <v>272536.39767479594</v>
      </c>
      <c r="O10" s="58">
        <f t="shared" si="7"/>
        <v>878259.57298816438</v>
      </c>
      <c r="P10" s="58">
        <f t="shared" si="2"/>
        <v>179884.49085299755</v>
      </c>
      <c r="Q10" s="58">
        <f t="shared" si="3"/>
        <v>625469.42742366367</v>
      </c>
      <c r="R10" s="58">
        <f t="shared" si="4"/>
        <v>92651.906821798388</v>
      </c>
      <c r="S10" s="74">
        <f t="shared" si="5"/>
        <v>11906792.060973657</v>
      </c>
      <c r="T10" s="74">
        <f>S10*NPV!C14</f>
        <v>5286758.0712649459</v>
      </c>
    </row>
    <row r="11" spans="1:49" x14ac:dyDescent="0.2">
      <c r="A11" s="224">
        <v>28.6</v>
      </c>
      <c r="B11" s="222" t="s">
        <v>197</v>
      </c>
      <c r="C11" s="222"/>
      <c r="D11" s="223"/>
      <c r="E11" s="148"/>
      <c r="F11" s="148"/>
      <c r="G11" s="213"/>
      <c r="H11" s="148"/>
      <c r="I11" s="148"/>
      <c r="J11" s="148"/>
      <c r="K11" s="100"/>
      <c r="L11" s="24">
        <f t="shared" si="6"/>
        <v>2030</v>
      </c>
      <c r="M11" s="66">
        <f t="shared" si="0"/>
        <v>1537010.2124859174</v>
      </c>
      <c r="N11" s="58">
        <f t="shared" si="1"/>
        <v>277119.91213493084</v>
      </c>
      <c r="O11" s="58">
        <f t="shared" si="7"/>
        <v>892351.47878600191</v>
      </c>
      <c r="P11" s="58">
        <f t="shared" si="2"/>
        <v>182770.78481159077</v>
      </c>
      <c r="Q11" s="58">
        <f t="shared" si="3"/>
        <v>644658.73369991546</v>
      </c>
      <c r="R11" s="58">
        <f t="shared" si="4"/>
        <v>94349.127323340072</v>
      </c>
      <c r="S11" s="74">
        <f t="shared" si="5"/>
        <v>12239334.300206276</v>
      </c>
      <c r="T11" s="74">
        <f>S11*NPV!C15</f>
        <v>5078888.600408338</v>
      </c>
    </row>
    <row r="12" spans="1:49" x14ac:dyDescent="0.2">
      <c r="A12" s="224">
        <v>14.8</v>
      </c>
      <c r="B12" s="222" t="s">
        <v>198</v>
      </c>
      <c r="C12" s="222"/>
      <c r="D12" s="222"/>
      <c r="E12" s="148"/>
      <c r="F12" s="148"/>
      <c r="G12" s="213"/>
      <c r="H12" s="148"/>
      <c r="I12" s="148"/>
      <c r="J12" s="148"/>
      <c r="K12" s="100"/>
      <c r="L12" s="24">
        <f t="shared" si="6"/>
        <v>2031</v>
      </c>
      <c r="M12" s="66">
        <f t="shared" si="0"/>
        <v>1571616.0095679839</v>
      </c>
      <c r="N12" s="58">
        <f t="shared" si="1"/>
        <v>281786.16189054487</v>
      </c>
      <c r="O12" s="58">
        <f t="shared" si="7"/>
        <v>906669.59918719064</v>
      </c>
      <c r="P12" s="58">
        <f t="shared" si="2"/>
        <v>185703.41188171375</v>
      </c>
      <c r="Q12" s="58">
        <f t="shared" si="3"/>
        <v>664946.41038079327</v>
      </c>
      <c r="R12" s="58">
        <f t="shared" si="4"/>
        <v>96082.750008831121</v>
      </c>
      <c r="S12" s="74">
        <f t="shared" si="5"/>
        <v>12589173.523888312</v>
      </c>
      <c r="T12" s="74">
        <f>S12*NPV!C16</f>
        <v>4882298.5427227188</v>
      </c>
    </row>
    <row r="13" spans="1:49" x14ac:dyDescent="0.2">
      <c r="A13" s="32"/>
      <c r="B13" s="32"/>
      <c r="C13" s="32"/>
      <c r="D13" s="213"/>
      <c r="E13" s="148"/>
      <c r="F13" s="148"/>
      <c r="G13" s="213"/>
      <c r="H13" s="148"/>
      <c r="I13" s="148"/>
      <c r="J13" s="148"/>
      <c r="K13" s="100"/>
      <c r="L13" s="24">
        <f t="shared" si="6"/>
        <v>2032</v>
      </c>
      <c r="M13" s="66">
        <f t="shared" si="0"/>
        <v>1607661.539419699</v>
      </c>
      <c r="N13" s="58">
        <f t="shared" si="1"/>
        <v>286536.9221022111</v>
      </c>
      <c r="O13" s="58">
        <f t="shared" si="7"/>
        <v>921217.5671482475</v>
      </c>
      <c r="P13" s="58">
        <f t="shared" si="2"/>
        <v>188683.11616289406</v>
      </c>
      <c r="Q13" s="58">
        <f t="shared" si="3"/>
        <v>686443.97227145149</v>
      </c>
      <c r="R13" s="58">
        <f t="shared" si="4"/>
        <v>97853.805939317041</v>
      </c>
      <c r="S13" s="74">
        <f t="shared" si="5"/>
        <v>12957989.639481951</v>
      </c>
      <c r="T13" s="74">
        <f>S13*NPV!C17</f>
        <v>4696571.7673971681</v>
      </c>
    </row>
    <row r="14" spans="1:49" ht="13.15" customHeight="1" x14ac:dyDescent="0.2">
      <c r="A14" s="224">
        <v>0.9</v>
      </c>
      <c r="B14" s="222" t="s">
        <v>199</v>
      </c>
      <c r="C14" s="222"/>
      <c r="D14" s="222"/>
      <c r="E14" s="148"/>
      <c r="F14" s="148"/>
      <c r="G14" s="213"/>
      <c r="H14" s="148"/>
      <c r="I14" s="148"/>
      <c r="J14" s="148"/>
      <c r="K14" s="100"/>
      <c r="L14" s="24">
        <f t="shared" si="6"/>
        <v>2033</v>
      </c>
      <c r="M14" s="66">
        <f t="shared" si="0"/>
        <v>1645278.8067442437</v>
      </c>
      <c r="N14" s="58">
        <f t="shared" si="1"/>
        <v>291374.02157881059</v>
      </c>
      <c r="O14" s="58">
        <f t="shared" si="7"/>
        <v>935999.07399412489</v>
      </c>
      <c r="P14" s="58">
        <f t="shared" si="2"/>
        <v>191710.65370964003</v>
      </c>
      <c r="Q14" s="58">
        <f t="shared" si="3"/>
        <v>709279.73275011883</v>
      </c>
      <c r="R14" s="58">
        <f t="shared" si="4"/>
        <v>99663.367869170557</v>
      </c>
      <c r="S14" s="74">
        <f t="shared" si="5"/>
        <v>13347712.365760036</v>
      </c>
      <c r="T14" s="74">
        <f>S14*NPV!C18</f>
        <v>4521331.9797204016</v>
      </c>
      <c r="U14" s="804"/>
      <c r="V14" s="428"/>
      <c r="W14" s="428"/>
      <c r="X14" s="428"/>
      <c r="Y14" s="428"/>
    </row>
    <row r="15" spans="1:49" ht="13.15" customHeight="1" x14ac:dyDescent="0.2">
      <c r="A15" s="224">
        <v>0.39</v>
      </c>
      <c r="B15" s="222" t="s">
        <v>200</v>
      </c>
      <c r="C15" s="222"/>
      <c r="D15" s="222"/>
      <c r="E15" s="154"/>
      <c r="F15" s="151"/>
      <c r="G15" s="213"/>
      <c r="H15" s="154"/>
      <c r="I15" s="151"/>
      <c r="J15" s="212"/>
      <c r="K15" s="100"/>
      <c r="L15" s="24">
        <f t="shared" si="6"/>
        <v>2034</v>
      </c>
      <c r="M15" s="66">
        <f t="shared" si="0"/>
        <v>1684620.0566763533</v>
      </c>
      <c r="N15" s="58">
        <f t="shared" si="1"/>
        <v>296299.34529744851</v>
      </c>
      <c r="O15" s="58">
        <f t="shared" si="7"/>
        <v>951017.87035635253</v>
      </c>
      <c r="P15" s="58">
        <f t="shared" si="2"/>
        <v>194786.79272359025</v>
      </c>
      <c r="Q15" s="58">
        <f t="shared" si="3"/>
        <v>733602.18632000079</v>
      </c>
      <c r="R15" s="58">
        <f t="shared" si="4"/>
        <v>101512.55257385827</v>
      </c>
      <c r="S15" s="74">
        <f t="shared" si="5"/>
        <v>13760571.361148359</v>
      </c>
      <c r="T15" s="74">
        <f>S15*NPV!C19</f>
        <v>4356244.4910934325</v>
      </c>
      <c r="U15" s="804"/>
      <c r="V15" s="428"/>
      <c r="W15" s="428"/>
      <c r="X15" s="428"/>
      <c r="Y15" s="428"/>
    </row>
    <row r="16" spans="1:49" x14ac:dyDescent="0.2">
      <c r="A16" s="133"/>
      <c r="B16" s="212"/>
      <c r="C16" s="212"/>
      <c r="D16" s="212"/>
      <c r="E16" s="148"/>
      <c r="F16" s="148"/>
      <c r="G16" s="212"/>
      <c r="H16" s="148"/>
      <c r="I16" s="148"/>
      <c r="J16" s="148"/>
      <c r="K16" s="100"/>
      <c r="L16" s="24">
        <f t="shared" si="6"/>
        <v>2035</v>
      </c>
      <c r="M16" s="66">
        <f t="shared" si="0"/>
        <v>1725862.022643131</v>
      </c>
      <c r="N16" s="58">
        <f t="shared" si="1"/>
        <v>301314.8370921528</v>
      </c>
      <c r="O16" s="58">
        <f t="shared" si="7"/>
        <v>966277.76712626149</v>
      </c>
      <c r="P16" s="58">
        <f t="shared" si="2"/>
        <v>197912.31374875235</v>
      </c>
      <c r="Q16" s="58">
        <f t="shared" si="3"/>
        <v>759584.25551686948</v>
      </c>
      <c r="R16" s="58">
        <f t="shared" si="4"/>
        <v>103402.52334340045</v>
      </c>
      <c r="S16" s="74">
        <f t="shared" si="5"/>
        <v>14199159.149270922</v>
      </c>
      <c r="T16" s="74">
        <f>S16*NPV!C20</f>
        <v>4201018.834376948</v>
      </c>
      <c r="U16" s="804"/>
      <c r="V16" s="43"/>
      <c r="W16" s="43"/>
      <c r="X16" s="428"/>
      <c r="Y16" s="428"/>
    </row>
    <row r="17" spans="1:25" ht="12.75" customHeight="1" x14ac:dyDescent="0.2">
      <c r="A17" s="803" t="s">
        <v>288</v>
      </c>
      <c r="B17" s="803"/>
      <c r="C17" s="803"/>
      <c r="D17" s="803"/>
      <c r="E17" s="803"/>
      <c r="F17" s="148"/>
      <c r="G17" s="212"/>
      <c r="H17" s="148"/>
      <c r="I17" s="148"/>
      <c r="J17" s="148"/>
      <c r="K17" s="100"/>
      <c r="L17" s="24">
        <f t="shared" si="6"/>
        <v>2036</v>
      </c>
      <c r="M17" s="66">
        <f t="shared" si="0"/>
        <v>1769211.3101533537</v>
      </c>
      <c r="N17" s="58">
        <f t="shared" si="1"/>
        <v>306422.5025256112</v>
      </c>
      <c r="O17" s="58">
        <f t="shared" si="7"/>
        <v>981782.63642353774</v>
      </c>
      <c r="P17" s="58">
        <f t="shared" si="2"/>
        <v>201088.00986988121</v>
      </c>
      <c r="Q17" s="58">
        <f t="shared" si="3"/>
        <v>787428.67372981599</v>
      </c>
      <c r="R17" s="58">
        <f t="shared" si="4"/>
        <v>105334.49265572999</v>
      </c>
      <c r="S17" s="74">
        <f t="shared" si="5"/>
        <v>14666510.861155154</v>
      </c>
      <c r="T17" s="74">
        <f>S17*NPV!C21</f>
        <v>4055412.4693033835</v>
      </c>
      <c r="U17" s="122"/>
      <c r="V17" s="463"/>
      <c r="W17" s="463"/>
      <c r="X17" s="122"/>
      <c r="Y17" s="122"/>
    </row>
    <row r="18" spans="1:25" x14ac:dyDescent="0.2">
      <c r="A18" s="800" t="s">
        <v>261</v>
      </c>
      <c r="B18" s="801"/>
      <c r="C18" s="212"/>
      <c r="D18" s="212"/>
      <c r="E18" s="148"/>
      <c r="F18" s="148"/>
      <c r="G18" s="212"/>
      <c r="H18" s="148"/>
      <c r="I18" s="148"/>
      <c r="J18" s="148"/>
      <c r="K18" s="100"/>
      <c r="L18" s="24">
        <f t="shared" si="6"/>
        <v>2037</v>
      </c>
      <c r="M18" s="66">
        <f t="shared" si="0"/>
        <v>1814911.2907127563</v>
      </c>
      <c r="N18" s="58">
        <f t="shared" si="1"/>
        <v>311624.41195963253</v>
      </c>
      <c r="O18" s="58">
        <f t="shared" si="7"/>
        <v>997536.41258034657</v>
      </c>
      <c r="P18" s="58">
        <f t="shared" si="2"/>
        <v>204314.68691404694</v>
      </c>
      <c r="Q18" s="58">
        <f t="shared" si="3"/>
        <v>817374.87813240977</v>
      </c>
      <c r="R18" s="58">
        <f t="shared" si="4"/>
        <v>107309.7250455856</v>
      </c>
      <c r="S18" s="74">
        <f t="shared" si="5"/>
        <v>15166206.332663413</v>
      </c>
      <c r="T18" s="74">
        <f>S18*NPV!C22</f>
        <v>3919235.9169562599</v>
      </c>
      <c r="U18" s="122"/>
      <c r="V18" s="463"/>
      <c r="W18" s="463"/>
      <c r="X18" s="122"/>
      <c r="Y18" s="122"/>
    </row>
    <row r="19" spans="1:25" x14ac:dyDescent="0.2">
      <c r="A19" s="322"/>
      <c r="B19" s="318"/>
      <c r="C19" s="212"/>
      <c r="D19" s="212"/>
      <c r="E19" s="148"/>
      <c r="F19" s="148"/>
      <c r="G19" s="212"/>
      <c r="H19" s="148"/>
      <c r="I19" s="148"/>
      <c r="J19" s="148"/>
      <c r="K19" s="100"/>
      <c r="L19" s="24">
        <f t="shared" si="6"/>
        <v>2038</v>
      </c>
      <c r="M19" s="66">
        <f t="shared" si="0"/>
        <v>1863251.028657848</v>
      </c>
      <c r="N19" s="58">
        <f t="shared" si="1"/>
        <v>316922.70384159812</v>
      </c>
      <c r="O19" s="58">
        <f t="shared" si="7"/>
        <v>1013543.0931412833</v>
      </c>
      <c r="P19" s="58">
        <f t="shared" si="2"/>
        <v>207593.16365544358</v>
      </c>
      <c r="Q19" s="58">
        <f t="shared" si="3"/>
        <v>849707.93551656476</v>
      </c>
      <c r="R19" s="58">
        <f t="shared" si="4"/>
        <v>109329.54018615454</v>
      </c>
      <c r="S19" s="74">
        <f t="shared" si="5"/>
        <v>15702502.294969179</v>
      </c>
      <c r="T19" s="74">
        <f>S19*NPV!C23</f>
        <v>3792359.7988302992</v>
      </c>
      <c r="U19" s="122"/>
      <c r="V19" s="463"/>
      <c r="W19" s="463"/>
      <c r="X19" s="122"/>
      <c r="Y19" s="122"/>
    </row>
    <row r="20" spans="1:25" x14ac:dyDescent="0.2">
      <c r="A20" s="319" t="s">
        <v>262</v>
      </c>
      <c r="B20" s="330"/>
      <c r="F20" s="498"/>
      <c r="K20" s="100"/>
      <c r="L20" s="24">
        <f t="shared" si="6"/>
        <v>2039</v>
      </c>
      <c r="M20" s="66">
        <f t="shared" si="0"/>
        <v>1914576.9823546675</v>
      </c>
      <c r="N20" s="58">
        <f t="shared" si="1"/>
        <v>322319.58822594729</v>
      </c>
      <c r="O20" s="58">
        <f t="shared" si="7"/>
        <v>1029806.7398793992</v>
      </c>
      <c r="P20" s="58">
        <f t="shared" si="2"/>
        <v>210924.27202349144</v>
      </c>
      <c r="Q20" s="58">
        <f t="shared" si="3"/>
        <v>884770.24247526831</v>
      </c>
      <c r="R20" s="58">
        <f t="shared" si="4"/>
        <v>111395.31620245584</v>
      </c>
      <c r="S20" s="74">
        <f t="shared" si="5"/>
        <v>16280505.632024208</v>
      </c>
      <c r="T20" s="74">
        <f>S20*NPV!C24</f>
        <v>3674724.4569248571</v>
      </c>
      <c r="U20" s="122"/>
      <c r="V20" s="463"/>
      <c r="W20" s="463"/>
      <c r="X20" s="122"/>
      <c r="Y20" s="122"/>
    </row>
    <row r="21" spans="1:25" x14ac:dyDescent="0.2">
      <c r="A21" s="331">
        <v>4</v>
      </c>
      <c r="B21" s="318"/>
      <c r="F21" s="498"/>
      <c r="K21" s="100"/>
      <c r="L21" s="24">
        <f t="shared" si="6"/>
        <v>2040</v>
      </c>
      <c r="M21" s="66">
        <f t="shared" si="0"/>
        <v>1969308.548716902</v>
      </c>
      <c r="N21" s="58">
        <f t="shared" si="1"/>
        <v>327817.35055171704</v>
      </c>
      <c r="O21" s="58">
        <f t="shared" si="7"/>
        <v>1046331.4798285713</v>
      </c>
      <c r="P21" s="58">
        <f t="shared" si="2"/>
        <v>214308.85731428573</v>
      </c>
      <c r="Q21" s="58">
        <f t="shared" si="3"/>
        <v>922977.06888833072</v>
      </c>
      <c r="R21" s="58">
        <f t="shared" si="4"/>
        <v>113508.49323743131</v>
      </c>
      <c r="S21" s="74">
        <f t="shared" si="5"/>
        <v>16906403.526137829</v>
      </c>
      <c r="T21" s="74">
        <f>S21*NPV!C25</f>
        <v>3566353.1324152793</v>
      </c>
      <c r="U21" s="122"/>
      <c r="V21" s="463"/>
      <c r="W21" s="463"/>
      <c r="X21" s="122"/>
      <c r="Y21" s="122"/>
    </row>
    <row r="22" spans="1:25" x14ac:dyDescent="0.2">
      <c r="A22" s="319" t="s">
        <v>263</v>
      </c>
      <c r="B22" s="318"/>
      <c r="F22" s="498"/>
      <c r="K22" s="100"/>
      <c r="L22" s="24">
        <f t="shared" si="6"/>
        <v>2041</v>
      </c>
      <c r="M22" s="66">
        <f t="shared" si="0"/>
        <v>2001510.408228833</v>
      </c>
      <c r="N22" s="58">
        <f t="shared" si="1"/>
        <v>330887.30069189571</v>
      </c>
      <c r="O22" s="58">
        <f t="shared" si="7"/>
        <v>1055878.5572935978</v>
      </c>
      <c r="P22" s="58">
        <f t="shared" si="2"/>
        <v>216264.28281917068</v>
      </c>
      <c r="Q22" s="58">
        <f t="shared" si="3"/>
        <v>945631.85093523515</v>
      </c>
      <c r="R22" s="58">
        <f t="shared" si="4"/>
        <v>114623.01787272503</v>
      </c>
      <c r="S22" s="74">
        <f t="shared" si="5"/>
        <v>17273569.705001418</v>
      </c>
      <c r="T22" s="74">
        <f>S22*NPV!C26</f>
        <v>3405425.8817909569</v>
      </c>
      <c r="U22" s="122"/>
      <c r="V22" s="463"/>
      <c r="W22" s="463"/>
      <c r="X22" s="122"/>
      <c r="Y22" s="122"/>
    </row>
    <row r="23" spans="1:25" x14ac:dyDescent="0.2">
      <c r="A23" s="322" t="s">
        <v>264</v>
      </c>
      <c r="B23" s="332"/>
      <c r="F23" s="498"/>
      <c r="K23" s="100"/>
      <c r="L23" s="24">
        <f t="shared" si="6"/>
        <v>2042</v>
      </c>
      <c r="M23" s="66">
        <f t="shared" si="0"/>
        <v>2035062.9251509584</v>
      </c>
      <c r="N23" s="58">
        <f t="shared" si="1"/>
        <v>333989.71923485724</v>
      </c>
      <c r="O23" s="58">
        <f t="shared" si="7"/>
        <v>1065512.8224811656</v>
      </c>
      <c r="P23" s="58">
        <f t="shared" si="2"/>
        <v>218237.56605035928</v>
      </c>
      <c r="Q23" s="58">
        <f t="shared" si="3"/>
        <v>969550.10266979272</v>
      </c>
      <c r="R23" s="58">
        <f t="shared" si="4"/>
        <v>115752.15318449796</v>
      </c>
      <c r="S23" s="74">
        <f t="shared" si="5"/>
        <v>17659853.100589573</v>
      </c>
      <c r="T23" s="74">
        <f>S23*NPV!C27</f>
        <v>3253813.4089472014</v>
      </c>
      <c r="U23" s="122"/>
      <c r="V23" s="463"/>
      <c r="W23" s="463"/>
      <c r="X23" s="122"/>
      <c r="Y23" s="122"/>
    </row>
    <row r="24" spans="1:25" x14ac:dyDescent="0.2">
      <c r="A24" s="319" t="s">
        <v>265</v>
      </c>
      <c r="B24" s="333" t="s">
        <v>266</v>
      </c>
      <c r="F24" s="498"/>
      <c r="K24" s="100"/>
      <c r="L24" s="24">
        <f t="shared" si="6"/>
        <v>2043</v>
      </c>
      <c r="M24" s="66">
        <f t="shared" si="0"/>
        <v>2070088.9433716657</v>
      </c>
      <c r="N24" s="58">
        <f t="shared" si="1"/>
        <v>337125.04475692805</v>
      </c>
      <c r="O24" s="58">
        <f t="shared" si="7"/>
        <v>1075235.0722316157</v>
      </c>
      <c r="P24" s="58">
        <f t="shared" si="2"/>
        <v>220228.87021611404</v>
      </c>
      <c r="Q24" s="58">
        <f t="shared" si="3"/>
        <v>994853.87114005</v>
      </c>
      <c r="R24" s="58">
        <f t="shared" si="4"/>
        <v>116896.17454081401</v>
      </c>
      <c r="S24" s="74">
        <f t="shared" si="5"/>
        <v>18067067.884740021</v>
      </c>
      <c r="T24" s="74">
        <f>S24*NPV!C28</f>
        <v>3111067.6616839422</v>
      </c>
      <c r="U24" s="122"/>
      <c r="V24" s="463"/>
      <c r="W24" s="463"/>
      <c r="X24" s="122"/>
      <c r="Y24" s="122"/>
    </row>
    <row r="25" spans="1:25" x14ac:dyDescent="0.2">
      <c r="A25" s="322" t="s">
        <v>267</v>
      </c>
      <c r="B25" s="332">
        <v>30</v>
      </c>
      <c r="F25" s="498"/>
      <c r="K25" s="100"/>
      <c r="L25" s="24">
        <f t="shared" si="6"/>
        <v>2044</v>
      </c>
      <c r="M25" s="66">
        <f t="shared" si="0"/>
        <v>2106728.2554385671</v>
      </c>
      <c r="N25" s="58">
        <f t="shared" si="1"/>
        <v>340293.72482622002</v>
      </c>
      <c r="O25" s="58">
        <f t="shared" si="7"/>
        <v>1085046.1106729091</v>
      </c>
      <c r="P25" s="58">
        <f t="shared" si="2"/>
        <v>222238.36001734281</v>
      </c>
      <c r="Q25" s="58">
        <f t="shared" si="3"/>
        <v>1021682.1447656581</v>
      </c>
      <c r="R25" s="58">
        <f t="shared" si="4"/>
        <v>118055.3648088772</v>
      </c>
      <c r="S25" s="74">
        <f t="shared" si="5"/>
        <v>18497279.176065631</v>
      </c>
      <c r="T25" s="74">
        <f>S25*NPV!C29</f>
        <v>2976773.9318624698</v>
      </c>
      <c r="U25" s="122"/>
      <c r="V25" s="463"/>
      <c r="W25" s="463"/>
      <c r="X25" s="122"/>
      <c r="Y25" s="122"/>
    </row>
    <row r="26" spans="1:25" x14ac:dyDescent="0.2">
      <c r="A26" s="322"/>
      <c r="B26" s="332"/>
      <c r="F26" s="498"/>
      <c r="K26" s="100"/>
      <c r="L26" s="24">
        <f t="shared" si="6"/>
        <v>2045</v>
      </c>
      <c r="M26" s="66">
        <f t="shared" si="0"/>
        <v>2145140.7012780062</v>
      </c>
      <c r="N26" s="58">
        <f t="shared" si="1"/>
        <v>343496.2162900446</v>
      </c>
      <c r="O26" s="58">
        <f t="shared" si="7"/>
        <v>1094946.7492873236</v>
      </c>
      <c r="P26" s="58">
        <f t="shared" si="2"/>
        <v>224266.20166125908</v>
      </c>
      <c r="Q26" s="58">
        <f t="shared" si="3"/>
        <v>1050193.9519906826</v>
      </c>
      <c r="R26" s="58">
        <f t="shared" si="4"/>
        <v>119230.01462878552</v>
      </c>
      <c r="S26" s="74">
        <f t="shared" si="5"/>
        <v>18952848.90784537</v>
      </c>
      <c r="T26" s="74">
        <f>S26*NPV!C30</f>
        <v>2850550.4075969467</v>
      </c>
      <c r="U26" s="122"/>
      <c r="V26" s="463"/>
      <c r="W26" s="463"/>
      <c r="X26" s="122"/>
      <c r="Y26" s="122"/>
    </row>
    <row r="27" spans="1:25" x14ac:dyDescent="0.2">
      <c r="A27" s="319" t="s">
        <v>268</v>
      </c>
      <c r="B27" s="330"/>
      <c r="F27" s="498"/>
      <c r="K27" s="100"/>
      <c r="L27" s="24">
        <f t="shared" si="6"/>
        <v>2046</v>
      </c>
      <c r="M27" s="66">
        <f t="shared" si="0"/>
        <v>2185509.9787306935</v>
      </c>
      <c r="N27" s="58">
        <f t="shared" si="1"/>
        <v>346732.98557489243</v>
      </c>
      <c r="O27" s="58">
        <f t="shared" si="7"/>
        <v>1104937.8069787524</v>
      </c>
      <c r="P27" s="58">
        <f t="shared" si="2"/>
        <v>226312.56287516622</v>
      </c>
      <c r="Q27" s="58">
        <f t="shared" si="3"/>
        <v>1080572.1717519411</v>
      </c>
      <c r="R27" s="58">
        <f t="shared" si="4"/>
        <v>120420.42269972622</v>
      </c>
      <c r="S27" s="74">
        <f t="shared" si="5"/>
        <v>19436492.231140897</v>
      </c>
      <c r="T27" s="74">
        <f>S27*NPV!C31</f>
        <v>2732048.0686427401</v>
      </c>
      <c r="U27" s="122"/>
      <c r="V27" s="463"/>
      <c r="W27" s="463"/>
      <c r="X27" s="122"/>
      <c r="Y27" s="122"/>
    </row>
    <row r="28" spans="1:25" x14ac:dyDescent="0.2">
      <c r="A28" s="500">
        <v>100</v>
      </c>
      <c r="B28" s="332"/>
      <c r="F28" s="6"/>
      <c r="K28" s="100"/>
      <c r="L28" s="24">
        <f t="shared" si="6"/>
        <v>2047</v>
      </c>
      <c r="M28" s="66">
        <f t="shared" si="0"/>
        <v>2228048.3650648473</v>
      </c>
      <c r="N28" s="58">
        <f t="shared" si="1"/>
        <v>350004.50899965153</v>
      </c>
      <c r="O28" s="58">
        <f t="shared" si="7"/>
        <v>1115020.1101406286</v>
      </c>
      <c r="P28" s="58">
        <f t="shared" si="2"/>
        <v>228377.61292036972</v>
      </c>
      <c r="Q28" s="58">
        <f t="shared" si="3"/>
        <v>1113028.2549242186</v>
      </c>
      <c r="R28" s="58">
        <f t="shared" si="4"/>
        <v>121626.89607928181</v>
      </c>
      <c r="S28" s="74">
        <f t="shared" si="5"/>
        <v>19951347.400745898</v>
      </c>
      <c r="T28" s="74">
        <f>S28*NPV!C32</f>
        <v>2620950.9913857076</v>
      </c>
      <c r="U28" s="122"/>
      <c r="V28" s="463"/>
      <c r="W28" s="463"/>
      <c r="X28" s="122"/>
      <c r="Y28" s="122"/>
    </row>
    <row r="29" spans="1:25" x14ac:dyDescent="0.2">
      <c r="A29" s="319" t="s">
        <v>269</v>
      </c>
      <c r="B29" s="334"/>
      <c r="K29" s="100"/>
      <c r="L29" s="24">
        <f t="shared" si="6"/>
        <v>2048</v>
      </c>
      <c r="M29" s="66">
        <f t="shared" si="0"/>
        <v>2273002.6150904605</v>
      </c>
      <c r="N29" s="58">
        <f t="shared" si="1"/>
        <v>353311.27310277999</v>
      </c>
      <c r="O29" s="58">
        <f t="shared" si="7"/>
        <v>1125194.492724464</v>
      </c>
      <c r="P29" s="58">
        <f t="shared" si="2"/>
        <v>230461.52260621556</v>
      </c>
      <c r="Q29" s="58">
        <f t="shared" si="3"/>
        <v>1147808.1223659965</v>
      </c>
      <c r="R29" s="58">
        <f t="shared" si="4"/>
        <v>122849.75049656443</v>
      </c>
      <c r="S29" s="74">
        <f t="shared" si="5"/>
        <v>20501063.075218491</v>
      </c>
      <c r="T29" s="74">
        <f>S29*NPV!C33</f>
        <v>2516977.1540148244</v>
      </c>
      <c r="U29" s="122"/>
      <c r="V29" s="463"/>
      <c r="W29" s="463"/>
      <c r="X29" s="122"/>
      <c r="Y29" s="122"/>
    </row>
    <row r="30" spans="1:25" x14ac:dyDescent="0.2">
      <c r="A30" s="501" t="s">
        <v>381</v>
      </c>
      <c r="B30" s="332"/>
      <c r="K30" s="100"/>
      <c r="L30" s="24">
        <f t="shared" si="6"/>
        <v>2049</v>
      </c>
      <c r="M30" s="66">
        <f t="shared" si="0"/>
        <v>2320661.3940209202</v>
      </c>
      <c r="N30" s="58">
        <f t="shared" si="1"/>
        <v>356653.77498419711</v>
      </c>
      <c r="O30" s="58">
        <f t="shared" si="7"/>
        <v>1135461.7963090232</v>
      </c>
      <c r="P30" s="58">
        <f t="shared" si="2"/>
        <v>232564.46430425777</v>
      </c>
      <c r="Q30" s="58">
        <f t="shared" si="3"/>
        <v>1185199.597711897</v>
      </c>
      <c r="R30" s="58">
        <f t="shared" si="4"/>
        <v>124089.31067993934</v>
      </c>
      <c r="S30" s="74">
        <f t="shared" si="5"/>
        <v>21089908.331582341</v>
      </c>
      <c r="T30" s="74">
        <f>S30*NPV!C34</f>
        <v>2419879.8659922583</v>
      </c>
      <c r="U30" s="122"/>
      <c r="V30" s="463"/>
      <c r="W30" s="463"/>
      <c r="X30" s="122"/>
      <c r="Y30" s="122"/>
    </row>
    <row r="31" spans="1:25" x14ac:dyDescent="0.2">
      <c r="A31" s="319" t="s">
        <v>270</v>
      </c>
      <c r="B31" s="334"/>
      <c r="K31" s="100"/>
      <c r="L31" s="24">
        <f t="shared" si="6"/>
        <v>2050</v>
      </c>
      <c r="M31" s="66">
        <f t="shared" si="0"/>
        <v>2371364.7336872276</v>
      </c>
      <c r="N31" s="58">
        <f t="shared" si="1"/>
        <v>360032.52266270132</v>
      </c>
      <c r="O31" s="58">
        <f t="shared" si="7"/>
        <v>1145822.8701701222</v>
      </c>
      <c r="P31" s="58">
        <f t="shared" si="2"/>
        <v>234686.61196255521</v>
      </c>
      <c r="Q31" s="58">
        <f t="shared" si="3"/>
        <v>1225541.8635171053</v>
      </c>
      <c r="R31" s="58">
        <f t="shared" si="4"/>
        <v>125345.91070014611</v>
      </c>
      <c r="S31" s="74">
        <f t="shared" si="5"/>
        <v>21722912.626077339</v>
      </c>
      <c r="T31" s="74">
        <f>S31*NPV!C35</f>
        <v>2329449.9930931567</v>
      </c>
      <c r="U31" s="122"/>
      <c r="V31" s="463"/>
      <c r="W31" s="463"/>
      <c r="X31" s="122"/>
      <c r="Y31" s="122"/>
    </row>
    <row r="32" spans="1:25" x14ac:dyDescent="0.2">
      <c r="A32" s="501">
        <v>60.5</v>
      </c>
      <c r="B32" s="334"/>
      <c r="K32" s="100"/>
      <c r="L32" s="24">
        <f t="shared" si="6"/>
        <v>2051</v>
      </c>
      <c r="M32" s="66">
        <f t="shared" si="0"/>
        <v>2425516.1872195788</v>
      </c>
      <c r="N32" s="58">
        <f t="shared" si="1"/>
        <v>363448.0354497782</v>
      </c>
      <c r="O32" s="58">
        <f t="shared" si="7"/>
        <v>1156278.5713510762</v>
      </c>
      <c r="P32" s="58">
        <f t="shared" si="2"/>
        <v>236828.14112009999</v>
      </c>
      <c r="Q32" s="58">
        <f t="shared" si="3"/>
        <v>1269237.6158685025</v>
      </c>
      <c r="R32" s="58">
        <f t="shared" si="4"/>
        <v>126619.89432967821</v>
      </c>
      <c r="S32" s="74">
        <f t="shared" si="5"/>
        <v>22406045.692682635</v>
      </c>
      <c r="T32" s="74">
        <f>S32*NPV!C36</f>
        <v>2245519.2165878899</v>
      </c>
      <c r="U32" s="122"/>
      <c r="V32" s="463"/>
      <c r="W32" s="463"/>
      <c r="X32" s="122"/>
      <c r="Y32" s="122"/>
    </row>
    <row r="33" spans="1:25" x14ac:dyDescent="0.2">
      <c r="A33" s="319" t="s">
        <v>271</v>
      </c>
      <c r="B33" s="334"/>
      <c r="K33" s="100"/>
      <c r="L33" s="24">
        <f t="shared" si="6"/>
        <v>2052</v>
      </c>
      <c r="M33" s="66">
        <f t="shared" si="0"/>
        <v>2483598.6279782257</v>
      </c>
      <c r="N33" s="58">
        <f t="shared" si="1"/>
        <v>366900.84434071783</v>
      </c>
      <c r="O33" s="58">
        <f t="shared" si="7"/>
        <v>1166829.7647337818</v>
      </c>
      <c r="P33" s="58">
        <f t="shared" si="2"/>
        <v>238989.22892137698</v>
      </c>
      <c r="Q33" s="58">
        <f t="shared" si="3"/>
        <v>1316768.8632444439</v>
      </c>
      <c r="R33" s="58">
        <f t="shared" si="4"/>
        <v>127911.61541934084</v>
      </c>
      <c r="S33" s="74">
        <f t="shared" si="5"/>
        <v>23146451.377010919</v>
      </c>
      <c r="T33" s="74">
        <f>S33*NPV!C37</f>
        <v>2167964.6626932141</v>
      </c>
      <c r="U33" s="122"/>
      <c r="V33" s="463"/>
      <c r="W33" s="463"/>
      <c r="X33" s="122"/>
      <c r="Y33" s="122"/>
    </row>
    <row r="34" spans="1:25" x14ac:dyDescent="0.2">
      <c r="A34" s="320">
        <f>A28*A32</f>
        <v>6050</v>
      </c>
      <c r="B34" s="334"/>
      <c r="K34" s="100"/>
      <c r="L34" s="24">
        <f t="shared" si="6"/>
        <v>2053</v>
      </c>
      <c r="M34" s="66">
        <f t="shared" si="0"/>
        <v>2546195.0377720231</v>
      </c>
      <c r="N34" s="58">
        <f t="shared" si="1"/>
        <v>370391.49242401839</v>
      </c>
      <c r="O34" s="58">
        <f t="shared" si="7"/>
        <v>1177477.3231104608</v>
      </c>
      <c r="P34" s="58">
        <f t="shared" si="2"/>
        <v>241170.05413105825</v>
      </c>
      <c r="Q34" s="58">
        <f t="shared" si="3"/>
        <v>1368717.7146615623</v>
      </c>
      <c r="R34" s="58">
        <f t="shared" si="4"/>
        <v>129221.43829296014</v>
      </c>
      <c r="S34" s="74">
        <f t="shared" si="5"/>
        <v>23952755.312169783</v>
      </c>
      <c r="T34" s="74">
        <f>S34*NPV!C38</f>
        <v>2096715.3822085387</v>
      </c>
      <c r="U34" s="122"/>
      <c r="V34" s="463"/>
      <c r="W34" s="463"/>
      <c r="X34" s="122"/>
      <c r="Y34" s="122"/>
    </row>
    <row r="35" spans="1:25" x14ac:dyDescent="0.2">
      <c r="A35" s="319" t="s">
        <v>272</v>
      </c>
      <c r="B35" s="334"/>
      <c r="K35" s="100"/>
      <c r="L35" s="24">
        <f t="shared" si="6"/>
        <v>2054</v>
      </c>
      <c r="M35" s="66">
        <f t="shared" si="0"/>
        <v>2614016.228925419</v>
      </c>
      <c r="N35" s="58">
        <f t="shared" si="1"/>
        <v>373920.53531012189</v>
      </c>
      <c r="O35" s="58">
        <f t="shared" si="7"/>
        <v>1188222.1272560521</v>
      </c>
      <c r="P35" s="58">
        <f t="shared" si="2"/>
        <v>243370.79714882997</v>
      </c>
      <c r="Q35" s="58">
        <f t="shared" si="3"/>
        <v>1425794.1016693669</v>
      </c>
      <c r="R35" s="58">
        <f t="shared" si="4"/>
        <v>130549.73816129193</v>
      </c>
      <c r="S35" s="74">
        <f t="shared" si="5"/>
        <v>24835475.21611958</v>
      </c>
      <c r="T35" s="74">
        <f>S35*NPV!C39</f>
        <v>2031761.3760627517</v>
      </c>
      <c r="U35" s="122"/>
      <c r="V35" s="463"/>
      <c r="W35" s="463"/>
      <c r="X35" s="122"/>
      <c r="Y35" s="122"/>
    </row>
    <row r="36" spans="1:25" x14ac:dyDescent="0.2">
      <c r="A36" s="335">
        <f>A34/5280</f>
        <v>1.1458333333333333</v>
      </c>
      <c r="B36" s="336"/>
      <c r="K36" s="100"/>
      <c r="L36" s="25">
        <f t="shared" si="6"/>
        <v>2055</v>
      </c>
      <c r="M36" s="66">
        <f t="shared" si="0"/>
        <v>2687938.3627659278</v>
      </c>
      <c r="N36" s="58">
        <f t="shared" si="1"/>
        <v>377488.54158059141</v>
      </c>
      <c r="O36" s="58">
        <f t="shared" si="7"/>
        <v>1199065.0660012728</v>
      </c>
      <c r="P36" s="58">
        <f t="shared" si="2"/>
        <v>245591.64002435713</v>
      </c>
      <c r="Q36" s="58">
        <f>M36-O36</f>
        <v>1488873.296764655</v>
      </c>
      <c r="R36" s="58">
        <f>N36-P36</f>
        <v>131896.90155623428</v>
      </c>
      <c r="S36" s="74">
        <f t="shared" si="5"/>
        <v>25807576.176625196</v>
      </c>
      <c r="T36" s="74">
        <f>S36*NPV!C40</f>
        <v>1973166.1928524952</v>
      </c>
      <c r="U36" s="122"/>
      <c r="V36" s="463"/>
      <c r="W36" s="463"/>
      <c r="X36" s="122"/>
      <c r="Y36" s="122"/>
    </row>
    <row r="37" spans="1:25" x14ac:dyDescent="0.2">
      <c r="L37" s="226"/>
      <c r="M37" s="226"/>
      <c r="N37" s="226"/>
      <c r="O37" s="226"/>
      <c r="P37" s="226"/>
      <c r="Q37" s="746" t="s">
        <v>0</v>
      </c>
      <c r="R37" s="747"/>
      <c r="S37" s="7">
        <f>SUM(S6:S36)</f>
        <v>527623262.27001876</v>
      </c>
      <c r="T37" s="7">
        <f>SUM(T6:T36)</f>
        <v>114231298.64305051</v>
      </c>
      <c r="U37" s="122"/>
      <c r="V37" s="463"/>
      <c r="W37" s="463"/>
      <c r="X37" s="122"/>
      <c r="Y37" s="122"/>
    </row>
    <row r="38" spans="1:25" x14ac:dyDescent="0.2">
      <c r="A38" s="800" t="s">
        <v>273</v>
      </c>
      <c r="B38" s="802"/>
      <c r="C38" s="802"/>
      <c r="D38" s="802"/>
      <c r="E38" s="801"/>
      <c r="L38" s="100"/>
      <c r="M38" s="173"/>
      <c r="N38" s="464"/>
      <c r="O38" s="464"/>
      <c r="P38" s="464"/>
      <c r="Q38" s="464"/>
      <c r="R38" s="464"/>
      <c r="S38" s="464"/>
      <c r="T38" s="227"/>
      <c r="U38" s="227"/>
      <c r="V38" s="463"/>
      <c r="W38" s="463"/>
      <c r="X38" s="122"/>
      <c r="Y38" s="122"/>
    </row>
    <row r="39" spans="1:25" x14ac:dyDescent="0.2">
      <c r="A39" s="314"/>
      <c r="B39" s="315"/>
      <c r="C39" s="316"/>
      <c r="D39" s="317"/>
      <c r="E39" s="318"/>
      <c r="L39" s="225" t="s">
        <v>202</v>
      </c>
      <c r="M39"/>
      <c r="U39" s="227"/>
      <c r="V39" s="463"/>
      <c r="W39" s="463"/>
      <c r="X39" s="122"/>
      <c r="Y39" s="122"/>
    </row>
    <row r="40" spans="1:25" x14ac:dyDescent="0.2">
      <c r="A40" s="319" t="s">
        <v>274</v>
      </c>
      <c r="B40" s="316" t="s">
        <v>247</v>
      </c>
      <c r="C40" s="316"/>
      <c r="D40" s="316" t="s">
        <v>275</v>
      </c>
      <c r="E40" s="318"/>
      <c r="L40" s="225"/>
      <c r="M40"/>
      <c r="U40" s="227"/>
      <c r="V40" s="463"/>
      <c r="W40" s="463"/>
      <c r="X40" s="122"/>
      <c r="Y40" s="122"/>
    </row>
    <row r="41" spans="1:25" x14ac:dyDescent="0.2">
      <c r="A41" s="320">
        <f>A34</f>
        <v>6050</v>
      </c>
      <c r="B41" s="317" t="s">
        <v>276</v>
      </c>
      <c r="C41" s="316"/>
      <c r="D41" s="317">
        <f>B46</f>
        <v>2640</v>
      </c>
      <c r="E41" s="321">
        <f>A41</f>
        <v>6050</v>
      </c>
      <c r="L41" s="73"/>
      <c r="M41" s="773" t="s">
        <v>191</v>
      </c>
      <c r="N41" s="775"/>
      <c r="O41" s="773" t="s">
        <v>52</v>
      </c>
      <c r="P41" s="775"/>
      <c r="Q41" s="815" t="s">
        <v>370</v>
      </c>
      <c r="R41" s="776"/>
      <c r="S41" s="730" t="s">
        <v>343</v>
      </c>
      <c r="T41" s="730" t="s">
        <v>203</v>
      </c>
      <c r="U41" s="227"/>
      <c r="V41" s="463"/>
      <c r="W41" s="463"/>
      <c r="X41" s="122"/>
      <c r="Y41" s="122"/>
    </row>
    <row r="42" spans="1:25" s="73" customFormat="1" ht="13.15" customHeight="1" x14ac:dyDescent="0.2">
      <c r="A42" s="322"/>
      <c r="B42" s="317">
        <f>B25</f>
        <v>30</v>
      </c>
      <c r="C42" s="316"/>
      <c r="D42" s="317">
        <v>1</v>
      </c>
      <c r="E42" s="323" t="s">
        <v>277</v>
      </c>
      <c r="L42" s="739" t="s">
        <v>1</v>
      </c>
      <c r="M42" s="749" t="s">
        <v>194</v>
      </c>
      <c r="N42" s="751"/>
      <c r="O42" s="749" t="s">
        <v>194</v>
      </c>
      <c r="P42" s="751"/>
      <c r="Q42" s="816"/>
      <c r="R42" s="817"/>
      <c r="S42" s="734"/>
      <c r="T42" s="734"/>
      <c r="U42" s="476"/>
      <c r="V42" s="463"/>
      <c r="W42" s="463"/>
      <c r="X42" s="469"/>
      <c r="Y42" s="469"/>
    </row>
    <row r="43" spans="1:25" ht="13.15" customHeight="1" thickBot="1" x14ac:dyDescent="0.25">
      <c r="A43" s="322"/>
      <c r="B43" s="317" t="s">
        <v>278</v>
      </c>
      <c r="C43" s="316"/>
      <c r="D43" s="317"/>
      <c r="E43" s="318"/>
      <c r="L43" s="799"/>
      <c r="M43" s="421" t="s">
        <v>44</v>
      </c>
      <c r="N43" s="421" t="s">
        <v>45</v>
      </c>
      <c r="O43" s="421" t="s">
        <v>44</v>
      </c>
      <c r="P43" s="421" t="s">
        <v>45</v>
      </c>
      <c r="Q43" s="473" t="s">
        <v>44</v>
      </c>
      <c r="R43" s="422" t="s">
        <v>45</v>
      </c>
      <c r="S43" s="731"/>
      <c r="T43" s="731"/>
      <c r="U43" s="227"/>
      <c r="V43" s="463"/>
      <c r="W43" s="463"/>
      <c r="X43" s="122"/>
      <c r="Y43" s="122"/>
    </row>
    <row r="44" spans="1:25" ht="13.5" thickTop="1" x14ac:dyDescent="0.2">
      <c r="A44" s="322"/>
      <c r="B44" s="317">
        <f>5280*B42</f>
        <v>158400</v>
      </c>
      <c r="C44" s="316"/>
      <c r="D44" s="317" t="s">
        <v>279</v>
      </c>
      <c r="E44" s="318">
        <f>E41*D42</f>
        <v>6050</v>
      </c>
      <c r="L44" s="57">
        <f>L6</f>
        <v>2025</v>
      </c>
      <c r="M44" s="58">
        <f>E96</f>
        <v>36704022.842025556</v>
      </c>
      <c r="N44" s="58">
        <f>D96</f>
        <v>7517691.425475114</v>
      </c>
      <c r="O44" s="58">
        <f>Q145</f>
        <v>34828953.495924428</v>
      </c>
      <c r="P44" s="58">
        <f>P145</f>
        <v>7133641.0774784982</v>
      </c>
      <c r="Q44" s="474">
        <f>M44-O44</f>
        <v>1875069.3461011276</v>
      </c>
      <c r="R44" s="58">
        <f>N44-P44</f>
        <v>384050.3479966158</v>
      </c>
      <c r="S44" s="74">
        <f>Q44*$A$15+R44*$A$14</f>
        <v>1076922.3581763941</v>
      </c>
      <c r="T44" s="74">
        <f>S44*NPV!C10</f>
        <v>626778.61736831267</v>
      </c>
      <c r="U44" s="227"/>
      <c r="V44" s="463"/>
      <c r="W44" s="463"/>
      <c r="X44" s="122"/>
      <c r="Y44" s="122"/>
    </row>
    <row r="45" spans="1:25" x14ac:dyDescent="0.2">
      <c r="A45" s="314"/>
      <c r="B45" s="317" t="s">
        <v>280</v>
      </c>
      <c r="C45" s="316"/>
      <c r="D45" s="317" t="s">
        <v>277</v>
      </c>
      <c r="E45" s="324">
        <f>E44/D41</f>
        <v>2.2916666666666665</v>
      </c>
      <c r="L45" s="24">
        <f>L44+1</f>
        <v>2026</v>
      </c>
      <c r="M45" s="58">
        <f t="shared" ref="M45:M74" si="8">E97</f>
        <v>37292264.895283282</v>
      </c>
      <c r="N45" s="58">
        <f t="shared" ref="N45:N74" si="9">D97</f>
        <v>7638174.737588143</v>
      </c>
      <c r="O45" s="58">
        <f t="shared" ref="O45:O74" si="10">Q146</f>
        <v>35387703.453212716</v>
      </c>
      <c r="P45" s="58">
        <f t="shared" ref="P45:P74" si="11">P146</f>
        <v>7248083.8398146536</v>
      </c>
      <c r="Q45" s="474">
        <f t="shared" ref="Q45:Q74" si="12">M45-O45</f>
        <v>1904561.4420705661</v>
      </c>
      <c r="R45" s="58">
        <f t="shared" ref="R45:R74" si="13">N45-P45</f>
        <v>390090.89777348936</v>
      </c>
      <c r="S45" s="74">
        <f t="shared" ref="S45:S74" si="14">Q45*$A$15+R45*$A$14</f>
        <v>1093860.7704036613</v>
      </c>
      <c r="T45" s="74">
        <f>S45*NPV!C11</f>
        <v>594987.78271164303</v>
      </c>
      <c r="U45" s="227"/>
      <c r="V45" s="463"/>
      <c r="W45" s="463"/>
      <c r="X45" s="122"/>
      <c r="Y45" s="122"/>
    </row>
    <row r="46" spans="1:25" x14ac:dyDescent="0.2">
      <c r="A46" s="314"/>
      <c r="B46" s="317">
        <f>B44/60</f>
        <v>2640</v>
      </c>
      <c r="C46" s="316"/>
      <c r="D46" s="317"/>
      <c r="E46" s="318"/>
      <c r="L46" s="24">
        <f t="shared" ref="L46:L74" si="15">L45+1</f>
        <v>2027</v>
      </c>
      <c r="M46" s="58">
        <f t="shared" si="8"/>
        <v>37889937.76140625</v>
      </c>
      <c r="N46" s="58">
        <f t="shared" si="9"/>
        <v>7760589.6619747747</v>
      </c>
      <c r="O46" s="58">
        <f t="shared" si="10"/>
        <v>35955423.482582681</v>
      </c>
      <c r="P46" s="58">
        <f t="shared" si="11"/>
        <v>7364363.8458301881</v>
      </c>
      <c r="Q46" s="474">
        <f t="shared" si="12"/>
        <v>1934514.2788235694</v>
      </c>
      <c r="R46" s="58">
        <f t="shared" si="13"/>
        <v>396225.81614458654</v>
      </c>
      <c r="S46" s="74">
        <f t="shared" si="14"/>
        <v>1111063.8032713199</v>
      </c>
      <c r="T46" s="74">
        <f>S46*NPV!C12</f>
        <v>564808.4979094828</v>
      </c>
      <c r="U46" s="227"/>
      <c r="V46" s="463"/>
      <c r="W46" s="463"/>
      <c r="X46" s="122"/>
      <c r="Y46" s="122"/>
    </row>
    <row r="47" spans="1:25" x14ac:dyDescent="0.2">
      <c r="A47" s="314"/>
      <c r="B47" s="315"/>
      <c r="C47" s="316"/>
      <c r="D47" s="317"/>
      <c r="E47" s="318"/>
      <c r="L47" s="24">
        <f t="shared" si="15"/>
        <v>2028</v>
      </c>
      <c r="M47" s="58">
        <f t="shared" si="8"/>
        <v>38497192.681231558</v>
      </c>
      <c r="N47" s="58">
        <f t="shared" si="9"/>
        <v>7884967.1756739337</v>
      </c>
      <c r="O47" s="58">
        <f t="shared" si="10"/>
        <v>36532257.67925743</v>
      </c>
      <c r="P47" s="58">
        <f t="shared" si="11"/>
        <v>7482510.6090045348</v>
      </c>
      <c r="Q47" s="474">
        <f t="shared" si="12"/>
        <v>1964935.0019741282</v>
      </c>
      <c r="R47" s="58">
        <f t="shared" si="13"/>
        <v>402456.56666939892</v>
      </c>
      <c r="S47" s="74">
        <f t="shared" si="14"/>
        <v>1128535.5607723692</v>
      </c>
      <c r="T47" s="74">
        <f>S47*NPV!C13</f>
        <v>536159.11539017817</v>
      </c>
      <c r="U47" s="227"/>
      <c r="V47" s="463"/>
      <c r="W47" s="463"/>
      <c r="X47" s="122"/>
      <c r="Y47" s="122"/>
    </row>
    <row r="48" spans="1:25" x14ac:dyDescent="0.2">
      <c r="A48" s="314"/>
      <c r="B48" s="315"/>
      <c r="C48" s="316"/>
      <c r="D48" s="317" t="s">
        <v>281</v>
      </c>
      <c r="E48" s="318"/>
      <c r="L48" s="24">
        <f t="shared" si="15"/>
        <v>2029</v>
      </c>
      <c r="M48" s="58">
        <f t="shared" si="8"/>
        <v>39114183.321630612</v>
      </c>
      <c r="N48" s="58">
        <f t="shared" si="9"/>
        <v>8011338.7526231371</v>
      </c>
      <c r="O48" s="58">
        <f t="shared" si="10"/>
        <v>37118352.454577565</v>
      </c>
      <c r="P48" s="58">
        <f t="shared" si="11"/>
        <v>7602554.1172026359</v>
      </c>
      <c r="Q48" s="474">
        <f t="shared" si="12"/>
        <v>1995830.8670530468</v>
      </c>
      <c r="R48" s="58">
        <f t="shared" si="13"/>
        <v>408784.63542050123</v>
      </c>
      <c r="S48" s="74">
        <f t="shared" si="14"/>
        <v>1146280.2100291394</v>
      </c>
      <c r="T48" s="74">
        <f>S48*NPV!C14</f>
        <v>508962.12189391971</v>
      </c>
      <c r="U48" s="227"/>
      <c r="V48" s="426"/>
      <c r="W48" s="426"/>
      <c r="X48" s="122"/>
      <c r="Y48" s="122"/>
    </row>
    <row r="49" spans="1:27" x14ac:dyDescent="0.2">
      <c r="A49" s="314"/>
      <c r="B49" s="315"/>
      <c r="C49" s="316"/>
      <c r="D49" s="325">
        <f>E45+0.5</f>
        <v>2.7916666666666665</v>
      </c>
      <c r="E49" s="318"/>
      <c r="L49" s="24">
        <f t="shared" si="15"/>
        <v>2030</v>
      </c>
      <c r="M49" s="58">
        <f t="shared" si="8"/>
        <v>39741065.814433053</v>
      </c>
      <c r="N49" s="58">
        <f t="shared" si="9"/>
        <v>8139736.3716308661</v>
      </c>
      <c r="O49" s="58">
        <f t="shared" si="10"/>
        <v>37713856.573250465</v>
      </c>
      <c r="P49" s="58">
        <f t="shared" si="11"/>
        <v>7724524.8403043132</v>
      </c>
      <c r="Q49" s="474">
        <f t="shared" si="12"/>
        <v>2027209.241182588</v>
      </c>
      <c r="R49" s="58">
        <f t="shared" si="13"/>
        <v>415211.53132655285</v>
      </c>
      <c r="S49" s="74">
        <f t="shared" si="14"/>
        <v>1164301.982255107</v>
      </c>
      <c r="T49" s="74">
        <f>S49*NPV!C15</f>
        <v>483143.92924202036</v>
      </c>
      <c r="U49" s="207"/>
      <c r="V49" s="207"/>
      <c r="W49" s="207"/>
      <c r="X49" s="227"/>
      <c r="Y49" s="227"/>
      <c r="AA49" s="2"/>
    </row>
    <row r="50" spans="1:27" x14ac:dyDescent="0.2">
      <c r="A50" s="326"/>
      <c r="B50" s="327"/>
      <c r="C50" s="328"/>
      <c r="D50" s="340" t="s">
        <v>382</v>
      </c>
      <c r="E50" s="329"/>
      <c r="L50" s="24">
        <f t="shared" si="15"/>
        <v>2031</v>
      </c>
      <c r="M50" s="58">
        <f t="shared" si="8"/>
        <v>40377998.795975417</v>
      </c>
      <c r="N50" s="58">
        <f t="shared" si="9"/>
        <v>8270192.5244768932</v>
      </c>
      <c r="O50" s="58">
        <f t="shared" si="10"/>
        <v>38318921.191198945</v>
      </c>
      <c r="P50" s="58">
        <f t="shared" si="11"/>
        <v>7848453.7379564112</v>
      </c>
      <c r="Q50" s="474">
        <f t="shared" si="12"/>
        <v>2059077.6047764719</v>
      </c>
      <c r="R50" s="58">
        <f t="shared" si="13"/>
        <v>421738.78652048204</v>
      </c>
      <c r="S50" s="74">
        <f t="shared" si="14"/>
        <v>1182605.1737312579</v>
      </c>
      <c r="T50" s="74">
        <f>S50*NPV!C16</f>
        <v>458634.6756892706</v>
      </c>
      <c r="AA50" s="2"/>
    </row>
    <row r="51" spans="1:27" x14ac:dyDescent="0.2">
      <c r="A51" s="311"/>
      <c r="B51" s="311"/>
      <c r="C51" s="312"/>
      <c r="D51" s="313"/>
      <c r="E51" s="313"/>
      <c r="L51" s="24">
        <f t="shared" si="15"/>
        <v>2032</v>
      </c>
      <c r="M51" s="58">
        <f t="shared" si="8"/>
        <v>41025143.447284445</v>
      </c>
      <c r="N51" s="58">
        <f t="shared" si="9"/>
        <v>8402740.224142598</v>
      </c>
      <c r="O51" s="58">
        <f t="shared" si="10"/>
        <v>38933699.894019008</v>
      </c>
      <c r="P51" s="58">
        <f t="shared" si="11"/>
        <v>7974372.2674496761</v>
      </c>
      <c r="Q51" s="474">
        <f t="shared" si="12"/>
        <v>2091443.5532654375</v>
      </c>
      <c r="R51" s="58">
        <f t="shared" si="13"/>
        <v>428367.95669292193</v>
      </c>
      <c r="S51" s="74">
        <f t="shared" si="14"/>
        <v>1201194.1467971504</v>
      </c>
      <c r="T51" s="74">
        <f>S51*NPV!C17</f>
        <v>435368.03732432745</v>
      </c>
    </row>
    <row r="52" spans="1:27" x14ac:dyDescent="0.2">
      <c r="A52" s="800" t="s">
        <v>282</v>
      </c>
      <c r="B52" s="802"/>
      <c r="C52" s="802"/>
      <c r="D52" s="802"/>
      <c r="E52" s="801"/>
      <c r="L52" s="24">
        <f t="shared" si="15"/>
        <v>2033</v>
      </c>
      <c r="M52" s="58">
        <f t="shared" si="8"/>
        <v>41682663.53490518</v>
      </c>
      <c r="N52" s="58">
        <f t="shared" si="9"/>
        <v>8537413.0131733511</v>
      </c>
      <c r="O52" s="58">
        <f t="shared" si="10"/>
        <v>39558348.736056387</v>
      </c>
      <c r="P52" s="58">
        <f t="shared" si="11"/>
        <v>8102312.3917223923</v>
      </c>
      <c r="Q52" s="474">
        <f t="shared" si="12"/>
        <v>2124314.7988487929</v>
      </c>
      <c r="R52" s="58">
        <f t="shared" si="13"/>
        <v>435100.62145095877</v>
      </c>
      <c r="S52" s="74">
        <f t="shared" si="14"/>
        <v>1220073.3308568923</v>
      </c>
      <c r="T52" s="74">
        <f>S52*NPV!C18</f>
        <v>413281.04901016486</v>
      </c>
    </row>
    <row r="53" spans="1:27" ht="13.15" customHeight="1" x14ac:dyDescent="0.2">
      <c r="A53" s="322"/>
      <c r="B53" s="317"/>
      <c r="C53" s="316"/>
      <c r="D53" s="317"/>
      <c r="E53" s="318"/>
      <c r="L53" s="24">
        <f t="shared" si="15"/>
        <v>2034</v>
      </c>
      <c r="M53" s="58">
        <f t="shared" si="8"/>
        <v>42350725.452384248</v>
      </c>
      <c r="N53" s="58">
        <f t="shared" si="9"/>
        <v>8674244.9721750878</v>
      </c>
      <c r="O53" s="58">
        <f t="shared" si="10"/>
        <v>40193026.280111976</v>
      </c>
      <c r="P53" s="58">
        <f t="shared" si="11"/>
        <v>8232306.5874928143</v>
      </c>
      <c r="Q53" s="474">
        <f t="shared" si="12"/>
        <v>2157699.1722722724</v>
      </c>
      <c r="R53" s="58">
        <f t="shared" si="13"/>
        <v>441938.38468227349</v>
      </c>
      <c r="S53" s="74">
        <f t="shared" si="14"/>
        <v>1239247.2234002324</v>
      </c>
      <c r="T53" s="74">
        <f>S53*NPV!C19</f>
        <v>392313.93438226957</v>
      </c>
      <c r="U53" s="472"/>
      <c r="V53" s="428"/>
      <c r="W53" s="428"/>
      <c r="X53" s="428"/>
      <c r="Y53" s="428"/>
    </row>
    <row r="54" spans="1:27" ht="13.15" customHeight="1" x14ac:dyDescent="0.2">
      <c r="A54" s="319" t="s">
        <v>274</v>
      </c>
      <c r="B54" s="316" t="s">
        <v>247</v>
      </c>
      <c r="C54" s="316"/>
      <c r="D54" s="316" t="s">
        <v>275</v>
      </c>
      <c r="E54" s="318"/>
      <c r="L54" s="24">
        <f t="shared" si="15"/>
        <v>2035</v>
      </c>
      <c r="M54" s="58">
        <f t="shared" si="8"/>
        <v>43029498.262418926</v>
      </c>
      <c r="N54" s="58">
        <f t="shared" si="9"/>
        <v>8813270.728447251</v>
      </c>
      <c r="O54" s="58">
        <f t="shared" si="10"/>
        <v>40837893.637786135</v>
      </c>
      <c r="P54" s="58">
        <f t="shared" si="11"/>
        <v>8364387.8535224628</v>
      </c>
      <c r="Q54" s="474">
        <f t="shared" si="12"/>
        <v>2191604.6246327907</v>
      </c>
      <c r="R54" s="58">
        <f t="shared" si="13"/>
        <v>448882.87492478825</v>
      </c>
      <c r="S54" s="74">
        <f t="shared" si="14"/>
        <v>1258720.3910390979</v>
      </c>
      <c r="T54" s="74">
        <f>S54*NPV!C20</f>
        <v>372409.94444668107</v>
      </c>
      <c r="U54" s="472"/>
      <c r="V54" s="428"/>
      <c r="W54" s="428"/>
      <c r="X54" s="428"/>
      <c r="Y54" s="428"/>
    </row>
    <row r="55" spans="1:27" ht="13.15" customHeight="1" x14ac:dyDescent="0.2">
      <c r="A55" s="320">
        <f>A34</f>
        <v>6050</v>
      </c>
      <c r="B55" s="317" t="s">
        <v>276</v>
      </c>
      <c r="C55" s="316"/>
      <c r="D55" s="317">
        <f>B60</f>
        <v>5280</v>
      </c>
      <c r="E55" s="318">
        <f>A55</f>
        <v>6050</v>
      </c>
      <c r="L55" s="24">
        <f t="shared" si="15"/>
        <v>2036</v>
      </c>
      <c r="M55" s="58">
        <f t="shared" si="8"/>
        <v>43719153.739682466</v>
      </c>
      <c r="N55" s="58">
        <f t="shared" si="9"/>
        <v>8954525.4647542406</v>
      </c>
      <c r="O55" s="58">
        <f t="shared" si="10"/>
        <v>41493114.510472298</v>
      </c>
      <c r="P55" s="58">
        <f t="shared" si="11"/>
        <v>8498589.7190124001</v>
      </c>
      <c r="Q55" s="474">
        <f t="shared" si="12"/>
        <v>2226039.2292101681</v>
      </c>
      <c r="R55" s="58">
        <f t="shared" si="13"/>
        <v>455935.74574184045</v>
      </c>
      <c r="S55" s="74">
        <f t="shared" si="14"/>
        <v>1278497.4705596222</v>
      </c>
      <c r="T55" s="74">
        <f>S55*NPV!C21</f>
        <v>353515.20434301597</v>
      </c>
      <c r="U55" s="472"/>
      <c r="V55" s="428"/>
      <c r="W55" s="428"/>
      <c r="X55" s="428"/>
      <c r="Y55" s="428"/>
    </row>
    <row r="56" spans="1:27" x14ac:dyDescent="0.2">
      <c r="A56" s="322"/>
      <c r="B56" s="317">
        <v>60</v>
      </c>
      <c r="C56" s="316"/>
      <c r="D56" s="317">
        <v>1</v>
      </c>
      <c r="E56" s="318" t="s">
        <v>277</v>
      </c>
      <c r="L56" s="24">
        <f t="shared" si="15"/>
        <v>2037</v>
      </c>
      <c r="M56" s="58">
        <f t="shared" si="8"/>
        <v>44419866.414336793</v>
      </c>
      <c r="N56" s="58">
        <f t="shared" si="9"/>
        <v>9098044.9282376561</v>
      </c>
      <c r="O56" s="58">
        <f t="shared" si="10"/>
        <v>42158855.231010206</v>
      </c>
      <c r="P56" s="58">
        <f t="shared" si="11"/>
        <v>8634946.2521346211</v>
      </c>
      <c r="Q56" s="474">
        <f t="shared" si="12"/>
        <v>2261011.1833265871</v>
      </c>
      <c r="R56" s="58">
        <f t="shared" si="13"/>
        <v>463098.67610303499</v>
      </c>
      <c r="S56" s="74">
        <f t="shared" si="14"/>
        <v>1298583.1699901004</v>
      </c>
      <c r="T56" s="74">
        <f>S56*NPV!C22</f>
        <v>335578.56785971433</v>
      </c>
      <c r="U56" s="227"/>
      <c r="V56" s="468"/>
      <c r="W56" s="468"/>
      <c r="X56" s="469"/>
      <c r="Y56" s="469"/>
    </row>
    <row r="57" spans="1:27" x14ac:dyDescent="0.2">
      <c r="A57" s="322"/>
      <c r="B57" s="317" t="s">
        <v>278</v>
      </c>
      <c r="C57" s="316"/>
      <c r="D57" s="317"/>
      <c r="E57" s="318"/>
      <c r="L57" s="24">
        <f t="shared" si="15"/>
        <v>2038</v>
      </c>
      <c r="M57" s="58">
        <f t="shared" si="8"/>
        <v>45131813.616243377</v>
      </c>
      <c r="N57" s="58">
        <f t="shared" si="9"/>
        <v>9243865.4394715354</v>
      </c>
      <c r="O57" s="58">
        <f t="shared" si="10"/>
        <v>42835284.806009486</v>
      </c>
      <c r="P57" s="58">
        <f t="shared" si="11"/>
        <v>8773492.0687007383</v>
      </c>
      <c r="Q57" s="474">
        <f t="shared" si="12"/>
        <v>2296528.810233891</v>
      </c>
      <c r="R57" s="58">
        <f t="shared" si="13"/>
        <v>470373.37077079713</v>
      </c>
      <c r="S57" s="74">
        <f t="shared" si="14"/>
        <v>1318982.269684935</v>
      </c>
      <c r="T57" s="74">
        <f>S57*NPV!C23</f>
        <v>318551.47930948983</v>
      </c>
      <c r="U57" s="227"/>
      <c r="V57" s="463"/>
      <c r="W57" s="463"/>
      <c r="X57" s="469"/>
      <c r="Y57" s="469"/>
    </row>
    <row r="58" spans="1:27" x14ac:dyDescent="0.2">
      <c r="A58" s="322"/>
      <c r="B58" s="317">
        <f>5280*B56</f>
        <v>316800</v>
      </c>
      <c r="C58" s="316"/>
      <c r="D58" s="317" t="s">
        <v>283</v>
      </c>
      <c r="E58" s="318">
        <f>E55*D56</f>
        <v>6050</v>
      </c>
      <c r="L58" s="24">
        <f t="shared" si="15"/>
        <v>2039</v>
      </c>
      <c r="M58" s="58">
        <f t="shared" si="8"/>
        <v>45855175.51988361</v>
      </c>
      <c r="N58" s="58">
        <f t="shared" si="9"/>
        <v>9392023.9016629085</v>
      </c>
      <c r="O58" s="58">
        <f t="shared" si="10"/>
        <v>43522574.958854258</v>
      </c>
      <c r="P58" s="58">
        <f t="shared" si="11"/>
        <v>8914262.3409701511</v>
      </c>
      <c r="Q58" s="474">
        <f t="shared" si="12"/>
        <v>2332600.5610293522</v>
      </c>
      <c r="R58" s="58">
        <f t="shared" si="13"/>
        <v>477761.56069275737</v>
      </c>
      <c r="S58" s="74">
        <f t="shared" si="14"/>
        <v>1339699.6234249291</v>
      </c>
      <c r="T58" s="74">
        <f>S58*NPV!C24</f>
        <v>302387.84239286016</v>
      </c>
      <c r="U58" s="227"/>
      <c r="V58" s="463"/>
      <c r="W58" s="463"/>
      <c r="X58" s="122"/>
      <c r="Y58" s="122"/>
    </row>
    <row r="59" spans="1:27" x14ac:dyDescent="0.2">
      <c r="A59" s="322"/>
      <c r="B59" s="317" t="s">
        <v>280</v>
      </c>
      <c r="C59" s="316"/>
      <c r="D59" s="317" t="s">
        <v>277</v>
      </c>
      <c r="E59" s="341">
        <f>E58/D55</f>
        <v>1.1458333333333333</v>
      </c>
      <c r="L59" s="24">
        <f t="shared" si="15"/>
        <v>2040</v>
      </c>
      <c r="M59" s="58">
        <f t="shared" si="8"/>
        <v>46590135.190000005</v>
      </c>
      <c r="N59" s="58">
        <f t="shared" si="9"/>
        <v>9542557.8100000024</v>
      </c>
      <c r="O59" s="58">
        <f t="shared" si="10"/>
        <v>44220900.1734</v>
      </c>
      <c r="P59" s="58">
        <f t="shared" si="11"/>
        <v>9057292.8066000007</v>
      </c>
      <c r="Q59" s="474">
        <f t="shared" si="12"/>
        <v>2369235.0166000053</v>
      </c>
      <c r="R59" s="58">
        <f t="shared" si="13"/>
        <v>485265.00340000167</v>
      </c>
      <c r="S59" s="74">
        <f t="shared" si="14"/>
        <v>1360740.1595340036</v>
      </c>
      <c r="T59" s="74">
        <f>S59*NPV!C25</f>
        <v>287043.89569636475</v>
      </c>
      <c r="U59" s="227"/>
      <c r="V59" s="463"/>
      <c r="W59" s="463"/>
      <c r="X59" s="122"/>
      <c r="Y59" s="122"/>
    </row>
    <row r="60" spans="1:27" x14ac:dyDescent="0.2">
      <c r="A60" s="322"/>
      <c r="B60" s="317">
        <f>B58/60</f>
        <v>5280</v>
      </c>
      <c r="C60" s="316"/>
      <c r="D60" s="317"/>
      <c r="E60" s="318"/>
      <c r="L60" s="24">
        <f t="shared" si="15"/>
        <v>2041</v>
      </c>
      <c r="M60" s="58">
        <f t="shared" si="8"/>
        <v>46996726.63521497</v>
      </c>
      <c r="N60" s="58">
        <f t="shared" si="9"/>
        <v>9625835.5758874044</v>
      </c>
      <c r="O60" s="58">
        <f t="shared" si="10"/>
        <v>44623815.805125155</v>
      </c>
      <c r="P60" s="58">
        <f t="shared" si="11"/>
        <v>9139817.6950256359</v>
      </c>
      <c r="Q60" s="474">
        <f t="shared" si="12"/>
        <v>2372910.830089815</v>
      </c>
      <c r="R60" s="58">
        <f t="shared" si="13"/>
        <v>486017.8808617685</v>
      </c>
      <c r="S60" s="74">
        <f t="shared" si="14"/>
        <v>1362851.3165106196</v>
      </c>
      <c r="T60" s="74">
        <f>S60*NPV!C26</f>
        <v>268681.53054283588</v>
      </c>
      <c r="U60" s="227"/>
      <c r="V60" s="463"/>
      <c r="W60" s="463"/>
      <c r="X60" s="122"/>
      <c r="Y60" s="122"/>
    </row>
    <row r="61" spans="1:27" x14ac:dyDescent="0.2">
      <c r="A61" s="322"/>
      <c r="B61" s="317"/>
      <c r="C61" s="316"/>
      <c r="D61" s="317"/>
      <c r="E61" s="318"/>
      <c r="L61" s="24">
        <f t="shared" si="15"/>
        <v>2042</v>
      </c>
      <c r="M61" s="58">
        <f t="shared" si="8"/>
        <v>47406959.177733153</v>
      </c>
      <c r="N61" s="58">
        <f t="shared" si="9"/>
        <v>9709859.1086923331</v>
      </c>
      <c r="O61" s="58">
        <f t="shared" si="10"/>
        <v>45030407.701946989</v>
      </c>
      <c r="P61" s="58">
        <f t="shared" si="11"/>
        <v>9223095.5534108281</v>
      </c>
      <c r="Q61" s="474">
        <f t="shared" si="12"/>
        <v>2376551.4757861644</v>
      </c>
      <c r="R61" s="58">
        <f t="shared" si="13"/>
        <v>486763.55528150499</v>
      </c>
      <c r="S61" s="74">
        <f t="shared" si="14"/>
        <v>1364942.2753099587</v>
      </c>
      <c r="T61" s="74">
        <f>S61*NPV!C27</f>
        <v>251489.49159119418</v>
      </c>
      <c r="U61" s="227"/>
      <c r="V61" s="463"/>
      <c r="W61" s="463"/>
      <c r="X61" s="122"/>
      <c r="Y61" s="122"/>
    </row>
    <row r="62" spans="1:27" x14ac:dyDescent="0.2">
      <c r="A62" s="322"/>
      <c r="B62" s="317"/>
      <c r="C62" s="316"/>
      <c r="D62" s="317" t="s">
        <v>281</v>
      </c>
      <c r="E62" s="318"/>
      <c r="L62" s="24">
        <f t="shared" si="15"/>
        <v>2043</v>
      </c>
      <c r="M62" s="58">
        <f t="shared" si="8"/>
        <v>47820865.772377267</v>
      </c>
      <c r="N62" s="58">
        <f t="shared" si="9"/>
        <v>9794635.158197755</v>
      </c>
      <c r="O62" s="58">
        <f t="shared" si="10"/>
        <v>45440709.446844071</v>
      </c>
      <c r="P62" s="58">
        <f t="shared" si="11"/>
        <v>9307133.2601969801</v>
      </c>
      <c r="Q62" s="474">
        <f t="shared" si="12"/>
        <v>2380156.3255331963</v>
      </c>
      <c r="R62" s="58">
        <f t="shared" si="13"/>
        <v>487501.89800077491</v>
      </c>
      <c r="S62" s="74">
        <f t="shared" si="14"/>
        <v>1367012.6751586441</v>
      </c>
      <c r="T62" s="74">
        <f>S62*NPV!C28</f>
        <v>235393.42155182868</v>
      </c>
      <c r="U62" s="227"/>
      <c r="V62" s="463"/>
      <c r="W62" s="463"/>
      <c r="X62" s="122"/>
      <c r="Y62" s="122"/>
    </row>
    <row r="63" spans="1:27" x14ac:dyDescent="0.2">
      <c r="A63" s="314"/>
      <c r="B63" s="315"/>
      <c r="C63" s="316"/>
      <c r="D63" s="502">
        <f>E59+0.5</f>
        <v>1.6458333333333333</v>
      </c>
      <c r="E63" s="318"/>
      <c r="L63" s="24">
        <f t="shared" si="15"/>
        <v>2044</v>
      </c>
      <c r="M63" s="58">
        <f t="shared" si="8"/>
        <v>48238479.67353218</v>
      </c>
      <c r="N63" s="58">
        <f t="shared" si="9"/>
        <v>9880170.5355427358</v>
      </c>
      <c r="O63" s="58">
        <f t="shared" si="10"/>
        <v>45854754.929907277</v>
      </c>
      <c r="P63" s="58">
        <f t="shared" si="11"/>
        <v>9391937.7567279972</v>
      </c>
      <c r="Q63" s="474">
        <f t="shared" si="12"/>
        <v>2383724.7436249033</v>
      </c>
      <c r="R63" s="58">
        <f t="shared" si="13"/>
        <v>488232.77881473862</v>
      </c>
      <c r="S63" s="74">
        <f t="shared" si="14"/>
        <v>1369062.1509469771</v>
      </c>
      <c r="T63" s="74">
        <f>S63*NPV!C29</f>
        <v>220323.67480898657</v>
      </c>
      <c r="U63" s="227"/>
      <c r="V63" s="463"/>
      <c r="W63" s="463"/>
      <c r="X63" s="122"/>
      <c r="Y63" s="122"/>
    </row>
    <row r="64" spans="1:27" x14ac:dyDescent="0.2">
      <c r="A64" s="326"/>
      <c r="B64" s="327"/>
      <c r="C64" s="328"/>
      <c r="D64" s="340" t="s">
        <v>383</v>
      </c>
      <c r="E64" s="329"/>
      <c r="L64" s="24">
        <f t="shared" si="15"/>
        <v>2045</v>
      </c>
      <c r="M64" s="58">
        <f t="shared" si="8"/>
        <v>48659834.437872805</v>
      </c>
      <c r="N64" s="58">
        <f t="shared" si="9"/>
        <v>9966472.1137811784</v>
      </c>
      <c r="O64" s="58">
        <f t="shared" si="10"/>
        <v>46272578.351151153</v>
      </c>
      <c r="P64" s="58">
        <f t="shared" si="11"/>
        <v>9477516.0478261411</v>
      </c>
      <c r="Q64" s="474">
        <f t="shared" si="12"/>
        <v>2387256.0867216513</v>
      </c>
      <c r="R64" s="58">
        <f t="shared" si="13"/>
        <v>488956.06595503725</v>
      </c>
      <c r="S64" s="74">
        <f t="shared" si="14"/>
        <v>1371090.3331809775</v>
      </c>
      <c r="T64" s="74">
        <f>S64*NPV!C30</f>
        <v>206215.01955220228</v>
      </c>
      <c r="U64" s="227"/>
      <c r="V64" s="463"/>
      <c r="W64" s="463"/>
      <c r="X64" s="122"/>
      <c r="Y64" s="122"/>
    </row>
    <row r="65" spans="1:25" x14ac:dyDescent="0.2">
      <c r="A65" s="338"/>
      <c r="B65" s="310"/>
      <c r="C65" s="312"/>
      <c r="D65" s="310"/>
      <c r="E65" s="310"/>
      <c r="L65" s="24">
        <f t="shared" si="15"/>
        <v>2046</v>
      </c>
      <c r="M65" s="58">
        <f t="shared" si="8"/>
        <v>49084963.927117079</v>
      </c>
      <c r="N65" s="58">
        <f t="shared" si="9"/>
        <v>10053546.828445667</v>
      </c>
      <c r="O65" s="58">
        <f t="shared" si="10"/>
        <v>46694214.223350845</v>
      </c>
      <c r="P65" s="58">
        <f t="shared" si="11"/>
        <v>9563875.2023730651</v>
      </c>
      <c r="Q65" s="474">
        <f t="shared" si="12"/>
        <v>2390749.7037662342</v>
      </c>
      <c r="R65" s="58">
        <f t="shared" si="13"/>
        <v>489671.62607260235</v>
      </c>
      <c r="S65" s="74">
        <f t="shared" si="14"/>
        <v>1373096.8479341734</v>
      </c>
      <c r="T65" s="74">
        <f>S65*NPV!C31</f>
        <v>193006.35870126821</v>
      </c>
      <c r="U65" s="227"/>
      <c r="V65" s="463"/>
      <c r="W65" s="463"/>
      <c r="X65" s="122"/>
      <c r="Y65" s="122"/>
    </row>
    <row r="66" spans="1:25" x14ac:dyDescent="0.2">
      <c r="A66" s="310"/>
      <c r="B66" s="310"/>
      <c r="C66" s="312"/>
      <c r="D66" s="310"/>
      <c r="E66" s="310"/>
      <c r="L66" s="24">
        <f t="shared" si="15"/>
        <v>2047</v>
      </c>
      <c r="M66" s="58">
        <f t="shared" si="8"/>
        <v>49513902.310803816</v>
      </c>
      <c r="N66" s="58">
        <f t="shared" si="9"/>
        <v>10141401.678116444</v>
      </c>
      <c r="O66" s="58">
        <f t="shared" si="10"/>
        <v>47119697.374905363</v>
      </c>
      <c r="P66" s="58">
        <f t="shared" si="11"/>
        <v>9651022.3538962789</v>
      </c>
      <c r="Q66" s="474">
        <f t="shared" si="12"/>
        <v>2394204.935898453</v>
      </c>
      <c r="R66" s="58">
        <f t="shared" si="13"/>
        <v>490379.32422016561</v>
      </c>
      <c r="S66" s="74">
        <f t="shared" si="14"/>
        <v>1375081.3167985457</v>
      </c>
      <c r="T66" s="74">
        <f>S66*NPV!C32</f>
        <v>180640.46844096217</v>
      </c>
      <c r="U66" s="227"/>
      <c r="V66" s="463"/>
      <c r="W66" s="463"/>
      <c r="X66" s="122"/>
      <c r="Y66" s="122"/>
    </row>
    <row r="67" spans="1:25" x14ac:dyDescent="0.2">
      <c r="A67" s="310"/>
      <c r="B67" s="310"/>
      <c r="C67" s="312"/>
      <c r="D67" s="310"/>
      <c r="E67" s="310"/>
      <c r="L67" s="24">
        <f t="shared" si="15"/>
        <v>2048</v>
      </c>
      <c r="M67" s="58">
        <f t="shared" si="8"/>
        <v>49946684.069095984</v>
      </c>
      <c r="N67" s="58">
        <f t="shared" si="9"/>
        <v>10230043.724995565</v>
      </c>
      <c r="O67" s="58">
        <f t="shared" si="10"/>
        <v>47549062.952726752</v>
      </c>
      <c r="P67" s="58">
        <f t="shared" si="11"/>
        <v>9738964.7011609022</v>
      </c>
      <c r="Q67" s="474">
        <f t="shared" si="12"/>
        <v>2397621.1163692325</v>
      </c>
      <c r="R67" s="58">
        <f t="shared" si="13"/>
        <v>491079.02383466251</v>
      </c>
      <c r="S67" s="74">
        <f t="shared" si="14"/>
        <v>1377043.356835197</v>
      </c>
      <c r="T67" s="74">
        <f>S67*NPV!C33</f>
        <v>169063.75325637279</v>
      </c>
      <c r="U67" s="227"/>
      <c r="V67" s="463"/>
      <c r="W67" s="463"/>
      <c r="X67" s="122"/>
      <c r="Y67" s="122"/>
    </row>
    <row r="68" spans="1:25" ht="18" x14ac:dyDescent="0.2">
      <c r="A68" s="813" t="s">
        <v>289</v>
      </c>
      <c r="B68" s="813"/>
      <c r="C68" s="813"/>
      <c r="D68" s="813"/>
      <c r="E68" s="813"/>
      <c r="L68" s="24">
        <f t="shared" si="15"/>
        <v>2049</v>
      </c>
      <c r="M68" s="58">
        <f t="shared" si="8"/>
        <v>50383343.995609596</v>
      </c>
      <c r="N68" s="58">
        <f t="shared" si="9"/>
        <v>10319480.095486302</v>
      </c>
      <c r="O68" s="58">
        <f t="shared" si="10"/>
        <v>47982346.425156049</v>
      </c>
      <c r="P68" s="58">
        <f t="shared" si="11"/>
        <v>9827709.5087669026</v>
      </c>
      <c r="Q68" s="474">
        <f t="shared" si="12"/>
        <v>2400997.5704535469</v>
      </c>
      <c r="R68" s="58">
        <f t="shared" si="13"/>
        <v>491770.58671939932</v>
      </c>
      <c r="S68" s="74">
        <f t="shared" si="14"/>
        <v>1378982.5805243426</v>
      </c>
      <c r="T68" s="74">
        <f>S68*NPV!C34</f>
        <v>158226.01642927754</v>
      </c>
      <c r="U68" s="227"/>
      <c r="V68" s="463"/>
      <c r="W68" s="463"/>
      <c r="X68" s="122"/>
      <c r="Y68" s="122"/>
    </row>
    <row r="69" spans="1:25" x14ac:dyDescent="0.2">
      <c r="A69" s="346" t="s">
        <v>292</v>
      </c>
      <c r="B69" s="347"/>
      <c r="C69" s="348"/>
      <c r="D69" s="349"/>
      <c r="E69" s="350"/>
      <c r="L69" s="24">
        <f t="shared" si="15"/>
        <v>2050</v>
      </c>
      <c r="M69" s="58">
        <f t="shared" si="8"/>
        <v>50823917.200268209</v>
      </c>
      <c r="N69" s="58">
        <f t="shared" si="9"/>
        <v>10409717.980777828</v>
      </c>
      <c r="O69" s="58">
        <f t="shared" si="10"/>
        <v>48419583.584905654</v>
      </c>
      <c r="P69" s="58">
        <f t="shared" si="11"/>
        <v>9917264.1077517625</v>
      </c>
      <c r="Q69" s="474">
        <f t="shared" si="12"/>
        <v>2404333.6153625548</v>
      </c>
      <c r="R69" s="58">
        <f t="shared" si="13"/>
        <v>492453.87302606553</v>
      </c>
      <c r="S69" s="74">
        <f t="shared" si="14"/>
        <v>1380898.5957148555</v>
      </c>
      <c r="T69" s="74">
        <f>S69*NPV!C35</f>
        <v>148080.24502150697</v>
      </c>
      <c r="U69" s="227"/>
      <c r="V69" s="463"/>
      <c r="W69" s="463"/>
      <c r="X69" s="122"/>
      <c r="Y69" s="122"/>
    </row>
    <row r="70" spans="1:25" x14ac:dyDescent="0.2">
      <c r="A70" s="351"/>
      <c r="B70" s="352"/>
      <c r="C70" s="353"/>
      <c r="D70" s="354"/>
      <c r="E70" s="355"/>
      <c r="L70" s="24">
        <f t="shared" si="15"/>
        <v>2051</v>
      </c>
      <c r="M70" s="58">
        <f t="shared" si="8"/>
        <v>51268439.11218366</v>
      </c>
      <c r="N70" s="58">
        <f t="shared" si="9"/>
        <v>10500764.637435209</v>
      </c>
      <c r="O70" s="58">
        <f t="shared" si="10"/>
        <v>48860810.552028924</v>
      </c>
      <c r="P70" s="58">
        <f t="shared" si="11"/>
        <v>10007635.896198697</v>
      </c>
      <c r="Q70" s="474">
        <f t="shared" si="12"/>
        <v>2407628.560154736</v>
      </c>
      <c r="R70" s="58">
        <f t="shared" si="13"/>
        <v>493128.74123651162</v>
      </c>
      <c r="S70" s="74">
        <f t="shared" si="14"/>
        <v>1382791.0055732075</v>
      </c>
      <c r="T70" s="74">
        <f>S70*NPV!C36</f>
        <v>138582.40843245212</v>
      </c>
      <c r="U70" s="227"/>
      <c r="V70" s="463"/>
      <c r="W70" s="463"/>
      <c r="X70" s="122"/>
      <c r="Y70" s="122"/>
    </row>
    <row r="71" spans="1:25" x14ac:dyDescent="0.2">
      <c r="A71" s="356" t="s">
        <v>293</v>
      </c>
      <c r="B71" s="354">
        <v>625</v>
      </c>
      <c r="C71" s="353"/>
      <c r="D71" s="354"/>
      <c r="E71" s="355"/>
      <c r="L71" s="24">
        <f t="shared" si="15"/>
        <v>2052</v>
      </c>
      <c r="M71" s="58">
        <f t="shared" si="8"/>
        <v>51716945.48256281</v>
      </c>
      <c r="N71" s="58">
        <f t="shared" si="9"/>
        <v>10592627.387994792</v>
      </c>
      <c r="O71" s="58">
        <f t="shared" si="10"/>
        <v>49306063.77691675</v>
      </c>
      <c r="P71" s="58">
        <f t="shared" si="11"/>
        <v>10098832.33985042</v>
      </c>
      <c r="Q71" s="474">
        <f t="shared" si="12"/>
        <v>2410881.7056460604</v>
      </c>
      <c r="R71" s="58">
        <f t="shared" si="13"/>
        <v>493795.04814437218</v>
      </c>
      <c r="S71" s="74">
        <f t="shared" si="14"/>
        <v>1384659.4085318986</v>
      </c>
      <c r="T71" s="74">
        <f>S71*NPV!C37</f>
        <v>129691.26967533029</v>
      </c>
      <c r="U71" s="227"/>
      <c r="V71" s="463"/>
      <c r="W71" s="463"/>
      <c r="X71" s="122"/>
      <c r="Y71" s="122"/>
    </row>
    <row r="72" spans="1:25" x14ac:dyDescent="0.2">
      <c r="A72" s="356"/>
      <c r="B72" s="357"/>
      <c r="C72" s="353"/>
      <c r="D72" s="354"/>
      <c r="E72" s="355"/>
      <c r="L72" s="24">
        <f t="shared" si="15"/>
        <v>2053</v>
      </c>
      <c r="M72" s="58">
        <f t="shared" si="8"/>
        <v>52169472.387640923</v>
      </c>
      <c r="N72" s="58">
        <f t="shared" si="9"/>
        <v>10685313.62156501</v>
      </c>
      <c r="O72" s="58">
        <f t="shared" si="10"/>
        <v>49755380.043321863</v>
      </c>
      <c r="P72" s="58">
        <f t="shared" si="11"/>
        <v>10190860.972728575</v>
      </c>
      <c r="Q72" s="474">
        <f t="shared" si="12"/>
        <v>2414092.3443190604</v>
      </c>
      <c r="R72" s="58">
        <f t="shared" si="13"/>
        <v>494452.64883643575</v>
      </c>
      <c r="S72" s="74">
        <f t="shared" si="14"/>
        <v>1386503.3982372258</v>
      </c>
      <c r="T72" s="74">
        <f>S72*NPV!C38</f>
        <v>121368.2085706181</v>
      </c>
      <c r="U72" s="227"/>
      <c r="V72" s="463"/>
      <c r="W72" s="463"/>
      <c r="X72" s="122"/>
      <c r="Y72" s="122"/>
    </row>
    <row r="73" spans="1:25" x14ac:dyDescent="0.2">
      <c r="A73" s="356" t="s">
        <v>294</v>
      </c>
      <c r="B73" s="357">
        <f>B71/(365-104)</f>
        <v>2.3946360153256707</v>
      </c>
      <c r="C73" s="353"/>
      <c r="D73" s="358" t="s">
        <v>295</v>
      </c>
      <c r="E73" s="355"/>
      <c r="L73" s="24">
        <f t="shared" si="15"/>
        <v>2054</v>
      </c>
      <c r="M73" s="58">
        <f t="shared" si="8"/>
        <v>52626056.231641933</v>
      </c>
      <c r="N73" s="58">
        <f t="shared" si="9"/>
        <v>10778830.794432687</v>
      </c>
      <c r="O73" s="58">
        <f t="shared" si="10"/>
        <v>50208796.471410528</v>
      </c>
      <c r="P73" s="58">
        <f t="shared" si="11"/>
        <v>10283729.397758786</v>
      </c>
      <c r="Q73" s="474">
        <f t="shared" si="12"/>
        <v>2417259.7602314055</v>
      </c>
      <c r="R73" s="58">
        <f t="shared" si="13"/>
        <v>495101.39667390101</v>
      </c>
      <c r="S73" s="74">
        <f t="shared" si="14"/>
        <v>1388322.5634967592</v>
      </c>
      <c r="T73" s="74">
        <f>S73*NPV!C39</f>
        <v>113577.05610554728</v>
      </c>
      <c r="U73" s="227"/>
      <c r="V73" s="463"/>
      <c r="W73" s="463"/>
      <c r="X73" s="122"/>
      <c r="Y73" s="122"/>
    </row>
    <row r="74" spans="1:25" x14ac:dyDescent="0.2">
      <c r="A74" s="356" t="s">
        <v>296</v>
      </c>
      <c r="B74" s="354">
        <v>25</v>
      </c>
      <c r="C74" s="353"/>
      <c r="D74" s="357">
        <f>B76</f>
        <v>59.865900383141771</v>
      </c>
      <c r="E74" s="355"/>
      <c r="L74" s="25">
        <f t="shared" si="15"/>
        <v>2055</v>
      </c>
      <c r="M74" s="470">
        <f t="shared" si="8"/>
        <v>53086733.749765344</v>
      </c>
      <c r="N74" s="470">
        <f t="shared" si="9"/>
        <v>10873186.43067483</v>
      </c>
      <c r="O74" s="470">
        <f t="shared" si="10"/>
        <v>50666350.520842552</v>
      </c>
      <c r="P74" s="470">
        <f t="shared" si="11"/>
        <v>10377445.287401488</v>
      </c>
      <c r="Q74" s="474">
        <f t="shared" si="12"/>
        <v>2420383.2289227918</v>
      </c>
      <c r="R74" s="58">
        <f t="shared" si="13"/>
        <v>495741.1432733424</v>
      </c>
      <c r="S74" s="475">
        <f t="shared" si="14"/>
        <v>1390116.4882258968</v>
      </c>
      <c r="T74" s="74">
        <f>S74*NPV!C40</f>
        <v>106283.93925573451</v>
      </c>
      <c r="U74" s="227"/>
      <c r="V74" s="463"/>
      <c r="W74" s="463"/>
      <c r="X74" s="122"/>
      <c r="Y74" s="122"/>
    </row>
    <row r="75" spans="1:25" x14ac:dyDescent="0.2">
      <c r="A75" s="356"/>
      <c r="B75" s="357"/>
      <c r="C75" s="354"/>
      <c r="D75" s="354"/>
      <c r="E75" s="359"/>
      <c r="L75" s="73"/>
      <c r="M75"/>
      <c r="Q75" s="745" t="s">
        <v>0</v>
      </c>
      <c r="R75" s="747"/>
      <c r="S75" s="7">
        <f>SUM(S44:S74)</f>
        <v>40071761.956905499</v>
      </c>
      <c r="T75" s="7">
        <f>SUM(T44:T74)</f>
        <v>9624547.5569058321</v>
      </c>
      <c r="U75" s="227"/>
      <c r="V75" s="463"/>
      <c r="W75" s="463"/>
      <c r="X75" s="122"/>
      <c r="Y75" s="122"/>
    </row>
    <row r="76" spans="1:25" x14ac:dyDescent="0.2">
      <c r="A76" s="360" t="s">
        <v>297</v>
      </c>
      <c r="B76" s="361">
        <f>B73*B74</f>
        <v>59.865900383141771</v>
      </c>
      <c r="C76" s="362"/>
      <c r="D76" s="362"/>
      <c r="E76" s="363"/>
      <c r="M76" s="430"/>
      <c r="N76" s="463"/>
      <c r="O76" s="463"/>
      <c r="P76" s="463"/>
      <c r="Q76" s="463"/>
      <c r="R76" s="463"/>
      <c r="S76" s="463"/>
      <c r="T76" s="122"/>
      <c r="U76" s="227"/>
      <c r="V76" s="463"/>
      <c r="W76" s="463"/>
      <c r="X76" s="122"/>
      <c r="Y76" s="122"/>
    </row>
    <row r="77" spans="1:25" x14ac:dyDescent="0.2">
      <c r="M77" s="430"/>
      <c r="N77" s="463"/>
      <c r="O77" s="463"/>
      <c r="P77" s="463"/>
      <c r="Q77" s="463"/>
      <c r="R77" s="463"/>
      <c r="S77" s="463"/>
      <c r="T77" s="122"/>
      <c r="U77" s="227"/>
      <c r="V77" s="463"/>
      <c r="W77" s="463"/>
      <c r="X77" s="122"/>
      <c r="Y77" s="122"/>
    </row>
    <row r="78" spans="1:25" x14ac:dyDescent="0.2">
      <c r="A78" s="312"/>
      <c r="B78" s="312"/>
      <c r="C78" s="312"/>
      <c r="D78" s="312"/>
      <c r="E78" s="312"/>
      <c r="M78" s="430"/>
      <c r="N78" s="463"/>
      <c r="O78" s="463"/>
      <c r="P78" s="463"/>
      <c r="Q78" s="463"/>
      <c r="R78" s="463"/>
      <c r="S78" s="463"/>
      <c r="T78" s="122"/>
      <c r="U78" s="227"/>
      <c r="V78" s="463"/>
      <c r="W78" s="463"/>
      <c r="X78" s="122"/>
      <c r="Y78" s="122"/>
    </row>
    <row r="79" spans="1:25" s="377" customFormat="1" x14ac:dyDescent="0.2">
      <c r="A79" s="343"/>
      <c r="B79" s="344"/>
      <c r="C79" s="342"/>
      <c r="D79" s="344"/>
      <c r="E79" s="345"/>
      <c r="M79" s="378"/>
    </row>
    <row r="80" spans="1:25" x14ac:dyDescent="0.2">
      <c r="A80" s="805" t="s">
        <v>341</v>
      </c>
      <c r="B80" s="805"/>
      <c r="C80" s="312"/>
      <c r="D80" s="310"/>
      <c r="E80" s="310"/>
    </row>
    <row r="81" spans="1:25" x14ac:dyDescent="0.2">
      <c r="A81" s="805"/>
      <c r="B81" s="805"/>
      <c r="C81" s="312"/>
      <c r="D81" s="310"/>
      <c r="E81" s="310"/>
    </row>
    <row r="82" spans="1:25" x14ac:dyDescent="0.2">
      <c r="A82" s="310"/>
      <c r="B82" s="310"/>
      <c r="C82" s="312"/>
      <c r="D82" s="310"/>
      <c r="E82" s="339"/>
      <c r="M82" s="430"/>
      <c r="N82" s="463"/>
      <c r="O82" s="463"/>
      <c r="P82" s="463"/>
      <c r="Q82" s="463"/>
      <c r="R82" s="463"/>
      <c r="S82" s="463"/>
      <c r="T82" s="122"/>
      <c r="U82" s="227"/>
      <c r="V82" s="463"/>
      <c r="W82" s="463"/>
      <c r="X82" s="122"/>
      <c r="Y82" s="122"/>
    </row>
    <row r="83" spans="1:25" x14ac:dyDescent="0.2">
      <c r="A83" s="310"/>
      <c r="B83" s="310"/>
      <c r="C83" s="312"/>
      <c r="D83" s="310"/>
      <c r="E83" s="310"/>
      <c r="M83" s="471"/>
      <c r="N83" s="212"/>
      <c r="O83" s="212"/>
      <c r="P83" s="212"/>
      <c r="Q83" s="212"/>
      <c r="R83" s="426"/>
      <c r="S83" s="426"/>
      <c r="T83" s="122"/>
      <c r="U83" s="227"/>
      <c r="V83" s="426"/>
      <c r="W83" s="426"/>
      <c r="X83" s="122"/>
      <c r="Y83" s="122"/>
    </row>
    <row r="84" spans="1:25" x14ac:dyDescent="0.2">
      <c r="A84" s="310"/>
      <c r="B84" s="310"/>
      <c r="C84" s="312"/>
      <c r="D84" s="310"/>
      <c r="E84" s="310"/>
      <c r="V84" s="207"/>
      <c r="W84" s="207"/>
      <c r="X84" s="227"/>
      <c r="Y84" s="227"/>
    </row>
    <row r="85" spans="1:25" x14ac:dyDescent="0.2">
      <c r="A85" s="211"/>
      <c r="B85" s="211"/>
      <c r="C85" s="211"/>
      <c r="D85" s="211"/>
      <c r="E85" s="211"/>
      <c r="F85" s="211"/>
      <c r="G85" s="807" t="s">
        <v>287</v>
      </c>
      <c r="H85" s="808"/>
      <c r="I85" s="809"/>
      <c r="J85" s="211"/>
      <c r="K85" s="807" t="s">
        <v>512</v>
      </c>
      <c r="L85" s="808"/>
      <c r="M85" s="809"/>
      <c r="O85" s="807" t="s">
        <v>302</v>
      </c>
      <c r="P85" s="808"/>
      <c r="Q85" s="809"/>
    </row>
    <row r="86" spans="1:25" x14ac:dyDescent="0.2">
      <c r="A86" s="810" t="s">
        <v>258</v>
      </c>
      <c r="B86" s="811"/>
      <c r="C86" s="811"/>
      <c r="D86" s="811"/>
      <c r="E86" s="812"/>
      <c r="F86" s="211"/>
      <c r="G86" s="752" t="s">
        <v>285</v>
      </c>
      <c r="H86" s="753"/>
      <c r="I86" s="754"/>
      <c r="J86" s="151"/>
      <c r="K86" s="752" t="s">
        <v>285</v>
      </c>
      <c r="L86" s="753"/>
      <c r="M86" s="754"/>
      <c r="O86" s="760" t="s">
        <v>285</v>
      </c>
      <c r="P86" s="760"/>
      <c r="Q86" s="760"/>
    </row>
    <row r="87" spans="1:25" x14ac:dyDescent="0.2">
      <c r="A87" s="305" t="s">
        <v>1</v>
      </c>
      <c r="B87" s="305" t="s">
        <v>290</v>
      </c>
      <c r="C87" s="420" t="s">
        <v>291</v>
      </c>
      <c r="D87" s="420" t="s">
        <v>259</v>
      </c>
      <c r="E87" s="420" t="s">
        <v>260</v>
      </c>
      <c r="F87" s="211"/>
      <c r="G87" s="420" t="s">
        <v>185</v>
      </c>
      <c r="H87" s="420" t="s">
        <v>186</v>
      </c>
      <c r="I87" s="420" t="s">
        <v>286</v>
      </c>
      <c r="J87" s="151"/>
      <c r="K87" s="420" t="s">
        <v>185</v>
      </c>
      <c r="L87" s="420" t="s">
        <v>186</v>
      </c>
      <c r="M87" s="420" t="s">
        <v>286</v>
      </c>
      <c r="O87" s="420" t="s">
        <v>185</v>
      </c>
      <c r="P87" s="420" t="s">
        <v>186</v>
      </c>
      <c r="Q87" s="420" t="s">
        <v>286</v>
      </c>
    </row>
    <row r="88" spans="1:25" x14ac:dyDescent="0.2">
      <c r="A88" s="305">
        <v>2017</v>
      </c>
      <c r="B88" s="388">
        <v>106684.98953820582</v>
      </c>
      <c r="C88" s="309">
        <f>B88*365</f>
        <v>38940021.181445122</v>
      </c>
      <c r="D88" s="309">
        <f>C88*$B$6</f>
        <v>6619803.6008456713</v>
      </c>
      <c r="E88" s="309">
        <f>C88-D88</f>
        <v>32320217.58059945</v>
      </c>
      <c r="F88" s="211"/>
      <c r="G88" s="309">
        <f>Delay_Calcs!U54</f>
        <v>677.24071130925893</v>
      </c>
      <c r="H88" s="309">
        <f>Delay_Calcs!V54</f>
        <v>131.40233732208333</v>
      </c>
      <c r="I88" s="309">
        <f>G88+H88</f>
        <v>808.64304863134225</v>
      </c>
      <c r="J88" s="151"/>
      <c r="K88" s="309">
        <f>Delay_Calcs!S5+Delay_Calcs!AL5</f>
        <v>255917.22631744243</v>
      </c>
      <c r="L88" s="309">
        <f>Delay_Calcs!T5+Delay_Calcs!AM5</f>
        <v>34136.714690011235</v>
      </c>
      <c r="M88" s="309">
        <f>K88+L88</f>
        <v>290053.94100745366</v>
      </c>
      <c r="O88" s="309">
        <f t="shared" ref="O88:O126" si="16">G88+K88</f>
        <v>256594.46702875168</v>
      </c>
      <c r="P88" s="309">
        <f t="shared" ref="P88:P126" si="17">H88+L88</f>
        <v>34268.117027333319</v>
      </c>
      <c r="Q88" s="309">
        <f>O88+P88</f>
        <v>290862.58405608498</v>
      </c>
    </row>
    <row r="89" spans="1:25" x14ac:dyDescent="0.2">
      <c r="A89" s="305">
        <v>2018</v>
      </c>
      <c r="B89" s="388">
        <v>108394.71544429637</v>
      </c>
      <c r="C89" s="309">
        <f t="shared" ref="C89:C126" si="18">B89*365</f>
        <v>39564071.137168176</v>
      </c>
      <c r="D89" s="309">
        <f t="shared" ref="D89:D126" si="19">C89*$B$6</f>
        <v>6725892.0933185909</v>
      </c>
      <c r="E89" s="309">
        <f t="shared" ref="E89:E126" si="20">C89-D89</f>
        <v>32838179.043849587</v>
      </c>
      <c r="F89" s="211"/>
      <c r="G89" s="309">
        <f>Delay_Calcs!U55</f>
        <v>689.11549070168428</v>
      </c>
      <c r="H89" s="309">
        <f>Delay_Calcs!V55</f>
        <v>133.5829256982868</v>
      </c>
      <c r="I89" s="309">
        <f t="shared" ref="I89:I126" si="21">G89+H89</f>
        <v>822.69841639997105</v>
      </c>
      <c r="J89" s="151"/>
      <c r="K89" s="309">
        <f>Delay_Calcs!S6+Delay_Calcs!AL6</f>
        <v>263921.53496747732</v>
      </c>
      <c r="L89" s="309">
        <f>Delay_Calcs!T6+Delay_Calcs!AM6</f>
        <v>34815.902981323423</v>
      </c>
      <c r="M89" s="309">
        <f t="shared" ref="M89:M125" si="22">K89+L89</f>
        <v>298737.43794880074</v>
      </c>
      <c r="O89" s="309">
        <f t="shared" si="16"/>
        <v>264610.65045817901</v>
      </c>
      <c r="P89" s="309">
        <f t="shared" si="17"/>
        <v>34949.485907021706</v>
      </c>
      <c r="Q89" s="309">
        <f t="shared" ref="Q89:Q125" si="23">O89+P89</f>
        <v>299560.13636520074</v>
      </c>
    </row>
    <row r="90" spans="1:25" x14ac:dyDescent="0.2">
      <c r="A90" s="305">
        <v>2019</v>
      </c>
      <c r="B90" s="388">
        <v>110131.85099215535</v>
      </c>
      <c r="C90" s="309">
        <f t="shared" si="18"/>
        <v>40198125.612136699</v>
      </c>
      <c r="D90" s="309">
        <f t="shared" si="19"/>
        <v>6833681.3540632389</v>
      </c>
      <c r="E90" s="309">
        <f t="shared" si="20"/>
        <v>33364444.25807346</v>
      </c>
      <c r="F90" s="211"/>
      <c r="G90" s="309">
        <f>Delay_Calcs!U56</f>
        <v>701.2170477074601</v>
      </c>
      <c r="H90" s="309">
        <f>Delay_Calcs!V56</f>
        <v>135.80101958600409</v>
      </c>
      <c r="I90" s="309">
        <f t="shared" si="21"/>
        <v>837.01806729346413</v>
      </c>
      <c r="J90" s="151"/>
      <c r="K90" s="309">
        <f>Delay_Calcs!S7+Delay_Calcs!AL7</f>
        <v>272311.1895099653</v>
      </c>
      <c r="L90" s="309">
        <f>Delay_Calcs!T7+Delay_Calcs!AM7</f>
        <v>35511.342817997305</v>
      </c>
      <c r="M90" s="309">
        <f t="shared" si="22"/>
        <v>307822.53232796263</v>
      </c>
      <c r="O90" s="309">
        <f t="shared" si="16"/>
        <v>273012.40655767277</v>
      </c>
      <c r="P90" s="309">
        <f t="shared" si="17"/>
        <v>35647.14383758331</v>
      </c>
      <c r="Q90" s="309">
        <f t="shared" si="23"/>
        <v>308659.55039525608</v>
      </c>
    </row>
    <row r="91" spans="1:25" x14ac:dyDescent="0.2">
      <c r="A91" s="305">
        <v>2020</v>
      </c>
      <c r="B91" s="388">
        <v>111896.83573305423</v>
      </c>
      <c r="C91" s="309">
        <f t="shared" si="18"/>
        <v>40842345.042564794</v>
      </c>
      <c r="D91" s="309">
        <f t="shared" si="19"/>
        <v>6943198.6572360154</v>
      </c>
      <c r="E91" s="309">
        <f t="shared" si="20"/>
        <v>33899146.385328777</v>
      </c>
      <c r="F91" s="211"/>
      <c r="G91" s="309">
        <f>Delay_Calcs!U57</f>
        <v>713.55037247128757</v>
      </c>
      <c r="H91" s="309">
        <f>Delay_Calcs!V57</f>
        <v>138.0573082827506</v>
      </c>
      <c r="I91" s="309">
        <f t="shared" si="21"/>
        <v>851.60768075403814</v>
      </c>
      <c r="J91" s="151"/>
      <c r="K91" s="309">
        <f>Delay_Calcs!S8+Delay_Calcs!AL8</f>
        <v>281114.21801842813</v>
      </c>
      <c r="L91" s="309">
        <f>Delay_Calcs!T8+Delay_Calcs!AM8</f>
        <v>36223.53550944473</v>
      </c>
      <c r="M91" s="309">
        <f t="shared" si="22"/>
        <v>317337.75352787285</v>
      </c>
      <c r="O91" s="309">
        <f t="shared" si="16"/>
        <v>281827.76839089941</v>
      </c>
      <c r="P91" s="309">
        <f t="shared" si="17"/>
        <v>36361.592817727484</v>
      </c>
      <c r="Q91" s="309">
        <f t="shared" si="23"/>
        <v>318189.36120862688</v>
      </c>
    </row>
    <row r="92" spans="1:25" x14ac:dyDescent="0.2">
      <c r="A92" s="305">
        <v>2021</v>
      </c>
      <c r="B92" s="388">
        <v>113690.11626885612</v>
      </c>
      <c r="C92" s="309">
        <f t="shared" si="18"/>
        <v>41496892.43813248</v>
      </c>
      <c r="D92" s="309">
        <f t="shared" si="19"/>
        <v>7054471.7144825216</v>
      </c>
      <c r="E92" s="309">
        <f t="shared" si="20"/>
        <v>34442420.723649956</v>
      </c>
      <c r="F92" s="211"/>
      <c r="G92" s="309">
        <f>Delay_Calcs!U58</f>
        <v>726.1205885951432</v>
      </c>
      <c r="H92" s="309">
        <f>Delay_Calcs!V58</f>
        <v>140.35249523979553</v>
      </c>
      <c r="I92" s="309">
        <f t="shared" si="21"/>
        <v>866.47308383493873</v>
      </c>
      <c r="J92" s="216"/>
      <c r="K92" s="309">
        <f>Delay_Calcs!S9+Delay_Calcs!AL9</f>
        <v>290361.49408502702</v>
      </c>
      <c r="L92" s="309">
        <f>Delay_Calcs!T9+Delay_Calcs!AM9</f>
        <v>36953.002656741468</v>
      </c>
      <c r="M92" s="309">
        <f t="shared" si="22"/>
        <v>327314.4967417685</v>
      </c>
      <c r="O92" s="309">
        <f t="shared" si="16"/>
        <v>291087.61467362219</v>
      </c>
      <c r="P92" s="309">
        <f t="shared" si="17"/>
        <v>37093.355151981261</v>
      </c>
      <c r="Q92" s="309">
        <f t="shared" si="23"/>
        <v>328180.96982560342</v>
      </c>
    </row>
    <row r="93" spans="1:25" x14ac:dyDescent="0.2">
      <c r="A93" s="305">
        <v>2022</v>
      </c>
      <c r="B93" s="388">
        <v>115512.14636513505</v>
      </c>
      <c r="C93" s="309">
        <f t="shared" si="18"/>
        <v>42161933.423274294</v>
      </c>
      <c r="D93" s="309">
        <f t="shared" si="19"/>
        <v>7167528.6819566302</v>
      </c>
      <c r="E93" s="309">
        <f t="shared" si="20"/>
        <v>34994404.74131766</v>
      </c>
      <c r="F93" s="211"/>
      <c r="G93" s="309">
        <f>Delay_Calcs!U59</f>
        <v>738.93295756014345</v>
      </c>
      <c r="H93" s="309">
        <f>Delay_Calcs!V59</f>
        <v>142.68729840232723</v>
      </c>
      <c r="I93" s="309">
        <f t="shared" si="21"/>
        <v>881.62025596247065</v>
      </c>
      <c r="J93" s="214"/>
      <c r="K93" s="309">
        <f>Delay_Calcs!S10+Delay_Calcs!AL10</f>
        <v>300087.11436439364</v>
      </c>
      <c r="L93" s="309">
        <f>Delay_Calcs!T10+Delay_Calcs!AM10</f>
        <v>37700.287197525569</v>
      </c>
      <c r="M93" s="309">
        <f t="shared" si="22"/>
        <v>337787.40156191919</v>
      </c>
      <c r="N93" s="123"/>
      <c r="O93" s="309">
        <f t="shared" si="16"/>
        <v>300826.04732195375</v>
      </c>
      <c r="P93" s="309">
        <f t="shared" si="17"/>
        <v>37842.974495927898</v>
      </c>
      <c r="Q93" s="309">
        <f t="shared" si="23"/>
        <v>338669.02181788167</v>
      </c>
    </row>
    <row r="94" spans="1:25" x14ac:dyDescent="0.2">
      <c r="A94" s="305">
        <v>2023</v>
      </c>
      <c r="B94" s="388">
        <v>117363.38706611002</v>
      </c>
      <c r="C94" s="309">
        <f t="shared" si="18"/>
        <v>42837636.279130161</v>
      </c>
      <c r="D94" s="309">
        <f t="shared" si="19"/>
        <v>7282398.1674521277</v>
      </c>
      <c r="E94" s="309">
        <f t="shared" si="20"/>
        <v>35555238.111678034</v>
      </c>
      <c r="F94" s="211"/>
      <c r="G94" s="309">
        <f>Delay_Calcs!U60</f>
        <v>751.99288332650826</v>
      </c>
      <c r="H94" s="309">
        <f>Delay_Calcs!V60</f>
        <v>145.06245055941582</v>
      </c>
      <c r="I94" s="309">
        <f t="shared" si="21"/>
        <v>897.05533388592403</v>
      </c>
      <c r="K94" s="309">
        <f>Delay_Calcs!S11+Delay_Calcs!AL11</f>
        <v>310328.83875646337</v>
      </c>
      <c r="L94" s="309">
        <f>Delay_Calcs!T11+Delay_Calcs!AM11</f>
        <v>38465.954516653597</v>
      </c>
      <c r="M94" s="309">
        <f t="shared" si="22"/>
        <v>348794.79327311699</v>
      </c>
      <c r="O94" s="309">
        <f t="shared" si="16"/>
        <v>311080.83163978986</v>
      </c>
      <c r="P94" s="309">
        <f t="shared" si="17"/>
        <v>38611.016967213014</v>
      </c>
      <c r="Q94" s="309">
        <f t="shared" si="23"/>
        <v>349691.84860700287</v>
      </c>
    </row>
    <row r="95" spans="1:25" x14ac:dyDescent="0.2">
      <c r="A95" s="305">
        <v>2024</v>
      </c>
      <c r="B95" s="388">
        <v>119244.30681142406</v>
      </c>
      <c r="C95" s="309">
        <f t="shared" si="18"/>
        <v>43524171.986169785</v>
      </c>
      <c r="D95" s="309">
        <f t="shared" si="19"/>
        <v>7399109.2376488643</v>
      </c>
      <c r="E95" s="309">
        <f t="shared" si="20"/>
        <v>36125062.748520918</v>
      </c>
      <c r="F95" s="211"/>
      <c r="G95" s="309">
        <f>Delay_Calcs!U61</f>
        <v>765.30591712008425</v>
      </c>
      <c r="H95" s="309">
        <f>Delay_Calcs!V61</f>
        <v>147.47869970410949</v>
      </c>
      <c r="I95" s="309">
        <f t="shared" si="21"/>
        <v>912.78461682419379</v>
      </c>
      <c r="K95" s="309">
        <f>Delay_Calcs!S12+Delay_Calcs!AL12</f>
        <v>321128.6058310027</v>
      </c>
      <c r="L95" s="309">
        <f>Delay_Calcs!T12+Delay_Calcs!AM12</f>
        <v>39250.593627522685</v>
      </c>
      <c r="M95" s="309">
        <f t="shared" si="22"/>
        <v>360379.1994585254</v>
      </c>
      <c r="O95" s="309">
        <f t="shared" si="16"/>
        <v>321893.91174812277</v>
      </c>
      <c r="P95" s="309">
        <f t="shared" si="17"/>
        <v>39398.072327226793</v>
      </c>
      <c r="Q95" s="309">
        <f t="shared" si="23"/>
        <v>361291.98407534958</v>
      </c>
    </row>
    <row r="96" spans="1:25" x14ac:dyDescent="0.2">
      <c r="A96" s="305">
        <v>2025</v>
      </c>
      <c r="B96" s="388">
        <v>121155.38155479635</v>
      </c>
      <c r="C96" s="309">
        <f t="shared" si="18"/>
        <v>44221714.267500669</v>
      </c>
      <c r="D96" s="309">
        <f t="shared" si="19"/>
        <v>7517691.425475114</v>
      </c>
      <c r="E96" s="309">
        <f t="shared" si="20"/>
        <v>36704022.842025556</v>
      </c>
      <c r="F96" s="211"/>
      <c r="G96" s="309">
        <f>Delay_Calcs!U62</f>
        <v>778.87776241434005</v>
      </c>
      <c r="H96" s="309">
        <f>Delay_Calcs!V62</f>
        <v>149.9368094040108</v>
      </c>
      <c r="I96" s="309">
        <f t="shared" si="21"/>
        <v>928.81457181835083</v>
      </c>
      <c r="K96" s="309">
        <f>Delay_Calcs!S13+Delay_Calcs!AL13</f>
        <v>332533.13910315279</v>
      </c>
      <c r="L96" s="309">
        <f>Delay_Calcs!T13+Delay_Calcs!AM13</f>
        <v>40054.818429391424</v>
      </c>
      <c r="M96" s="309">
        <f t="shared" si="22"/>
        <v>372587.95753254421</v>
      </c>
      <c r="O96" s="309">
        <f t="shared" si="16"/>
        <v>333312.01686556713</v>
      </c>
      <c r="P96" s="309">
        <f t="shared" si="17"/>
        <v>40204.755238795435</v>
      </c>
      <c r="Q96" s="309">
        <f t="shared" si="23"/>
        <v>373516.77210436255</v>
      </c>
    </row>
    <row r="97" spans="1:17" x14ac:dyDescent="0.2">
      <c r="A97" s="305">
        <v>2026</v>
      </c>
      <c r="B97" s="388">
        <v>123097.09488457924</v>
      </c>
      <c r="C97" s="309">
        <f t="shared" si="18"/>
        <v>44930439.632871427</v>
      </c>
      <c r="D97" s="309">
        <f t="shared" si="19"/>
        <v>7638174.737588143</v>
      </c>
      <c r="E97" s="309">
        <f t="shared" si="20"/>
        <v>37292264.895283282</v>
      </c>
      <c r="F97" s="211"/>
      <c r="G97" s="309">
        <f>Delay_Calcs!U63</f>
        <v>792.71428011724845</v>
      </c>
      <c r="H97" s="309">
        <f>Delay_Calcs!V63</f>
        <v>152.43755918269662</v>
      </c>
      <c r="I97" s="309">
        <f t="shared" si="21"/>
        <v>945.1518392999451</v>
      </c>
      <c r="K97" s="309">
        <f>Delay_Calcs!S14+Delay_Calcs!AL14</f>
        <v>344594.66361224675</v>
      </c>
      <c r="L97" s="309">
        <f>Delay_Calcs!T14+Delay_Calcs!AM14</f>
        <v>40879.269046500383</v>
      </c>
      <c r="M97" s="309">
        <f t="shared" si="22"/>
        <v>385473.93265874713</v>
      </c>
      <c r="O97" s="309">
        <f t="shared" si="16"/>
        <v>345387.37789236399</v>
      </c>
      <c r="P97" s="309">
        <f t="shared" si="17"/>
        <v>41031.706605683081</v>
      </c>
      <c r="Q97" s="309">
        <f t="shared" si="23"/>
        <v>386419.08449804707</v>
      </c>
    </row>
    <row r="98" spans="1:17" x14ac:dyDescent="0.2">
      <c r="A98" s="305">
        <v>2027</v>
      </c>
      <c r="B98" s="388">
        <v>125069.93814624938</v>
      </c>
      <c r="C98" s="309">
        <f t="shared" si="18"/>
        <v>45650527.423381023</v>
      </c>
      <c r="D98" s="309">
        <f t="shared" si="19"/>
        <v>7760589.6619747747</v>
      </c>
      <c r="E98" s="309">
        <f t="shared" si="20"/>
        <v>37889937.76140625</v>
      </c>
      <c r="F98" s="211"/>
      <c r="G98" s="309">
        <f>Delay_Calcs!U64</f>
        <v>806.82149397298224</v>
      </c>
      <c r="H98" s="309">
        <f>Delay_Calcs!V64</f>
        <v>154.98174491235733</v>
      </c>
      <c r="I98" s="309">
        <f t="shared" si="21"/>
        <v>961.80323888533962</v>
      </c>
      <c r="K98" s="309">
        <f>Delay_Calcs!S15+Delay_Calcs!AL15</f>
        <v>357371.75720309926</v>
      </c>
      <c r="L98" s="309">
        <f>Delay_Calcs!T15+Delay_Calcs!AM15</f>
        <v>41724.613255306991</v>
      </c>
      <c r="M98" s="309">
        <f t="shared" si="22"/>
        <v>399096.37045840628</v>
      </c>
      <c r="O98" s="309">
        <f t="shared" si="16"/>
        <v>358178.57869707223</v>
      </c>
      <c r="P98" s="309">
        <f t="shared" si="17"/>
        <v>41879.595000219349</v>
      </c>
      <c r="Q98" s="309">
        <f t="shared" si="23"/>
        <v>400058.17369729158</v>
      </c>
    </row>
    <row r="99" spans="1:17" x14ac:dyDescent="0.2">
      <c r="A99" s="305">
        <v>2028</v>
      </c>
      <c r="B99" s="388">
        <v>127074.41056686436</v>
      </c>
      <c r="C99" s="309">
        <f t="shared" si="18"/>
        <v>46382159.85690549</v>
      </c>
      <c r="D99" s="309">
        <f t="shared" si="19"/>
        <v>7884967.1756739337</v>
      </c>
      <c r="E99" s="309">
        <f t="shared" si="20"/>
        <v>38497192.681231558</v>
      </c>
      <c r="F99" s="211"/>
      <c r="G99" s="309">
        <f>Delay_Calcs!U65</f>
        <v>821.20559618890809</v>
      </c>
      <c r="H99" s="309">
        <f>Delay_Calcs!V65</f>
        <v>157.57017921804646</v>
      </c>
      <c r="I99" s="309">
        <f t="shared" si="21"/>
        <v>978.77577540695461</v>
      </c>
      <c r="K99" s="309">
        <f>Delay_Calcs!S16+Delay_Calcs!AL16</f>
        <v>370930.36732528103</v>
      </c>
      <c r="L99" s="309">
        <f>Delay_Calcs!T16+Delay_Calcs!AM16</f>
        <v>42591.548006716155</v>
      </c>
      <c r="M99" s="309">
        <f t="shared" si="22"/>
        <v>413521.91533199721</v>
      </c>
      <c r="O99" s="309">
        <f t="shared" si="16"/>
        <v>371751.57292146992</v>
      </c>
      <c r="P99" s="309">
        <f t="shared" si="17"/>
        <v>42749.118185934203</v>
      </c>
      <c r="Q99" s="309">
        <f t="shared" si="23"/>
        <v>414500.69110740413</v>
      </c>
    </row>
    <row r="100" spans="1:17" x14ac:dyDescent="0.2">
      <c r="A100" s="305">
        <v>2029</v>
      </c>
      <c r="B100" s="388">
        <v>129111.01938151711</v>
      </c>
      <c r="C100" s="309">
        <f t="shared" si="18"/>
        <v>47125522.074253745</v>
      </c>
      <c r="D100" s="309">
        <f t="shared" si="19"/>
        <v>8011338.7526231371</v>
      </c>
      <c r="E100" s="309">
        <f t="shared" si="20"/>
        <v>39114183.321630612</v>
      </c>
      <c r="F100" s="211"/>
      <c r="G100" s="309">
        <f>Delay_Calcs!U66</f>
        <v>835.87295329895267</v>
      </c>
      <c r="H100" s="309">
        <f>Delay_Calcs!V66</f>
        <v>160.20369189394901</v>
      </c>
      <c r="I100" s="309">
        <f t="shared" si="21"/>
        <v>996.07664519290165</v>
      </c>
      <c r="K100" s="309">
        <f>Delay_Calcs!S17+Delay_Calcs!AL17</f>
        <v>385345.0325547973</v>
      </c>
      <c r="L100" s="309">
        <f>Delay_Calcs!T17+Delay_Calcs!AM17</f>
        <v>43480.801050812341</v>
      </c>
      <c r="M100" s="309">
        <f t="shared" si="22"/>
        <v>428825.83360560966</v>
      </c>
      <c r="O100" s="309">
        <f t="shared" si="16"/>
        <v>386180.90550809627</v>
      </c>
      <c r="P100" s="309">
        <f t="shared" si="17"/>
        <v>43641.004742706289</v>
      </c>
      <c r="Q100" s="309">
        <f t="shared" si="23"/>
        <v>429821.91025080258</v>
      </c>
    </row>
    <row r="101" spans="1:17" x14ac:dyDescent="0.2">
      <c r="A101" s="305">
        <v>2030</v>
      </c>
      <c r="B101" s="388">
        <v>131180.27996181895</v>
      </c>
      <c r="C101" s="309">
        <f t="shared" si="18"/>
        <v>47880802.186063915</v>
      </c>
      <c r="D101" s="309">
        <f t="shared" si="19"/>
        <v>8139736.3716308661</v>
      </c>
      <c r="E101" s="309">
        <f t="shared" si="20"/>
        <v>39741065.814433053</v>
      </c>
      <c r="F101" s="211"/>
      <c r="G101" s="309">
        <f>Delay_Calcs!U67</f>
        <v>850.83011227503926</v>
      </c>
      <c r="H101" s="309">
        <f>Delay_Calcs!V67</f>
        <v>162.88313033209135</v>
      </c>
      <c r="I101" s="309">
        <f t="shared" si="21"/>
        <v>1013.7132426071306</v>
      </c>
      <c r="K101" s="309">
        <f>Delay_Calcs!S18+Delay_Calcs!AL18</f>
        <v>400700.35910412675</v>
      </c>
      <c r="L101" s="309">
        <f>Delay_Calcs!T18+Delay_Calcs!AM18</f>
        <v>44393.13267228828</v>
      </c>
      <c r="M101" s="309">
        <f t="shared" si="22"/>
        <v>445093.49177641503</v>
      </c>
      <c r="O101" s="309">
        <f t="shared" si="16"/>
        <v>401551.18921640178</v>
      </c>
      <c r="P101" s="309">
        <f t="shared" si="17"/>
        <v>44556.015802620372</v>
      </c>
      <c r="Q101" s="309">
        <f t="shared" si="23"/>
        <v>446107.20501902216</v>
      </c>
    </row>
    <row r="102" spans="1:17" x14ac:dyDescent="0.2">
      <c r="A102" s="305">
        <v>2031</v>
      </c>
      <c r="B102" s="388">
        <v>133282.71594644469</v>
      </c>
      <c r="C102" s="309">
        <f t="shared" si="18"/>
        <v>48648191.32045231</v>
      </c>
      <c r="D102" s="309">
        <f t="shared" si="19"/>
        <v>8270192.5244768932</v>
      </c>
      <c r="E102" s="309">
        <f t="shared" si="20"/>
        <v>40377998.795975417</v>
      </c>
      <c r="F102" s="211"/>
      <c r="G102" s="309">
        <f>Delay_Calcs!U68</f>
        <v>866.0838068989608</v>
      </c>
      <c r="H102" s="309">
        <f>Delay_Calcs!V68</f>
        <v>165.60935996393459</v>
      </c>
      <c r="I102" s="309">
        <f t="shared" si="21"/>
        <v>1031.6931668628954</v>
      </c>
      <c r="K102" s="309">
        <f>Delay_Calcs!S19+Delay_Calcs!AL19</f>
        <v>417092.8173046445</v>
      </c>
      <c r="L102" s="309">
        <f>Delay_Calcs!T19+Delay_Calcs!AM19</f>
        <v>45329.337545526854</v>
      </c>
      <c r="M102" s="309">
        <f t="shared" si="22"/>
        <v>462422.15485017136</v>
      </c>
      <c r="O102" s="309">
        <f t="shared" si="16"/>
        <v>417958.90111154347</v>
      </c>
      <c r="P102" s="309">
        <f t="shared" si="17"/>
        <v>45494.94690549079</v>
      </c>
      <c r="Q102" s="309">
        <f t="shared" si="23"/>
        <v>463453.84801703424</v>
      </c>
    </row>
    <row r="103" spans="1:17" x14ac:dyDescent="0.2">
      <c r="A103" s="305">
        <v>2032</v>
      </c>
      <c r="B103" s="388">
        <v>135418.85937377272</v>
      </c>
      <c r="C103" s="309">
        <f t="shared" si="18"/>
        <v>49427883.671427041</v>
      </c>
      <c r="D103" s="309">
        <f t="shared" si="19"/>
        <v>8402740.224142598</v>
      </c>
      <c r="E103" s="309">
        <f t="shared" si="20"/>
        <v>41025143.447284445</v>
      </c>
      <c r="F103" s="211"/>
      <c r="G103" s="309">
        <f>Delay_Calcs!U69</f>
        <v>881.64096440776609</v>
      </c>
      <c r="H103" s="309">
        <f>Delay_Calcs!V69</f>
        <v>168.38326471530971</v>
      </c>
      <c r="I103" s="309">
        <f t="shared" si="21"/>
        <v>1050.0242291230759</v>
      </c>
      <c r="K103" s="309">
        <f>Delay_Calcs!S20+Delay_Calcs!AL20</f>
        <v>434632.94281859259</v>
      </c>
      <c r="L103" s="309">
        <f>Delay_Calcs!T20+Delay_Calcs!AM20</f>
        <v>46290.246719135874</v>
      </c>
      <c r="M103" s="309">
        <f t="shared" si="22"/>
        <v>480923.18953772844</v>
      </c>
      <c r="O103" s="309">
        <f t="shared" si="16"/>
        <v>435514.58378300036</v>
      </c>
      <c r="P103" s="309">
        <f t="shared" si="17"/>
        <v>46458.629983851184</v>
      </c>
      <c r="Q103" s="309">
        <f t="shared" si="23"/>
        <v>481973.21376685152</v>
      </c>
    </row>
    <row r="104" spans="1:17" x14ac:dyDescent="0.2">
      <c r="A104" s="305">
        <v>2033</v>
      </c>
      <c r="B104" s="388">
        <v>137589.25081665351</v>
      </c>
      <c r="C104" s="309">
        <f t="shared" si="18"/>
        <v>50220076.54807853</v>
      </c>
      <c r="D104" s="309">
        <f t="shared" si="19"/>
        <v>8537413.0131733511</v>
      </c>
      <c r="E104" s="309">
        <f t="shared" si="20"/>
        <v>41682663.53490518</v>
      </c>
      <c r="F104" s="211"/>
      <c r="G104" s="309">
        <f>Delay_Calcs!U70</f>
        <v>897.5087124264885</v>
      </c>
      <c r="H104" s="309">
        <f>Delay_Calcs!V70</f>
        <v>171.20574747517284</v>
      </c>
      <c r="I104" s="309">
        <f t="shared" si="21"/>
        <v>1068.7144599016613</v>
      </c>
      <c r="K104" s="309">
        <f>Delay_Calcs!S21+Delay_Calcs!AL21</f>
        <v>453448.05417738354</v>
      </c>
      <c r="L104" s="309">
        <f>Delay_Calcs!T21+Delay_Calcs!AM21</f>
        <v>47276.729740668234</v>
      </c>
      <c r="M104" s="309">
        <f t="shared" si="22"/>
        <v>500724.78391805175</v>
      </c>
      <c r="O104" s="309">
        <f t="shared" si="16"/>
        <v>454345.56288981001</v>
      </c>
      <c r="P104" s="309">
        <f t="shared" si="17"/>
        <v>47447.935488143405</v>
      </c>
      <c r="Q104" s="309">
        <f t="shared" si="23"/>
        <v>501793.49837795342</v>
      </c>
    </row>
    <row r="105" spans="1:17" x14ac:dyDescent="0.2">
      <c r="A105" s="305">
        <v>2034</v>
      </c>
      <c r="B105" s="388">
        <v>139794.43951934067</v>
      </c>
      <c r="C105" s="309">
        <f t="shared" si="18"/>
        <v>51024970.42455934</v>
      </c>
      <c r="D105" s="309">
        <f t="shared" si="19"/>
        <v>8674244.9721750878</v>
      </c>
      <c r="E105" s="309">
        <f t="shared" si="20"/>
        <v>42350725.452384248</v>
      </c>
      <c r="F105" s="211"/>
      <c r="G105" s="309">
        <f>Delay_Calcs!U71</f>
        <v>913.69438620285314</v>
      </c>
      <c r="H105" s="309">
        <f>Delay_Calcs!V71</f>
        <v>174.07773057867925</v>
      </c>
      <c r="I105" s="309">
        <f t="shared" si="21"/>
        <v>1087.7721167815323</v>
      </c>
      <c r="K105" s="309">
        <f>Delay_Calcs!S22+Delay_Calcs!AL22</f>
        <v>473685.63507917197</v>
      </c>
      <c r="L105" s="309">
        <f>Delay_Calcs!T22+Delay_Calcs!AM22</f>
        <v>48289.696933295927</v>
      </c>
      <c r="M105" s="309">
        <f t="shared" si="22"/>
        <v>521975.3320124679</v>
      </c>
      <c r="O105" s="309">
        <f t="shared" si="16"/>
        <v>474599.32946537482</v>
      </c>
      <c r="P105" s="309">
        <f t="shared" si="17"/>
        <v>48463.774663874603</v>
      </c>
      <c r="Q105" s="309">
        <f t="shared" si="23"/>
        <v>523063.1041292494</v>
      </c>
    </row>
    <row r="106" spans="1:17" x14ac:dyDescent="0.2">
      <c r="A106" s="305">
        <v>2035</v>
      </c>
      <c r="B106" s="388">
        <v>142034.98353661966</v>
      </c>
      <c r="C106" s="309">
        <f t="shared" si="18"/>
        <v>51842768.990866177</v>
      </c>
      <c r="D106" s="309">
        <f t="shared" si="19"/>
        <v>8813270.728447251</v>
      </c>
      <c r="E106" s="309">
        <f t="shared" si="20"/>
        <v>43029498.262418926</v>
      </c>
      <c r="F106" s="211"/>
      <c r="G106" s="309">
        <f>Delay_Calcs!U72</f>
        <v>930.20553615945846</v>
      </c>
      <c r="H106" s="309">
        <f>Delay_Calcs!V72</f>
        <v>177.0001563050929</v>
      </c>
      <c r="I106" s="309">
        <f t="shared" si="21"/>
        <v>1107.2056924645512</v>
      </c>
      <c r="K106" s="309">
        <f>Delay_Calcs!S23+Delay_Calcs!AL23</f>
        <v>495517.58103785949</v>
      </c>
      <c r="L106" s="309">
        <f>Delay_Calcs!T23+Delay_Calcs!AM23</f>
        <v>49330.101837354836</v>
      </c>
      <c r="M106" s="309">
        <f t="shared" si="22"/>
        <v>544847.68287521438</v>
      </c>
      <c r="O106" s="309">
        <f t="shared" si="16"/>
        <v>496447.78657401894</v>
      </c>
      <c r="P106" s="309">
        <f t="shared" si="17"/>
        <v>49507.101993659926</v>
      </c>
      <c r="Q106" s="309">
        <f t="shared" si="23"/>
        <v>545954.88856767886</v>
      </c>
    </row>
    <row r="107" spans="1:17" x14ac:dyDescent="0.2">
      <c r="A107" s="305">
        <v>2036</v>
      </c>
      <c r="B107" s="388">
        <v>144311.44987516906</v>
      </c>
      <c r="C107" s="309">
        <f t="shared" si="18"/>
        <v>52673679.204436705</v>
      </c>
      <c r="D107" s="309">
        <f t="shared" si="19"/>
        <v>8954525.4647542406</v>
      </c>
      <c r="E107" s="309">
        <f t="shared" si="20"/>
        <v>43719153.739682466</v>
      </c>
      <c r="F107" s="211"/>
      <c r="G107" s="309">
        <f>Delay_Calcs!U73</f>
        <v>947.04993577984078</v>
      </c>
      <c r="H107" s="309">
        <f>Delay_Calcs!V73</f>
        <v>179.97398739107308</v>
      </c>
      <c r="I107" s="309">
        <f t="shared" si="21"/>
        <v>1127.0239231709138</v>
      </c>
      <c r="K107" s="309">
        <f>Delay_Calcs!S24+Delay_Calcs!AL24</f>
        <v>519145.58194093185</v>
      </c>
      <c r="L107" s="309">
        <f>Delay_Calcs!T24+Delay_Calcs!AM24</f>
        <v>50398.943830956137</v>
      </c>
      <c r="M107" s="309">
        <f t="shared" si="22"/>
        <v>569544.52577188797</v>
      </c>
      <c r="O107" s="309">
        <f t="shared" si="16"/>
        <v>520092.63187671168</v>
      </c>
      <c r="P107" s="309">
        <f t="shared" si="17"/>
        <v>50578.91781834721</v>
      </c>
      <c r="Q107" s="309">
        <f t="shared" si="23"/>
        <v>570671.54969505884</v>
      </c>
    </row>
    <row r="108" spans="1:17" x14ac:dyDescent="0.2">
      <c r="A108" s="305">
        <v>2037</v>
      </c>
      <c r="B108" s="388">
        <v>146624.41463719026</v>
      </c>
      <c r="C108" s="309">
        <f t="shared" si="18"/>
        <v>53517911.342574447</v>
      </c>
      <c r="D108" s="309">
        <f t="shared" si="19"/>
        <v>9098044.9282376561</v>
      </c>
      <c r="E108" s="309">
        <f t="shared" si="20"/>
        <v>44419866.414336793</v>
      </c>
      <c r="F108" s="211"/>
      <c r="G108" s="309">
        <f>Delay_Calcs!U74</f>
        <v>964.23558984580689</v>
      </c>
      <c r="H108" s="309">
        <f>Delay_Calcs!V74</f>
        <v>183.00020755990079</v>
      </c>
      <c r="I108" s="309">
        <f t="shared" si="21"/>
        <v>1147.2357974057077</v>
      </c>
      <c r="K108" s="309">
        <f>Delay_Calcs!S25+Delay_Calcs!AL25</f>
        <v>544808.01471328782</v>
      </c>
      <c r="L108" s="309">
        <f>Delay_Calcs!T25+Delay_Calcs!AM25</f>
        <v>51497.270945282435</v>
      </c>
      <c r="M108" s="309">
        <f t="shared" si="22"/>
        <v>596305.28565857024</v>
      </c>
      <c r="O108" s="309">
        <f t="shared" si="16"/>
        <v>545772.25030313362</v>
      </c>
      <c r="P108" s="309">
        <f t="shared" si="17"/>
        <v>51680.271152842339</v>
      </c>
      <c r="Q108" s="309">
        <f t="shared" si="23"/>
        <v>597452.52145597595</v>
      </c>
    </row>
    <row r="109" spans="1:17" x14ac:dyDescent="0.2">
      <c r="A109" s="305">
        <v>2038</v>
      </c>
      <c r="B109" s="389">
        <v>148974.46316634223</v>
      </c>
      <c r="C109" s="309">
        <f t="shared" si="18"/>
        <v>54375679.055714913</v>
      </c>
      <c r="D109" s="309">
        <f t="shared" si="19"/>
        <v>9243865.4394715354</v>
      </c>
      <c r="E109" s="309">
        <f t="shared" si="20"/>
        <v>45131813.616243377</v>
      </c>
      <c r="F109" s="211"/>
      <c r="G109" s="309">
        <f>Delay_Calcs!U75</f>
        <v>981.77074304446376</v>
      </c>
      <c r="H109" s="309">
        <f>Delay_Calcs!V75</f>
        <v>186.07982206723057</v>
      </c>
      <c r="I109" s="309">
        <f t="shared" si="21"/>
        <v>1167.8505651116943</v>
      </c>
      <c r="K109" s="309">
        <f>Delay_Calcs!S26+Delay_Calcs!AL26</f>
        <v>572788.86887927842</v>
      </c>
      <c r="L109" s="309">
        <f>Delay_Calcs!T26+Delay_Calcs!AM26</f>
        <v>52626.182891772696</v>
      </c>
      <c r="M109" s="309">
        <f t="shared" si="22"/>
        <v>625415.05177105113</v>
      </c>
      <c r="O109" s="309">
        <f t="shared" si="16"/>
        <v>573770.63962232287</v>
      </c>
      <c r="P109" s="309">
        <f t="shared" si="17"/>
        <v>52812.262713839926</v>
      </c>
      <c r="Q109" s="309">
        <f t="shared" si="23"/>
        <v>626582.90233616275</v>
      </c>
    </row>
    <row r="110" spans="1:17" x14ac:dyDescent="0.2">
      <c r="A110" s="305">
        <v>2039</v>
      </c>
      <c r="B110" s="388">
        <v>151362.19019601785</v>
      </c>
      <c r="C110" s="309">
        <f t="shared" si="18"/>
        <v>55247199.421546519</v>
      </c>
      <c r="D110" s="309">
        <f t="shared" si="19"/>
        <v>9392023.9016629085</v>
      </c>
      <c r="E110" s="309">
        <f t="shared" si="20"/>
        <v>45855175.51988361</v>
      </c>
      <c r="F110" s="211"/>
      <c r="G110" s="309">
        <f>Delay_Calcs!U76</f>
        <v>999.66388896448723</v>
      </c>
      <c r="H110" s="309">
        <f>Delay_Calcs!V76</f>
        <v>189.21385826398065</v>
      </c>
      <c r="I110" s="309">
        <f t="shared" si="21"/>
        <v>1188.8777472284678</v>
      </c>
      <c r="K110" s="309">
        <f>Delay_Calcs!S27+Delay_Calcs!AL27</f>
        <v>603429.44646902848</v>
      </c>
      <c r="L110" s="309">
        <f>Delay_Calcs!T27+Delay_Calcs!AM27</f>
        <v>53786.834320171591</v>
      </c>
      <c r="M110" s="309">
        <f t="shared" si="22"/>
        <v>657216.2807892001</v>
      </c>
      <c r="O110" s="309">
        <f t="shared" si="16"/>
        <v>604429.11035799293</v>
      </c>
      <c r="P110" s="309">
        <f t="shared" si="17"/>
        <v>53976.048178435572</v>
      </c>
      <c r="Q110" s="309">
        <f t="shared" si="23"/>
        <v>658405.15853642847</v>
      </c>
    </row>
    <row r="111" spans="1:17" x14ac:dyDescent="0.2">
      <c r="A111" s="305">
        <v>2040</v>
      </c>
      <c r="B111" s="388">
        <v>153788.20000000001</v>
      </c>
      <c r="C111" s="309">
        <f t="shared" si="18"/>
        <v>56132693.000000007</v>
      </c>
      <c r="D111" s="309">
        <f t="shared" si="19"/>
        <v>9542557.8100000024</v>
      </c>
      <c r="E111" s="309">
        <f t="shared" si="20"/>
        <v>46590135.190000005</v>
      </c>
      <c r="F111" s="211"/>
      <c r="G111" s="309">
        <f>Delay_Calcs!U77</f>
        <v>1017.9237795023597</v>
      </c>
      <c r="H111" s="309">
        <f>Delay_Calcs!V77</f>
        <v>192.40336617699805</v>
      </c>
      <c r="I111" s="309">
        <f t="shared" si="21"/>
        <v>1210.3271456793577</v>
      </c>
      <c r="K111" s="309">
        <f>Delay_Calcs!S28+Delay_Calcs!AL28</f>
        <v>637143.90522311383</v>
      </c>
      <c r="L111" s="309">
        <f>Delay_Calcs!T28+Delay_Calcs!AM28</f>
        <v>54980.438328397089</v>
      </c>
      <c r="M111" s="309">
        <f t="shared" si="22"/>
        <v>692124.34355151094</v>
      </c>
      <c r="O111" s="309">
        <f t="shared" si="16"/>
        <v>638161.82900261623</v>
      </c>
      <c r="P111" s="309">
        <f t="shared" si="17"/>
        <v>55172.84169457409</v>
      </c>
      <c r="Q111" s="309">
        <f t="shared" si="23"/>
        <v>693334.67069719033</v>
      </c>
    </row>
    <row r="112" spans="1:17" x14ac:dyDescent="0.2">
      <c r="A112" s="305">
        <v>2041</v>
      </c>
      <c r="B112" s="388">
        <v>155130.30742767773</v>
      </c>
      <c r="C112" s="309">
        <f t="shared" si="18"/>
        <v>56622562.211102374</v>
      </c>
      <c r="D112" s="309">
        <f t="shared" si="19"/>
        <v>9625835.5758874044</v>
      </c>
      <c r="E112" s="309">
        <f t="shared" si="20"/>
        <v>46996726.63521497</v>
      </c>
      <c r="F112" s="211"/>
      <c r="G112" s="309">
        <f>Delay_Calcs!U78</f>
        <v>1028.3959300066463</v>
      </c>
      <c r="H112" s="309">
        <f>Delay_Calcs!V78</f>
        <v>194.22858631664786</v>
      </c>
      <c r="I112" s="309">
        <f t="shared" si="21"/>
        <v>1222.6245163232941</v>
      </c>
      <c r="K112" s="309">
        <f>Delay_Calcs!S29+Delay_Calcs!AL29</f>
        <v>657718.39414982731</v>
      </c>
      <c r="L112" s="309">
        <f>Delay_Calcs!T29+Delay_Calcs!AM29</f>
        <v>55669.198508796078</v>
      </c>
      <c r="M112" s="309">
        <f t="shared" si="22"/>
        <v>713387.59265862335</v>
      </c>
      <c r="O112" s="309">
        <f t="shared" si="16"/>
        <v>658746.79007983394</v>
      </c>
      <c r="P112" s="309">
        <f t="shared" si="17"/>
        <v>55863.427095112726</v>
      </c>
      <c r="Q112" s="309">
        <f t="shared" si="23"/>
        <v>714610.21717494668</v>
      </c>
    </row>
    <row r="113" spans="1:25" x14ac:dyDescent="0.2">
      <c r="A113" s="305">
        <v>2042</v>
      </c>
      <c r="B113" s="388">
        <v>156484.43366143969</v>
      </c>
      <c r="C113" s="309">
        <f t="shared" si="18"/>
        <v>57116818.286425486</v>
      </c>
      <c r="D113" s="309">
        <f t="shared" si="19"/>
        <v>9709859.1086923331</v>
      </c>
      <c r="E113" s="309">
        <f t="shared" si="20"/>
        <v>47406959.177733153</v>
      </c>
      <c r="F113" s="211"/>
      <c r="G113" s="309">
        <f>Delay_Calcs!U79</f>
        <v>1038.9894572984595</v>
      </c>
      <c r="H113" s="309">
        <f>Delay_Calcs!V79</f>
        <v>196.07201796219826</v>
      </c>
      <c r="I113" s="309">
        <f t="shared" si="21"/>
        <v>1235.0614752606577</v>
      </c>
      <c r="K113" s="309">
        <f>Delay_Calcs!S30+Delay_Calcs!AL30</f>
        <v>679539.38775842695</v>
      </c>
      <c r="L113" s="309">
        <f>Delay_Calcs!T30+Delay_Calcs!AM30</f>
        <v>56369.101254256908</v>
      </c>
      <c r="M113" s="309">
        <f t="shared" si="22"/>
        <v>735908.48901268386</v>
      </c>
      <c r="O113" s="309">
        <f t="shared" si="16"/>
        <v>680578.37721572537</v>
      </c>
      <c r="P113" s="309">
        <f t="shared" si="17"/>
        <v>56565.173272219108</v>
      </c>
      <c r="Q113" s="309">
        <f t="shared" si="23"/>
        <v>737143.55048794451</v>
      </c>
    </row>
    <row r="114" spans="1:25" x14ac:dyDescent="0.2">
      <c r="A114" s="305">
        <v>2043</v>
      </c>
      <c r="B114" s="388">
        <v>157850.68748102745</v>
      </c>
      <c r="C114" s="309">
        <f t="shared" si="18"/>
        <v>57615500.930575021</v>
      </c>
      <c r="D114" s="309">
        <f t="shared" si="19"/>
        <v>9794635.158197755</v>
      </c>
      <c r="E114" s="309">
        <f t="shared" si="20"/>
        <v>47820865.772377267</v>
      </c>
      <c r="F114" s="211"/>
      <c r="G114" s="309">
        <f>Delay_Calcs!U80</f>
        <v>1049.7060512349772</v>
      </c>
      <c r="H114" s="309">
        <f>Delay_Calcs!V80</f>
        <v>197.93385993705499</v>
      </c>
      <c r="I114" s="309">
        <f t="shared" si="21"/>
        <v>1247.639911172032</v>
      </c>
      <c r="K114" s="309">
        <f>Delay_Calcs!S31+Delay_Calcs!AL31</f>
        <v>702728.78668108024</v>
      </c>
      <c r="L114" s="309">
        <f>Delay_Calcs!T31+Delay_Calcs!AM31</f>
        <v>57080.392091340858</v>
      </c>
      <c r="M114" s="309">
        <f t="shared" si="22"/>
        <v>759809.17877242109</v>
      </c>
      <c r="O114" s="309">
        <f t="shared" si="16"/>
        <v>703778.49273231521</v>
      </c>
      <c r="P114" s="309">
        <f t="shared" si="17"/>
        <v>57278.325951277911</v>
      </c>
      <c r="Q114" s="309">
        <f t="shared" si="23"/>
        <v>761056.81868359307</v>
      </c>
    </row>
    <row r="115" spans="1:25" x14ac:dyDescent="0.2">
      <c r="A115" s="305">
        <v>2044</v>
      </c>
      <c r="B115" s="388">
        <v>159229.17865499976</v>
      </c>
      <c r="C115" s="309">
        <f t="shared" si="18"/>
        <v>58118650.209074914</v>
      </c>
      <c r="D115" s="309">
        <f t="shared" si="19"/>
        <v>9880170.5355427358</v>
      </c>
      <c r="E115" s="309">
        <f t="shared" si="20"/>
        <v>48238479.67353218</v>
      </c>
      <c r="F115" s="211"/>
      <c r="G115" s="309">
        <f>Delay_Calcs!U81</f>
        <v>1060.5474311701105</v>
      </c>
      <c r="H115" s="309">
        <f>Delay_Calcs!V81</f>
        <v>199.81431356305757</v>
      </c>
      <c r="I115" s="309">
        <f t="shared" si="21"/>
        <v>1260.3617447331681</v>
      </c>
      <c r="K115" s="309">
        <f>Delay_Calcs!S32+Delay_Calcs!AL32</f>
        <v>727425.43162076327</v>
      </c>
      <c r="L115" s="309">
        <f>Delay_Calcs!T32+Delay_Calcs!AM32</f>
        <v>57803.3237828645</v>
      </c>
      <c r="M115" s="309">
        <f t="shared" si="22"/>
        <v>785228.75540362776</v>
      </c>
      <c r="O115" s="309">
        <f t="shared" si="16"/>
        <v>728485.97905193339</v>
      </c>
      <c r="P115" s="309">
        <f t="shared" si="17"/>
        <v>58003.13809642756</v>
      </c>
      <c r="Q115" s="309">
        <f t="shared" si="23"/>
        <v>786489.11714836094</v>
      </c>
    </row>
    <row r="116" spans="1:25" x14ac:dyDescent="0.2">
      <c r="A116" s="305">
        <v>2045</v>
      </c>
      <c r="B116" s="388">
        <v>160620.01794973694</v>
      </c>
      <c r="C116" s="309">
        <f t="shared" si="18"/>
        <v>58626306.551653981</v>
      </c>
      <c r="D116" s="309">
        <f t="shared" si="19"/>
        <v>9966472.1137811784</v>
      </c>
      <c r="E116" s="309">
        <f t="shared" si="20"/>
        <v>48659834.437872805</v>
      </c>
      <c r="F116" s="211"/>
      <c r="G116" s="309">
        <f>Delay_Calcs!U82</f>
        <v>1071.5153465979611</v>
      </c>
      <c r="H116" s="309">
        <f>Delay_Calcs!V82</f>
        <v>201.71358269810878</v>
      </c>
      <c r="I116" s="309">
        <f t="shared" si="21"/>
        <v>1273.22892929607</v>
      </c>
      <c r="K116" s="309">
        <f>Delay_Calcs!S33+Delay_Calcs!AL33</f>
        <v>753788.20199218532</v>
      </c>
      <c r="L116" s="309">
        <f>Delay_Calcs!T33+Delay_Calcs!AM33</f>
        <v>58538.156599312802</v>
      </c>
      <c r="M116" s="309">
        <f t="shared" si="22"/>
        <v>812326.35859149811</v>
      </c>
      <c r="O116" s="309">
        <f t="shared" si="16"/>
        <v>754859.71733878332</v>
      </c>
      <c r="P116" s="309">
        <f t="shared" si="17"/>
        <v>58739.870182010913</v>
      </c>
      <c r="Q116" s="309">
        <f t="shared" si="23"/>
        <v>813599.58752079424</v>
      </c>
    </row>
    <row r="117" spans="1:25" x14ac:dyDescent="0.2">
      <c r="A117" s="305">
        <v>2046</v>
      </c>
      <c r="B117" s="388">
        <v>162023.31713852807</v>
      </c>
      <c r="C117" s="309">
        <f t="shared" si="18"/>
        <v>59138510.755562745</v>
      </c>
      <c r="D117" s="309">
        <f t="shared" si="19"/>
        <v>10053546.828445667</v>
      </c>
      <c r="E117" s="309">
        <f t="shared" si="20"/>
        <v>49084963.927117079</v>
      </c>
      <c r="F117" s="211"/>
      <c r="G117" s="309">
        <f>Delay_Calcs!U83</f>
        <v>1082.6115778132726</v>
      </c>
      <c r="H117" s="309">
        <f>Delay_Calcs!V83</f>
        <v>203.63187377448756</v>
      </c>
      <c r="I117" s="309">
        <f t="shared" si="21"/>
        <v>1286.2434515877601</v>
      </c>
      <c r="K117" s="309">
        <f>Delay_Calcs!S34+Delay_Calcs!AL34</f>
        <v>781999.82637810661</v>
      </c>
      <c r="L117" s="309">
        <f>Delay_Calcs!T34+Delay_Calcs!AM34</f>
        <v>59285.158602670323</v>
      </c>
      <c r="M117" s="309">
        <f t="shared" si="22"/>
        <v>841284.98498077691</v>
      </c>
      <c r="O117" s="309">
        <f t="shared" si="16"/>
        <v>783082.43795591989</v>
      </c>
      <c r="P117" s="309">
        <f t="shared" si="17"/>
        <v>59488.79047644481</v>
      </c>
      <c r="Q117" s="309">
        <f t="shared" si="23"/>
        <v>842571.22843236465</v>
      </c>
    </row>
    <row r="118" spans="1:25" x14ac:dyDescent="0.2">
      <c r="A118" s="305">
        <v>2047</v>
      </c>
      <c r="B118" s="388">
        <v>163439.18901074043</v>
      </c>
      <c r="C118" s="309">
        <f t="shared" si="18"/>
        <v>59655303.988920256</v>
      </c>
      <c r="D118" s="309">
        <f t="shared" si="19"/>
        <v>10141401.678116444</v>
      </c>
      <c r="E118" s="309">
        <f t="shared" si="20"/>
        <v>49513902.310803816</v>
      </c>
      <c r="F118" s="211"/>
      <c r="G118" s="309">
        <f>Delay_Calcs!U84</f>
        <v>1093.8379365894043</v>
      </c>
      <c r="H118" s="309">
        <f>Delay_Calcs!V84</f>
        <v>205.56939583786109</v>
      </c>
      <c r="I118" s="309">
        <f t="shared" si="21"/>
        <v>1299.4073324272654</v>
      </c>
      <c r="K118" s="309">
        <f>Delay_Calcs!S35+Delay_Calcs!AL35</f>
        <v>812271.60396243469</v>
      </c>
      <c r="L118" s="309">
        <f>Delay_Calcs!T35+Delay_Calcs!AM35</f>
        <v>60044.605943343835</v>
      </c>
      <c r="M118" s="309">
        <f t="shared" si="22"/>
        <v>872316.20990577852</v>
      </c>
      <c r="O118" s="309">
        <f t="shared" si="16"/>
        <v>813365.44189902407</v>
      </c>
      <c r="P118" s="309">
        <f t="shared" si="17"/>
        <v>60250.175339181696</v>
      </c>
      <c r="Q118" s="309">
        <f t="shared" si="23"/>
        <v>873615.61723820574</v>
      </c>
    </row>
    <row r="119" spans="1:25" x14ac:dyDescent="0.2">
      <c r="A119" s="305">
        <v>2048</v>
      </c>
      <c r="B119" s="388">
        <v>164867.74738107275</v>
      </c>
      <c r="C119" s="309">
        <f t="shared" si="18"/>
        <v>60176727.794091552</v>
      </c>
      <c r="D119" s="309">
        <f t="shared" si="19"/>
        <v>10230043.724995565</v>
      </c>
      <c r="E119" s="309">
        <f t="shared" si="20"/>
        <v>49946684.069095984</v>
      </c>
      <c r="F119" s="211"/>
      <c r="G119" s="309">
        <f>Delay_Calcs!U85</f>
        <v>1105.1962668743715</v>
      </c>
      <c r="H119" s="309">
        <f>Delay_Calcs!V85</f>
        <v>207.52636058701057</v>
      </c>
      <c r="I119" s="309">
        <f t="shared" si="21"/>
        <v>1312.7226274613822</v>
      </c>
      <c r="K119" s="309">
        <f>Delay_Calcs!S36+Delay_Calcs!AL36</f>
        <v>844849.30256370082</v>
      </c>
      <c r="L119" s="309">
        <f>Delay_Calcs!T36+Delay_Calcs!AM36</f>
        <v>60816.783170891169</v>
      </c>
      <c r="M119" s="309">
        <f t="shared" si="22"/>
        <v>905666.08573459205</v>
      </c>
      <c r="O119" s="309">
        <f t="shared" si="16"/>
        <v>845954.49883057515</v>
      </c>
      <c r="P119" s="309">
        <f t="shared" si="17"/>
        <v>61024.309531478182</v>
      </c>
      <c r="Q119" s="309">
        <f t="shared" si="23"/>
        <v>906978.80836205336</v>
      </c>
    </row>
    <row r="120" spans="1:25" x14ac:dyDescent="0.2">
      <c r="A120" s="305">
        <v>2049</v>
      </c>
      <c r="B120" s="388">
        <v>166309.10709889285</v>
      </c>
      <c r="C120" s="309">
        <f t="shared" si="18"/>
        <v>60702824.091095895</v>
      </c>
      <c r="D120" s="309">
        <f t="shared" si="19"/>
        <v>10319480.095486302</v>
      </c>
      <c r="E120" s="309">
        <f t="shared" si="20"/>
        <v>50383343.995609596</v>
      </c>
      <c r="F120" s="211"/>
      <c r="G120" s="309">
        <f>Delay_Calcs!U86</f>
        <v>1116.6884455055192</v>
      </c>
      <c r="H120" s="309">
        <f>Delay_Calcs!V86</f>
        <v>209.50298241428601</v>
      </c>
      <c r="I120" s="309">
        <f t="shared" si="21"/>
        <v>1326.1914279198052</v>
      </c>
      <c r="K120" s="309">
        <f>Delay_Calcs!S37+Delay_Calcs!AL37</f>
        <v>880020.59141514031</v>
      </c>
      <c r="L120" s="309">
        <f>Delay_Calcs!T37+Delay_Calcs!AM37</f>
        <v>61601.983559317072</v>
      </c>
      <c r="M120" s="309">
        <f t="shared" si="22"/>
        <v>941622.57497445738</v>
      </c>
      <c r="O120" s="309">
        <f t="shared" si="16"/>
        <v>881137.27986064588</v>
      </c>
      <c r="P120" s="309">
        <f t="shared" si="17"/>
        <v>61811.486541731356</v>
      </c>
      <c r="Q120" s="309">
        <f t="shared" si="23"/>
        <v>942948.76640237728</v>
      </c>
    </row>
    <row r="121" spans="1:25" x14ac:dyDescent="0.2">
      <c r="A121" s="305">
        <v>2050</v>
      </c>
      <c r="B121" s="388">
        <v>167763.38405766038</v>
      </c>
      <c r="C121" s="309">
        <f t="shared" si="18"/>
        <v>61233635.181046039</v>
      </c>
      <c r="D121" s="309">
        <f t="shared" si="19"/>
        <v>10409717.980777828</v>
      </c>
      <c r="E121" s="309">
        <f t="shared" si="20"/>
        <v>50823917.200268209</v>
      </c>
      <c r="F121" s="211"/>
      <c r="G121" s="309">
        <f>Delay_Calcs!U87</f>
        <v>1128.3163829434102</v>
      </c>
      <c r="H121" s="309">
        <f>Delay_Calcs!V87</f>
        <v>211.49947844680622</v>
      </c>
      <c r="I121" s="309">
        <f t="shared" si="21"/>
        <v>1339.8158613902165</v>
      </c>
      <c r="K121" s="309">
        <f>Delay_Calcs!S38+Delay_Calcs!AL38</f>
        <v>918124.49729662132</v>
      </c>
      <c r="L121" s="309">
        <f>Delay_Calcs!T38+Delay_Calcs!AM38</f>
        <v>62400.509447745135</v>
      </c>
      <c r="M121" s="309">
        <f t="shared" si="22"/>
        <v>980525.00674436649</v>
      </c>
      <c r="O121" s="309">
        <f t="shared" si="16"/>
        <v>919252.81367956474</v>
      </c>
      <c r="P121" s="309">
        <f t="shared" si="17"/>
        <v>62612.008926191942</v>
      </c>
      <c r="Q121" s="309">
        <f t="shared" si="23"/>
        <v>981864.82260575669</v>
      </c>
    </row>
    <row r="122" spans="1:25" x14ac:dyDescent="0.2">
      <c r="A122" s="305">
        <v>2051</v>
      </c>
      <c r="B122" s="388">
        <v>169230.69520443527</v>
      </c>
      <c r="C122" s="309">
        <f t="shared" si="18"/>
        <v>61769203.749618873</v>
      </c>
      <c r="D122" s="309">
        <f t="shared" si="19"/>
        <v>10500764.637435209</v>
      </c>
      <c r="E122" s="309">
        <f t="shared" si="20"/>
        <v>51268439.11218366</v>
      </c>
      <c r="F122" s="211"/>
      <c r="G122" s="309">
        <f>Delay_Calcs!U88</f>
        <v>1140.08202402554</v>
      </c>
      <c r="H122" s="309">
        <f>Delay_Calcs!V88</f>
        <v>213.51606858841987</v>
      </c>
      <c r="I122" s="309">
        <f t="shared" si="21"/>
        <v>1353.5980926139598</v>
      </c>
      <c r="K122" s="309">
        <f>Delay_Calcs!S39+Delay_Calcs!AL39</f>
        <v>959563.55913316295</v>
      </c>
      <c r="L122" s="309">
        <f>Delay_Calcs!T39+Delay_Calcs!AM39</f>
        <v>63212.672597326717</v>
      </c>
      <c r="M122" s="309">
        <f t="shared" si="22"/>
        <v>1022776.2317304896</v>
      </c>
      <c r="O122" s="309">
        <f t="shared" si="16"/>
        <v>960703.64115718845</v>
      </c>
      <c r="P122" s="309">
        <f t="shared" si="17"/>
        <v>63426.188665915135</v>
      </c>
      <c r="Q122" s="309">
        <f t="shared" si="23"/>
        <v>1024129.8298231036</v>
      </c>
    </row>
    <row r="123" spans="1:25" x14ac:dyDescent="0.2">
      <c r="A123" s="305">
        <v>2052</v>
      </c>
      <c r="B123" s="388">
        <v>170711.15854947286</v>
      </c>
      <c r="C123" s="309">
        <f t="shared" si="18"/>
        <v>62309572.870557599</v>
      </c>
      <c r="D123" s="309">
        <f t="shared" si="19"/>
        <v>10592627.387994792</v>
      </c>
      <c r="E123" s="309">
        <f t="shared" si="20"/>
        <v>51716945.48256281</v>
      </c>
      <c r="F123" s="211"/>
      <c r="G123" s="309">
        <f>Delay_Calcs!U89</f>
        <v>1151.9873487405032</v>
      </c>
      <c r="H123" s="309">
        <f>Delay_Calcs!V89</f>
        <v>215.55297556244449</v>
      </c>
      <c r="I123" s="309">
        <f t="shared" si="21"/>
        <v>1367.5403243029477</v>
      </c>
      <c r="K123" s="309">
        <f>Delay_Calcs!S40+Delay_Calcs!AL40</f>
        <v>1004819.6268419762</v>
      </c>
      <c r="L123" s="309">
        <f>Delay_Calcs!T40+Delay_Calcs!AM40</f>
        <v>64038.794565304182</v>
      </c>
      <c r="M123" s="309">
        <f t="shared" si="22"/>
        <v>1068858.4214072805</v>
      </c>
      <c r="O123" s="309">
        <f t="shared" si="16"/>
        <v>1005971.6141907166</v>
      </c>
      <c r="P123" s="309">
        <f t="shared" si="17"/>
        <v>64254.347540866627</v>
      </c>
      <c r="Q123" s="309">
        <f t="shared" si="23"/>
        <v>1070225.9617315833</v>
      </c>
    </row>
    <row r="124" spans="1:25" x14ac:dyDescent="0.2">
      <c r="A124" s="305">
        <v>2053</v>
      </c>
      <c r="B124" s="388">
        <v>172204.89317590668</v>
      </c>
      <c r="C124" s="309">
        <f t="shared" si="18"/>
        <v>62854786.009205937</v>
      </c>
      <c r="D124" s="309">
        <f t="shared" si="19"/>
        <v>10685313.62156501</v>
      </c>
      <c r="E124" s="309">
        <f t="shared" si="20"/>
        <v>52169472.387640923</v>
      </c>
      <c r="F124" s="211"/>
      <c r="G124" s="309">
        <f>Delay_Calcs!U90</f>
        <v>1164.0343730232601</v>
      </c>
      <c r="H124" s="309">
        <f>Delay_Calcs!V90</f>
        <v>217.6104249551999</v>
      </c>
      <c r="I124" s="309">
        <f t="shared" si="21"/>
        <v>1381.64479797846</v>
      </c>
      <c r="K124" s="309">
        <f>Delay_Calcs!S41+Delay_Calcs!AL41</f>
        <v>1054474.6494664021</v>
      </c>
      <c r="L124" s="309">
        <f>Delay_Calcs!T41+Delay_Calcs!AM41</f>
        <v>64879.207097205763</v>
      </c>
      <c r="M124" s="309">
        <f t="shared" si="22"/>
        <v>1119353.8565636079</v>
      </c>
      <c r="O124" s="309">
        <f t="shared" si="16"/>
        <v>1055638.6838394254</v>
      </c>
      <c r="P124" s="309">
        <f t="shared" si="17"/>
        <v>65096.817522160964</v>
      </c>
      <c r="Q124" s="309">
        <f t="shared" si="23"/>
        <v>1120735.5013615864</v>
      </c>
    </row>
    <row r="125" spans="1:25" x14ac:dyDescent="0.2">
      <c r="A125" s="305">
        <v>2054</v>
      </c>
      <c r="B125" s="388">
        <v>173712.01924951951</v>
      </c>
      <c r="C125" s="309">
        <f t="shared" si="18"/>
        <v>63404887.026074618</v>
      </c>
      <c r="D125" s="309">
        <f t="shared" si="19"/>
        <v>10778830.794432687</v>
      </c>
      <c r="E125" s="309">
        <f t="shared" si="20"/>
        <v>52626056.231641933</v>
      </c>
      <c r="F125" s="211"/>
      <c r="G125" s="309">
        <f>Delay_Calcs!U91</f>
        <v>1176.2251495721855</v>
      </c>
      <c r="H125" s="309">
        <f>Delay_Calcs!V91</f>
        <v>219.68864526035426</v>
      </c>
      <c r="I125" s="309">
        <f t="shared" si="21"/>
        <v>1395.9137948325397</v>
      </c>
      <c r="K125" s="309">
        <f>Delay_Calcs!S42+Delay_Calcs!AL42</f>
        <v>1109238.3971575059</v>
      </c>
      <c r="L125" s="309">
        <f>Delay_Calcs!T42+Delay_Calcs!AM42</f>
        <v>65734.252538213346</v>
      </c>
      <c r="M125" s="309">
        <f t="shared" si="22"/>
        <v>1174972.6496957191</v>
      </c>
      <c r="O125" s="309">
        <f t="shared" si="16"/>
        <v>1110414.622307078</v>
      </c>
      <c r="P125" s="309">
        <f t="shared" si="17"/>
        <v>65953.941183473697</v>
      </c>
      <c r="Q125" s="309">
        <f t="shared" si="23"/>
        <v>1176368.5634905517</v>
      </c>
    </row>
    <row r="126" spans="1:25" x14ac:dyDescent="0.2">
      <c r="A126" s="305">
        <v>2055</v>
      </c>
      <c r="B126" s="388">
        <v>175232.65802860321</v>
      </c>
      <c r="C126" s="309">
        <f t="shared" si="18"/>
        <v>63959920.180440173</v>
      </c>
      <c r="D126" s="309">
        <f t="shared" si="19"/>
        <v>10873186.43067483</v>
      </c>
      <c r="E126" s="309">
        <f t="shared" si="20"/>
        <v>53086733.749765344</v>
      </c>
      <c r="F126" s="211"/>
      <c r="G126" s="309">
        <f>Delay_Calcs!U92</f>
        <v>1188.5617686885917</v>
      </c>
      <c r="H126" s="309">
        <f>Delay_Calcs!V92</f>
        <v>221.78786792410025</v>
      </c>
      <c r="I126" s="309">
        <f t="shared" si="21"/>
        <v>1410.3496366126919</v>
      </c>
      <c r="K126" s="309">
        <f>Delay_Calcs!S43+Delay_Calcs!AL43</f>
        <v>1169985.9795753725</v>
      </c>
      <c r="L126" s="309">
        <f>Delay_Calcs!T43+Delay_Calcs!AM43</f>
        <v>66604.284264815011</v>
      </c>
      <c r="M126" s="309">
        <f t="shared" ref="M126" si="24">K126+L126</f>
        <v>1236590.2638401876</v>
      </c>
      <c r="O126" s="309">
        <f t="shared" si="16"/>
        <v>1171174.541344061</v>
      </c>
      <c r="P126" s="309">
        <f t="shared" si="17"/>
        <v>66826.072132739107</v>
      </c>
      <c r="Q126" s="309">
        <f t="shared" ref="Q126" si="25">O126+P126</f>
        <v>1238000.6134768</v>
      </c>
    </row>
    <row r="127" spans="1:25" x14ac:dyDescent="0.2">
      <c r="A127" s="310"/>
      <c r="B127" s="310"/>
      <c r="C127" s="312"/>
      <c r="D127" s="310"/>
      <c r="E127" s="310"/>
      <c r="V127" s="207"/>
      <c r="W127" s="207"/>
      <c r="X127" s="227"/>
      <c r="Y127" s="227"/>
    </row>
    <row r="128" spans="1:25" x14ac:dyDescent="0.2">
      <c r="A128" s="310"/>
      <c r="B128" s="310"/>
      <c r="C128" s="312"/>
      <c r="D128" s="310"/>
      <c r="E128" s="310"/>
    </row>
    <row r="129" spans="1:41" s="377" customFormat="1" x14ac:dyDescent="0.2">
      <c r="A129" s="343"/>
      <c r="B129" s="344"/>
      <c r="C129" s="342"/>
      <c r="D129" s="344"/>
      <c r="E129" s="345"/>
      <c r="M129" s="378"/>
    </row>
    <row r="130" spans="1:41" x14ac:dyDescent="0.2">
      <c r="A130" s="805" t="s">
        <v>309</v>
      </c>
      <c r="B130" s="805"/>
      <c r="C130" s="312"/>
      <c r="D130" s="310"/>
      <c r="E130" s="310"/>
    </row>
    <row r="131" spans="1:41" x14ac:dyDescent="0.2">
      <c r="A131" s="805"/>
      <c r="B131" s="805"/>
      <c r="C131" s="312"/>
      <c r="D131" s="310"/>
      <c r="E131" s="310"/>
    </row>
    <row r="132" spans="1:41" x14ac:dyDescent="0.2">
      <c r="A132" s="311"/>
      <c r="B132" s="311"/>
      <c r="C132" s="312"/>
      <c r="D132" s="310"/>
      <c r="E132" s="310"/>
    </row>
    <row r="133" spans="1:41" x14ac:dyDescent="0.2">
      <c r="A133" s="311"/>
      <c r="B133" s="311"/>
      <c r="C133" s="312"/>
      <c r="D133" s="337"/>
      <c r="E133" s="310"/>
    </row>
    <row r="134" spans="1:41" x14ac:dyDescent="0.2">
      <c r="A134" s="311"/>
      <c r="B134" s="311"/>
      <c r="C134" s="312"/>
      <c r="D134" s="339"/>
      <c r="E134" s="310"/>
      <c r="M134" s="154"/>
      <c r="N134" s="154"/>
      <c r="O134" s="154"/>
      <c r="P134" s="154"/>
      <c r="Q134" s="154"/>
      <c r="R134" s="211"/>
      <c r="S134" s="806" t="s">
        <v>304</v>
      </c>
      <c r="T134" s="806"/>
      <c r="U134" s="806"/>
      <c r="V134" s="806"/>
      <c r="W134" s="806"/>
      <c r="X134" s="211"/>
      <c r="Y134" s="807" t="s">
        <v>305</v>
      </c>
      <c r="Z134" s="808"/>
      <c r="AA134" s="808"/>
      <c r="AB134" s="808"/>
      <c r="AC134" s="809"/>
      <c r="AE134" s="807" t="s">
        <v>306</v>
      </c>
      <c r="AF134" s="808"/>
      <c r="AG134" s="808"/>
      <c r="AH134" s="808"/>
      <c r="AI134" s="809"/>
      <c r="AK134" s="807" t="s">
        <v>310</v>
      </c>
      <c r="AL134" s="808"/>
      <c r="AM134" s="808"/>
      <c r="AN134" s="808"/>
      <c r="AO134" s="809"/>
    </row>
    <row r="135" spans="1:41" x14ac:dyDescent="0.2">
      <c r="A135" s="810" t="s">
        <v>380</v>
      </c>
      <c r="B135" s="811"/>
      <c r="C135" s="811"/>
      <c r="D135" s="811"/>
      <c r="E135" s="812"/>
      <c r="G135" s="810" t="s">
        <v>307</v>
      </c>
      <c r="H135" s="811"/>
      <c r="I135" s="811"/>
      <c r="J135" s="811"/>
      <c r="K135" s="812"/>
      <c r="M135" s="810" t="s">
        <v>308</v>
      </c>
      <c r="N135" s="811"/>
      <c r="O135" s="811"/>
      <c r="P135" s="811"/>
      <c r="Q135" s="812"/>
      <c r="R135" s="151"/>
      <c r="S135" s="760" t="s">
        <v>284</v>
      </c>
      <c r="T135" s="760"/>
      <c r="U135" s="760" t="s">
        <v>285</v>
      </c>
      <c r="V135" s="760"/>
      <c r="W135" s="760"/>
      <c r="X135" s="151"/>
      <c r="Y135" s="752" t="s">
        <v>284</v>
      </c>
      <c r="Z135" s="754"/>
      <c r="AA135" s="752" t="s">
        <v>285</v>
      </c>
      <c r="AB135" s="753"/>
      <c r="AC135" s="754"/>
      <c r="AE135" s="752" t="s">
        <v>284</v>
      </c>
      <c r="AF135" s="754"/>
      <c r="AG135" s="752" t="s">
        <v>285</v>
      </c>
      <c r="AH135" s="753"/>
      <c r="AI135" s="754"/>
      <c r="AK135" s="752" t="s">
        <v>284</v>
      </c>
      <c r="AL135" s="754"/>
      <c r="AM135" s="752" t="s">
        <v>285</v>
      </c>
      <c r="AN135" s="753"/>
      <c r="AO135" s="754"/>
    </row>
    <row r="136" spans="1:41" x14ac:dyDescent="0.2">
      <c r="A136" s="305" t="s">
        <v>1</v>
      </c>
      <c r="B136" s="305" t="s">
        <v>290</v>
      </c>
      <c r="C136" s="420" t="s">
        <v>291</v>
      </c>
      <c r="D136" s="420" t="s">
        <v>259</v>
      </c>
      <c r="E136" s="420" t="s">
        <v>260</v>
      </c>
      <c r="G136" s="305" t="s">
        <v>1</v>
      </c>
      <c r="H136" s="305" t="s">
        <v>290</v>
      </c>
      <c r="I136" s="420" t="s">
        <v>291</v>
      </c>
      <c r="J136" s="420" t="s">
        <v>259</v>
      </c>
      <c r="K136" s="420" t="s">
        <v>260</v>
      </c>
      <c r="L136" s="151"/>
      <c r="M136" s="305" t="s">
        <v>1</v>
      </c>
      <c r="N136" s="305" t="s">
        <v>290</v>
      </c>
      <c r="O136" s="420" t="s">
        <v>291</v>
      </c>
      <c r="P136" s="420" t="s">
        <v>259</v>
      </c>
      <c r="Q136" s="420" t="s">
        <v>260</v>
      </c>
      <c r="R136" s="151"/>
      <c r="S136" s="420" t="s">
        <v>185</v>
      </c>
      <c r="T136" s="420" t="s">
        <v>186</v>
      </c>
      <c r="U136" s="420" t="s">
        <v>185</v>
      </c>
      <c r="V136" s="420" t="s">
        <v>186</v>
      </c>
      <c r="W136" s="420" t="s">
        <v>286</v>
      </c>
      <c r="X136" s="151"/>
      <c r="Y136" s="420" t="s">
        <v>185</v>
      </c>
      <c r="Z136" s="420" t="s">
        <v>186</v>
      </c>
      <c r="AA136" s="420" t="s">
        <v>185</v>
      </c>
      <c r="AB136" s="420" t="s">
        <v>186</v>
      </c>
      <c r="AC136" s="420" t="s">
        <v>286</v>
      </c>
      <c r="AE136" s="420" t="s">
        <v>185</v>
      </c>
      <c r="AF136" s="420" t="s">
        <v>186</v>
      </c>
      <c r="AG136" s="420" t="s">
        <v>185</v>
      </c>
      <c r="AH136" s="420" t="s">
        <v>186</v>
      </c>
      <c r="AI136" s="420" t="s">
        <v>286</v>
      </c>
      <c r="AK136" s="420" t="s">
        <v>185</v>
      </c>
      <c r="AL136" s="420" t="s">
        <v>186</v>
      </c>
      <c r="AM136" s="420" t="s">
        <v>185</v>
      </c>
      <c r="AN136" s="420" t="s">
        <v>186</v>
      </c>
      <c r="AO136" s="420" t="s">
        <v>286</v>
      </c>
    </row>
    <row r="137" spans="1:41" x14ac:dyDescent="0.2">
      <c r="A137" s="305">
        <v>2017</v>
      </c>
      <c r="B137" s="388">
        <v>34797.179707429001</v>
      </c>
      <c r="C137" s="309">
        <f>B137*365</f>
        <v>12700970.593211586</v>
      </c>
      <c r="D137" s="309">
        <f>C137*$B$6</f>
        <v>2159165.0008459697</v>
      </c>
      <c r="E137" s="309">
        <f>C137-D137</f>
        <v>10541805.592365615</v>
      </c>
      <c r="G137" s="305">
        <v>2017</v>
      </c>
      <c r="H137" s="388">
        <v>66425.202928504514</v>
      </c>
      <c r="I137" s="309">
        <f>H137*365</f>
        <v>24245199.068904147</v>
      </c>
      <c r="J137" s="309">
        <f>I137*$B$6</f>
        <v>4121683.8417137051</v>
      </c>
      <c r="K137" s="309">
        <f>I137-J137</f>
        <v>20123515.227190442</v>
      </c>
      <c r="L137" s="151"/>
      <c r="M137" s="305">
        <v>2017</v>
      </c>
      <c r="N137" s="308">
        <f>B137+H137</f>
        <v>101222.38263593352</v>
      </c>
      <c r="O137" s="309">
        <f>C137+I137</f>
        <v>36946169.66211573</v>
      </c>
      <c r="P137" s="309">
        <f t="shared" ref="P137:Q152" si="26">D137+J137</f>
        <v>6280848.8425596748</v>
      </c>
      <c r="Q137" s="309">
        <f t="shared" si="26"/>
        <v>30665320.819556057</v>
      </c>
      <c r="R137" s="151"/>
      <c r="S137" s="387">
        <v>0</v>
      </c>
      <c r="T137" s="387">
        <v>0</v>
      </c>
      <c r="U137" s="309">
        <f>(S137/60)*365</f>
        <v>0</v>
      </c>
      <c r="V137" s="309">
        <f>(T137/60)*365</f>
        <v>0</v>
      </c>
      <c r="W137" s="309">
        <f>U137+V137</f>
        <v>0</v>
      </c>
      <c r="X137" s="151"/>
      <c r="Y137" s="387">
        <v>0</v>
      </c>
      <c r="Z137" s="387">
        <v>0</v>
      </c>
      <c r="AA137" s="309">
        <f>(Y137/60)*365</f>
        <v>0</v>
      </c>
      <c r="AB137" s="309">
        <f>(Z137/60)*365</f>
        <v>0</v>
      </c>
      <c r="AC137" s="309">
        <f>AA137+AB137</f>
        <v>0</v>
      </c>
      <c r="AE137" s="387">
        <v>0</v>
      </c>
      <c r="AF137" s="387">
        <v>0</v>
      </c>
      <c r="AG137" s="309">
        <f>(AE137/60)*365</f>
        <v>0</v>
      </c>
      <c r="AH137" s="309">
        <f>(AF137/60)*365</f>
        <v>0</v>
      </c>
      <c r="AI137" s="309">
        <f>AG137+AH137</f>
        <v>0</v>
      </c>
      <c r="AK137" s="309">
        <f>S137+Y137+AE137</f>
        <v>0</v>
      </c>
      <c r="AL137" s="309">
        <f>T137+Z137+AF137</f>
        <v>0</v>
      </c>
      <c r="AM137" s="309">
        <f t="shared" ref="AM137:AN174" si="27">U137+AA137+AG137</f>
        <v>0</v>
      </c>
      <c r="AN137" s="309">
        <f t="shared" si="27"/>
        <v>0</v>
      </c>
      <c r="AO137" s="309">
        <f>AM137+AN137</f>
        <v>0</v>
      </c>
    </row>
    <row r="138" spans="1:41" x14ac:dyDescent="0.2">
      <c r="A138" s="305">
        <v>2018</v>
      </c>
      <c r="B138" s="388">
        <v>35354.942815078168</v>
      </c>
      <c r="C138" s="309">
        <f t="shared" ref="C138:C174" si="28">B138*365</f>
        <v>12904554.127503531</v>
      </c>
      <c r="D138" s="309">
        <f t="shared" ref="D138:D174" si="29">C138*$B$6</f>
        <v>2193774.2016756004</v>
      </c>
      <c r="E138" s="309">
        <f t="shared" ref="E138:E174" si="30">C138-D138</f>
        <v>10710779.925827932</v>
      </c>
      <c r="G138" s="305">
        <v>2018</v>
      </c>
      <c r="H138" s="388">
        <v>67491.175447677568</v>
      </c>
      <c r="I138" s="309">
        <f t="shared" ref="I138:I175" si="31">H138*365</f>
        <v>24634279.038402312</v>
      </c>
      <c r="J138" s="309">
        <f t="shared" ref="J138:J175" si="32">I138*$B$6</f>
        <v>4187827.4365283931</v>
      </c>
      <c r="K138" s="309">
        <f t="shared" ref="K138:K175" si="33">I138-J138</f>
        <v>20446451.601873919</v>
      </c>
      <c r="L138" s="151"/>
      <c r="M138" s="305">
        <v>2018</v>
      </c>
      <c r="N138" s="308">
        <f t="shared" ref="N138:Q174" si="34">B138+H138</f>
        <v>102846.11826275574</v>
      </c>
      <c r="O138" s="309">
        <f t="shared" si="34"/>
        <v>37538833.165905841</v>
      </c>
      <c r="P138" s="309">
        <f t="shared" si="26"/>
        <v>6381601.6382039934</v>
      </c>
      <c r="Q138" s="309">
        <f t="shared" si="26"/>
        <v>31157231.527701851</v>
      </c>
      <c r="R138" s="151"/>
      <c r="S138" s="309">
        <f>S137*1.016</f>
        <v>0</v>
      </c>
      <c r="T138" s="309">
        <f>T137*1.016</f>
        <v>0</v>
      </c>
      <c r="U138" s="309">
        <f t="shared" ref="U138:V174" si="35">(S138/60)*365</f>
        <v>0</v>
      </c>
      <c r="V138" s="309">
        <f t="shared" si="35"/>
        <v>0</v>
      </c>
      <c r="W138" s="309">
        <f t="shared" ref="W138:W174" si="36">U138+V138</f>
        <v>0</v>
      </c>
      <c r="X138" s="151"/>
      <c r="Y138" s="309">
        <f>Y137*1.016</f>
        <v>0</v>
      </c>
      <c r="Z138" s="309">
        <f>Z137*1.016</f>
        <v>0</v>
      </c>
      <c r="AA138" s="309">
        <f t="shared" ref="AA138:AB174" si="37">(Y138/60)*365</f>
        <v>0</v>
      </c>
      <c r="AB138" s="309">
        <f t="shared" si="37"/>
        <v>0</v>
      </c>
      <c r="AC138" s="309">
        <f t="shared" ref="AC138:AC174" si="38">AA138+AB138</f>
        <v>0</v>
      </c>
      <c r="AE138" s="309">
        <f>AE137*1.016</f>
        <v>0</v>
      </c>
      <c r="AF138" s="309">
        <f>AF137*1.016</f>
        <v>0</v>
      </c>
      <c r="AG138" s="309">
        <f t="shared" ref="AG138:AH174" si="39">(AE138/60)*365</f>
        <v>0</v>
      </c>
      <c r="AH138" s="309">
        <f t="shared" si="39"/>
        <v>0</v>
      </c>
      <c r="AI138" s="309">
        <f t="shared" ref="AI138:AI174" si="40">AG138+AH138</f>
        <v>0</v>
      </c>
      <c r="AK138" s="309">
        <f t="shared" ref="AK138:AL174" si="41">S138+Y138+AE138</f>
        <v>0</v>
      </c>
      <c r="AL138" s="309">
        <f t="shared" si="41"/>
        <v>0</v>
      </c>
      <c r="AM138" s="309">
        <f t="shared" si="27"/>
        <v>0</v>
      </c>
      <c r="AN138" s="309">
        <f t="shared" si="27"/>
        <v>0</v>
      </c>
      <c r="AO138" s="309">
        <f t="shared" ref="AO138:AO174" si="42">AM138+AN138</f>
        <v>0</v>
      </c>
    </row>
    <row r="139" spans="1:41" x14ac:dyDescent="0.2">
      <c r="A139" s="305">
        <v>2019</v>
      </c>
      <c r="B139" s="388">
        <v>35921.662268966698</v>
      </c>
      <c r="C139" s="309">
        <f t="shared" si="28"/>
        <v>13111406.728172844</v>
      </c>
      <c r="D139" s="309">
        <f t="shared" si="29"/>
        <v>2228939.1437893836</v>
      </c>
      <c r="E139" s="309">
        <f t="shared" si="30"/>
        <v>10882467.584383462</v>
      </c>
      <c r="G139" s="305">
        <v>2019</v>
      </c>
      <c r="H139" s="388">
        <v>68574.256684254346</v>
      </c>
      <c r="I139" s="309">
        <f t="shared" si="31"/>
        <v>25029603.689752836</v>
      </c>
      <c r="J139" s="309">
        <f t="shared" si="32"/>
        <v>4255032.6272579823</v>
      </c>
      <c r="K139" s="309">
        <f t="shared" si="33"/>
        <v>20774571.062494852</v>
      </c>
      <c r="L139" s="151"/>
      <c r="M139" s="305">
        <v>2019</v>
      </c>
      <c r="N139" s="308">
        <f t="shared" si="34"/>
        <v>104495.91895322104</v>
      </c>
      <c r="O139" s="309">
        <f t="shared" si="34"/>
        <v>38141010.417925678</v>
      </c>
      <c r="P139" s="309">
        <f t="shared" si="26"/>
        <v>6483971.7710473659</v>
      </c>
      <c r="Q139" s="309">
        <f t="shared" si="26"/>
        <v>31657038.646878313</v>
      </c>
      <c r="R139" s="151"/>
      <c r="S139" s="309">
        <f t="shared" ref="S139:T154" si="43">S138*1.016</f>
        <v>0</v>
      </c>
      <c r="T139" s="309">
        <f t="shared" si="43"/>
        <v>0</v>
      </c>
      <c r="U139" s="309">
        <f t="shared" si="35"/>
        <v>0</v>
      </c>
      <c r="V139" s="309">
        <f t="shared" si="35"/>
        <v>0</v>
      </c>
      <c r="W139" s="309">
        <f t="shared" si="36"/>
        <v>0</v>
      </c>
      <c r="X139" s="151"/>
      <c r="Y139" s="309">
        <f t="shared" ref="Y139:Z154" si="44">Y138*1.016</f>
        <v>0</v>
      </c>
      <c r="Z139" s="309">
        <f t="shared" si="44"/>
        <v>0</v>
      </c>
      <c r="AA139" s="309">
        <f t="shared" si="37"/>
        <v>0</v>
      </c>
      <c r="AB139" s="309">
        <f t="shared" si="37"/>
        <v>0</v>
      </c>
      <c r="AC139" s="309">
        <f t="shared" si="38"/>
        <v>0</v>
      </c>
      <c r="AE139" s="309">
        <f t="shared" ref="AE139:AF154" si="45">AE138*1.016</f>
        <v>0</v>
      </c>
      <c r="AF139" s="309">
        <f t="shared" si="45"/>
        <v>0</v>
      </c>
      <c r="AG139" s="309">
        <f t="shared" si="39"/>
        <v>0</v>
      </c>
      <c r="AH139" s="309">
        <f t="shared" si="39"/>
        <v>0</v>
      </c>
      <c r="AI139" s="309">
        <f t="shared" si="40"/>
        <v>0</v>
      </c>
      <c r="AK139" s="309">
        <f t="shared" si="41"/>
        <v>0</v>
      </c>
      <c r="AL139" s="309">
        <f t="shared" si="41"/>
        <v>0</v>
      </c>
      <c r="AM139" s="309">
        <f t="shared" si="27"/>
        <v>0</v>
      </c>
      <c r="AN139" s="309">
        <f t="shared" si="27"/>
        <v>0</v>
      </c>
      <c r="AO139" s="309">
        <f t="shared" si="42"/>
        <v>0</v>
      </c>
    </row>
    <row r="140" spans="1:41" x14ac:dyDescent="0.2">
      <c r="A140" s="305">
        <v>2020</v>
      </c>
      <c r="B140" s="388">
        <v>36497.482117218548</v>
      </c>
      <c r="C140" s="309">
        <f t="shared" si="28"/>
        <v>13321580.972784771</v>
      </c>
      <c r="D140" s="309">
        <f t="shared" si="29"/>
        <v>2264668.7653734111</v>
      </c>
      <c r="E140" s="309">
        <f t="shared" si="30"/>
        <v>11056912.20741136</v>
      </c>
      <c r="G140" s="305">
        <v>2020</v>
      </c>
      <c r="H140" s="388">
        <v>69674.721267763569</v>
      </c>
      <c r="I140" s="309">
        <f t="shared" si="31"/>
        <v>25431273.262733702</v>
      </c>
      <c r="J140" s="309">
        <f t="shared" si="32"/>
        <v>4323316.4546647295</v>
      </c>
      <c r="K140" s="309">
        <f t="shared" si="33"/>
        <v>21107956.808068972</v>
      </c>
      <c r="L140" s="151"/>
      <c r="M140" s="305">
        <v>2020</v>
      </c>
      <c r="N140" s="308">
        <f t="shared" si="34"/>
        <v>106172.20338498212</v>
      </c>
      <c r="O140" s="309">
        <f t="shared" si="34"/>
        <v>38752854.23551847</v>
      </c>
      <c r="P140" s="309">
        <f t="shared" si="26"/>
        <v>6587985.2200381402</v>
      </c>
      <c r="Q140" s="309">
        <f t="shared" si="26"/>
        <v>32164869.015480332</v>
      </c>
      <c r="R140" s="151"/>
      <c r="S140" s="309">
        <f t="shared" si="43"/>
        <v>0</v>
      </c>
      <c r="T140" s="309">
        <f t="shared" si="43"/>
        <v>0</v>
      </c>
      <c r="U140" s="309">
        <f t="shared" si="35"/>
        <v>0</v>
      </c>
      <c r="V140" s="309">
        <f t="shared" si="35"/>
        <v>0</v>
      </c>
      <c r="W140" s="309">
        <f t="shared" si="36"/>
        <v>0</v>
      </c>
      <c r="X140" s="151"/>
      <c r="Y140" s="309">
        <f t="shared" si="44"/>
        <v>0</v>
      </c>
      <c r="Z140" s="309">
        <f t="shared" si="44"/>
        <v>0</v>
      </c>
      <c r="AA140" s="309">
        <f t="shared" si="37"/>
        <v>0</v>
      </c>
      <c r="AB140" s="309">
        <f t="shared" si="37"/>
        <v>0</v>
      </c>
      <c r="AC140" s="309">
        <f t="shared" si="38"/>
        <v>0</v>
      </c>
      <c r="AE140" s="309">
        <f t="shared" si="45"/>
        <v>0</v>
      </c>
      <c r="AF140" s="309">
        <f t="shared" si="45"/>
        <v>0</v>
      </c>
      <c r="AG140" s="309">
        <f t="shared" si="39"/>
        <v>0</v>
      </c>
      <c r="AH140" s="309">
        <f t="shared" si="39"/>
        <v>0</v>
      </c>
      <c r="AI140" s="309">
        <f t="shared" si="40"/>
        <v>0</v>
      </c>
      <c r="AK140" s="309">
        <f t="shared" si="41"/>
        <v>0</v>
      </c>
      <c r="AL140" s="309">
        <f t="shared" si="41"/>
        <v>0</v>
      </c>
      <c r="AM140" s="309">
        <f t="shared" si="27"/>
        <v>0</v>
      </c>
      <c r="AN140" s="309">
        <f t="shared" si="27"/>
        <v>0</v>
      </c>
      <c r="AO140" s="309">
        <f t="shared" si="42"/>
        <v>0</v>
      </c>
    </row>
    <row r="141" spans="1:41" x14ac:dyDescent="0.2">
      <c r="A141" s="305">
        <v>2021</v>
      </c>
      <c r="B141" s="388">
        <v>37082.548728144568</v>
      </c>
      <c r="C141" s="309">
        <f t="shared" si="28"/>
        <v>13535130.285772767</v>
      </c>
      <c r="D141" s="309">
        <f t="shared" si="29"/>
        <v>2300972.1485813707</v>
      </c>
      <c r="E141" s="309">
        <f t="shared" si="30"/>
        <v>11234158.137191396</v>
      </c>
      <c r="G141" s="305">
        <v>2021</v>
      </c>
      <c r="H141" s="388">
        <v>70792.84823668703</v>
      </c>
      <c r="I141" s="309">
        <f t="shared" si="31"/>
        <v>25839389.606390767</v>
      </c>
      <c r="J141" s="309">
        <f t="shared" si="32"/>
        <v>4392696.2330864305</v>
      </c>
      <c r="K141" s="309">
        <f t="shared" si="33"/>
        <v>21446693.373304337</v>
      </c>
      <c r="L141" s="216"/>
      <c r="M141" s="305">
        <v>2021</v>
      </c>
      <c r="N141" s="308">
        <f t="shared" si="34"/>
        <v>107875.3969648316</v>
      </c>
      <c r="O141" s="309">
        <f t="shared" si="34"/>
        <v>39374519.89216353</v>
      </c>
      <c r="P141" s="309">
        <f t="shared" si="26"/>
        <v>6693668.3816678012</v>
      </c>
      <c r="Q141" s="309">
        <f t="shared" si="26"/>
        <v>32680851.510495733</v>
      </c>
      <c r="R141" s="216"/>
      <c r="S141" s="309">
        <f t="shared" si="43"/>
        <v>0</v>
      </c>
      <c r="T141" s="309">
        <f t="shared" si="43"/>
        <v>0</v>
      </c>
      <c r="U141" s="309">
        <f t="shared" si="35"/>
        <v>0</v>
      </c>
      <c r="V141" s="309">
        <f t="shared" si="35"/>
        <v>0</v>
      </c>
      <c r="W141" s="309">
        <f t="shared" si="36"/>
        <v>0</v>
      </c>
      <c r="X141" s="216"/>
      <c r="Y141" s="309">
        <f t="shared" si="44"/>
        <v>0</v>
      </c>
      <c r="Z141" s="309">
        <f t="shared" si="44"/>
        <v>0</v>
      </c>
      <c r="AA141" s="309">
        <f t="shared" si="37"/>
        <v>0</v>
      </c>
      <c r="AB141" s="309">
        <f t="shared" si="37"/>
        <v>0</v>
      </c>
      <c r="AC141" s="309">
        <f t="shared" si="38"/>
        <v>0</v>
      </c>
      <c r="AE141" s="309">
        <f t="shared" si="45"/>
        <v>0</v>
      </c>
      <c r="AF141" s="309">
        <f t="shared" si="45"/>
        <v>0</v>
      </c>
      <c r="AG141" s="309">
        <f t="shared" si="39"/>
        <v>0</v>
      </c>
      <c r="AH141" s="309">
        <f t="shared" si="39"/>
        <v>0</v>
      </c>
      <c r="AI141" s="309">
        <f t="shared" si="40"/>
        <v>0</v>
      </c>
      <c r="AK141" s="309">
        <f t="shared" si="41"/>
        <v>0</v>
      </c>
      <c r="AL141" s="309">
        <f t="shared" si="41"/>
        <v>0</v>
      </c>
      <c r="AM141" s="309">
        <f t="shared" si="27"/>
        <v>0</v>
      </c>
      <c r="AN141" s="309">
        <f t="shared" si="27"/>
        <v>0</v>
      </c>
      <c r="AO141" s="309">
        <f t="shared" si="42"/>
        <v>0</v>
      </c>
    </row>
    <row r="142" spans="1:41" x14ac:dyDescent="0.2">
      <c r="A142" s="305">
        <v>2022</v>
      </c>
      <c r="B142" s="388">
        <v>37677.010827665501</v>
      </c>
      <c r="C142" s="309">
        <f t="shared" si="28"/>
        <v>13752108.952097908</v>
      </c>
      <c r="D142" s="309">
        <f t="shared" si="29"/>
        <v>2337858.5218566447</v>
      </c>
      <c r="E142" s="309">
        <f t="shared" si="30"/>
        <v>11414250.430241263</v>
      </c>
      <c r="G142" s="305">
        <v>2022</v>
      </c>
      <c r="H142" s="388">
        <v>71928.921109251431</v>
      </c>
      <c r="I142" s="309">
        <f t="shared" si="31"/>
        <v>26254056.204876773</v>
      </c>
      <c r="J142" s="309">
        <f t="shared" si="32"/>
        <v>4463189.5548290517</v>
      </c>
      <c r="K142" s="309">
        <f t="shared" si="33"/>
        <v>21790866.650047719</v>
      </c>
      <c r="L142" s="214"/>
      <c r="M142" s="305">
        <v>2022</v>
      </c>
      <c r="N142" s="308">
        <f t="shared" si="34"/>
        <v>109605.93193691692</v>
      </c>
      <c r="O142" s="309">
        <f t="shared" si="34"/>
        <v>40006165.156974681</v>
      </c>
      <c r="P142" s="309">
        <f t="shared" si="26"/>
        <v>6801048.0766856968</v>
      </c>
      <c r="Q142" s="309">
        <f t="shared" si="26"/>
        <v>33205117.080288984</v>
      </c>
      <c r="R142" s="214"/>
      <c r="S142" s="309">
        <f t="shared" si="43"/>
        <v>0</v>
      </c>
      <c r="T142" s="309">
        <f t="shared" si="43"/>
        <v>0</v>
      </c>
      <c r="U142" s="309">
        <f t="shared" si="35"/>
        <v>0</v>
      </c>
      <c r="V142" s="309">
        <f t="shared" si="35"/>
        <v>0</v>
      </c>
      <c r="W142" s="309">
        <f t="shared" si="36"/>
        <v>0</v>
      </c>
      <c r="X142" s="214"/>
      <c r="Y142" s="309">
        <f t="shared" si="44"/>
        <v>0</v>
      </c>
      <c r="Z142" s="309">
        <f t="shared" si="44"/>
        <v>0</v>
      </c>
      <c r="AA142" s="309">
        <f t="shared" si="37"/>
        <v>0</v>
      </c>
      <c r="AB142" s="309">
        <f t="shared" si="37"/>
        <v>0</v>
      </c>
      <c r="AC142" s="309">
        <f t="shared" si="38"/>
        <v>0</v>
      </c>
      <c r="AD142" s="123"/>
      <c r="AE142" s="309">
        <f t="shared" si="45"/>
        <v>0</v>
      </c>
      <c r="AF142" s="309">
        <f t="shared" si="45"/>
        <v>0</v>
      </c>
      <c r="AG142" s="309">
        <f t="shared" si="39"/>
        <v>0</v>
      </c>
      <c r="AH142" s="309">
        <f t="shared" si="39"/>
        <v>0</v>
      </c>
      <c r="AI142" s="309">
        <f t="shared" si="40"/>
        <v>0</v>
      </c>
      <c r="AK142" s="309">
        <f t="shared" si="41"/>
        <v>0</v>
      </c>
      <c r="AL142" s="309">
        <f t="shared" si="41"/>
        <v>0</v>
      </c>
      <c r="AM142" s="309">
        <f t="shared" si="27"/>
        <v>0</v>
      </c>
      <c r="AN142" s="309">
        <f t="shared" si="27"/>
        <v>0</v>
      </c>
      <c r="AO142" s="309">
        <f t="shared" si="42"/>
        <v>0</v>
      </c>
    </row>
    <row r="143" spans="1:41" x14ac:dyDescent="0.2">
      <c r="A143" s="305">
        <v>2023</v>
      </c>
      <c r="B143" s="388">
        <v>38281.019537339402</v>
      </c>
      <c r="C143" s="309">
        <f t="shared" si="28"/>
        <v>13972572.131128881</v>
      </c>
      <c r="D143" s="309">
        <f t="shared" si="29"/>
        <v>2375337.2622919101</v>
      </c>
      <c r="E143" s="309">
        <f t="shared" si="30"/>
        <v>11597234.868836971</v>
      </c>
      <c r="G143" s="305">
        <v>2023</v>
      </c>
      <c r="H143" s="388">
        <v>73083.227955356793</v>
      </c>
      <c r="I143" s="309">
        <f t="shared" si="31"/>
        <v>26675378.203705229</v>
      </c>
      <c r="J143" s="309">
        <f t="shared" si="32"/>
        <v>4534814.2946298895</v>
      </c>
      <c r="K143" s="309">
        <f t="shared" si="33"/>
        <v>22140563.909075338</v>
      </c>
      <c r="M143" s="305">
        <v>2023</v>
      </c>
      <c r="N143" s="308">
        <f t="shared" si="34"/>
        <v>111364.24749269619</v>
      </c>
      <c r="O143" s="309">
        <f t="shared" si="34"/>
        <v>40647950.334834114</v>
      </c>
      <c r="P143" s="309">
        <f t="shared" si="26"/>
        <v>6910151.5569217997</v>
      </c>
      <c r="Q143" s="309">
        <f t="shared" si="26"/>
        <v>33737798.777912311</v>
      </c>
      <c r="S143" s="309">
        <f t="shared" si="43"/>
        <v>0</v>
      </c>
      <c r="T143" s="309">
        <f t="shared" si="43"/>
        <v>0</v>
      </c>
      <c r="U143" s="309">
        <f t="shared" si="35"/>
        <v>0</v>
      </c>
      <c r="V143" s="309">
        <f t="shared" si="35"/>
        <v>0</v>
      </c>
      <c r="W143" s="309">
        <f t="shared" si="36"/>
        <v>0</v>
      </c>
      <c r="Y143" s="309">
        <f t="shared" si="44"/>
        <v>0</v>
      </c>
      <c r="Z143" s="309">
        <f t="shared" si="44"/>
        <v>0</v>
      </c>
      <c r="AA143" s="309">
        <f t="shared" si="37"/>
        <v>0</v>
      </c>
      <c r="AB143" s="309">
        <f t="shared" si="37"/>
        <v>0</v>
      </c>
      <c r="AC143" s="309">
        <f t="shared" si="38"/>
        <v>0</v>
      </c>
      <c r="AE143" s="309">
        <f t="shared" si="45"/>
        <v>0</v>
      </c>
      <c r="AF143" s="309">
        <f t="shared" si="45"/>
        <v>0</v>
      </c>
      <c r="AG143" s="309">
        <f t="shared" si="39"/>
        <v>0</v>
      </c>
      <c r="AH143" s="309">
        <f t="shared" si="39"/>
        <v>0</v>
      </c>
      <c r="AI143" s="309">
        <f t="shared" si="40"/>
        <v>0</v>
      </c>
      <c r="AK143" s="309">
        <f t="shared" si="41"/>
        <v>0</v>
      </c>
      <c r="AL143" s="309">
        <f t="shared" si="41"/>
        <v>0</v>
      </c>
      <c r="AM143" s="309">
        <f t="shared" si="27"/>
        <v>0</v>
      </c>
      <c r="AN143" s="309">
        <f t="shared" si="27"/>
        <v>0</v>
      </c>
      <c r="AO143" s="309">
        <f t="shared" si="42"/>
        <v>0</v>
      </c>
    </row>
    <row r="144" spans="1:41" x14ac:dyDescent="0.2">
      <c r="A144" s="305">
        <v>2024</v>
      </c>
      <c r="B144" s="388">
        <v>38894.728413003184</v>
      </c>
      <c r="C144" s="309">
        <f t="shared" si="28"/>
        <v>14196575.870746162</v>
      </c>
      <c r="D144" s="309">
        <f t="shared" si="29"/>
        <v>2413417.8980268477</v>
      </c>
      <c r="E144" s="309">
        <f t="shared" si="30"/>
        <v>11783157.972719314</v>
      </c>
      <c r="G144" s="305">
        <v>2024</v>
      </c>
      <c r="H144" s="388">
        <v>74256.061469660141</v>
      </c>
      <c r="I144" s="309">
        <f t="shared" si="31"/>
        <v>27103462.43642595</v>
      </c>
      <c r="J144" s="309">
        <f t="shared" si="32"/>
        <v>4607588.6141924122</v>
      </c>
      <c r="K144" s="309">
        <f t="shared" si="33"/>
        <v>22495873.822233539</v>
      </c>
      <c r="M144" s="305">
        <v>2024</v>
      </c>
      <c r="N144" s="308">
        <f t="shared" si="34"/>
        <v>113150.78988266332</v>
      </c>
      <c r="O144" s="309">
        <f t="shared" si="34"/>
        <v>41300038.307172112</v>
      </c>
      <c r="P144" s="309">
        <f t="shared" si="26"/>
        <v>7021006.5122192595</v>
      </c>
      <c r="Q144" s="309">
        <f t="shared" si="26"/>
        <v>34279031.794952855</v>
      </c>
      <c r="S144" s="309">
        <f t="shared" si="43"/>
        <v>0</v>
      </c>
      <c r="T144" s="309">
        <f t="shared" si="43"/>
        <v>0</v>
      </c>
      <c r="U144" s="309">
        <f t="shared" si="35"/>
        <v>0</v>
      </c>
      <c r="V144" s="309">
        <f t="shared" si="35"/>
        <v>0</v>
      </c>
      <c r="W144" s="309">
        <f t="shared" si="36"/>
        <v>0</v>
      </c>
      <c r="Y144" s="309">
        <f t="shared" si="44"/>
        <v>0</v>
      </c>
      <c r="Z144" s="309">
        <f t="shared" si="44"/>
        <v>0</v>
      </c>
      <c r="AA144" s="309">
        <f t="shared" si="37"/>
        <v>0</v>
      </c>
      <c r="AB144" s="309">
        <f t="shared" si="37"/>
        <v>0</v>
      </c>
      <c r="AC144" s="309">
        <f t="shared" si="38"/>
        <v>0</v>
      </c>
      <c r="AE144" s="309">
        <f t="shared" si="45"/>
        <v>0</v>
      </c>
      <c r="AF144" s="309">
        <f t="shared" si="45"/>
        <v>0</v>
      </c>
      <c r="AG144" s="309">
        <f t="shared" si="39"/>
        <v>0</v>
      </c>
      <c r="AH144" s="309">
        <f t="shared" si="39"/>
        <v>0</v>
      </c>
      <c r="AI144" s="309">
        <f t="shared" si="40"/>
        <v>0</v>
      </c>
      <c r="AK144" s="309">
        <f t="shared" si="41"/>
        <v>0</v>
      </c>
      <c r="AL144" s="309">
        <f t="shared" si="41"/>
        <v>0</v>
      </c>
      <c r="AM144" s="309">
        <f t="shared" si="27"/>
        <v>0</v>
      </c>
      <c r="AN144" s="309">
        <f t="shared" si="27"/>
        <v>0</v>
      </c>
      <c r="AO144" s="309">
        <f t="shared" si="42"/>
        <v>0</v>
      </c>
    </row>
    <row r="145" spans="1:41" x14ac:dyDescent="0.2">
      <c r="A145" s="305">
        <v>2025</v>
      </c>
      <c r="B145" s="388">
        <v>39518.29348403836</v>
      </c>
      <c r="C145" s="309">
        <f t="shared" si="28"/>
        <v>14424177.121674001</v>
      </c>
      <c r="D145" s="309">
        <f t="shared" si="29"/>
        <v>2452110.1106845802</v>
      </c>
      <c r="E145" s="309">
        <f t="shared" si="30"/>
        <v>11972067.01098942</v>
      </c>
      <c r="G145" s="305">
        <v>2025</v>
      </c>
      <c r="H145" s="388">
        <v>75447.71904583268</v>
      </c>
      <c r="I145" s="309">
        <f t="shared" si="31"/>
        <v>27538417.451728929</v>
      </c>
      <c r="J145" s="309">
        <f t="shared" si="32"/>
        <v>4681530.9667939181</v>
      </c>
      <c r="K145" s="309">
        <f t="shared" si="33"/>
        <v>22856886.484935012</v>
      </c>
      <c r="M145" s="305">
        <v>2025</v>
      </c>
      <c r="N145" s="308">
        <f t="shared" si="34"/>
        <v>114966.01252987105</v>
      </c>
      <c r="O145" s="309">
        <f t="shared" si="34"/>
        <v>41962594.573402926</v>
      </c>
      <c r="P145" s="309">
        <f t="shared" si="26"/>
        <v>7133641.0774784982</v>
      </c>
      <c r="Q145" s="309">
        <f t="shared" si="26"/>
        <v>34828953.495924428</v>
      </c>
      <c r="S145" s="309">
        <f t="shared" si="43"/>
        <v>0</v>
      </c>
      <c r="T145" s="309">
        <f t="shared" si="43"/>
        <v>0</v>
      </c>
      <c r="U145" s="309">
        <f t="shared" si="35"/>
        <v>0</v>
      </c>
      <c r="V145" s="309">
        <f t="shared" si="35"/>
        <v>0</v>
      </c>
      <c r="W145" s="309">
        <f t="shared" si="36"/>
        <v>0</v>
      </c>
      <c r="Y145" s="309">
        <f t="shared" si="44"/>
        <v>0</v>
      </c>
      <c r="Z145" s="309">
        <f t="shared" si="44"/>
        <v>0</v>
      </c>
      <c r="AA145" s="309">
        <f t="shared" si="37"/>
        <v>0</v>
      </c>
      <c r="AB145" s="309">
        <f t="shared" si="37"/>
        <v>0</v>
      </c>
      <c r="AC145" s="309">
        <f t="shared" si="38"/>
        <v>0</v>
      </c>
      <c r="AE145" s="309">
        <f t="shared" si="45"/>
        <v>0</v>
      </c>
      <c r="AF145" s="309">
        <f t="shared" si="45"/>
        <v>0</v>
      </c>
      <c r="AG145" s="309">
        <f t="shared" si="39"/>
        <v>0</v>
      </c>
      <c r="AH145" s="309">
        <f t="shared" si="39"/>
        <v>0</v>
      </c>
      <c r="AI145" s="309">
        <f t="shared" si="40"/>
        <v>0</v>
      </c>
      <c r="AK145" s="309">
        <f t="shared" si="41"/>
        <v>0</v>
      </c>
      <c r="AL145" s="309">
        <f t="shared" si="41"/>
        <v>0</v>
      </c>
      <c r="AM145" s="309">
        <f t="shared" si="27"/>
        <v>0</v>
      </c>
      <c r="AN145" s="309">
        <f t="shared" si="27"/>
        <v>0</v>
      </c>
      <c r="AO145" s="309">
        <f t="shared" si="42"/>
        <v>0</v>
      </c>
    </row>
    <row r="146" spans="1:41" x14ac:dyDescent="0.2">
      <c r="A146" s="305">
        <v>2026</v>
      </c>
      <c r="B146" s="388">
        <v>40151.873293270932</v>
      </c>
      <c r="C146" s="309">
        <f t="shared" si="28"/>
        <v>14655433.75204389</v>
      </c>
      <c r="D146" s="309">
        <f t="shared" si="29"/>
        <v>2491423.7378474614</v>
      </c>
      <c r="E146" s="309">
        <f t="shared" si="30"/>
        <v>12164010.014196429</v>
      </c>
      <c r="G146" s="305">
        <v>2026</v>
      </c>
      <c r="H146" s="388">
        <v>76658.502852009537</v>
      </c>
      <c r="I146" s="309">
        <f t="shared" si="31"/>
        <v>27980353.540983479</v>
      </c>
      <c r="J146" s="309">
        <f t="shared" si="32"/>
        <v>4756660.1019671923</v>
      </c>
      <c r="K146" s="309">
        <f t="shared" si="33"/>
        <v>23223693.439016286</v>
      </c>
      <c r="M146" s="305">
        <v>2026</v>
      </c>
      <c r="N146" s="308">
        <f t="shared" si="34"/>
        <v>116810.37614528046</v>
      </c>
      <c r="O146" s="309">
        <f t="shared" si="34"/>
        <v>42635787.293027371</v>
      </c>
      <c r="P146" s="309">
        <f t="shared" si="26"/>
        <v>7248083.8398146536</v>
      </c>
      <c r="Q146" s="309">
        <f t="shared" si="26"/>
        <v>35387703.453212716</v>
      </c>
      <c r="S146" s="309">
        <f t="shared" si="43"/>
        <v>0</v>
      </c>
      <c r="T146" s="309">
        <f t="shared" si="43"/>
        <v>0</v>
      </c>
      <c r="U146" s="309">
        <f t="shared" si="35"/>
        <v>0</v>
      </c>
      <c r="V146" s="309">
        <f t="shared" si="35"/>
        <v>0</v>
      </c>
      <c r="W146" s="309">
        <f t="shared" si="36"/>
        <v>0</v>
      </c>
      <c r="Y146" s="309">
        <f t="shared" si="44"/>
        <v>0</v>
      </c>
      <c r="Z146" s="309">
        <f t="shared" si="44"/>
        <v>0</v>
      </c>
      <c r="AA146" s="309">
        <f t="shared" si="37"/>
        <v>0</v>
      </c>
      <c r="AB146" s="309">
        <f t="shared" si="37"/>
        <v>0</v>
      </c>
      <c r="AC146" s="309">
        <f t="shared" si="38"/>
        <v>0</v>
      </c>
      <c r="AE146" s="309">
        <f t="shared" si="45"/>
        <v>0</v>
      </c>
      <c r="AF146" s="309">
        <f t="shared" si="45"/>
        <v>0</v>
      </c>
      <c r="AG146" s="309">
        <f t="shared" si="39"/>
        <v>0</v>
      </c>
      <c r="AH146" s="309">
        <f t="shared" si="39"/>
        <v>0</v>
      </c>
      <c r="AI146" s="309">
        <f t="shared" si="40"/>
        <v>0</v>
      </c>
      <c r="AK146" s="309">
        <f t="shared" si="41"/>
        <v>0</v>
      </c>
      <c r="AL146" s="309">
        <f t="shared" si="41"/>
        <v>0</v>
      </c>
      <c r="AM146" s="309">
        <f t="shared" si="27"/>
        <v>0</v>
      </c>
      <c r="AN146" s="309">
        <f t="shared" si="27"/>
        <v>0</v>
      </c>
      <c r="AO146" s="309">
        <f t="shared" si="42"/>
        <v>0</v>
      </c>
    </row>
    <row r="147" spans="1:41" x14ac:dyDescent="0.2">
      <c r="A147" s="305">
        <v>2027</v>
      </c>
      <c r="B147" s="388">
        <v>40795.628937515758</v>
      </c>
      <c r="C147" s="309">
        <f t="shared" si="28"/>
        <v>14890404.562193252</v>
      </c>
      <c r="D147" s="309">
        <f t="shared" si="29"/>
        <v>2531368.7755728532</v>
      </c>
      <c r="E147" s="309">
        <f t="shared" si="30"/>
        <v>12359035.786620399</v>
      </c>
      <c r="G147" s="305">
        <v>2027</v>
      </c>
      <c r="H147" s="388">
        <v>77888.719907450999</v>
      </c>
      <c r="I147" s="309">
        <f t="shared" si="31"/>
        <v>28429382.766219616</v>
      </c>
      <c r="J147" s="309">
        <f t="shared" si="32"/>
        <v>4832995.070257335</v>
      </c>
      <c r="K147" s="309">
        <f t="shared" si="33"/>
        <v>23596387.69596228</v>
      </c>
      <c r="M147" s="305">
        <v>2027</v>
      </c>
      <c r="N147" s="308">
        <f t="shared" si="34"/>
        <v>118684.34884496676</v>
      </c>
      <c r="O147" s="309">
        <f t="shared" si="34"/>
        <v>43319787.328412868</v>
      </c>
      <c r="P147" s="309">
        <f t="shared" si="26"/>
        <v>7364363.8458301881</v>
      </c>
      <c r="Q147" s="309">
        <f t="shared" si="26"/>
        <v>35955423.482582681</v>
      </c>
      <c r="S147" s="309">
        <f t="shared" si="43"/>
        <v>0</v>
      </c>
      <c r="T147" s="309">
        <f t="shared" si="43"/>
        <v>0</v>
      </c>
      <c r="U147" s="309">
        <f t="shared" si="35"/>
        <v>0</v>
      </c>
      <c r="V147" s="309">
        <f t="shared" si="35"/>
        <v>0</v>
      </c>
      <c r="W147" s="309">
        <f t="shared" si="36"/>
        <v>0</v>
      </c>
      <c r="Y147" s="309">
        <f t="shared" si="44"/>
        <v>0</v>
      </c>
      <c r="Z147" s="309">
        <f t="shared" si="44"/>
        <v>0</v>
      </c>
      <c r="AA147" s="309">
        <f t="shared" si="37"/>
        <v>0</v>
      </c>
      <c r="AB147" s="309">
        <f t="shared" si="37"/>
        <v>0</v>
      </c>
      <c r="AC147" s="309">
        <f t="shared" si="38"/>
        <v>0</v>
      </c>
      <c r="AE147" s="309">
        <f t="shared" si="45"/>
        <v>0</v>
      </c>
      <c r="AF147" s="309">
        <f t="shared" si="45"/>
        <v>0</v>
      </c>
      <c r="AG147" s="309">
        <f t="shared" si="39"/>
        <v>0</v>
      </c>
      <c r="AH147" s="309">
        <f t="shared" si="39"/>
        <v>0</v>
      </c>
      <c r="AI147" s="309">
        <f t="shared" si="40"/>
        <v>0</v>
      </c>
      <c r="AK147" s="309">
        <f t="shared" si="41"/>
        <v>0</v>
      </c>
      <c r="AL147" s="309">
        <f t="shared" si="41"/>
        <v>0</v>
      </c>
      <c r="AM147" s="309">
        <f t="shared" si="27"/>
        <v>0</v>
      </c>
      <c r="AN147" s="309">
        <f t="shared" si="27"/>
        <v>0</v>
      </c>
      <c r="AO147" s="309">
        <f t="shared" si="42"/>
        <v>0</v>
      </c>
    </row>
    <row r="148" spans="1:41" x14ac:dyDescent="0.2">
      <c r="A148" s="305">
        <v>2028</v>
      </c>
      <c r="B148" s="388">
        <v>41449.724108775838</v>
      </c>
      <c r="C148" s="309">
        <f t="shared" si="28"/>
        <v>15129149.299703181</v>
      </c>
      <c r="D148" s="309">
        <f t="shared" si="29"/>
        <v>2571955.380949541</v>
      </c>
      <c r="E148" s="309">
        <f t="shared" si="30"/>
        <v>12557193.918753639</v>
      </c>
      <c r="G148" s="305">
        <v>2028</v>
      </c>
      <c r="H148" s="388">
        <v>79138.682160435026</v>
      </c>
      <c r="I148" s="309">
        <f t="shared" si="31"/>
        <v>28885618.988558784</v>
      </c>
      <c r="J148" s="309">
        <f t="shared" si="32"/>
        <v>4910555.2280549938</v>
      </c>
      <c r="K148" s="309">
        <f t="shared" si="33"/>
        <v>23975063.760503791</v>
      </c>
      <c r="M148" s="305">
        <v>2028</v>
      </c>
      <c r="N148" s="308">
        <f t="shared" si="34"/>
        <v>120588.40626921086</v>
      </c>
      <c r="O148" s="309">
        <f t="shared" si="34"/>
        <v>44014768.288261965</v>
      </c>
      <c r="P148" s="309">
        <f t="shared" si="26"/>
        <v>7482510.6090045348</v>
      </c>
      <c r="Q148" s="309">
        <f t="shared" si="26"/>
        <v>36532257.67925743</v>
      </c>
      <c r="S148" s="309">
        <f t="shared" si="43"/>
        <v>0</v>
      </c>
      <c r="T148" s="309">
        <f t="shared" si="43"/>
        <v>0</v>
      </c>
      <c r="U148" s="309">
        <f t="shared" si="35"/>
        <v>0</v>
      </c>
      <c r="V148" s="309">
        <f t="shared" si="35"/>
        <v>0</v>
      </c>
      <c r="W148" s="309">
        <f t="shared" si="36"/>
        <v>0</v>
      </c>
      <c r="Y148" s="309">
        <f t="shared" si="44"/>
        <v>0</v>
      </c>
      <c r="Z148" s="309">
        <f t="shared" si="44"/>
        <v>0</v>
      </c>
      <c r="AA148" s="309">
        <f t="shared" si="37"/>
        <v>0</v>
      </c>
      <c r="AB148" s="309">
        <f t="shared" si="37"/>
        <v>0</v>
      </c>
      <c r="AC148" s="309">
        <f t="shared" si="38"/>
        <v>0</v>
      </c>
      <c r="AE148" s="309">
        <f t="shared" si="45"/>
        <v>0</v>
      </c>
      <c r="AF148" s="309">
        <f t="shared" si="45"/>
        <v>0</v>
      </c>
      <c r="AG148" s="309">
        <f t="shared" si="39"/>
        <v>0</v>
      </c>
      <c r="AH148" s="309">
        <f t="shared" si="39"/>
        <v>0</v>
      </c>
      <c r="AI148" s="309">
        <f t="shared" si="40"/>
        <v>0</v>
      </c>
      <c r="AK148" s="309">
        <f t="shared" si="41"/>
        <v>0</v>
      </c>
      <c r="AL148" s="309">
        <f t="shared" si="41"/>
        <v>0</v>
      </c>
      <c r="AM148" s="309">
        <f t="shared" si="27"/>
        <v>0</v>
      </c>
      <c r="AN148" s="309">
        <f t="shared" si="27"/>
        <v>0</v>
      </c>
      <c r="AO148" s="309">
        <f t="shared" si="42"/>
        <v>0</v>
      </c>
    </row>
    <row r="149" spans="1:41" x14ac:dyDescent="0.2">
      <c r="A149" s="305">
        <v>2029</v>
      </c>
      <c r="B149" s="388">
        <v>42114.325136107043</v>
      </c>
      <c r="C149" s="309">
        <f t="shared" si="28"/>
        <v>15371728.674679071</v>
      </c>
      <c r="D149" s="309">
        <f t="shared" si="29"/>
        <v>2613193.8746954422</v>
      </c>
      <c r="E149" s="309">
        <f t="shared" si="30"/>
        <v>12758534.799983628</v>
      </c>
      <c r="G149" s="305">
        <v>2029</v>
      </c>
      <c r="H149" s="388">
        <v>80408.706567400368</v>
      </c>
      <c r="I149" s="309">
        <f t="shared" si="31"/>
        <v>29349177.897101134</v>
      </c>
      <c r="J149" s="309">
        <f t="shared" si="32"/>
        <v>4989360.2425071932</v>
      </c>
      <c r="K149" s="309">
        <f t="shared" si="33"/>
        <v>24359817.654593941</v>
      </c>
      <c r="M149" s="305">
        <v>2029</v>
      </c>
      <c r="N149" s="308">
        <f t="shared" si="34"/>
        <v>122523.03170350741</v>
      </c>
      <c r="O149" s="309">
        <f t="shared" si="34"/>
        <v>44720906.571780205</v>
      </c>
      <c r="P149" s="309">
        <f t="shared" si="26"/>
        <v>7602554.1172026359</v>
      </c>
      <c r="Q149" s="309">
        <f t="shared" si="26"/>
        <v>37118352.454577565</v>
      </c>
      <c r="S149" s="309">
        <f t="shared" si="43"/>
        <v>0</v>
      </c>
      <c r="T149" s="309">
        <f t="shared" si="43"/>
        <v>0</v>
      </c>
      <c r="U149" s="309">
        <f t="shared" si="35"/>
        <v>0</v>
      </c>
      <c r="V149" s="309">
        <f t="shared" si="35"/>
        <v>0</v>
      </c>
      <c r="W149" s="309">
        <f t="shared" si="36"/>
        <v>0</v>
      </c>
      <c r="Y149" s="309">
        <f t="shared" si="44"/>
        <v>0</v>
      </c>
      <c r="Z149" s="309">
        <f t="shared" si="44"/>
        <v>0</v>
      </c>
      <c r="AA149" s="309">
        <f t="shared" si="37"/>
        <v>0</v>
      </c>
      <c r="AB149" s="309">
        <f t="shared" si="37"/>
        <v>0</v>
      </c>
      <c r="AC149" s="309">
        <f t="shared" si="38"/>
        <v>0</v>
      </c>
      <c r="AE149" s="309">
        <f t="shared" si="45"/>
        <v>0</v>
      </c>
      <c r="AF149" s="309">
        <f t="shared" si="45"/>
        <v>0</v>
      </c>
      <c r="AG149" s="309">
        <f t="shared" si="39"/>
        <v>0</v>
      </c>
      <c r="AH149" s="309">
        <f t="shared" si="39"/>
        <v>0</v>
      </c>
      <c r="AI149" s="309">
        <f t="shared" si="40"/>
        <v>0</v>
      </c>
      <c r="AK149" s="309">
        <f t="shared" si="41"/>
        <v>0</v>
      </c>
      <c r="AL149" s="309">
        <f t="shared" si="41"/>
        <v>0</v>
      </c>
      <c r="AM149" s="309">
        <f t="shared" si="27"/>
        <v>0</v>
      </c>
      <c r="AN149" s="309">
        <f t="shared" si="27"/>
        <v>0</v>
      </c>
      <c r="AO149" s="309">
        <f t="shared" si="42"/>
        <v>0</v>
      </c>
    </row>
    <row r="150" spans="1:41" x14ac:dyDescent="0.2">
      <c r="A150" s="305">
        <v>2030</v>
      </c>
      <c r="B150" s="388">
        <v>42789.601028159115</v>
      </c>
      <c r="C150" s="309">
        <f t="shared" si="28"/>
        <v>15618204.375278076</v>
      </c>
      <c r="D150" s="309">
        <f t="shared" si="29"/>
        <v>2655094.7437972729</v>
      </c>
      <c r="E150" s="309">
        <f t="shared" si="30"/>
        <v>12963109.631480804</v>
      </c>
      <c r="G150" s="305">
        <v>2030</v>
      </c>
      <c r="H150" s="388">
        <v>81699.115173360828</v>
      </c>
      <c r="I150" s="309">
        <f t="shared" si="31"/>
        <v>29820177.038276702</v>
      </c>
      <c r="J150" s="309">
        <f t="shared" si="32"/>
        <v>5069430.0965070399</v>
      </c>
      <c r="K150" s="309">
        <f t="shared" si="33"/>
        <v>24750746.941769663</v>
      </c>
      <c r="M150" s="305">
        <v>2030</v>
      </c>
      <c r="N150" s="308">
        <f t="shared" si="34"/>
        <v>124488.71620151994</v>
      </c>
      <c r="O150" s="309">
        <f t="shared" si="34"/>
        <v>45438381.41355478</v>
      </c>
      <c r="P150" s="309">
        <f t="shared" si="26"/>
        <v>7724524.8403043132</v>
      </c>
      <c r="Q150" s="309">
        <f t="shared" si="26"/>
        <v>37713856.573250465</v>
      </c>
      <c r="S150" s="309">
        <f t="shared" si="43"/>
        <v>0</v>
      </c>
      <c r="T150" s="309">
        <f t="shared" si="43"/>
        <v>0</v>
      </c>
      <c r="U150" s="309">
        <f t="shared" si="35"/>
        <v>0</v>
      </c>
      <c r="V150" s="309">
        <f t="shared" si="35"/>
        <v>0</v>
      </c>
      <c r="W150" s="309">
        <f t="shared" si="36"/>
        <v>0</v>
      </c>
      <c r="Y150" s="309">
        <f t="shared" si="44"/>
        <v>0</v>
      </c>
      <c r="Z150" s="309">
        <f t="shared" si="44"/>
        <v>0</v>
      </c>
      <c r="AA150" s="309">
        <f t="shared" si="37"/>
        <v>0</v>
      </c>
      <c r="AB150" s="309">
        <f t="shared" si="37"/>
        <v>0</v>
      </c>
      <c r="AC150" s="309">
        <f t="shared" si="38"/>
        <v>0</v>
      </c>
      <c r="AE150" s="309">
        <f t="shared" si="45"/>
        <v>0</v>
      </c>
      <c r="AF150" s="309">
        <f t="shared" si="45"/>
        <v>0</v>
      </c>
      <c r="AG150" s="309">
        <f t="shared" si="39"/>
        <v>0</v>
      </c>
      <c r="AH150" s="309">
        <f t="shared" si="39"/>
        <v>0</v>
      </c>
      <c r="AI150" s="309">
        <f t="shared" si="40"/>
        <v>0</v>
      </c>
      <c r="AK150" s="309">
        <f t="shared" si="41"/>
        <v>0</v>
      </c>
      <c r="AL150" s="309">
        <f t="shared" si="41"/>
        <v>0</v>
      </c>
      <c r="AM150" s="309">
        <f t="shared" si="27"/>
        <v>0</v>
      </c>
      <c r="AN150" s="309">
        <f t="shared" si="27"/>
        <v>0</v>
      </c>
      <c r="AO150" s="309">
        <f t="shared" si="42"/>
        <v>0</v>
      </c>
    </row>
    <row r="151" spans="1:41" x14ac:dyDescent="0.2">
      <c r="A151" s="305">
        <v>2031</v>
      </c>
      <c r="B151" s="388">
        <v>43475.723516403843</v>
      </c>
      <c r="C151" s="309">
        <f t="shared" si="28"/>
        <v>15868639.083487403</v>
      </c>
      <c r="D151" s="309">
        <f t="shared" si="29"/>
        <v>2697668.6441928586</v>
      </c>
      <c r="E151" s="309">
        <f t="shared" si="30"/>
        <v>13170970.439294543</v>
      </c>
      <c r="G151" s="305">
        <v>2031</v>
      </c>
      <c r="H151" s="388">
        <v>83010.235193610832</v>
      </c>
      <c r="I151" s="309">
        <f t="shared" si="31"/>
        <v>30298735.845667955</v>
      </c>
      <c r="J151" s="309">
        <f t="shared" si="32"/>
        <v>5150785.0937635526</v>
      </c>
      <c r="K151" s="309">
        <f t="shared" si="33"/>
        <v>25147950.751904402</v>
      </c>
      <c r="M151" s="305">
        <v>2031</v>
      </c>
      <c r="N151" s="308">
        <f t="shared" si="34"/>
        <v>126485.95871001467</v>
      </c>
      <c r="O151" s="309">
        <f t="shared" si="34"/>
        <v>46167374.929155357</v>
      </c>
      <c r="P151" s="309">
        <f t="shared" si="26"/>
        <v>7848453.7379564112</v>
      </c>
      <c r="Q151" s="309">
        <f t="shared" si="26"/>
        <v>38318921.191198945</v>
      </c>
      <c r="S151" s="309">
        <f t="shared" si="43"/>
        <v>0</v>
      </c>
      <c r="T151" s="309">
        <f t="shared" si="43"/>
        <v>0</v>
      </c>
      <c r="U151" s="309">
        <f t="shared" si="35"/>
        <v>0</v>
      </c>
      <c r="V151" s="309">
        <f t="shared" si="35"/>
        <v>0</v>
      </c>
      <c r="W151" s="309">
        <f t="shared" si="36"/>
        <v>0</v>
      </c>
      <c r="Y151" s="309">
        <f t="shared" si="44"/>
        <v>0</v>
      </c>
      <c r="Z151" s="309">
        <f t="shared" si="44"/>
        <v>0</v>
      </c>
      <c r="AA151" s="309">
        <f t="shared" si="37"/>
        <v>0</v>
      </c>
      <c r="AB151" s="309">
        <f t="shared" si="37"/>
        <v>0</v>
      </c>
      <c r="AC151" s="309">
        <f t="shared" si="38"/>
        <v>0</v>
      </c>
      <c r="AE151" s="309">
        <f t="shared" si="45"/>
        <v>0</v>
      </c>
      <c r="AF151" s="309">
        <f t="shared" si="45"/>
        <v>0</v>
      </c>
      <c r="AG151" s="309">
        <f t="shared" si="39"/>
        <v>0</v>
      </c>
      <c r="AH151" s="309">
        <f t="shared" si="39"/>
        <v>0</v>
      </c>
      <c r="AI151" s="309">
        <f t="shared" si="40"/>
        <v>0</v>
      </c>
      <c r="AK151" s="309">
        <f t="shared" si="41"/>
        <v>0</v>
      </c>
      <c r="AL151" s="309">
        <f t="shared" si="41"/>
        <v>0</v>
      </c>
      <c r="AM151" s="309">
        <f t="shared" si="27"/>
        <v>0</v>
      </c>
      <c r="AN151" s="309">
        <f t="shared" si="27"/>
        <v>0</v>
      </c>
      <c r="AO151" s="309">
        <f t="shared" si="42"/>
        <v>0</v>
      </c>
    </row>
    <row r="152" spans="1:41" x14ac:dyDescent="0.2">
      <c r="A152" s="305">
        <v>2032</v>
      </c>
      <c r="B152" s="388">
        <v>44172.867099061521</v>
      </c>
      <c r="C152" s="309">
        <f t="shared" si="28"/>
        <v>16123096.491157455</v>
      </c>
      <c r="D152" s="309">
        <f t="shared" si="29"/>
        <v>2740926.4034967674</v>
      </c>
      <c r="E152" s="309">
        <f t="shared" si="30"/>
        <v>13382170.087660689</v>
      </c>
      <c r="G152" s="305">
        <v>2032</v>
      </c>
      <c r="H152" s="388">
        <v>84342.399096743087</v>
      </c>
      <c r="I152" s="309">
        <f t="shared" si="31"/>
        <v>30784975.670311227</v>
      </c>
      <c r="J152" s="309">
        <f t="shared" si="32"/>
        <v>5233445.8639529087</v>
      </c>
      <c r="K152" s="309">
        <f t="shared" si="33"/>
        <v>25551529.806358319</v>
      </c>
      <c r="M152" s="305">
        <v>2032</v>
      </c>
      <c r="N152" s="308">
        <f t="shared" si="34"/>
        <v>128515.26619580461</v>
      </c>
      <c r="O152" s="309">
        <f t="shared" si="34"/>
        <v>46908072.161468685</v>
      </c>
      <c r="P152" s="309">
        <f t="shared" si="26"/>
        <v>7974372.2674496761</v>
      </c>
      <c r="Q152" s="309">
        <f t="shared" si="26"/>
        <v>38933699.894019008</v>
      </c>
      <c r="S152" s="309">
        <f t="shared" si="43"/>
        <v>0</v>
      </c>
      <c r="T152" s="309">
        <f t="shared" si="43"/>
        <v>0</v>
      </c>
      <c r="U152" s="309">
        <f t="shared" si="35"/>
        <v>0</v>
      </c>
      <c r="V152" s="309">
        <f t="shared" si="35"/>
        <v>0</v>
      </c>
      <c r="W152" s="309">
        <f t="shared" si="36"/>
        <v>0</v>
      </c>
      <c r="Y152" s="309">
        <f t="shared" si="44"/>
        <v>0</v>
      </c>
      <c r="Z152" s="309">
        <f t="shared" si="44"/>
        <v>0</v>
      </c>
      <c r="AA152" s="309">
        <f t="shared" si="37"/>
        <v>0</v>
      </c>
      <c r="AB152" s="309">
        <f t="shared" si="37"/>
        <v>0</v>
      </c>
      <c r="AC152" s="309">
        <f t="shared" si="38"/>
        <v>0</v>
      </c>
      <c r="AE152" s="309">
        <f t="shared" si="45"/>
        <v>0</v>
      </c>
      <c r="AF152" s="309">
        <f t="shared" si="45"/>
        <v>0</v>
      </c>
      <c r="AG152" s="309">
        <f t="shared" si="39"/>
        <v>0</v>
      </c>
      <c r="AH152" s="309">
        <f t="shared" si="39"/>
        <v>0</v>
      </c>
      <c r="AI152" s="309">
        <f t="shared" si="40"/>
        <v>0</v>
      </c>
      <c r="AK152" s="309">
        <f t="shared" si="41"/>
        <v>0</v>
      </c>
      <c r="AL152" s="309">
        <f t="shared" si="41"/>
        <v>0</v>
      </c>
      <c r="AM152" s="309">
        <f t="shared" si="27"/>
        <v>0</v>
      </c>
      <c r="AN152" s="309">
        <f t="shared" si="27"/>
        <v>0</v>
      </c>
      <c r="AO152" s="309">
        <f t="shared" si="42"/>
        <v>0</v>
      </c>
    </row>
    <row r="153" spans="1:41" x14ac:dyDescent="0.2">
      <c r="A153" s="305">
        <v>2033</v>
      </c>
      <c r="B153" s="388">
        <v>44881.20908573702</v>
      </c>
      <c r="C153" s="309">
        <f t="shared" si="28"/>
        <v>16381641.316294013</v>
      </c>
      <c r="D153" s="309">
        <f t="shared" si="29"/>
        <v>2784879.0237699822</v>
      </c>
      <c r="E153" s="309">
        <f t="shared" si="30"/>
        <v>13596762.29252403</v>
      </c>
      <c r="G153" s="305">
        <v>2033</v>
      </c>
      <c r="H153" s="388">
        <v>85695.944688999356</v>
      </c>
      <c r="I153" s="309">
        <f t="shared" si="31"/>
        <v>31279019.811484765</v>
      </c>
      <c r="J153" s="309">
        <f t="shared" si="32"/>
        <v>5317433.3679524101</v>
      </c>
      <c r="K153" s="309">
        <f t="shared" si="33"/>
        <v>25961586.443532355</v>
      </c>
      <c r="M153" s="305">
        <v>2033</v>
      </c>
      <c r="N153" s="308">
        <f t="shared" si="34"/>
        <v>130577.15377473638</v>
      </c>
      <c r="O153" s="309">
        <f t="shared" si="34"/>
        <v>47660661.127778776</v>
      </c>
      <c r="P153" s="309">
        <f t="shared" si="34"/>
        <v>8102312.3917223923</v>
      </c>
      <c r="Q153" s="309">
        <f t="shared" si="34"/>
        <v>39558348.736056387</v>
      </c>
      <c r="S153" s="309">
        <f t="shared" si="43"/>
        <v>0</v>
      </c>
      <c r="T153" s="309">
        <f t="shared" si="43"/>
        <v>0</v>
      </c>
      <c r="U153" s="309">
        <f t="shared" si="35"/>
        <v>0</v>
      </c>
      <c r="V153" s="309">
        <f t="shared" si="35"/>
        <v>0</v>
      </c>
      <c r="W153" s="309">
        <f t="shared" si="36"/>
        <v>0</v>
      </c>
      <c r="Y153" s="309">
        <f t="shared" si="44"/>
        <v>0</v>
      </c>
      <c r="Z153" s="309">
        <f t="shared" si="44"/>
        <v>0</v>
      </c>
      <c r="AA153" s="309">
        <f t="shared" si="37"/>
        <v>0</v>
      </c>
      <c r="AB153" s="309">
        <f t="shared" si="37"/>
        <v>0</v>
      </c>
      <c r="AC153" s="309">
        <f t="shared" si="38"/>
        <v>0</v>
      </c>
      <c r="AE153" s="309">
        <f t="shared" si="45"/>
        <v>0</v>
      </c>
      <c r="AF153" s="309">
        <f t="shared" si="45"/>
        <v>0</v>
      </c>
      <c r="AG153" s="309">
        <f t="shared" si="39"/>
        <v>0</v>
      </c>
      <c r="AH153" s="309">
        <f t="shared" si="39"/>
        <v>0</v>
      </c>
      <c r="AI153" s="309">
        <f t="shared" si="40"/>
        <v>0</v>
      </c>
      <c r="AK153" s="309">
        <f t="shared" si="41"/>
        <v>0</v>
      </c>
      <c r="AL153" s="309">
        <f t="shared" si="41"/>
        <v>0</v>
      </c>
      <c r="AM153" s="309">
        <f t="shared" si="27"/>
        <v>0</v>
      </c>
      <c r="AN153" s="309">
        <f t="shared" si="27"/>
        <v>0</v>
      </c>
      <c r="AO153" s="309">
        <f t="shared" si="42"/>
        <v>0</v>
      </c>
    </row>
    <row r="154" spans="1:41" x14ac:dyDescent="0.2">
      <c r="A154" s="305">
        <v>2034</v>
      </c>
      <c r="B154" s="388">
        <v>45600.929642776973</v>
      </c>
      <c r="C154" s="309">
        <f t="shared" si="28"/>
        <v>16644339.319613595</v>
      </c>
      <c r="D154" s="309">
        <f t="shared" si="29"/>
        <v>2829537.6843343112</v>
      </c>
      <c r="E154" s="309">
        <f t="shared" si="30"/>
        <v>13814801.635279283</v>
      </c>
      <c r="G154" s="305">
        <v>2034</v>
      </c>
      <c r="H154" s="388">
        <v>87071.215199975879</v>
      </c>
      <c r="I154" s="309">
        <f t="shared" si="31"/>
        <v>31780993.547991198</v>
      </c>
      <c r="J154" s="309">
        <f t="shared" si="32"/>
        <v>5402768.9031585036</v>
      </c>
      <c r="K154" s="309">
        <f t="shared" si="33"/>
        <v>26378224.644832693</v>
      </c>
      <c r="M154" s="305">
        <v>2034</v>
      </c>
      <c r="N154" s="308">
        <f t="shared" si="34"/>
        <v>132672.14484275284</v>
      </c>
      <c r="O154" s="309">
        <f t="shared" si="34"/>
        <v>48425332.867604792</v>
      </c>
      <c r="P154" s="309">
        <f t="shared" si="34"/>
        <v>8232306.5874928143</v>
      </c>
      <c r="Q154" s="309">
        <f t="shared" si="34"/>
        <v>40193026.280111976</v>
      </c>
      <c r="S154" s="309">
        <f t="shared" si="43"/>
        <v>0</v>
      </c>
      <c r="T154" s="309">
        <f t="shared" si="43"/>
        <v>0</v>
      </c>
      <c r="U154" s="309">
        <f t="shared" si="35"/>
        <v>0</v>
      </c>
      <c r="V154" s="309">
        <f t="shared" si="35"/>
        <v>0</v>
      </c>
      <c r="W154" s="309">
        <f t="shared" si="36"/>
        <v>0</v>
      </c>
      <c r="Y154" s="309">
        <f t="shared" si="44"/>
        <v>0</v>
      </c>
      <c r="Z154" s="309">
        <f t="shared" si="44"/>
        <v>0</v>
      </c>
      <c r="AA154" s="309">
        <f t="shared" si="37"/>
        <v>0</v>
      </c>
      <c r="AB154" s="309">
        <f t="shared" si="37"/>
        <v>0</v>
      </c>
      <c r="AC154" s="309">
        <f t="shared" si="38"/>
        <v>0</v>
      </c>
      <c r="AE154" s="309">
        <f t="shared" si="45"/>
        <v>0</v>
      </c>
      <c r="AF154" s="309">
        <f t="shared" si="45"/>
        <v>0</v>
      </c>
      <c r="AG154" s="309">
        <f t="shared" si="39"/>
        <v>0</v>
      </c>
      <c r="AH154" s="309">
        <f t="shared" si="39"/>
        <v>0</v>
      </c>
      <c r="AI154" s="309">
        <f t="shared" si="40"/>
        <v>0</v>
      </c>
      <c r="AK154" s="309">
        <f t="shared" si="41"/>
        <v>0</v>
      </c>
      <c r="AL154" s="309">
        <f t="shared" si="41"/>
        <v>0</v>
      </c>
      <c r="AM154" s="309">
        <f t="shared" si="27"/>
        <v>0</v>
      </c>
      <c r="AN154" s="309">
        <f t="shared" si="27"/>
        <v>0</v>
      </c>
      <c r="AO154" s="309">
        <f t="shared" si="42"/>
        <v>0</v>
      </c>
    </row>
    <row r="155" spans="1:41" x14ac:dyDescent="0.2">
      <c r="A155" s="305">
        <v>2035</v>
      </c>
      <c r="B155" s="388">
        <v>46332.211839359559</v>
      </c>
      <c r="C155" s="309">
        <f t="shared" si="28"/>
        <v>16911257.321366239</v>
      </c>
      <c r="D155" s="309">
        <f t="shared" si="29"/>
        <v>2874913.7446322609</v>
      </c>
      <c r="E155" s="309">
        <f t="shared" si="30"/>
        <v>14036343.576733978</v>
      </c>
      <c r="G155" s="305">
        <v>2035</v>
      </c>
      <c r="H155" s="388">
        <v>88468.559369705094</v>
      </c>
      <c r="I155" s="309">
        <f t="shared" si="31"/>
        <v>32291024.16994236</v>
      </c>
      <c r="J155" s="309">
        <f t="shared" si="32"/>
        <v>5489474.1088902019</v>
      </c>
      <c r="K155" s="309">
        <f t="shared" si="33"/>
        <v>26801550.061052158</v>
      </c>
      <c r="M155" s="305">
        <v>2035</v>
      </c>
      <c r="N155" s="308">
        <f t="shared" si="34"/>
        <v>134800.77120906464</v>
      </c>
      <c r="O155" s="309">
        <f t="shared" si="34"/>
        <v>49202281.4913086</v>
      </c>
      <c r="P155" s="309">
        <f t="shared" si="34"/>
        <v>8364387.8535224628</v>
      </c>
      <c r="Q155" s="309">
        <f t="shared" si="34"/>
        <v>40837893.637786135</v>
      </c>
      <c r="S155" s="309">
        <f t="shared" ref="S155:T160" si="46">S154*1.016</f>
        <v>0</v>
      </c>
      <c r="T155" s="309">
        <f t="shared" si="46"/>
        <v>0</v>
      </c>
      <c r="U155" s="309">
        <f t="shared" si="35"/>
        <v>0</v>
      </c>
      <c r="V155" s="309">
        <f t="shared" si="35"/>
        <v>0</v>
      </c>
      <c r="W155" s="309">
        <f t="shared" si="36"/>
        <v>0</v>
      </c>
      <c r="Y155" s="309">
        <f t="shared" ref="Y155:Z160" si="47">Y154*1.016</f>
        <v>0</v>
      </c>
      <c r="Z155" s="309">
        <f t="shared" si="47"/>
        <v>0</v>
      </c>
      <c r="AA155" s="309">
        <f t="shared" si="37"/>
        <v>0</v>
      </c>
      <c r="AB155" s="309">
        <f t="shared" si="37"/>
        <v>0</v>
      </c>
      <c r="AC155" s="309">
        <f t="shared" si="38"/>
        <v>0</v>
      </c>
      <c r="AE155" s="309">
        <f t="shared" ref="AE155:AF160" si="48">AE154*1.016</f>
        <v>0</v>
      </c>
      <c r="AF155" s="309">
        <f t="shared" si="48"/>
        <v>0</v>
      </c>
      <c r="AG155" s="309">
        <f t="shared" si="39"/>
        <v>0</v>
      </c>
      <c r="AH155" s="309">
        <f t="shared" si="39"/>
        <v>0</v>
      </c>
      <c r="AI155" s="309">
        <f t="shared" si="40"/>
        <v>0</v>
      </c>
      <c r="AK155" s="309">
        <f t="shared" si="41"/>
        <v>0</v>
      </c>
      <c r="AL155" s="309">
        <f t="shared" si="41"/>
        <v>0</v>
      </c>
      <c r="AM155" s="309">
        <f t="shared" si="27"/>
        <v>0</v>
      </c>
      <c r="AN155" s="309">
        <f t="shared" si="27"/>
        <v>0</v>
      </c>
      <c r="AO155" s="309">
        <f t="shared" si="42"/>
        <v>0</v>
      </c>
    </row>
    <row r="156" spans="1:41" x14ac:dyDescent="0.2">
      <c r="A156" s="305">
        <v>2036</v>
      </c>
      <c r="B156" s="388">
        <v>47075.241694328972</v>
      </c>
      <c r="C156" s="309">
        <f t="shared" si="28"/>
        <v>17182463.218430076</v>
      </c>
      <c r="D156" s="309">
        <f t="shared" si="29"/>
        <v>2921018.747133113</v>
      </c>
      <c r="E156" s="309">
        <f t="shared" si="30"/>
        <v>14261444.471296962</v>
      </c>
      <c r="G156" s="305">
        <v>2036</v>
      </c>
      <c r="H156" s="388">
        <v>89888.331537135964</v>
      </c>
      <c r="I156" s="309">
        <f t="shared" si="31"/>
        <v>32809241.011054628</v>
      </c>
      <c r="J156" s="309">
        <f t="shared" si="32"/>
        <v>5577570.9718792867</v>
      </c>
      <c r="K156" s="309">
        <f t="shared" si="33"/>
        <v>27231670.039175339</v>
      </c>
      <c r="M156" s="305">
        <v>2036</v>
      </c>
      <c r="N156" s="308">
        <f t="shared" si="34"/>
        <v>136963.57323146495</v>
      </c>
      <c r="O156" s="309">
        <f t="shared" si="34"/>
        <v>49991704.229484707</v>
      </c>
      <c r="P156" s="309">
        <f t="shared" si="34"/>
        <v>8498589.7190124001</v>
      </c>
      <c r="Q156" s="309">
        <f t="shared" si="34"/>
        <v>41493114.510472298</v>
      </c>
      <c r="S156" s="309">
        <f t="shared" si="46"/>
        <v>0</v>
      </c>
      <c r="T156" s="309">
        <f t="shared" si="46"/>
        <v>0</v>
      </c>
      <c r="U156" s="309">
        <f t="shared" si="35"/>
        <v>0</v>
      </c>
      <c r="V156" s="309">
        <f t="shared" si="35"/>
        <v>0</v>
      </c>
      <c r="W156" s="309">
        <f t="shared" si="36"/>
        <v>0</v>
      </c>
      <c r="Y156" s="309">
        <f t="shared" si="47"/>
        <v>0</v>
      </c>
      <c r="Z156" s="309">
        <f t="shared" si="47"/>
        <v>0</v>
      </c>
      <c r="AA156" s="309">
        <f t="shared" si="37"/>
        <v>0</v>
      </c>
      <c r="AB156" s="309">
        <f t="shared" si="37"/>
        <v>0</v>
      </c>
      <c r="AC156" s="309">
        <f t="shared" si="38"/>
        <v>0</v>
      </c>
      <c r="AE156" s="309">
        <f t="shared" si="48"/>
        <v>0</v>
      </c>
      <c r="AF156" s="309">
        <f t="shared" si="48"/>
        <v>0</v>
      </c>
      <c r="AG156" s="309">
        <f t="shared" si="39"/>
        <v>0</v>
      </c>
      <c r="AH156" s="309">
        <f t="shared" si="39"/>
        <v>0</v>
      </c>
      <c r="AI156" s="309">
        <f t="shared" si="40"/>
        <v>0</v>
      </c>
      <c r="AK156" s="309">
        <f t="shared" si="41"/>
        <v>0</v>
      </c>
      <c r="AL156" s="309">
        <f t="shared" si="41"/>
        <v>0</v>
      </c>
      <c r="AM156" s="309">
        <f t="shared" si="27"/>
        <v>0</v>
      </c>
      <c r="AN156" s="309">
        <f t="shared" si="27"/>
        <v>0</v>
      </c>
      <c r="AO156" s="309">
        <f t="shared" si="42"/>
        <v>0</v>
      </c>
    </row>
    <row r="157" spans="1:41" x14ac:dyDescent="0.2">
      <c r="A157" s="305">
        <v>2037</v>
      </c>
      <c r="B157" s="388">
        <v>47830.208223786591</v>
      </c>
      <c r="C157" s="309">
        <f t="shared" si="28"/>
        <v>17458026.001682106</v>
      </c>
      <c r="D157" s="309">
        <f t="shared" si="29"/>
        <v>2967864.4202859583</v>
      </c>
      <c r="E157" s="309">
        <f t="shared" si="30"/>
        <v>14490161.581396148</v>
      </c>
      <c r="G157" s="305">
        <v>2037</v>
      </c>
      <c r="H157" s="388">
        <v>91330.891730034855</v>
      </c>
      <c r="I157" s="309">
        <f t="shared" si="31"/>
        <v>33335775.481462721</v>
      </c>
      <c r="J157" s="309">
        <f t="shared" si="32"/>
        <v>5667081.8318486633</v>
      </c>
      <c r="K157" s="309">
        <f t="shared" si="33"/>
        <v>27668693.649614058</v>
      </c>
      <c r="M157" s="305">
        <v>2037</v>
      </c>
      <c r="N157" s="308">
        <f t="shared" si="34"/>
        <v>139161.09995382145</v>
      </c>
      <c r="O157" s="309">
        <f t="shared" si="34"/>
        <v>50793801.483144827</v>
      </c>
      <c r="P157" s="309">
        <f t="shared" si="34"/>
        <v>8634946.2521346211</v>
      </c>
      <c r="Q157" s="309">
        <f t="shared" si="34"/>
        <v>42158855.231010206</v>
      </c>
      <c r="S157" s="309">
        <f t="shared" si="46"/>
        <v>0</v>
      </c>
      <c r="T157" s="309">
        <f t="shared" si="46"/>
        <v>0</v>
      </c>
      <c r="U157" s="309">
        <f t="shared" si="35"/>
        <v>0</v>
      </c>
      <c r="V157" s="309">
        <f t="shared" si="35"/>
        <v>0</v>
      </c>
      <c r="W157" s="309">
        <f t="shared" si="36"/>
        <v>0</v>
      </c>
      <c r="Y157" s="309">
        <f t="shared" si="47"/>
        <v>0</v>
      </c>
      <c r="Z157" s="309">
        <f t="shared" si="47"/>
        <v>0</v>
      </c>
      <c r="AA157" s="309">
        <f t="shared" si="37"/>
        <v>0</v>
      </c>
      <c r="AB157" s="309">
        <f t="shared" si="37"/>
        <v>0</v>
      </c>
      <c r="AC157" s="309">
        <f t="shared" si="38"/>
        <v>0</v>
      </c>
      <c r="AE157" s="309">
        <f t="shared" si="48"/>
        <v>0</v>
      </c>
      <c r="AF157" s="309">
        <f t="shared" si="48"/>
        <v>0</v>
      </c>
      <c r="AG157" s="309">
        <f t="shared" si="39"/>
        <v>0</v>
      </c>
      <c r="AH157" s="309">
        <f t="shared" si="39"/>
        <v>0</v>
      </c>
      <c r="AI157" s="309">
        <f t="shared" si="40"/>
        <v>0</v>
      </c>
      <c r="AK157" s="309">
        <f t="shared" si="41"/>
        <v>0</v>
      </c>
      <c r="AL157" s="309">
        <f t="shared" si="41"/>
        <v>0</v>
      </c>
      <c r="AM157" s="309">
        <f t="shared" si="27"/>
        <v>0</v>
      </c>
      <c r="AN157" s="309">
        <f t="shared" si="27"/>
        <v>0</v>
      </c>
      <c r="AO157" s="309">
        <f t="shared" si="42"/>
        <v>0</v>
      </c>
    </row>
    <row r="158" spans="1:41" x14ac:dyDescent="0.2">
      <c r="A158" s="305">
        <v>2038</v>
      </c>
      <c r="B158" s="389">
        <v>48597.303489450853</v>
      </c>
      <c r="C158" s="309">
        <f t="shared" si="28"/>
        <v>17738015.773649562</v>
      </c>
      <c r="D158" s="309">
        <f t="shared" si="29"/>
        <v>3015462.6815204257</v>
      </c>
      <c r="E158" s="309">
        <f t="shared" si="30"/>
        <v>14722553.092129137</v>
      </c>
      <c r="G158" s="305">
        <v>2038</v>
      </c>
      <c r="H158" s="389">
        <v>92796.605756330566</v>
      </c>
      <c r="I158" s="309">
        <f t="shared" si="31"/>
        <v>33870761.101060659</v>
      </c>
      <c r="J158" s="309">
        <f t="shared" si="32"/>
        <v>5758029.3871803125</v>
      </c>
      <c r="K158" s="309">
        <f t="shared" si="33"/>
        <v>28112731.713880345</v>
      </c>
      <c r="M158" s="305">
        <v>2038</v>
      </c>
      <c r="N158" s="308">
        <f t="shared" si="34"/>
        <v>141393.90924578143</v>
      </c>
      <c r="O158" s="309">
        <f t="shared" si="34"/>
        <v>51608776.874710217</v>
      </c>
      <c r="P158" s="309">
        <f t="shared" si="34"/>
        <v>8773492.0687007383</v>
      </c>
      <c r="Q158" s="309">
        <f t="shared" si="34"/>
        <v>42835284.806009486</v>
      </c>
      <c r="S158" s="309">
        <f t="shared" si="46"/>
        <v>0</v>
      </c>
      <c r="T158" s="309">
        <f t="shared" si="46"/>
        <v>0</v>
      </c>
      <c r="U158" s="309">
        <f t="shared" si="35"/>
        <v>0</v>
      </c>
      <c r="V158" s="309">
        <f t="shared" si="35"/>
        <v>0</v>
      </c>
      <c r="W158" s="309">
        <f t="shared" si="36"/>
        <v>0</v>
      </c>
      <c r="Y158" s="309">
        <f t="shared" si="47"/>
        <v>0</v>
      </c>
      <c r="Z158" s="309">
        <f t="shared" si="47"/>
        <v>0</v>
      </c>
      <c r="AA158" s="309">
        <f t="shared" si="37"/>
        <v>0</v>
      </c>
      <c r="AB158" s="309">
        <f t="shared" si="37"/>
        <v>0</v>
      </c>
      <c r="AC158" s="309">
        <f t="shared" si="38"/>
        <v>0</v>
      </c>
      <c r="AE158" s="309">
        <f t="shared" si="48"/>
        <v>0</v>
      </c>
      <c r="AF158" s="309">
        <f t="shared" si="48"/>
        <v>0</v>
      </c>
      <c r="AG158" s="309">
        <f t="shared" si="39"/>
        <v>0</v>
      </c>
      <c r="AH158" s="309">
        <f t="shared" si="39"/>
        <v>0</v>
      </c>
      <c r="AI158" s="309">
        <f t="shared" si="40"/>
        <v>0</v>
      </c>
      <c r="AK158" s="309">
        <f t="shared" si="41"/>
        <v>0</v>
      </c>
      <c r="AL158" s="309">
        <f t="shared" si="41"/>
        <v>0</v>
      </c>
      <c r="AM158" s="309">
        <f t="shared" si="27"/>
        <v>0</v>
      </c>
      <c r="AN158" s="309">
        <f t="shared" si="27"/>
        <v>0</v>
      </c>
      <c r="AO158" s="309">
        <f t="shared" si="42"/>
        <v>0</v>
      </c>
    </row>
    <row r="159" spans="1:41" x14ac:dyDescent="0.2">
      <c r="A159" s="305">
        <v>2039</v>
      </c>
      <c r="B159" s="388">
        <v>49376.722647798553</v>
      </c>
      <c r="C159" s="309">
        <f t="shared" si="28"/>
        <v>18022503.766446471</v>
      </c>
      <c r="D159" s="309">
        <f t="shared" si="29"/>
        <v>3063825.6402959004</v>
      </c>
      <c r="E159" s="309">
        <f t="shared" si="30"/>
        <v>14958678.126150571</v>
      </c>
      <c r="G159" s="305">
        <v>2039</v>
      </c>
      <c r="H159" s="388">
        <v>94285.845296925851</v>
      </c>
      <c r="I159" s="309">
        <f t="shared" si="31"/>
        <v>34414333.533377938</v>
      </c>
      <c r="J159" s="309">
        <f t="shared" si="32"/>
        <v>5850436.7006742498</v>
      </c>
      <c r="K159" s="309">
        <f t="shared" si="33"/>
        <v>28563896.832703687</v>
      </c>
      <c r="M159" s="305">
        <v>2039</v>
      </c>
      <c r="N159" s="308">
        <f t="shared" si="34"/>
        <v>143662.5679447244</v>
      </c>
      <c r="O159" s="309">
        <f t="shared" si="34"/>
        <v>52436837.299824409</v>
      </c>
      <c r="P159" s="309">
        <f t="shared" si="34"/>
        <v>8914262.3409701511</v>
      </c>
      <c r="Q159" s="309">
        <f t="shared" si="34"/>
        <v>43522574.958854258</v>
      </c>
      <c r="S159" s="309">
        <f t="shared" si="46"/>
        <v>0</v>
      </c>
      <c r="T159" s="309">
        <f t="shared" si="46"/>
        <v>0</v>
      </c>
      <c r="U159" s="309">
        <f t="shared" si="35"/>
        <v>0</v>
      </c>
      <c r="V159" s="309">
        <f t="shared" si="35"/>
        <v>0</v>
      </c>
      <c r="W159" s="309">
        <f t="shared" si="36"/>
        <v>0</v>
      </c>
      <c r="Y159" s="309">
        <f t="shared" si="47"/>
        <v>0</v>
      </c>
      <c r="Z159" s="309">
        <f t="shared" si="47"/>
        <v>0</v>
      </c>
      <c r="AA159" s="309">
        <f t="shared" si="37"/>
        <v>0</v>
      </c>
      <c r="AB159" s="309">
        <f t="shared" si="37"/>
        <v>0</v>
      </c>
      <c r="AC159" s="309">
        <f t="shared" si="38"/>
        <v>0</v>
      </c>
      <c r="AE159" s="309">
        <f t="shared" si="48"/>
        <v>0</v>
      </c>
      <c r="AF159" s="309">
        <f t="shared" si="48"/>
        <v>0</v>
      </c>
      <c r="AG159" s="309">
        <f t="shared" si="39"/>
        <v>0</v>
      </c>
      <c r="AH159" s="309">
        <f t="shared" si="39"/>
        <v>0</v>
      </c>
      <c r="AI159" s="309">
        <f t="shared" si="40"/>
        <v>0</v>
      </c>
      <c r="AK159" s="309">
        <f t="shared" si="41"/>
        <v>0</v>
      </c>
      <c r="AL159" s="309">
        <f t="shared" si="41"/>
        <v>0</v>
      </c>
      <c r="AM159" s="309">
        <f t="shared" si="27"/>
        <v>0</v>
      </c>
      <c r="AN159" s="309">
        <f t="shared" si="27"/>
        <v>0</v>
      </c>
      <c r="AO159" s="309">
        <f t="shared" si="42"/>
        <v>0</v>
      </c>
    </row>
    <row r="160" spans="1:41" x14ac:dyDescent="0.2">
      <c r="A160" s="305">
        <v>2040</v>
      </c>
      <c r="B160" s="388">
        <v>50168.664000000004</v>
      </c>
      <c r="C160" s="309">
        <f t="shared" si="28"/>
        <v>18311562.360000003</v>
      </c>
      <c r="D160" s="309">
        <f t="shared" si="29"/>
        <v>3112965.6012000008</v>
      </c>
      <c r="E160" s="309">
        <f t="shared" si="30"/>
        <v>15198596.758800002</v>
      </c>
      <c r="G160" s="305">
        <v>2040</v>
      </c>
      <c r="H160" s="388">
        <v>95798.987999999983</v>
      </c>
      <c r="I160" s="309">
        <f t="shared" si="31"/>
        <v>34966630.619999997</v>
      </c>
      <c r="J160" s="309">
        <f t="shared" si="32"/>
        <v>5944327.2054000003</v>
      </c>
      <c r="K160" s="309">
        <f t="shared" si="33"/>
        <v>29022303.414599996</v>
      </c>
      <c r="M160" s="305">
        <v>2040</v>
      </c>
      <c r="N160" s="308">
        <f t="shared" si="34"/>
        <v>145967.652</v>
      </c>
      <c r="O160" s="309">
        <f t="shared" si="34"/>
        <v>53278192.980000004</v>
      </c>
      <c r="P160" s="309">
        <f t="shared" si="34"/>
        <v>9057292.8066000007</v>
      </c>
      <c r="Q160" s="309">
        <f t="shared" si="34"/>
        <v>44220900.1734</v>
      </c>
      <c r="S160" s="309">
        <f t="shared" si="46"/>
        <v>0</v>
      </c>
      <c r="T160" s="309">
        <f t="shared" si="46"/>
        <v>0</v>
      </c>
      <c r="U160" s="309">
        <f t="shared" si="35"/>
        <v>0</v>
      </c>
      <c r="V160" s="309">
        <f t="shared" si="35"/>
        <v>0</v>
      </c>
      <c r="W160" s="309">
        <f t="shared" si="36"/>
        <v>0</v>
      </c>
      <c r="Y160" s="309">
        <f t="shared" si="47"/>
        <v>0</v>
      </c>
      <c r="Z160" s="309">
        <f t="shared" si="47"/>
        <v>0</v>
      </c>
      <c r="AA160" s="309">
        <f t="shared" si="37"/>
        <v>0</v>
      </c>
      <c r="AB160" s="309">
        <f t="shared" si="37"/>
        <v>0</v>
      </c>
      <c r="AC160" s="309">
        <f t="shared" si="38"/>
        <v>0</v>
      </c>
      <c r="AE160" s="309">
        <f t="shared" si="48"/>
        <v>0</v>
      </c>
      <c r="AF160" s="309">
        <f t="shared" si="48"/>
        <v>0</v>
      </c>
      <c r="AG160" s="309">
        <f t="shared" si="39"/>
        <v>0</v>
      </c>
      <c r="AH160" s="309">
        <f t="shared" si="39"/>
        <v>0</v>
      </c>
      <c r="AI160" s="309">
        <f t="shared" si="40"/>
        <v>0</v>
      </c>
      <c r="AK160" s="309">
        <f t="shared" si="41"/>
        <v>0</v>
      </c>
      <c r="AL160" s="309">
        <f t="shared" si="41"/>
        <v>0</v>
      </c>
      <c r="AM160" s="309">
        <f t="shared" si="27"/>
        <v>0</v>
      </c>
      <c r="AN160" s="309">
        <f t="shared" si="27"/>
        <v>0</v>
      </c>
      <c r="AO160" s="309">
        <f t="shared" si="42"/>
        <v>0</v>
      </c>
    </row>
    <row r="161" spans="1:41" x14ac:dyDescent="0.2">
      <c r="A161" s="305">
        <v>2041</v>
      </c>
      <c r="B161" s="388">
        <v>50622.652581939125</v>
      </c>
      <c r="C161" s="309">
        <f t="shared" si="28"/>
        <v>18477268.192407779</v>
      </c>
      <c r="D161" s="309">
        <f t="shared" si="29"/>
        <v>3141135.5927093229</v>
      </c>
      <c r="E161" s="309">
        <f t="shared" si="30"/>
        <v>15336132.599698456</v>
      </c>
      <c r="G161" s="305">
        <v>2041</v>
      </c>
      <c r="H161" s="388">
        <v>96674.973445871277</v>
      </c>
      <c r="I161" s="309">
        <f t="shared" si="31"/>
        <v>35286365.307743013</v>
      </c>
      <c r="J161" s="309">
        <f t="shared" si="32"/>
        <v>5998682.1023163125</v>
      </c>
      <c r="K161" s="309">
        <f t="shared" si="33"/>
        <v>29287683.2054267</v>
      </c>
      <c r="M161" s="305">
        <v>2041</v>
      </c>
      <c r="N161" s="308">
        <f t="shared" si="34"/>
        <v>147297.62602781039</v>
      </c>
      <c r="O161" s="309">
        <f t="shared" si="34"/>
        <v>53763633.500150792</v>
      </c>
      <c r="P161" s="309">
        <f t="shared" si="34"/>
        <v>9139817.6950256359</v>
      </c>
      <c r="Q161" s="309">
        <f t="shared" si="34"/>
        <v>44623815.805125155</v>
      </c>
      <c r="S161" s="309">
        <f>S160*1.009</f>
        <v>0</v>
      </c>
      <c r="T161" s="309">
        <f>T160*1.009</f>
        <v>0</v>
      </c>
      <c r="U161" s="309">
        <f t="shared" si="35"/>
        <v>0</v>
      </c>
      <c r="V161" s="309">
        <f t="shared" si="35"/>
        <v>0</v>
      </c>
      <c r="W161" s="309">
        <f t="shared" si="36"/>
        <v>0</v>
      </c>
      <c r="Y161" s="309">
        <f>Y160*1.009</f>
        <v>0</v>
      </c>
      <c r="Z161" s="309">
        <f>Z160*1.009</f>
        <v>0</v>
      </c>
      <c r="AA161" s="309">
        <f t="shared" si="37"/>
        <v>0</v>
      </c>
      <c r="AB161" s="309">
        <f t="shared" si="37"/>
        <v>0</v>
      </c>
      <c r="AC161" s="309">
        <f t="shared" si="38"/>
        <v>0</v>
      </c>
      <c r="AE161" s="309">
        <f>AE160*1.009</f>
        <v>0</v>
      </c>
      <c r="AF161" s="309">
        <f>AF160*1.009</f>
        <v>0</v>
      </c>
      <c r="AG161" s="309">
        <f t="shared" si="39"/>
        <v>0</v>
      </c>
      <c r="AH161" s="309">
        <f t="shared" si="39"/>
        <v>0</v>
      </c>
      <c r="AI161" s="309">
        <f t="shared" si="40"/>
        <v>0</v>
      </c>
      <c r="AK161" s="309">
        <f t="shared" si="41"/>
        <v>0</v>
      </c>
      <c r="AL161" s="309">
        <f t="shared" si="41"/>
        <v>0</v>
      </c>
      <c r="AM161" s="309">
        <f t="shared" si="27"/>
        <v>0</v>
      </c>
      <c r="AN161" s="309">
        <f t="shared" si="27"/>
        <v>0</v>
      </c>
      <c r="AO161" s="309">
        <f t="shared" si="42"/>
        <v>0</v>
      </c>
    </row>
    <row r="162" spans="1:41" x14ac:dyDescent="0.2">
      <c r="A162" s="305">
        <v>2042</v>
      </c>
      <c r="B162" s="388">
        <v>51080.765242490073</v>
      </c>
      <c r="C162" s="309">
        <f t="shared" si="28"/>
        <v>18644479.313508876</v>
      </c>
      <c r="D162" s="309">
        <f t="shared" si="29"/>
        <v>3169561.4832965089</v>
      </c>
      <c r="E162" s="309">
        <f t="shared" si="30"/>
        <v>15474917.830212366</v>
      </c>
      <c r="G162" s="305">
        <v>2042</v>
      </c>
      <c r="H162" s="388">
        <v>97558.969703695737</v>
      </c>
      <c r="I162" s="309">
        <f t="shared" si="31"/>
        <v>35609023.941848941</v>
      </c>
      <c r="J162" s="309">
        <f t="shared" si="32"/>
        <v>6053534.0701143201</v>
      </c>
      <c r="K162" s="309">
        <f t="shared" si="33"/>
        <v>29555489.871734619</v>
      </c>
      <c r="M162" s="305">
        <v>2042</v>
      </c>
      <c r="N162" s="308">
        <f t="shared" si="34"/>
        <v>148639.73494618581</v>
      </c>
      <c r="O162" s="309">
        <f t="shared" si="34"/>
        <v>54253503.255357817</v>
      </c>
      <c r="P162" s="309">
        <f t="shared" si="34"/>
        <v>9223095.5534108281</v>
      </c>
      <c r="Q162" s="309">
        <f t="shared" si="34"/>
        <v>45030407.701946989</v>
      </c>
      <c r="S162" s="309">
        <f t="shared" ref="S162:T175" si="49">S161*1.009</f>
        <v>0</v>
      </c>
      <c r="T162" s="309">
        <f t="shared" si="49"/>
        <v>0</v>
      </c>
      <c r="U162" s="309">
        <f t="shared" si="35"/>
        <v>0</v>
      </c>
      <c r="V162" s="309">
        <f t="shared" si="35"/>
        <v>0</v>
      </c>
      <c r="W162" s="309">
        <f t="shared" si="36"/>
        <v>0</v>
      </c>
      <c r="Y162" s="309">
        <f t="shared" ref="Y162:Z175" si="50">Y161*1.009</f>
        <v>0</v>
      </c>
      <c r="Z162" s="309">
        <f t="shared" si="50"/>
        <v>0</v>
      </c>
      <c r="AA162" s="309">
        <f t="shared" si="37"/>
        <v>0</v>
      </c>
      <c r="AB162" s="309">
        <f t="shared" si="37"/>
        <v>0</v>
      </c>
      <c r="AC162" s="309">
        <f t="shared" si="38"/>
        <v>0</v>
      </c>
      <c r="AE162" s="309">
        <f t="shared" ref="AE162:AF175" si="51">AE161*1.009</f>
        <v>0</v>
      </c>
      <c r="AF162" s="309">
        <f t="shared" si="51"/>
        <v>0</v>
      </c>
      <c r="AG162" s="309">
        <f t="shared" si="39"/>
        <v>0</v>
      </c>
      <c r="AH162" s="309">
        <f t="shared" si="39"/>
        <v>0</v>
      </c>
      <c r="AI162" s="309">
        <f t="shared" si="40"/>
        <v>0</v>
      </c>
      <c r="AK162" s="309">
        <f t="shared" si="41"/>
        <v>0</v>
      </c>
      <c r="AL162" s="309">
        <f t="shared" si="41"/>
        <v>0</v>
      </c>
      <c r="AM162" s="309">
        <f t="shared" si="27"/>
        <v>0</v>
      </c>
      <c r="AN162" s="309">
        <f t="shared" si="27"/>
        <v>0</v>
      </c>
      <c r="AO162" s="309">
        <f t="shared" si="42"/>
        <v>0</v>
      </c>
    </row>
    <row r="163" spans="1:41" x14ac:dyDescent="0.2">
      <c r="A163" s="305">
        <v>2043</v>
      </c>
      <c r="B163" s="388">
        <v>51543.039569153494</v>
      </c>
      <c r="C163" s="309">
        <f t="shared" si="28"/>
        <v>18813209.442741025</v>
      </c>
      <c r="D163" s="309">
        <f t="shared" si="29"/>
        <v>3198245.6052659745</v>
      </c>
      <c r="E163" s="309">
        <f t="shared" si="30"/>
        <v>15614963.83747505</v>
      </c>
      <c r="G163" s="305">
        <v>2043</v>
      </c>
      <c r="H163" s="388">
        <v>98451.050039178153</v>
      </c>
      <c r="I163" s="309">
        <f t="shared" si="31"/>
        <v>35934633.264300026</v>
      </c>
      <c r="J163" s="309">
        <f t="shared" si="32"/>
        <v>6108887.6549310051</v>
      </c>
      <c r="K163" s="309">
        <f t="shared" si="33"/>
        <v>29825745.609369021</v>
      </c>
      <c r="M163" s="305">
        <v>2043</v>
      </c>
      <c r="N163" s="308">
        <f t="shared" si="34"/>
        <v>149994.08960833165</v>
      </c>
      <c r="O163" s="309">
        <f t="shared" si="34"/>
        <v>54747842.707041055</v>
      </c>
      <c r="P163" s="309">
        <f t="shared" si="34"/>
        <v>9307133.2601969801</v>
      </c>
      <c r="Q163" s="309">
        <f t="shared" si="34"/>
        <v>45440709.446844071</v>
      </c>
      <c r="S163" s="309">
        <f t="shared" si="49"/>
        <v>0</v>
      </c>
      <c r="T163" s="309">
        <f t="shared" si="49"/>
        <v>0</v>
      </c>
      <c r="U163" s="309">
        <f t="shared" si="35"/>
        <v>0</v>
      </c>
      <c r="V163" s="309">
        <f t="shared" si="35"/>
        <v>0</v>
      </c>
      <c r="W163" s="309">
        <f t="shared" si="36"/>
        <v>0</v>
      </c>
      <c r="Y163" s="309">
        <f t="shared" si="50"/>
        <v>0</v>
      </c>
      <c r="Z163" s="309">
        <f t="shared" si="50"/>
        <v>0</v>
      </c>
      <c r="AA163" s="309">
        <f t="shared" si="37"/>
        <v>0</v>
      </c>
      <c r="AB163" s="309">
        <f t="shared" si="37"/>
        <v>0</v>
      </c>
      <c r="AC163" s="309">
        <f t="shared" si="38"/>
        <v>0</v>
      </c>
      <c r="AE163" s="309">
        <f t="shared" si="51"/>
        <v>0</v>
      </c>
      <c r="AF163" s="309">
        <f t="shared" si="51"/>
        <v>0</v>
      </c>
      <c r="AG163" s="309">
        <f t="shared" si="39"/>
        <v>0</v>
      </c>
      <c r="AH163" s="309">
        <f t="shared" si="39"/>
        <v>0</v>
      </c>
      <c r="AI163" s="309">
        <f t="shared" si="40"/>
        <v>0</v>
      </c>
      <c r="AK163" s="309">
        <f t="shared" si="41"/>
        <v>0</v>
      </c>
      <c r="AL163" s="309">
        <f t="shared" si="41"/>
        <v>0</v>
      </c>
      <c r="AM163" s="309">
        <f t="shared" si="27"/>
        <v>0</v>
      </c>
      <c r="AN163" s="309">
        <f t="shared" si="27"/>
        <v>0</v>
      </c>
      <c r="AO163" s="309">
        <f t="shared" si="42"/>
        <v>0</v>
      </c>
    </row>
    <row r="164" spans="1:41" x14ac:dyDescent="0.2">
      <c r="A164" s="305">
        <v>2044</v>
      </c>
      <c r="B164" s="388">
        <v>52009.513493021703</v>
      </c>
      <c r="C164" s="309">
        <f t="shared" si="28"/>
        <v>18983472.424952921</v>
      </c>
      <c r="D164" s="309">
        <f t="shared" si="29"/>
        <v>3227190.3122419966</v>
      </c>
      <c r="E164" s="309">
        <f t="shared" si="30"/>
        <v>15756282.112710923</v>
      </c>
      <c r="G164" s="305">
        <v>2044</v>
      </c>
      <c r="H164" s="388">
        <v>99351.28838817084</v>
      </c>
      <c r="I164" s="309">
        <f t="shared" si="31"/>
        <v>36263220.261682354</v>
      </c>
      <c r="J164" s="309">
        <f t="shared" si="32"/>
        <v>6164747.4444860006</v>
      </c>
      <c r="K164" s="309">
        <f t="shared" si="33"/>
        <v>30098472.817196354</v>
      </c>
      <c r="M164" s="305">
        <v>2044</v>
      </c>
      <c r="N164" s="308">
        <f t="shared" si="34"/>
        <v>151360.80188119254</v>
      </c>
      <c r="O164" s="309">
        <f t="shared" si="34"/>
        <v>55246692.686635271</v>
      </c>
      <c r="P164" s="309">
        <f t="shared" si="34"/>
        <v>9391937.7567279972</v>
      </c>
      <c r="Q164" s="309">
        <f t="shared" si="34"/>
        <v>45854754.929907277</v>
      </c>
      <c r="S164" s="309">
        <f t="shared" si="49"/>
        <v>0</v>
      </c>
      <c r="T164" s="309">
        <f t="shared" si="49"/>
        <v>0</v>
      </c>
      <c r="U164" s="309">
        <f t="shared" si="35"/>
        <v>0</v>
      </c>
      <c r="V164" s="309">
        <f t="shared" si="35"/>
        <v>0</v>
      </c>
      <c r="W164" s="309">
        <f t="shared" si="36"/>
        <v>0</v>
      </c>
      <c r="Y164" s="309">
        <f t="shared" si="50"/>
        <v>0</v>
      </c>
      <c r="Z164" s="309">
        <f t="shared" si="50"/>
        <v>0</v>
      </c>
      <c r="AA164" s="309">
        <f t="shared" si="37"/>
        <v>0</v>
      </c>
      <c r="AB164" s="309">
        <f t="shared" si="37"/>
        <v>0</v>
      </c>
      <c r="AC164" s="309">
        <f t="shared" si="38"/>
        <v>0</v>
      </c>
      <c r="AE164" s="309">
        <f t="shared" si="51"/>
        <v>0</v>
      </c>
      <c r="AF164" s="309">
        <f t="shared" si="51"/>
        <v>0</v>
      </c>
      <c r="AG164" s="309">
        <f t="shared" si="39"/>
        <v>0</v>
      </c>
      <c r="AH164" s="309">
        <f t="shared" si="39"/>
        <v>0</v>
      </c>
      <c r="AI164" s="309">
        <f t="shared" si="40"/>
        <v>0</v>
      </c>
      <c r="AK164" s="309">
        <f t="shared" si="41"/>
        <v>0</v>
      </c>
      <c r="AL164" s="309">
        <f t="shared" si="41"/>
        <v>0</v>
      </c>
      <c r="AM164" s="309">
        <f t="shared" si="27"/>
        <v>0</v>
      </c>
      <c r="AN164" s="309">
        <f t="shared" si="27"/>
        <v>0</v>
      </c>
      <c r="AO164" s="309">
        <f t="shared" si="42"/>
        <v>0</v>
      </c>
    </row>
    <row r="165" spans="1:41" x14ac:dyDescent="0.2">
      <c r="A165" s="305">
        <v>2045</v>
      </c>
      <c r="B165" s="388">
        <v>52480.225291928204</v>
      </c>
      <c r="C165" s="309">
        <f t="shared" si="28"/>
        <v>19155282.231553793</v>
      </c>
      <c r="D165" s="309">
        <f t="shared" si="29"/>
        <v>3256397.9793641451</v>
      </c>
      <c r="E165" s="309">
        <f t="shared" si="30"/>
        <v>15898884.252189647</v>
      </c>
      <c r="G165" s="305">
        <v>2045</v>
      </c>
      <c r="H165" s="388">
        <v>100259.75936280412</v>
      </c>
      <c r="I165" s="309">
        <f t="shared" si="31"/>
        <v>36594812.167423502</v>
      </c>
      <c r="J165" s="309">
        <f t="shared" si="32"/>
        <v>6221118.0684619956</v>
      </c>
      <c r="K165" s="309">
        <f t="shared" si="33"/>
        <v>30373694.098961506</v>
      </c>
      <c r="M165" s="305">
        <v>2045</v>
      </c>
      <c r="N165" s="308">
        <f t="shared" si="34"/>
        <v>152739.98465473234</v>
      </c>
      <c r="O165" s="309">
        <f t="shared" si="34"/>
        <v>55750094.398977295</v>
      </c>
      <c r="P165" s="309">
        <f t="shared" si="34"/>
        <v>9477516.0478261411</v>
      </c>
      <c r="Q165" s="309">
        <f t="shared" si="34"/>
        <v>46272578.351151153</v>
      </c>
      <c r="S165" s="309">
        <f t="shared" si="49"/>
        <v>0</v>
      </c>
      <c r="T165" s="309">
        <f t="shared" si="49"/>
        <v>0</v>
      </c>
      <c r="U165" s="309">
        <f t="shared" si="35"/>
        <v>0</v>
      </c>
      <c r="V165" s="309">
        <f t="shared" si="35"/>
        <v>0</v>
      </c>
      <c r="W165" s="309">
        <f t="shared" si="36"/>
        <v>0</v>
      </c>
      <c r="Y165" s="309">
        <f t="shared" si="50"/>
        <v>0</v>
      </c>
      <c r="Z165" s="309">
        <f t="shared" si="50"/>
        <v>0</v>
      </c>
      <c r="AA165" s="309">
        <f t="shared" si="37"/>
        <v>0</v>
      </c>
      <c r="AB165" s="309">
        <f t="shared" si="37"/>
        <v>0</v>
      </c>
      <c r="AC165" s="309">
        <f t="shared" si="38"/>
        <v>0</v>
      </c>
      <c r="AE165" s="309">
        <f t="shared" si="51"/>
        <v>0</v>
      </c>
      <c r="AF165" s="309">
        <f t="shared" si="51"/>
        <v>0</v>
      </c>
      <c r="AG165" s="309">
        <f t="shared" si="39"/>
        <v>0</v>
      </c>
      <c r="AH165" s="309">
        <f t="shared" si="39"/>
        <v>0</v>
      </c>
      <c r="AI165" s="309">
        <f t="shared" si="40"/>
        <v>0</v>
      </c>
      <c r="AK165" s="309">
        <f t="shared" si="41"/>
        <v>0</v>
      </c>
      <c r="AL165" s="309">
        <f t="shared" si="41"/>
        <v>0</v>
      </c>
      <c r="AM165" s="309">
        <f t="shared" si="27"/>
        <v>0</v>
      </c>
      <c r="AN165" s="309">
        <f t="shared" si="27"/>
        <v>0</v>
      </c>
      <c r="AO165" s="309">
        <f t="shared" si="42"/>
        <v>0</v>
      </c>
    </row>
    <row r="166" spans="1:41" x14ac:dyDescent="0.2">
      <c r="A166" s="305">
        <v>2046</v>
      </c>
      <c r="B166" s="388">
        <v>52955.213593626067</v>
      </c>
      <c r="C166" s="309">
        <f t="shared" si="28"/>
        <v>19328652.961673513</v>
      </c>
      <c r="D166" s="309">
        <f t="shared" si="29"/>
        <v>3285871.0034844973</v>
      </c>
      <c r="E166" s="309">
        <f t="shared" si="30"/>
        <v>16042781.958189016</v>
      </c>
      <c r="G166" s="305">
        <v>2046</v>
      </c>
      <c r="H166" s="388">
        <v>101176.53825767232</v>
      </c>
      <c r="I166" s="309">
        <f t="shared" si="31"/>
        <v>36929436.464050397</v>
      </c>
      <c r="J166" s="309">
        <f t="shared" si="32"/>
        <v>6278004.1988885682</v>
      </c>
      <c r="K166" s="309">
        <f t="shared" si="33"/>
        <v>30651432.265161827</v>
      </c>
      <c r="M166" s="305">
        <v>2046</v>
      </c>
      <c r="N166" s="308">
        <f t="shared" si="34"/>
        <v>154131.75185129838</v>
      </c>
      <c r="O166" s="309">
        <f t="shared" si="34"/>
        <v>56258089.42572391</v>
      </c>
      <c r="P166" s="309">
        <f t="shared" si="34"/>
        <v>9563875.2023730651</v>
      </c>
      <c r="Q166" s="309">
        <f t="shared" si="34"/>
        <v>46694214.223350845</v>
      </c>
      <c r="S166" s="309">
        <f t="shared" si="49"/>
        <v>0</v>
      </c>
      <c r="T166" s="309">
        <f t="shared" si="49"/>
        <v>0</v>
      </c>
      <c r="U166" s="309">
        <f t="shared" si="35"/>
        <v>0</v>
      </c>
      <c r="V166" s="309">
        <f t="shared" si="35"/>
        <v>0</v>
      </c>
      <c r="W166" s="309">
        <f t="shared" si="36"/>
        <v>0</v>
      </c>
      <c r="Y166" s="309">
        <f t="shared" si="50"/>
        <v>0</v>
      </c>
      <c r="Z166" s="309">
        <f t="shared" si="50"/>
        <v>0</v>
      </c>
      <c r="AA166" s="309">
        <f t="shared" si="37"/>
        <v>0</v>
      </c>
      <c r="AB166" s="309">
        <f t="shared" si="37"/>
        <v>0</v>
      </c>
      <c r="AC166" s="309">
        <f t="shared" si="38"/>
        <v>0</v>
      </c>
      <c r="AE166" s="309">
        <f t="shared" si="51"/>
        <v>0</v>
      </c>
      <c r="AF166" s="309">
        <f t="shared" si="51"/>
        <v>0</v>
      </c>
      <c r="AG166" s="309">
        <f t="shared" si="39"/>
        <v>0</v>
      </c>
      <c r="AH166" s="309">
        <f t="shared" si="39"/>
        <v>0</v>
      </c>
      <c r="AI166" s="309">
        <f t="shared" si="40"/>
        <v>0</v>
      </c>
      <c r="AK166" s="309">
        <f t="shared" si="41"/>
        <v>0</v>
      </c>
      <c r="AL166" s="309">
        <f t="shared" si="41"/>
        <v>0</v>
      </c>
      <c r="AM166" s="309">
        <f t="shared" si="27"/>
        <v>0</v>
      </c>
      <c r="AN166" s="309">
        <f t="shared" si="27"/>
        <v>0</v>
      </c>
      <c r="AO166" s="309">
        <f t="shared" si="42"/>
        <v>0</v>
      </c>
    </row>
    <row r="167" spans="1:41" x14ac:dyDescent="0.2">
      <c r="A167" s="305">
        <v>2047</v>
      </c>
      <c r="B167" s="388">
        <v>53434.517378995617</v>
      </c>
      <c r="C167" s="309">
        <f t="shared" si="28"/>
        <v>19503598.843333401</v>
      </c>
      <c r="D167" s="309">
        <f t="shared" si="29"/>
        <v>3315611.8033666783</v>
      </c>
      <c r="E167" s="309">
        <f t="shared" si="30"/>
        <v>16187987.039966723</v>
      </c>
      <c r="G167" s="305">
        <v>2047</v>
      </c>
      <c r="H167" s="388">
        <v>102101.70105607736</v>
      </c>
      <c r="I167" s="309">
        <f t="shared" si="31"/>
        <v>37267120.885468237</v>
      </c>
      <c r="J167" s="309">
        <f t="shared" si="32"/>
        <v>6335410.5505296011</v>
      </c>
      <c r="K167" s="309">
        <f t="shared" si="33"/>
        <v>30931710.334938638</v>
      </c>
      <c r="M167" s="305">
        <v>2047</v>
      </c>
      <c r="N167" s="308">
        <f t="shared" si="34"/>
        <v>155536.21843507298</v>
      </c>
      <c r="O167" s="309">
        <f t="shared" si="34"/>
        <v>56770719.728801638</v>
      </c>
      <c r="P167" s="309">
        <f t="shared" si="34"/>
        <v>9651022.3538962789</v>
      </c>
      <c r="Q167" s="309">
        <f t="shared" si="34"/>
        <v>47119697.374905363</v>
      </c>
      <c r="S167" s="309">
        <f t="shared" si="49"/>
        <v>0</v>
      </c>
      <c r="T167" s="309">
        <f t="shared" si="49"/>
        <v>0</v>
      </c>
      <c r="U167" s="309">
        <f t="shared" si="35"/>
        <v>0</v>
      </c>
      <c r="V167" s="309">
        <f t="shared" si="35"/>
        <v>0</v>
      </c>
      <c r="W167" s="309">
        <f t="shared" si="36"/>
        <v>0</v>
      </c>
      <c r="Y167" s="309">
        <f t="shared" si="50"/>
        <v>0</v>
      </c>
      <c r="Z167" s="309">
        <f t="shared" si="50"/>
        <v>0</v>
      </c>
      <c r="AA167" s="309">
        <f t="shared" si="37"/>
        <v>0</v>
      </c>
      <c r="AB167" s="309">
        <f t="shared" si="37"/>
        <v>0</v>
      </c>
      <c r="AC167" s="309">
        <f t="shared" si="38"/>
        <v>0</v>
      </c>
      <c r="AE167" s="309">
        <f t="shared" si="51"/>
        <v>0</v>
      </c>
      <c r="AF167" s="309">
        <f t="shared" si="51"/>
        <v>0</v>
      </c>
      <c r="AG167" s="309">
        <f t="shared" si="39"/>
        <v>0</v>
      </c>
      <c r="AH167" s="309">
        <f t="shared" si="39"/>
        <v>0</v>
      </c>
      <c r="AI167" s="309">
        <f t="shared" si="40"/>
        <v>0</v>
      </c>
      <c r="AK167" s="309">
        <f t="shared" si="41"/>
        <v>0</v>
      </c>
      <c r="AL167" s="309">
        <f t="shared" si="41"/>
        <v>0</v>
      </c>
      <c r="AM167" s="309">
        <f t="shared" si="27"/>
        <v>0</v>
      </c>
      <c r="AN167" s="309">
        <f t="shared" si="27"/>
        <v>0</v>
      </c>
      <c r="AO167" s="309">
        <f t="shared" si="42"/>
        <v>0</v>
      </c>
    </row>
    <row r="168" spans="1:41" x14ac:dyDescent="0.2">
      <c r="A168" s="305">
        <v>2048</v>
      </c>
      <c r="B168" s="388">
        <v>53918.175985281487</v>
      </c>
      <c r="C168" s="309">
        <f t="shared" si="28"/>
        <v>19680134.234627742</v>
      </c>
      <c r="D168" s="309">
        <f t="shared" si="29"/>
        <v>3345622.8198867165</v>
      </c>
      <c r="E168" s="309">
        <f t="shared" si="30"/>
        <v>16334511.414741026</v>
      </c>
      <c r="G168" s="305">
        <v>2048</v>
      </c>
      <c r="H168" s="388">
        <v>103035.32443632853</v>
      </c>
      <c r="I168" s="309">
        <f t="shared" si="31"/>
        <v>37607893.419259913</v>
      </c>
      <c r="J168" s="309">
        <f t="shared" si="32"/>
        <v>6393341.8812741861</v>
      </c>
      <c r="K168" s="309">
        <f t="shared" si="33"/>
        <v>31214551.537985727</v>
      </c>
      <c r="M168" s="305">
        <v>2048</v>
      </c>
      <c r="N168" s="308">
        <f t="shared" si="34"/>
        <v>156953.50042161002</v>
      </c>
      <c r="O168" s="309">
        <f t="shared" si="34"/>
        <v>57288027.653887659</v>
      </c>
      <c r="P168" s="309">
        <f t="shared" si="34"/>
        <v>9738964.7011609022</v>
      </c>
      <c r="Q168" s="309">
        <f t="shared" si="34"/>
        <v>47549062.952726752</v>
      </c>
      <c r="S168" s="309">
        <f t="shared" si="49"/>
        <v>0</v>
      </c>
      <c r="T168" s="309">
        <f t="shared" si="49"/>
        <v>0</v>
      </c>
      <c r="U168" s="309">
        <f t="shared" si="35"/>
        <v>0</v>
      </c>
      <c r="V168" s="309">
        <f t="shared" si="35"/>
        <v>0</v>
      </c>
      <c r="W168" s="309">
        <f t="shared" si="36"/>
        <v>0</v>
      </c>
      <c r="Y168" s="309">
        <f t="shared" si="50"/>
        <v>0</v>
      </c>
      <c r="Z168" s="309">
        <f t="shared" si="50"/>
        <v>0</v>
      </c>
      <c r="AA168" s="309">
        <f t="shared" si="37"/>
        <v>0</v>
      </c>
      <c r="AB168" s="309">
        <f t="shared" si="37"/>
        <v>0</v>
      </c>
      <c r="AC168" s="309">
        <f t="shared" si="38"/>
        <v>0</v>
      </c>
      <c r="AE168" s="309">
        <f t="shared" si="51"/>
        <v>0</v>
      </c>
      <c r="AF168" s="309">
        <f t="shared" si="51"/>
        <v>0</v>
      </c>
      <c r="AG168" s="309">
        <f t="shared" si="39"/>
        <v>0</v>
      </c>
      <c r="AH168" s="309">
        <f t="shared" si="39"/>
        <v>0</v>
      </c>
      <c r="AI168" s="309">
        <f t="shared" si="40"/>
        <v>0</v>
      </c>
      <c r="AK168" s="309">
        <f t="shared" si="41"/>
        <v>0</v>
      </c>
      <c r="AL168" s="309">
        <f t="shared" si="41"/>
        <v>0</v>
      </c>
      <c r="AM168" s="309">
        <f t="shared" si="27"/>
        <v>0</v>
      </c>
      <c r="AN168" s="309">
        <f t="shared" si="27"/>
        <v>0</v>
      </c>
      <c r="AO168" s="309">
        <f t="shared" si="42"/>
        <v>0</v>
      </c>
    </row>
    <row r="169" spans="1:41" x14ac:dyDescent="0.2">
      <c r="A169" s="305">
        <v>2049</v>
      </c>
      <c r="B169" s="388">
        <v>54406.229109359607</v>
      </c>
      <c r="C169" s="309">
        <f t="shared" si="28"/>
        <v>19858273.624916255</v>
      </c>
      <c r="D169" s="309">
        <f t="shared" si="29"/>
        <v>3375906.5162357637</v>
      </c>
      <c r="E169" s="309">
        <f t="shared" si="30"/>
        <v>16482367.108680492</v>
      </c>
      <c r="G169" s="305">
        <v>2049</v>
      </c>
      <c r="H169" s="388">
        <v>103977.48577810054</v>
      </c>
      <c r="I169" s="309">
        <f t="shared" si="31"/>
        <v>37951782.309006698</v>
      </c>
      <c r="J169" s="309">
        <f t="shared" si="32"/>
        <v>6451802.9925311394</v>
      </c>
      <c r="K169" s="309">
        <f t="shared" si="33"/>
        <v>31499979.316475559</v>
      </c>
      <c r="M169" s="305">
        <v>2049</v>
      </c>
      <c r="N169" s="308">
        <f t="shared" si="34"/>
        <v>158383.71488746014</v>
      </c>
      <c r="O169" s="309">
        <f t="shared" si="34"/>
        <v>57810055.933922954</v>
      </c>
      <c r="P169" s="309">
        <f t="shared" si="34"/>
        <v>9827709.5087669026</v>
      </c>
      <c r="Q169" s="309">
        <f t="shared" si="34"/>
        <v>47982346.425156049</v>
      </c>
      <c r="S169" s="309">
        <f t="shared" si="49"/>
        <v>0</v>
      </c>
      <c r="T169" s="309">
        <f t="shared" si="49"/>
        <v>0</v>
      </c>
      <c r="U169" s="309">
        <f t="shared" si="35"/>
        <v>0</v>
      </c>
      <c r="V169" s="309">
        <f t="shared" si="35"/>
        <v>0</v>
      </c>
      <c r="W169" s="309">
        <f t="shared" si="36"/>
        <v>0</v>
      </c>
      <c r="Y169" s="309">
        <f t="shared" si="50"/>
        <v>0</v>
      </c>
      <c r="Z169" s="309">
        <f t="shared" si="50"/>
        <v>0</v>
      </c>
      <c r="AA169" s="309">
        <f t="shared" si="37"/>
        <v>0</v>
      </c>
      <c r="AB169" s="309">
        <f t="shared" si="37"/>
        <v>0</v>
      </c>
      <c r="AC169" s="309">
        <f t="shared" si="38"/>
        <v>0</v>
      </c>
      <c r="AE169" s="309">
        <f t="shared" si="51"/>
        <v>0</v>
      </c>
      <c r="AF169" s="309">
        <f t="shared" si="51"/>
        <v>0</v>
      </c>
      <c r="AG169" s="309">
        <f t="shared" si="39"/>
        <v>0</v>
      </c>
      <c r="AH169" s="309">
        <f t="shared" si="39"/>
        <v>0</v>
      </c>
      <c r="AI169" s="309">
        <f t="shared" si="40"/>
        <v>0</v>
      </c>
      <c r="AK169" s="309">
        <f t="shared" si="41"/>
        <v>0</v>
      </c>
      <c r="AL169" s="309">
        <f t="shared" si="41"/>
        <v>0</v>
      </c>
      <c r="AM169" s="309">
        <f t="shared" si="27"/>
        <v>0</v>
      </c>
      <c r="AN169" s="309">
        <f t="shared" si="27"/>
        <v>0</v>
      </c>
      <c r="AO169" s="309">
        <f t="shared" si="42"/>
        <v>0</v>
      </c>
    </row>
    <row r="170" spans="1:41" x14ac:dyDescent="0.2">
      <c r="A170" s="305">
        <v>2050</v>
      </c>
      <c r="B170" s="388">
        <v>54898.716811034014</v>
      </c>
      <c r="C170" s="309">
        <f t="shared" si="28"/>
        <v>20038031.636027414</v>
      </c>
      <c r="D170" s="309">
        <f t="shared" si="29"/>
        <v>3406465.3781246608</v>
      </c>
      <c r="E170" s="309">
        <f t="shared" si="30"/>
        <v>16631566.257902753</v>
      </c>
      <c r="G170" s="305">
        <v>2050</v>
      </c>
      <c r="H170" s="388">
        <v>104928.26316884934</v>
      </c>
      <c r="I170" s="309">
        <f t="shared" si="31"/>
        <v>38298816.056630008</v>
      </c>
      <c r="J170" s="309">
        <f t="shared" si="32"/>
        <v>6510798.7296271017</v>
      </c>
      <c r="K170" s="309">
        <f t="shared" si="33"/>
        <v>31788017.327002905</v>
      </c>
      <c r="M170" s="305">
        <v>2050</v>
      </c>
      <c r="N170" s="308">
        <f t="shared" si="34"/>
        <v>159826.97997988336</v>
      </c>
      <c r="O170" s="309">
        <f t="shared" si="34"/>
        <v>58336847.692657426</v>
      </c>
      <c r="P170" s="309">
        <f t="shared" si="34"/>
        <v>9917264.1077517625</v>
      </c>
      <c r="Q170" s="309">
        <f t="shared" si="34"/>
        <v>48419583.584905654</v>
      </c>
      <c r="S170" s="309">
        <f t="shared" si="49"/>
        <v>0</v>
      </c>
      <c r="T170" s="309">
        <f t="shared" si="49"/>
        <v>0</v>
      </c>
      <c r="U170" s="309">
        <f t="shared" si="35"/>
        <v>0</v>
      </c>
      <c r="V170" s="309">
        <f t="shared" si="35"/>
        <v>0</v>
      </c>
      <c r="W170" s="309">
        <f t="shared" si="36"/>
        <v>0</v>
      </c>
      <c r="Y170" s="309">
        <f t="shared" si="50"/>
        <v>0</v>
      </c>
      <c r="Z170" s="309">
        <f t="shared" si="50"/>
        <v>0</v>
      </c>
      <c r="AA170" s="309">
        <f t="shared" si="37"/>
        <v>0</v>
      </c>
      <c r="AB170" s="309">
        <f t="shared" si="37"/>
        <v>0</v>
      </c>
      <c r="AC170" s="309">
        <f t="shared" si="38"/>
        <v>0</v>
      </c>
      <c r="AE170" s="309">
        <f t="shared" si="51"/>
        <v>0</v>
      </c>
      <c r="AF170" s="309">
        <f t="shared" si="51"/>
        <v>0</v>
      </c>
      <c r="AG170" s="309">
        <f t="shared" si="39"/>
        <v>0</v>
      </c>
      <c r="AH170" s="309">
        <f t="shared" si="39"/>
        <v>0</v>
      </c>
      <c r="AI170" s="309">
        <f t="shared" si="40"/>
        <v>0</v>
      </c>
      <c r="AK170" s="309">
        <f t="shared" si="41"/>
        <v>0</v>
      </c>
      <c r="AL170" s="309">
        <f t="shared" si="41"/>
        <v>0</v>
      </c>
      <c r="AM170" s="309">
        <f t="shared" si="27"/>
        <v>0</v>
      </c>
      <c r="AN170" s="309">
        <f t="shared" si="27"/>
        <v>0</v>
      </c>
      <c r="AO170" s="309">
        <f t="shared" si="42"/>
        <v>0</v>
      </c>
    </row>
    <row r="171" spans="1:41" x14ac:dyDescent="0.2">
      <c r="A171" s="305">
        <v>2051</v>
      </c>
      <c r="B171" s="388">
        <v>55395.679516364122</v>
      </c>
      <c r="C171" s="309">
        <f t="shared" si="28"/>
        <v>20219423.023472905</v>
      </c>
      <c r="D171" s="309">
        <f t="shared" si="29"/>
        <v>3437301.9139903942</v>
      </c>
      <c r="E171" s="309">
        <f t="shared" si="30"/>
        <v>16782121.109482512</v>
      </c>
      <c r="G171" s="305">
        <v>2051</v>
      </c>
      <c r="H171" s="388">
        <v>105887.7354102869</v>
      </c>
      <c r="I171" s="309">
        <f t="shared" si="31"/>
        <v>38649023.424754716</v>
      </c>
      <c r="J171" s="309">
        <f t="shared" si="32"/>
        <v>6570333.9822083022</v>
      </c>
      <c r="K171" s="309">
        <f t="shared" si="33"/>
        <v>32078689.442546412</v>
      </c>
      <c r="M171" s="305">
        <v>2051</v>
      </c>
      <c r="N171" s="308">
        <f t="shared" si="34"/>
        <v>161283.41492665102</v>
      </c>
      <c r="O171" s="309">
        <f t="shared" si="34"/>
        <v>58868446.448227622</v>
      </c>
      <c r="P171" s="309">
        <f t="shared" si="34"/>
        <v>10007635.896198697</v>
      </c>
      <c r="Q171" s="309">
        <f t="shared" si="34"/>
        <v>48860810.552028924</v>
      </c>
      <c r="S171" s="309">
        <f t="shared" si="49"/>
        <v>0</v>
      </c>
      <c r="T171" s="309">
        <f t="shared" si="49"/>
        <v>0</v>
      </c>
      <c r="U171" s="309">
        <f t="shared" si="35"/>
        <v>0</v>
      </c>
      <c r="V171" s="309">
        <f t="shared" si="35"/>
        <v>0</v>
      </c>
      <c r="W171" s="309">
        <f t="shared" si="36"/>
        <v>0</v>
      </c>
      <c r="Y171" s="309">
        <f t="shared" si="50"/>
        <v>0</v>
      </c>
      <c r="Z171" s="309">
        <f t="shared" si="50"/>
        <v>0</v>
      </c>
      <c r="AA171" s="309">
        <f t="shared" si="37"/>
        <v>0</v>
      </c>
      <c r="AB171" s="309">
        <f t="shared" si="37"/>
        <v>0</v>
      </c>
      <c r="AC171" s="309">
        <f t="shared" si="38"/>
        <v>0</v>
      </c>
      <c r="AE171" s="309">
        <f t="shared" si="51"/>
        <v>0</v>
      </c>
      <c r="AF171" s="309">
        <f t="shared" si="51"/>
        <v>0</v>
      </c>
      <c r="AG171" s="309">
        <f t="shared" si="39"/>
        <v>0</v>
      </c>
      <c r="AH171" s="309">
        <f t="shared" si="39"/>
        <v>0</v>
      </c>
      <c r="AI171" s="309">
        <f t="shared" si="40"/>
        <v>0</v>
      </c>
      <c r="AK171" s="309">
        <f t="shared" si="41"/>
        <v>0</v>
      </c>
      <c r="AL171" s="309">
        <f t="shared" si="41"/>
        <v>0</v>
      </c>
      <c r="AM171" s="309">
        <f t="shared" si="27"/>
        <v>0</v>
      </c>
      <c r="AN171" s="309">
        <f t="shared" si="27"/>
        <v>0</v>
      </c>
      <c r="AO171" s="309">
        <f t="shared" si="42"/>
        <v>0</v>
      </c>
    </row>
    <row r="172" spans="1:41" x14ac:dyDescent="0.2">
      <c r="A172" s="305">
        <v>2052</v>
      </c>
      <c r="B172" s="388">
        <v>55897.158021022537</v>
      </c>
      <c r="C172" s="309">
        <f t="shared" si="28"/>
        <v>20402462.677673224</v>
      </c>
      <c r="D172" s="309">
        <f t="shared" si="29"/>
        <v>3468418.6552044484</v>
      </c>
      <c r="E172" s="309">
        <f t="shared" si="30"/>
        <v>16934044.022468776</v>
      </c>
      <c r="G172" s="305">
        <v>2052</v>
      </c>
      <c r="H172" s="388">
        <v>106855.98202491493</v>
      </c>
      <c r="I172" s="309">
        <f t="shared" si="31"/>
        <v>39002433.439093947</v>
      </c>
      <c r="J172" s="309">
        <f t="shared" si="32"/>
        <v>6630413.6846459713</v>
      </c>
      <c r="K172" s="309">
        <f t="shared" si="33"/>
        <v>32372019.754447974</v>
      </c>
      <c r="M172" s="305">
        <v>2052</v>
      </c>
      <c r="N172" s="308">
        <f t="shared" si="34"/>
        <v>162753.14004593747</v>
      </c>
      <c r="O172" s="309">
        <f t="shared" si="34"/>
        <v>59404896.116767168</v>
      </c>
      <c r="P172" s="309">
        <f t="shared" si="34"/>
        <v>10098832.33985042</v>
      </c>
      <c r="Q172" s="309">
        <f t="shared" si="34"/>
        <v>49306063.77691675</v>
      </c>
      <c r="S172" s="309">
        <f t="shared" si="49"/>
        <v>0</v>
      </c>
      <c r="T172" s="309">
        <f t="shared" si="49"/>
        <v>0</v>
      </c>
      <c r="U172" s="309">
        <f t="shared" si="35"/>
        <v>0</v>
      </c>
      <c r="V172" s="309">
        <f t="shared" si="35"/>
        <v>0</v>
      </c>
      <c r="W172" s="309">
        <f t="shared" si="36"/>
        <v>0</v>
      </c>
      <c r="Y172" s="309">
        <f t="shared" si="50"/>
        <v>0</v>
      </c>
      <c r="Z172" s="309">
        <f t="shared" si="50"/>
        <v>0</v>
      </c>
      <c r="AA172" s="309">
        <f t="shared" si="37"/>
        <v>0</v>
      </c>
      <c r="AB172" s="309">
        <f t="shared" si="37"/>
        <v>0</v>
      </c>
      <c r="AC172" s="309">
        <f t="shared" si="38"/>
        <v>0</v>
      </c>
      <c r="AE172" s="309">
        <f t="shared" si="51"/>
        <v>0</v>
      </c>
      <c r="AF172" s="309">
        <f t="shared" si="51"/>
        <v>0</v>
      </c>
      <c r="AG172" s="309">
        <f t="shared" si="39"/>
        <v>0</v>
      </c>
      <c r="AH172" s="309">
        <f t="shared" si="39"/>
        <v>0</v>
      </c>
      <c r="AI172" s="309">
        <f t="shared" si="40"/>
        <v>0</v>
      </c>
      <c r="AK172" s="309">
        <f t="shared" si="41"/>
        <v>0</v>
      </c>
      <c r="AL172" s="309">
        <f t="shared" si="41"/>
        <v>0</v>
      </c>
      <c r="AM172" s="309">
        <f t="shared" si="27"/>
        <v>0</v>
      </c>
      <c r="AN172" s="309">
        <f t="shared" si="27"/>
        <v>0</v>
      </c>
      <c r="AO172" s="309">
        <f t="shared" si="42"/>
        <v>0</v>
      </c>
    </row>
    <row r="173" spans="1:41" x14ac:dyDescent="0.2">
      <c r="A173" s="305">
        <v>2053</v>
      </c>
      <c r="B173" s="388">
        <v>56403.193493683655</v>
      </c>
      <c r="C173" s="309">
        <f t="shared" si="28"/>
        <v>20587165.625194535</v>
      </c>
      <c r="D173" s="309">
        <f t="shared" si="29"/>
        <v>3499818.1562830713</v>
      </c>
      <c r="E173" s="309">
        <f t="shared" si="30"/>
        <v>17087347.468911462</v>
      </c>
      <c r="G173" s="305">
        <v>2053</v>
      </c>
      <c r="H173" s="388">
        <v>107833.08326261891</v>
      </c>
      <c r="I173" s="309">
        <f t="shared" si="31"/>
        <v>39359075.390855901</v>
      </c>
      <c r="J173" s="309">
        <f t="shared" si="32"/>
        <v>6691042.8164455034</v>
      </c>
      <c r="K173" s="309">
        <f t="shared" si="33"/>
        <v>32668032.574410398</v>
      </c>
      <c r="M173" s="305">
        <v>2053</v>
      </c>
      <c r="N173" s="308">
        <f t="shared" si="34"/>
        <v>164236.27675630257</v>
      </c>
      <c r="O173" s="309">
        <f t="shared" si="34"/>
        <v>59946241.016050436</v>
      </c>
      <c r="P173" s="309">
        <f t="shared" si="34"/>
        <v>10190860.972728575</v>
      </c>
      <c r="Q173" s="309">
        <f t="shared" si="34"/>
        <v>49755380.043321863</v>
      </c>
      <c r="S173" s="309">
        <f t="shared" si="49"/>
        <v>0</v>
      </c>
      <c r="T173" s="309">
        <f t="shared" si="49"/>
        <v>0</v>
      </c>
      <c r="U173" s="309">
        <f t="shared" si="35"/>
        <v>0</v>
      </c>
      <c r="V173" s="309">
        <f t="shared" si="35"/>
        <v>0</v>
      </c>
      <c r="W173" s="309">
        <f t="shared" si="36"/>
        <v>0</v>
      </c>
      <c r="Y173" s="309">
        <f t="shared" si="50"/>
        <v>0</v>
      </c>
      <c r="Z173" s="309">
        <f t="shared" si="50"/>
        <v>0</v>
      </c>
      <c r="AA173" s="309">
        <f t="shared" si="37"/>
        <v>0</v>
      </c>
      <c r="AB173" s="309">
        <f t="shared" si="37"/>
        <v>0</v>
      </c>
      <c r="AC173" s="309">
        <f t="shared" si="38"/>
        <v>0</v>
      </c>
      <c r="AE173" s="309">
        <f t="shared" si="51"/>
        <v>0</v>
      </c>
      <c r="AF173" s="309">
        <f t="shared" si="51"/>
        <v>0</v>
      </c>
      <c r="AG173" s="309">
        <f t="shared" si="39"/>
        <v>0</v>
      </c>
      <c r="AH173" s="309">
        <f t="shared" si="39"/>
        <v>0</v>
      </c>
      <c r="AI173" s="309">
        <f t="shared" si="40"/>
        <v>0</v>
      </c>
      <c r="AK173" s="309">
        <f t="shared" si="41"/>
        <v>0</v>
      </c>
      <c r="AL173" s="309">
        <f t="shared" si="41"/>
        <v>0</v>
      </c>
      <c r="AM173" s="309">
        <f t="shared" si="27"/>
        <v>0</v>
      </c>
      <c r="AN173" s="309">
        <f t="shared" si="27"/>
        <v>0</v>
      </c>
      <c r="AO173" s="309">
        <f t="shared" si="42"/>
        <v>0</v>
      </c>
    </row>
    <row r="174" spans="1:41" x14ac:dyDescent="0.2">
      <c r="A174" s="305">
        <v>2054</v>
      </c>
      <c r="B174" s="388">
        <v>56913.827479443535</v>
      </c>
      <c r="C174" s="309">
        <f t="shared" si="28"/>
        <v>20773547.029996891</v>
      </c>
      <c r="D174" s="309">
        <f t="shared" si="29"/>
        <v>3531502.9950994719</v>
      </c>
      <c r="E174" s="309">
        <f t="shared" si="30"/>
        <v>17242044.034897417</v>
      </c>
      <c r="G174" s="305">
        <v>2054</v>
      </c>
      <c r="H174" s="388">
        <v>108819.12010732171</v>
      </c>
      <c r="I174" s="309">
        <f t="shared" si="31"/>
        <v>39718978.839172423</v>
      </c>
      <c r="J174" s="309">
        <f t="shared" si="32"/>
        <v>6752226.4026593128</v>
      </c>
      <c r="K174" s="309">
        <f t="shared" si="33"/>
        <v>32966752.436513111</v>
      </c>
      <c r="M174" s="305">
        <v>2054</v>
      </c>
      <c r="N174" s="308">
        <f t="shared" si="34"/>
        <v>165732.94758676525</v>
      </c>
      <c r="O174" s="309">
        <f t="shared" si="34"/>
        <v>60492525.86916931</v>
      </c>
      <c r="P174" s="309">
        <f t="shared" si="34"/>
        <v>10283729.397758786</v>
      </c>
      <c r="Q174" s="309">
        <f t="shared" si="34"/>
        <v>50208796.471410528</v>
      </c>
      <c r="S174" s="309">
        <f t="shared" si="49"/>
        <v>0</v>
      </c>
      <c r="T174" s="309">
        <f t="shared" si="49"/>
        <v>0</v>
      </c>
      <c r="U174" s="309">
        <f t="shared" si="35"/>
        <v>0</v>
      </c>
      <c r="V174" s="309">
        <f t="shared" si="35"/>
        <v>0</v>
      </c>
      <c r="W174" s="309">
        <f t="shared" si="36"/>
        <v>0</v>
      </c>
      <c r="Y174" s="309">
        <f t="shared" si="50"/>
        <v>0</v>
      </c>
      <c r="Z174" s="309">
        <f t="shared" si="50"/>
        <v>0</v>
      </c>
      <c r="AA174" s="309">
        <f t="shared" si="37"/>
        <v>0</v>
      </c>
      <c r="AB174" s="309">
        <f t="shared" si="37"/>
        <v>0</v>
      </c>
      <c r="AC174" s="309">
        <f t="shared" si="38"/>
        <v>0</v>
      </c>
      <c r="AE174" s="309">
        <f t="shared" si="51"/>
        <v>0</v>
      </c>
      <c r="AF174" s="309">
        <f t="shared" si="51"/>
        <v>0</v>
      </c>
      <c r="AG174" s="309">
        <f t="shared" si="39"/>
        <v>0</v>
      </c>
      <c r="AH174" s="309">
        <f t="shared" si="39"/>
        <v>0</v>
      </c>
      <c r="AI174" s="309">
        <f t="shared" si="40"/>
        <v>0</v>
      </c>
      <c r="AK174" s="309">
        <f t="shared" si="41"/>
        <v>0</v>
      </c>
      <c r="AL174" s="309">
        <f t="shared" si="41"/>
        <v>0</v>
      </c>
      <c r="AM174" s="309">
        <f t="shared" si="27"/>
        <v>0</v>
      </c>
      <c r="AN174" s="309">
        <f t="shared" si="27"/>
        <v>0</v>
      </c>
      <c r="AO174" s="309">
        <f t="shared" si="42"/>
        <v>0</v>
      </c>
    </row>
    <row r="175" spans="1:41" x14ac:dyDescent="0.2">
      <c r="A175" s="305">
        <v>2055</v>
      </c>
      <c r="B175" s="388">
        <v>57429.101903271177</v>
      </c>
      <c r="C175" s="309">
        <f t="shared" ref="C175" si="52">B175*365</f>
        <v>20961622.194693979</v>
      </c>
      <c r="D175" s="309">
        <f t="shared" ref="D175" si="53">C175*$B$6</f>
        <v>3563475.7730979766</v>
      </c>
      <c r="E175" s="309">
        <f t="shared" ref="E175" si="54">C175-D175</f>
        <v>17398146.421596002</v>
      </c>
      <c r="G175" s="305">
        <v>2055</v>
      </c>
      <c r="H175" s="388">
        <v>109814.1742836988</v>
      </c>
      <c r="I175" s="309">
        <f t="shared" si="31"/>
        <v>40082173.613550059</v>
      </c>
      <c r="J175" s="309">
        <f t="shared" si="32"/>
        <v>6813969.514303511</v>
      </c>
      <c r="K175" s="309">
        <f t="shared" si="33"/>
        <v>33268204.099246547</v>
      </c>
      <c r="M175" s="305">
        <v>2055</v>
      </c>
      <c r="N175" s="308">
        <f t="shared" ref="N175" si="55">B175+H175</f>
        <v>167243.27618696998</v>
      </c>
      <c r="O175" s="309">
        <f t="shared" ref="O175" si="56">C175+I175</f>
        <v>61043795.808244035</v>
      </c>
      <c r="P175" s="309">
        <f t="shared" ref="P175" si="57">D175+J175</f>
        <v>10377445.287401488</v>
      </c>
      <c r="Q175" s="309">
        <f t="shared" ref="Q175" si="58">E175+K175</f>
        <v>50666350.520842552</v>
      </c>
      <c r="S175" s="309">
        <f t="shared" si="49"/>
        <v>0</v>
      </c>
      <c r="T175" s="309">
        <f t="shared" si="49"/>
        <v>0</v>
      </c>
      <c r="U175" s="309">
        <f t="shared" ref="U175" si="59">(S175/60)*365</f>
        <v>0</v>
      </c>
      <c r="V175" s="309">
        <f t="shared" ref="V175" si="60">(T175/60)*365</f>
        <v>0</v>
      </c>
      <c r="W175" s="309">
        <f t="shared" ref="W175" si="61">U175+V175</f>
        <v>0</v>
      </c>
      <c r="Y175" s="309">
        <f t="shared" si="50"/>
        <v>0</v>
      </c>
      <c r="Z175" s="309">
        <f t="shared" si="50"/>
        <v>0</v>
      </c>
      <c r="AA175" s="309">
        <f t="shared" ref="AA175" si="62">(Y175/60)*365</f>
        <v>0</v>
      </c>
      <c r="AB175" s="309">
        <f t="shared" ref="AB175" si="63">(Z175/60)*365</f>
        <v>0</v>
      </c>
      <c r="AC175" s="309">
        <f t="shared" ref="AC175" si="64">AA175+AB175</f>
        <v>0</v>
      </c>
      <c r="AE175" s="309">
        <f t="shared" si="51"/>
        <v>0</v>
      </c>
      <c r="AF175" s="309">
        <f t="shared" si="51"/>
        <v>0</v>
      </c>
      <c r="AG175" s="309">
        <f t="shared" ref="AG175" si="65">(AE175/60)*365</f>
        <v>0</v>
      </c>
      <c r="AH175" s="309">
        <f t="shared" ref="AH175" si="66">(AF175/60)*365</f>
        <v>0</v>
      </c>
      <c r="AI175" s="309">
        <f t="shared" ref="AI175" si="67">AG175+AH175</f>
        <v>0</v>
      </c>
      <c r="AK175" s="309">
        <f t="shared" ref="AK175" si="68">S175+Y175+AE175</f>
        <v>0</v>
      </c>
      <c r="AL175" s="309">
        <f t="shared" ref="AL175" si="69">T175+Z175+AF175</f>
        <v>0</v>
      </c>
      <c r="AM175" s="309">
        <f t="shared" ref="AM175" si="70">U175+AA175+AG175</f>
        <v>0</v>
      </c>
      <c r="AN175" s="309">
        <f t="shared" ref="AN175" si="71">V175+AB175+AH175</f>
        <v>0</v>
      </c>
      <c r="AO175" s="309">
        <f t="shared" ref="AO175" si="72">AM175+AN175</f>
        <v>0</v>
      </c>
    </row>
    <row r="178" spans="1:20" s="377" customFormat="1" x14ac:dyDescent="0.2">
      <c r="M178" s="378"/>
    </row>
    <row r="179" spans="1:20" x14ac:dyDescent="0.2">
      <c r="A179" s="805" t="s">
        <v>311</v>
      </c>
      <c r="B179" s="805"/>
    </row>
    <row r="180" spans="1:20" x14ac:dyDescent="0.2">
      <c r="A180" s="805"/>
      <c r="B180" s="805"/>
    </row>
    <row r="181" spans="1:20" x14ac:dyDescent="0.2">
      <c r="M181"/>
    </row>
    <row r="182" spans="1:20" x14ac:dyDescent="0.2">
      <c r="G182" s="807" t="s">
        <v>313</v>
      </c>
      <c r="H182" s="808"/>
      <c r="I182" s="809"/>
      <c r="M182"/>
    </row>
    <row r="183" spans="1:20" x14ac:dyDescent="0.2">
      <c r="A183" s="810" t="s">
        <v>312</v>
      </c>
      <c r="B183" s="811"/>
      <c r="C183" s="811"/>
      <c r="D183" s="811"/>
      <c r="E183" s="812"/>
      <c r="G183" s="752" t="s">
        <v>285</v>
      </c>
      <c r="H183" s="753"/>
      <c r="I183" s="754"/>
      <c r="K183" s="814" t="s">
        <v>314</v>
      </c>
      <c r="L183" s="814"/>
      <c r="M183" s="814"/>
      <c r="N183" s="814"/>
      <c r="P183" s="154"/>
      <c r="Q183" s="814" t="s">
        <v>315</v>
      </c>
      <c r="R183" s="814"/>
      <c r="S183" s="814"/>
      <c r="T183" s="814"/>
    </row>
    <row r="184" spans="1:20" x14ac:dyDescent="0.2">
      <c r="A184" s="305" t="s">
        <v>1</v>
      </c>
      <c r="B184" s="305" t="s">
        <v>290</v>
      </c>
      <c r="C184" s="420" t="s">
        <v>291</v>
      </c>
      <c r="D184" s="420" t="s">
        <v>259</v>
      </c>
      <c r="E184" s="420" t="s">
        <v>260</v>
      </c>
      <c r="G184" s="420" t="s">
        <v>185</v>
      </c>
      <c r="H184" s="420" t="s">
        <v>186</v>
      </c>
      <c r="I184" s="420" t="s">
        <v>286</v>
      </c>
      <c r="K184" s="305" t="s">
        <v>1</v>
      </c>
      <c r="L184" s="305" t="s">
        <v>185</v>
      </c>
      <c r="M184" s="420" t="s">
        <v>186</v>
      </c>
      <c r="N184" s="420" t="s">
        <v>0</v>
      </c>
      <c r="O184" s="6"/>
      <c r="P184" s="148"/>
      <c r="Q184" s="305" t="s">
        <v>1</v>
      </c>
      <c r="R184" s="305" t="s">
        <v>185</v>
      </c>
      <c r="S184" s="420" t="s">
        <v>186</v>
      </c>
      <c r="T184" s="420" t="s">
        <v>0</v>
      </c>
    </row>
    <row r="185" spans="1:20" x14ac:dyDescent="0.2">
      <c r="A185" s="220">
        <v>2017</v>
      </c>
      <c r="B185" s="307">
        <f t="shared" ref="B185:B223" si="73">B88-N137</f>
        <v>5462.606902272295</v>
      </c>
      <c r="C185" s="307">
        <f t="shared" ref="C185:E185" si="74">C88-O137</f>
        <v>1993851.5193293914</v>
      </c>
      <c r="D185" s="307">
        <f t="shared" si="74"/>
        <v>338954.7582859965</v>
      </c>
      <c r="E185" s="307">
        <f t="shared" si="74"/>
        <v>1654896.7610433921</v>
      </c>
      <c r="G185" s="306">
        <f t="shared" ref="G185:G223" si="75">O88-AM137</f>
        <v>256594.46702875168</v>
      </c>
      <c r="H185" s="306">
        <f t="shared" ref="H185:H223" si="76">P88-AN137</f>
        <v>34268.117027333319</v>
      </c>
      <c r="I185" s="306">
        <f t="shared" ref="I185:I223" si="77">Q88-AO137</f>
        <v>290862.58405608498</v>
      </c>
      <c r="K185" s="220">
        <v>2017</v>
      </c>
      <c r="L185" s="391">
        <f t="shared" ref="L185:L223" si="78">E185*$A$15</f>
        <v>645409.73680692294</v>
      </c>
      <c r="M185" s="391">
        <f t="shared" ref="M185:M223" si="79">D185*$A$14</f>
        <v>305059.28245739685</v>
      </c>
      <c r="N185" s="391">
        <f>L185+M185</f>
        <v>950469.0192643198</v>
      </c>
      <c r="P185" s="148"/>
      <c r="Q185" s="220">
        <v>2017</v>
      </c>
      <c r="R185" s="391">
        <f>G185*$A$12</f>
        <v>3797598.112025525</v>
      </c>
      <c r="S185" s="391">
        <f>H185*$A$11</f>
        <v>980068.14698173292</v>
      </c>
      <c r="T185" s="391">
        <f>R185+S185</f>
        <v>4777666.2590072583</v>
      </c>
    </row>
    <row r="186" spans="1:20" x14ac:dyDescent="0.2">
      <c r="A186" s="220">
        <v>2018</v>
      </c>
      <c r="B186" s="307">
        <f t="shared" si="73"/>
        <v>5548.5971815406228</v>
      </c>
      <c r="C186" s="307">
        <f t="shared" ref="C186:C223" si="80">C89-O138</f>
        <v>2025237.9712623358</v>
      </c>
      <c r="D186" s="307">
        <f t="shared" ref="D186:D223" si="81">D89-P138</f>
        <v>344290.45511459745</v>
      </c>
      <c r="E186" s="307">
        <f t="shared" ref="E186:E223" si="82">E89-Q138</f>
        <v>1680947.5161477365</v>
      </c>
      <c r="G186" s="306">
        <f t="shared" si="75"/>
        <v>264610.65045817901</v>
      </c>
      <c r="H186" s="306">
        <f t="shared" si="76"/>
        <v>34949.485907021706</v>
      </c>
      <c r="I186" s="306">
        <f t="shared" si="77"/>
        <v>299560.13636520074</v>
      </c>
      <c r="K186" s="220">
        <v>2018</v>
      </c>
      <c r="L186" s="391">
        <f t="shared" si="78"/>
        <v>655569.53129761724</v>
      </c>
      <c r="M186" s="391">
        <f t="shared" si="79"/>
        <v>309861.4096031377</v>
      </c>
      <c r="N186" s="391">
        <f t="shared" ref="N186:N222" si="83">L186+M186</f>
        <v>965430.94090075488</v>
      </c>
      <c r="P186" s="148"/>
      <c r="Q186" s="220">
        <v>2018</v>
      </c>
      <c r="R186" s="391">
        <f t="shared" ref="R186:R222" si="84">G186*$A$12</f>
        <v>3916237.6267810497</v>
      </c>
      <c r="S186" s="391">
        <f t="shared" ref="S186:S222" si="85">H186*$A$11</f>
        <v>999555.29694082087</v>
      </c>
      <c r="T186" s="391">
        <f t="shared" ref="T186:T222" si="86">R186+S186</f>
        <v>4915792.9237218704</v>
      </c>
    </row>
    <row r="187" spans="1:20" x14ac:dyDescent="0.2">
      <c r="A187" s="220">
        <v>2019</v>
      </c>
      <c r="B187" s="307">
        <f t="shared" si="73"/>
        <v>5635.9320389343047</v>
      </c>
      <c r="C187" s="307">
        <f t="shared" si="80"/>
        <v>2057115.1942110211</v>
      </c>
      <c r="D187" s="307">
        <f t="shared" si="81"/>
        <v>349709.5830158731</v>
      </c>
      <c r="E187" s="307">
        <f t="shared" si="82"/>
        <v>1707405.611195147</v>
      </c>
      <c r="G187" s="306">
        <f t="shared" si="75"/>
        <v>273012.40655767277</v>
      </c>
      <c r="H187" s="306">
        <f t="shared" si="76"/>
        <v>35647.14383758331</v>
      </c>
      <c r="I187" s="306">
        <f t="shared" si="77"/>
        <v>308659.55039525608</v>
      </c>
      <c r="K187" s="220">
        <v>2019</v>
      </c>
      <c r="L187" s="391">
        <f t="shared" si="78"/>
        <v>665888.18836610741</v>
      </c>
      <c r="M187" s="391">
        <f t="shared" si="79"/>
        <v>314738.62471428578</v>
      </c>
      <c r="N187" s="391">
        <f t="shared" si="83"/>
        <v>980626.81308039324</v>
      </c>
      <c r="P187" s="148"/>
      <c r="Q187" s="220">
        <v>2019</v>
      </c>
      <c r="R187" s="391">
        <f t="shared" si="84"/>
        <v>4040583.6170535572</v>
      </c>
      <c r="S187" s="391">
        <f t="shared" si="85"/>
        <v>1019508.3137548827</v>
      </c>
      <c r="T187" s="391">
        <f t="shared" si="86"/>
        <v>5060091.9308084399</v>
      </c>
    </row>
    <row r="188" spans="1:20" x14ac:dyDescent="0.2">
      <c r="A188" s="220">
        <v>2020</v>
      </c>
      <c r="B188" s="307">
        <f t="shared" si="73"/>
        <v>5724.6323480721185</v>
      </c>
      <c r="C188" s="307">
        <f t="shared" si="80"/>
        <v>2089490.807046324</v>
      </c>
      <c r="D188" s="307">
        <f t="shared" si="81"/>
        <v>355213.43719787523</v>
      </c>
      <c r="E188" s="307">
        <f t="shared" si="82"/>
        <v>1734277.3698484451</v>
      </c>
      <c r="G188" s="306">
        <f t="shared" si="75"/>
        <v>281827.76839089941</v>
      </c>
      <c r="H188" s="306">
        <f t="shared" si="76"/>
        <v>36361.592817727484</v>
      </c>
      <c r="I188" s="306">
        <f t="shared" si="77"/>
        <v>318189.36120862688</v>
      </c>
      <c r="K188" s="220">
        <v>2020</v>
      </c>
      <c r="L188" s="391">
        <f t="shared" si="78"/>
        <v>676368.17424089357</v>
      </c>
      <c r="M188" s="391">
        <f t="shared" si="79"/>
        <v>319692.09347808774</v>
      </c>
      <c r="N188" s="391">
        <f t="shared" si="83"/>
        <v>996060.26771898125</v>
      </c>
      <c r="P188" s="148"/>
      <c r="Q188" s="220">
        <v>2020</v>
      </c>
      <c r="R188" s="391">
        <f t="shared" si="84"/>
        <v>4171050.9721853114</v>
      </c>
      <c r="S188" s="391">
        <f t="shared" si="85"/>
        <v>1039941.5545870061</v>
      </c>
      <c r="T188" s="391">
        <f t="shared" si="86"/>
        <v>5210992.5267723175</v>
      </c>
    </row>
    <row r="189" spans="1:20" x14ac:dyDescent="0.2">
      <c r="A189" s="220">
        <v>2021</v>
      </c>
      <c r="B189" s="307">
        <f t="shared" si="73"/>
        <v>5814.7193040245184</v>
      </c>
      <c r="C189" s="307">
        <f t="shared" si="80"/>
        <v>2122372.5459689498</v>
      </c>
      <c r="D189" s="307">
        <f t="shared" si="81"/>
        <v>360803.33281472046</v>
      </c>
      <c r="E189" s="307">
        <f t="shared" si="82"/>
        <v>1761569.2131542228</v>
      </c>
      <c r="G189" s="306">
        <f t="shared" si="75"/>
        <v>291087.61467362219</v>
      </c>
      <c r="H189" s="306">
        <f t="shared" si="76"/>
        <v>37093.355151981261</v>
      </c>
      <c r="I189" s="306">
        <f t="shared" si="77"/>
        <v>328180.96982560342</v>
      </c>
      <c r="K189" s="220">
        <v>2021</v>
      </c>
      <c r="L189" s="391">
        <f t="shared" si="78"/>
        <v>687011.99313014688</v>
      </c>
      <c r="M189" s="391">
        <f t="shared" si="79"/>
        <v>324722.99953324842</v>
      </c>
      <c r="N189" s="391">
        <f t="shared" si="83"/>
        <v>1011734.9926633954</v>
      </c>
      <c r="P189" s="148"/>
      <c r="Q189" s="220">
        <v>2021</v>
      </c>
      <c r="R189" s="391">
        <f t="shared" si="84"/>
        <v>4308096.6971696084</v>
      </c>
      <c r="S189" s="391">
        <f t="shared" si="85"/>
        <v>1060869.957346664</v>
      </c>
      <c r="T189" s="391">
        <f t="shared" si="86"/>
        <v>5368966.6545162722</v>
      </c>
    </row>
    <row r="190" spans="1:20" x14ac:dyDescent="0.2">
      <c r="A190" s="220">
        <v>2022</v>
      </c>
      <c r="B190" s="307">
        <f t="shared" si="73"/>
        <v>5906.2144282181252</v>
      </c>
      <c r="C190" s="307">
        <f t="shared" si="80"/>
        <v>2155768.2662996128</v>
      </c>
      <c r="D190" s="307">
        <f t="shared" si="81"/>
        <v>366480.60527093336</v>
      </c>
      <c r="E190" s="307">
        <f t="shared" si="82"/>
        <v>1789287.6610286757</v>
      </c>
      <c r="G190" s="306">
        <f t="shared" si="75"/>
        <v>300826.04732195375</v>
      </c>
      <c r="H190" s="306">
        <f t="shared" si="76"/>
        <v>37842.974495927898</v>
      </c>
      <c r="I190" s="306">
        <f t="shared" si="77"/>
        <v>338669.02181788167</v>
      </c>
      <c r="K190" s="220">
        <v>2022</v>
      </c>
      <c r="L190" s="391">
        <f t="shared" si="78"/>
        <v>697822.18780118355</v>
      </c>
      <c r="M190" s="391">
        <f t="shared" si="79"/>
        <v>329832.54474384006</v>
      </c>
      <c r="N190" s="391">
        <f t="shared" si="83"/>
        <v>1027654.7325450236</v>
      </c>
      <c r="P190" s="148"/>
      <c r="Q190" s="220">
        <v>2022</v>
      </c>
      <c r="R190" s="391">
        <f t="shared" si="84"/>
        <v>4452225.5003649155</v>
      </c>
      <c r="S190" s="391">
        <f t="shared" si="85"/>
        <v>1082309.0705835379</v>
      </c>
      <c r="T190" s="391">
        <f t="shared" si="86"/>
        <v>5534534.5709484536</v>
      </c>
    </row>
    <row r="191" spans="1:20" x14ac:dyDescent="0.2">
      <c r="A191" s="220">
        <v>2023</v>
      </c>
      <c r="B191" s="307">
        <f t="shared" si="73"/>
        <v>5999.139573413835</v>
      </c>
      <c r="C191" s="307">
        <f t="shared" si="80"/>
        <v>2189685.9442960471</v>
      </c>
      <c r="D191" s="307">
        <f t="shared" si="81"/>
        <v>372246.61053032801</v>
      </c>
      <c r="E191" s="307">
        <f t="shared" si="82"/>
        <v>1817439.3337657228</v>
      </c>
      <c r="G191" s="306">
        <f t="shared" si="75"/>
        <v>311080.83163978986</v>
      </c>
      <c r="H191" s="306">
        <f t="shared" si="76"/>
        <v>38611.016967213014</v>
      </c>
      <c r="I191" s="306">
        <f t="shared" si="77"/>
        <v>349691.84860700287</v>
      </c>
      <c r="K191" s="220">
        <v>2023</v>
      </c>
      <c r="L191" s="391">
        <f t="shared" si="78"/>
        <v>708801.34016863187</v>
      </c>
      <c r="M191" s="391">
        <f t="shared" si="79"/>
        <v>335021.94947729522</v>
      </c>
      <c r="N191" s="391">
        <f t="shared" si="83"/>
        <v>1043823.289645927</v>
      </c>
      <c r="P191" s="148"/>
      <c r="Q191" s="220">
        <v>2023</v>
      </c>
      <c r="R191" s="391">
        <f t="shared" si="84"/>
        <v>4603996.3082688898</v>
      </c>
      <c r="S191" s="391">
        <f t="shared" si="85"/>
        <v>1104275.0852622923</v>
      </c>
      <c r="T191" s="391">
        <f t="shared" si="86"/>
        <v>5708271.3935311818</v>
      </c>
    </row>
    <row r="192" spans="1:20" x14ac:dyDescent="0.2">
      <c r="A192" s="220">
        <v>2024</v>
      </c>
      <c r="B192" s="307">
        <f t="shared" si="73"/>
        <v>6093.5169287607423</v>
      </c>
      <c r="C192" s="307">
        <f t="shared" si="80"/>
        <v>2224133.6789976731</v>
      </c>
      <c r="D192" s="307">
        <f t="shared" si="81"/>
        <v>378102.72542960476</v>
      </c>
      <c r="E192" s="307">
        <f t="shared" si="82"/>
        <v>1846030.9535680637</v>
      </c>
      <c r="G192" s="306">
        <f t="shared" si="75"/>
        <v>321893.91174812277</v>
      </c>
      <c r="H192" s="306">
        <f t="shared" si="76"/>
        <v>39398.072327226793</v>
      </c>
      <c r="I192" s="306">
        <f t="shared" si="77"/>
        <v>361291.98407534958</v>
      </c>
      <c r="K192" s="220">
        <v>2024</v>
      </c>
      <c r="L192" s="391">
        <f t="shared" si="78"/>
        <v>719952.07189154485</v>
      </c>
      <c r="M192" s="391">
        <f t="shared" si="79"/>
        <v>340292.45288664429</v>
      </c>
      <c r="N192" s="391">
        <f t="shared" si="83"/>
        <v>1060244.5247781891</v>
      </c>
      <c r="P192" s="148"/>
      <c r="Q192" s="220">
        <v>2024</v>
      </c>
      <c r="R192" s="391">
        <f t="shared" si="84"/>
        <v>4764029.8938722173</v>
      </c>
      <c r="S192" s="391">
        <f t="shared" si="85"/>
        <v>1126784.8685586865</v>
      </c>
      <c r="T192" s="391">
        <f t="shared" si="86"/>
        <v>5890814.7624309035</v>
      </c>
    </row>
    <row r="193" spans="1:20" x14ac:dyDescent="0.2">
      <c r="A193" s="305">
        <v>2025</v>
      </c>
      <c r="B193" s="308">
        <f t="shared" si="73"/>
        <v>6189.3690249252977</v>
      </c>
      <c r="C193" s="308">
        <f t="shared" si="80"/>
        <v>2259119.6940977424</v>
      </c>
      <c r="D193" s="308">
        <f t="shared" si="81"/>
        <v>384050.3479966158</v>
      </c>
      <c r="E193" s="308">
        <f t="shared" si="82"/>
        <v>1875069.3461011276</v>
      </c>
      <c r="G193" s="309">
        <f t="shared" si="75"/>
        <v>333312.01686556713</v>
      </c>
      <c r="H193" s="309">
        <f t="shared" si="76"/>
        <v>40204.755238795435</v>
      </c>
      <c r="I193" s="309">
        <f t="shared" si="77"/>
        <v>373516.77210436255</v>
      </c>
      <c r="K193" s="305">
        <v>2025</v>
      </c>
      <c r="L193" s="390">
        <f t="shared" si="78"/>
        <v>731277.04497943982</v>
      </c>
      <c r="M193" s="390">
        <f t="shared" si="79"/>
        <v>345645.31319695426</v>
      </c>
      <c r="N193" s="390">
        <f t="shared" si="83"/>
        <v>1076922.3581763941</v>
      </c>
      <c r="P193" s="148"/>
      <c r="Q193" s="305">
        <v>2025</v>
      </c>
      <c r="R193" s="390">
        <f t="shared" si="84"/>
        <v>4933017.8496103939</v>
      </c>
      <c r="S193" s="390">
        <f t="shared" si="85"/>
        <v>1149855.9998295496</v>
      </c>
      <c r="T193" s="390">
        <f t="shared" si="86"/>
        <v>6082873.8494399432</v>
      </c>
    </row>
    <row r="194" spans="1:20" x14ac:dyDescent="0.2">
      <c r="A194" s="305">
        <v>2026</v>
      </c>
      <c r="B194" s="308">
        <f t="shared" si="73"/>
        <v>6286.7187392987835</v>
      </c>
      <c r="C194" s="308">
        <f t="shared" si="80"/>
        <v>2294652.3398440555</v>
      </c>
      <c r="D194" s="308">
        <f t="shared" si="81"/>
        <v>390090.89777348936</v>
      </c>
      <c r="E194" s="308">
        <f t="shared" si="82"/>
        <v>1904561.4420705661</v>
      </c>
      <c r="G194" s="309">
        <f t="shared" si="75"/>
        <v>345387.37789236399</v>
      </c>
      <c r="H194" s="309">
        <f t="shared" si="76"/>
        <v>41031.706605683081</v>
      </c>
      <c r="I194" s="309">
        <f t="shared" si="77"/>
        <v>386419.08449804707</v>
      </c>
      <c r="K194" s="305">
        <v>2026</v>
      </c>
      <c r="L194" s="390">
        <f t="shared" si="78"/>
        <v>742778.96240752086</v>
      </c>
      <c r="M194" s="390">
        <f t="shared" si="79"/>
        <v>351081.80799614044</v>
      </c>
      <c r="N194" s="390">
        <f t="shared" si="83"/>
        <v>1093860.7704036613</v>
      </c>
      <c r="P194" s="148"/>
      <c r="Q194" s="305">
        <v>2026</v>
      </c>
      <c r="R194" s="390">
        <f t="shared" si="84"/>
        <v>5111733.1928069871</v>
      </c>
      <c r="S194" s="390">
        <f t="shared" si="85"/>
        <v>1173506.8089225362</v>
      </c>
      <c r="T194" s="390">
        <f t="shared" si="86"/>
        <v>6285240.0017295238</v>
      </c>
    </row>
    <row r="195" spans="1:20" x14ac:dyDescent="0.2">
      <c r="A195" s="305">
        <v>2027</v>
      </c>
      <c r="B195" s="308">
        <f t="shared" si="73"/>
        <v>6385.5893012826127</v>
      </c>
      <c r="C195" s="308">
        <f t="shared" si="80"/>
        <v>2330740.094968155</v>
      </c>
      <c r="D195" s="308">
        <f t="shared" si="81"/>
        <v>396225.81614458654</v>
      </c>
      <c r="E195" s="308">
        <f t="shared" si="82"/>
        <v>1934514.2788235694</v>
      </c>
      <c r="G195" s="309">
        <f t="shared" si="75"/>
        <v>358178.57869707223</v>
      </c>
      <c r="H195" s="309">
        <f t="shared" si="76"/>
        <v>41879.595000219349</v>
      </c>
      <c r="I195" s="309">
        <f t="shared" si="77"/>
        <v>400058.17369729158</v>
      </c>
      <c r="K195" s="305">
        <v>2027</v>
      </c>
      <c r="L195" s="390">
        <f t="shared" si="78"/>
        <v>754460.56874119211</v>
      </c>
      <c r="M195" s="390">
        <f t="shared" si="79"/>
        <v>356603.2345301279</v>
      </c>
      <c r="N195" s="390">
        <f t="shared" si="83"/>
        <v>1111063.8032713199</v>
      </c>
      <c r="P195" s="148"/>
      <c r="Q195" s="305">
        <v>2027</v>
      </c>
      <c r="R195" s="390">
        <f t="shared" si="84"/>
        <v>5301042.9647166692</v>
      </c>
      <c r="S195" s="390">
        <f t="shared" si="85"/>
        <v>1197756.4170062735</v>
      </c>
      <c r="T195" s="390">
        <f t="shared" si="86"/>
        <v>6498799.3817229429</v>
      </c>
    </row>
    <row r="196" spans="1:20" x14ac:dyDescent="0.2">
      <c r="A196" s="305">
        <v>2028</v>
      </c>
      <c r="B196" s="308">
        <f t="shared" si="73"/>
        <v>6486.0042976535042</v>
      </c>
      <c r="C196" s="308">
        <f t="shared" si="80"/>
        <v>2367391.5686435252</v>
      </c>
      <c r="D196" s="308">
        <f t="shared" si="81"/>
        <v>402456.56666939892</v>
      </c>
      <c r="E196" s="308">
        <f t="shared" si="82"/>
        <v>1964935.0019741282</v>
      </c>
      <c r="G196" s="309">
        <f t="shared" si="75"/>
        <v>371751.57292146992</v>
      </c>
      <c r="H196" s="309">
        <f t="shared" si="76"/>
        <v>42749.118185934203</v>
      </c>
      <c r="I196" s="309">
        <f t="shared" si="77"/>
        <v>414500.69110740413</v>
      </c>
      <c r="K196" s="305">
        <v>2028</v>
      </c>
      <c r="L196" s="390">
        <f t="shared" si="78"/>
        <v>766324.65076991008</v>
      </c>
      <c r="M196" s="390">
        <f t="shared" si="79"/>
        <v>362210.91000245902</v>
      </c>
      <c r="N196" s="390">
        <f t="shared" si="83"/>
        <v>1128535.5607723692</v>
      </c>
      <c r="P196" s="148"/>
      <c r="Q196" s="305">
        <v>2028</v>
      </c>
      <c r="R196" s="390">
        <f t="shared" si="84"/>
        <v>5501923.2792377556</v>
      </c>
      <c r="S196" s="390">
        <f t="shared" si="85"/>
        <v>1222624.7801177183</v>
      </c>
      <c r="T196" s="390">
        <f t="shared" si="86"/>
        <v>6724548.0593554741</v>
      </c>
    </row>
    <row r="197" spans="1:20" x14ac:dyDescent="0.2">
      <c r="A197" s="305">
        <v>2029</v>
      </c>
      <c r="B197" s="308">
        <f t="shared" si="73"/>
        <v>6587.9876780096965</v>
      </c>
      <c r="C197" s="308">
        <f t="shared" si="80"/>
        <v>2404615.5024735406</v>
      </c>
      <c r="D197" s="308">
        <f t="shared" si="81"/>
        <v>408784.63542050123</v>
      </c>
      <c r="E197" s="308">
        <f t="shared" si="82"/>
        <v>1995830.8670530468</v>
      </c>
      <c r="G197" s="309">
        <f t="shared" si="75"/>
        <v>386180.90550809627</v>
      </c>
      <c r="H197" s="309">
        <f t="shared" si="76"/>
        <v>43641.004742706289</v>
      </c>
      <c r="I197" s="309">
        <f t="shared" si="77"/>
        <v>429821.91025080258</v>
      </c>
      <c r="K197" s="305">
        <v>2029</v>
      </c>
      <c r="L197" s="390">
        <f t="shared" si="78"/>
        <v>778374.03815068828</v>
      </c>
      <c r="M197" s="390">
        <f t="shared" si="79"/>
        <v>367906.17187845113</v>
      </c>
      <c r="N197" s="390">
        <f t="shared" si="83"/>
        <v>1146280.2100291394</v>
      </c>
      <c r="P197" s="148"/>
      <c r="Q197" s="305">
        <v>2029</v>
      </c>
      <c r="R197" s="390">
        <f t="shared" si="84"/>
        <v>5715477.4015198248</v>
      </c>
      <c r="S197" s="390">
        <f t="shared" si="85"/>
        <v>1248132.7356413999</v>
      </c>
      <c r="T197" s="390">
        <f t="shared" si="86"/>
        <v>6963610.1371612251</v>
      </c>
    </row>
    <row r="198" spans="1:20" x14ac:dyDescent="0.2">
      <c r="A198" s="305">
        <v>2030</v>
      </c>
      <c r="B198" s="308">
        <f t="shared" si="73"/>
        <v>6691.5637602990028</v>
      </c>
      <c r="C198" s="308">
        <f t="shared" si="80"/>
        <v>2442420.7725091353</v>
      </c>
      <c r="D198" s="308">
        <f t="shared" si="81"/>
        <v>415211.53132655285</v>
      </c>
      <c r="E198" s="308">
        <f t="shared" si="82"/>
        <v>2027209.241182588</v>
      </c>
      <c r="G198" s="309">
        <f t="shared" si="75"/>
        <v>401551.18921640178</v>
      </c>
      <c r="H198" s="309">
        <f t="shared" si="76"/>
        <v>44556.015802620372</v>
      </c>
      <c r="I198" s="309">
        <f t="shared" si="77"/>
        <v>446107.20501902216</v>
      </c>
      <c r="K198" s="305">
        <v>2030</v>
      </c>
      <c r="L198" s="390">
        <f t="shared" si="78"/>
        <v>790611.60406120936</v>
      </c>
      <c r="M198" s="390">
        <f t="shared" si="79"/>
        <v>373690.3781938976</v>
      </c>
      <c r="N198" s="390">
        <f t="shared" si="83"/>
        <v>1164301.982255107</v>
      </c>
      <c r="P198" s="148"/>
      <c r="Q198" s="305">
        <v>2030</v>
      </c>
      <c r="R198" s="390">
        <f t="shared" si="84"/>
        <v>5942957.6004027463</v>
      </c>
      <c r="S198" s="390">
        <f t="shared" si="85"/>
        <v>1274302.0519549428</v>
      </c>
      <c r="T198" s="390">
        <f t="shared" si="86"/>
        <v>7217259.6523576891</v>
      </c>
    </row>
    <row r="199" spans="1:20" x14ac:dyDescent="0.2">
      <c r="A199" s="305">
        <v>2031</v>
      </c>
      <c r="B199" s="308">
        <f t="shared" si="73"/>
        <v>6796.757236430014</v>
      </c>
      <c r="C199" s="308">
        <f t="shared" si="80"/>
        <v>2480816.391296953</v>
      </c>
      <c r="D199" s="308">
        <f t="shared" si="81"/>
        <v>421738.78652048204</v>
      </c>
      <c r="E199" s="308">
        <f t="shared" si="82"/>
        <v>2059077.6047764719</v>
      </c>
      <c r="G199" s="309">
        <f t="shared" si="75"/>
        <v>417958.90111154347</v>
      </c>
      <c r="H199" s="309">
        <f t="shared" si="76"/>
        <v>45494.94690549079</v>
      </c>
      <c r="I199" s="309">
        <f t="shared" si="77"/>
        <v>463453.84801703424</v>
      </c>
      <c r="K199" s="305">
        <v>2031</v>
      </c>
      <c r="L199" s="390">
        <f t="shared" si="78"/>
        <v>803040.26586282405</v>
      </c>
      <c r="M199" s="390">
        <f t="shared" si="79"/>
        <v>379564.90786843386</v>
      </c>
      <c r="N199" s="390">
        <f t="shared" si="83"/>
        <v>1182605.1737312579</v>
      </c>
      <c r="P199" s="148"/>
      <c r="Q199" s="305">
        <v>2031</v>
      </c>
      <c r="R199" s="390">
        <f t="shared" si="84"/>
        <v>6185791.7364508435</v>
      </c>
      <c r="S199" s="390">
        <f t="shared" si="85"/>
        <v>1301155.4814970368</v>
      </c>
      <c r="T199" s="390">
        <f t="shared" si="86"/>
        <v>7486947.2179478798</v>
      </c>
    </row>
    <row r="200" spans="1:20" x14ac:dyDescent="0.2">
      <c r="A200" s="305">
        <v>2032</v>
      </c>
      <c r="B200" s="308">
        <f t="shared" si="73"/>
        <v>6903.5931779681123</v>
      </c>
      <c r="C200" s="308">
        <f t="shared" si="80"/>
        <v>2519811.5099583566</v>
      </c>
      <c r="D200" s="308">
        <f t="shared" si="81"/>
        <v>428367.95669292193</v>
      </c>
      <c r="E200" s="308">
        <f t="shared" si="82"/>
        <v>2091443.5532654375</v>
      </c>
      <c r="G200" s="309">
        <f t="shared" si="75"/>
        <v>435514.58378300036</v>
      </c>
      <c r="H200" s="309">
        <f t="shared" si="76"/>
        <v>46458.629983851184</v>
      </c>
      <c r="I200" s="309">
        <f t="shared" si="77"/>
        <v>481973.21376685152</v>
      </c>
      <c r="K200" s="305">
        <v>2032</v>
      </c>
      <c r="L200" s="390">
        <f t="shared" si="78"/>
        <v>815662.98577352066</v>
      </c>
      <c r="M200" s="390">
        <f t="shared" si="79"/>
        <v>385531.16102362977</v>
      </c>
      <c r="N200" s="390">
        <f t="shared" si="83"/>
        <v>1201194.1467971504</v>
      </c>
      <c r="P200" s="148"/>
      <c r="Q200" s="305">
        <v>2032</v>
      </c>
      <c r="R200" s="390">
        <f t="shared" si="84"/>
        <v>6445615.8399884058</v>
      </c>
      <c r="S200" s="390">
        <f t="shared" si="85"/>
        <v>1328716.8175381438</v>
      </c>
      <c r="T200" s="390">
        <f t="shared" si="86"/>
        <v>7774332.6575265499</v>
      </c>
    </row>
    <row r="201" spans="1:20" x14ac:dyDescent="0.2">
      <c r="A201" s="305">
        <v>2033</v>
      </c>
      <c r="B201" s="308">
        <f t="shared" si="73"/>
        <v>7012.0970419171354</v>
      </c>
      <c r="C201" s="308">
        <f t="shared" si="80"/>
        <v>2559415.4202997535</v>
      </c>
      <c r="D201" s="308">
        <f t="shared" si="81"/>
        <v>435100.62145095877</v>
      </c>
      <c r="E201" s="308">
        <f t="shared" si="82"/>
        <v>2124314.7988487929</v>
      </c>
      <c r="G201" s="309">
        <f t="shared" si="75"/>
        <v>454345.56288981001</v>
      </c>
      <c r="H201" s="309">
        <f t="shared" si="76"/>
        <v>47447.935488143405</v>
      </c>
      <c r="I201" s="309">
        <f t="shared" si="77"/>
        <v>501793.49837795342</v>
      </c>
      <c r="K201" s="305">
        <v>2033</v>
      </c>
      <c r="L201" s="390">
        <f t="shared" si="78"/>
        <v>828482.77155102929</v>
      </c>
      <c r="M201" s="390">
        <f t="shared" si="79"/>
        <v>391590.55930586293</v>
      </c>
      <c r="N201" s="390">
        <f t="shared" si="83"/>
        <v>1220073.3308568923</v>
      </c>
      <c r="P201" s="148"/>
      <c r="Q201" s="305">
        <v>2033</v>
      </c>
      <c r="R201" s="390">
        <f t="shared" si="84"/>
        <v>6724314.3307691887</v>
      </c>
      <c r="S201" s="390">
        <f t="shared" si="85"/>
        <v>1357010.9549609015</v>
      </c>
      <c r="T201" s="390">
        <f t="shared" si="86"/>
        <v>8081325.28573009</v>
      </c>
    </row>
    <row r="202" spans="1:20" x14ac:dyDescent="0.2">
      <c r="A202" s="305">
        <v>2034</v>
      </c>
      <c r="B202" s="308">
        <f t="shared" si="73"/>
        <v>7122.2946765878296</v>
      </c>
      <c r="C202" s="308">
        <f t="shared" si="80"/>
        <v>2599637.5569545478</v>
      </c>
      <c r="D202" s="308">
        <f t="shared" si="81"/>
        <v>441938.38468227349</v>
      </c>
      <c r="E202" s="308">
        <f t="shared" si="82"/>
        <v>2157699.1722722724</v>
      </c>
      <c r="G202" s="309">
        <f t="shared" si="75"/>
        <v>474599.32946537482</v>
      </c>
      <c r="H202" s="309">
        <f t="shared" si="76"/>
        <v>48463.774663874603</v>
      </c>
      <c r="I202" s="309">
        <f t="shared" si="77"/>
        <v>523063.1041292494</v>
      </c>
      <c r="K202" s="305">
        <v>2034</v>
      </c>
      <c r="L202" s="390">
        <f t="shared" si="78"/>
        <v>841502.67718618631</v>
      </c>
      <c r="M202" s="390">
        <f t="shared" si="79"/>
        <v>397744.54621404613</v>
      </c>
      <c r="N202" s="390">
        <f t="shared" si="83"/>
        <v>1239247.2234002324</v>
      </c>
      <c r="P202" s="148"/>
      <c r="Q202" s="305">
        <v>2034</v>
      </c>
      <c r="R202" s="390">
        <f t="shared" si="84"/>
        <v>7024070.0760875475</v>
      </c>
      <c r="S202" s="390">
        <f t="shared" si="85"/>
        <v>1386063.9553868137</v>
      </c>
      <c r="T202" s="390">
        <f t="shared" si="86"/>
        <v>8410134.0314743612</v>
      </c>
    </row>
    <row r="203" spans="1:20" x14ac:dyDescent="0.2">
      <c r="A203" s="305">
        <v>2035</v>
      </c>
      <c r="B203" s="308">
        <f t="shared" si="73"/>
        <v>7234.2123275550257</v>
      </c>
      <c r="C203" s="308">
        <f t="shared" si="80"/>
        <v>2640487.4995575771</v>
      </c>
      <c r="D203" s="308">
        <f t="shared" si="81"/>
        <v>448882.87492478825</v>
      </c>
      <c r="E203" s="308">
        <f t="shared" si="82"/>
        <v>2191604.6246327907</v>
      </c>
      <c r="G203" s="309">
        <f t="shared" si="75"/>
        <v>496447.78657401894</v>
      </c>
      <c r="H203" s="309">
        <f t="shared" si="76"/>
        <v>49507.101993659926</v>
      </c>
      <c r="I203" s="309">
        <f t="shared" si="77"/>
        <v>545954.88856767886</v>
      </c>
      <c r="K203" s="305">
        <v>2035</v>
      </c>
      <c r="L203" s="390">
        <f t="shared" si="78"/>
        <v>854725.80360678839</v>
      </c>
      <c r="M203" s="390">
        <f t="shared" si="79"/>
        <v>403994.58743230946</v>
      </c>
      <c r="N203" s="390">
        <f t="shared" si="83"/>
        <v>1258720.3910390979</v>
      </c>
      <c r="P203" s="148"/>
      <c r="Q203" s="305">
        <v>2035</v>
      </c>
      <c r="R203" s="390">
        <f t="shared" si="84"/>
        <v>7347427.2412954811</v>
      </c>
      <c r="S203" s="390">
        <f t="shared" si="85"/>
        <v>1415903.117018674</v>
      </c>
      <c r="T203" s="390">
        <f t="shared" si="86"/>
        <v>8763330.3583141547</v>
      </c>
    </row>
    <row r="204" spans="1:20" x14ac:dyDescent="0.2">
      <c r="A204" s="305">
        <v>2036</v>
      </c>
      <c r="B204" s="308">
        <f t="shared" si="73"/>
        <v>7347.8766437041049</v>
      </c>
      <c r="C204" s="308">
        <f t="shared" si="80"/>
        <v>2681974.9749519974</v>
      </c>
      <c r="D204" s="308">
        <f t="shared" si="81"/>
        <v>455935.74574184045</v>
      </c>
      <c r="E204" s="308">
        <f t="shared" si="82"/>
        <v>2226039.2292101681</v>
      </c>
      <c r="G204" s="309">
        <f t="shared" si="75"/>
        <v>520092.63187671168</v>
      </c>
      <c r="H204" s="309">
        <f t="shared" si="76"/>
        <v>50578.91781834721</v>
      </c>
      <c r="I204" s="309">
        <f t="shared" si="77"/>
        <v>570671.54969505884</v>
      </c>
      <c r="K204" s="305">
        <v>2036</v>
      </c>
      <c r="L204" s="390">
        <f t="shared" si="78"/>
        <v>868155.29939196561</v>
      </c>
      <c r="M204" s="390">
        <f t="shared" si="79"/>
        <v>410342.17116765643</v>
      </c>
      <c r="N204" s="390">
        <f t="shared" si="83"/>
        <v>1278497.4705596222</v>
      </c>
      <c r="P204" s="148"/>
      <c r="Q204" s="305">
        <v>2036</v>
      </c>
      <c r="R204" s="390">
        <f t="shared" si="84"/>
        <v>7697370.9517753329</v>
      </c>
      <c r="S204" s="390">
        <f t="shared" si="85"/>
        <v>1446557.0496047302</v>
      </c>
      <c r="T204" s="390">
        <f t="shared" si="86"/>
        <v>9143928.0013800636</v>
      </c>
    </row>
    <row r="205" spans="1:20" x14ac:dyDescent="0.2">
      <c r="A205" s="305">
        <v>2037</v>
      </c>
      <c r="B205" s="308">
        <f t="shared" si="73"/>
        <v>7463.3146833688079</v>
      </c>
      <c r="C205" s="308">
        <f t="shared" si="80"/>
        <v>2724109.8594296202</v>
      </c>
      <c r="D205" s="308">
        <f t="shared" si="81"/>
        <v>463098.67610303499</v>
      </c>
      <c r="E205" s="308">
        <f t="shared" si="82"/>
        <v>2261011.1833265871</v>
      </c>
      <c r="G205" s="309">
        <f t="shared" si="75"/>
        <v>545772.25030313362</v>
      </c>
      <c r="H205" s="309">
        <f t="shared" si="76"/>
        <v>51680.271152842339</v>
      </c>
      <c r="I205" s="309">
        <f t="shared" si="77"/>
        <v>597452.52145597595</v>
      </c>
      <c r="K205" s="305">
        <v>2037</v>
      </c>
      <c r="L205" s="390">
        <f t="shared" si="78"/>
        <v>881794.36149736901</v>
      </c>
      <c r="M205" s="390">
        <f t="shared" si="79"/>
        <v>416788.80849273148</v>
      </c>
      <c r="N205" s="390">
        <f t="shared" si="83"/>
        <v>1298583.1699901004</v>
      </c>
      <c r="P205" s="148"/>
      <c r="Q205" s="305">
        <v>2037</v>
      </c>
      <c r="R205" s="390">
        <f t="shared" si="84"/>
        <v>8077429.3044863781</v>
      </c>
      <c r="S205" s="390">
        <f t="shared" si="85"/>
        <v>1478055.7549712909</v>
      </c>
      <c r="T205" s="390">
        <f t="shared" si="86"/>
        <v>9555485.059457669</v>
      </c>
    </row>
    <row r="206" spans="1:20" x14ac:dyDescent="0.2">
      <c r="A206" s="305">
        <v>2038</v>
      </c>
      <c r="B206" s="308">
        <f t="shared" si="73"/>
        <v>7580.5539205608075</v>
      </c>
      <c r="C206" s="308">
        <f t="shared" si="80"/>
        <v>2766902.1810046956</v>
      </c>
      <c r="D206" s="308">
        <f t="shared" si="81"/>
        <v>470373.37077079713</v>
      </c>
      <c r="E206" s="308">
        <f t="shared" si="82"/>
        <v>2296528.810233891</v>
      </c>
      <c r="G206" s="309">
        <f t="shared" si="75"/>
        <v>573770.63962232287</v>
      </c>
      <c r="H206" s="309">
        <f t="shared" si="76"/>
        <v>52812.262713839926</v>
      </c>
      <c r="I206" s="309">
        <f t="shared" si="77"/>
        <v>626582.90233616275</v>
      </c>
      <c r="K206" s="305">
        <v>2038</v>
      </c>
      <c r="L206" s="390">
        <f t="shared" si="78"/>
        <v>895646.23599121755</v>
      </c>
      <c r="M206" s="390">
        <f t="shared" si="79"/>
        <v>423336.03369371744</v>
      </c>
      <c r="N206" s="390">
        <f t="shared" si="83"/>
        <v>1318982.269684935</v>
      </c>
      <c r="P206" s="148"/>
      <c r="Q206" s="305">
        <v>2038</v>
      </c>
      <c r="R206" s="390">
        <f t="shared" si="84"/>
        <v>8491805.466410378</v>
      </c>
      <c r="S206" s="390">
        <f t="shared" si="85"/>
        <v>1510430.7136158219</v>
      </c>
      <c r="T206" s="390">
        <f t="shared" si="86"/>
        <v>10002236.1800262</v>
      </c>
    </row>
    <row r="207" spans="1:20" x14ac:dyDescent="0.2">
      <c r="A207" s="305">
        <v>2039</v>
      </c>
      <c r="B207" s="308">
        <f t="shared" si="73"/>
        <v>7699.6222512934473</v>
      </c>
      <c r="C207" s="308">
        <f t="shared" si="80"/>
        <v>2810362.1217221096</v>
      </c>
      <c r="D207" s="308">
        <f t="shared" si="81"/>
        <v>477761.56069275737</v>
      </c>
      <c r="E207" s="308">
        <f t="shared" si="82"/>
        <v>2332600.5610293522</v>
      </c>
      <c r="G207" s="309">
        <f t="shared" si="75"/>
        <v>604429.11035799293</v>
      </c>
      <c r="H207" s="309">
        <f t="shared" si="76"/>
        <v>53976.048178435572</v>
      </c>
      <c r="I207" s="309">
        <f t="shared" si="77"/>
        <v>658405.15853642847</v>
      </c>
      <c r="K207" s="305">
        <v>2039</v>
      </c>
      <c r="L207" s="390">
        <f t="shared" si="78"/>
        <v>909714.21880144742</v>
      </c>
      <c r="M207" s="390">
        <f t="shared" si="79"/>
        <v>429985.40462348162</v>
      </c>
      <c r="N207" s="390">
        <f t="shared" si="83"/>
        <v>1339699.6234249291</v>
      </c>
      <c r="P207" s="148"/>
      <c r="Q207" s="305">
        <v>2039</v>
      </c>
      <c r="R207" s="390">
        <f t="shared" si="84"/>
        <v>8945550.8332982957</v>
      </c>
      <c r="S207" s="390">
        <f t="shared" si="85"/>
        <v>1543714.9779032574</v>
      </c>
      <c r="T207" s="390">
        <f t="shared" si="86"/>
        <v>10489265.811201554</v>
      </c>
    </row>
    <row r="208" spans="1:20" x14ac:dyDescent="0.2">
      <c r="A208" s="305">
        <v>2040</v>
      </c>
      <c r="B208" s="308">
        <f t="shared" si="73"/>
        <v>7820.5480000000098</v>
      </c>
      <c r="C208" s="308">
        <f t="shared" si="80"/>
        <v>2854500.0200000033</v>
      </c>
      <c r="D208" s="308">
        <f t="shared" si="81"/>
        <v>485265.00340000167</v>
      </c>
      <c r="E208" s="308">
        <f t="shared" si="82"/>
        <v>2369235.0166000053</v>
      </c>
      <c r="G208" s="309">
        <f t="shared" si="75"/>
        <v>638161.82900261623</v>
      </c>
      <c r="H208" s="309">
        <f t="shared" si="76"/>
        <v>55172.84169457409</v>
      </c>
      <c r="I208" s="309">
        <f t="shared" si="77"/>
        <v>693334.67069719033</v>
      </c>
      <c r="K208" s="305">
        <v>2040</v>
      </c>
      <c r="L208" s="390">
        <f t="shared" si="78"/>
        <v>924001.65647400205</v>
      </c>
      <c r="M208" s="390">
        <f t="shared" si="79"/>
        <v>436738.50306000153</v>
      </c>
      <c r="N208" s="390">
        <f t="shared" si="83"/>
        <v>1360740.1595340036</v>
      </c>
      <c r="P208" s="148"/>
      <c r="Q208" s="305">
        <v>2040</v>
      </c>
      <c r="R208" s="390">
        <f t="shared" si="84"/>
        <v>9444795.0692387205</v>
      </c>
      <c r="S208" s="390">
        <f t="shared" si="85"/>
        <v>1577943.272464819</v>
      </c>
      <c r="T208" s="390">
        <f t="shared" si="86"/>
        <v>11022738.34170354</v>
      </c>
    </row>
    <row r="209" spans="1:22" x14ac:dyDescent="0.2">
      <c r="A209" s="305">
        <v>2041</v>
      </c>
      <c r="B209" s="308">
        <f t="shared" si="73"/>
        <v>7832.681399867346</v>
      </c>
      <c r="C209" s="308">
        <f t="shared" si="80"/>
        <v>2858928.7109515816</v>
      </c>
      <c r="D209" s="308">
        <f t="shared" si="81"/>
        <v>486017.8808617685</v>
      </c>
      <c r="E209" s="308">
        <f t="shared" si="82"/>
        <v>2372910.830089815</v>
      </c>
      <c r="G209" s="309">
        <f t="shared" si="75"/>
        <v>658746.79007983394</v>
      </c>
      <c r="H209" s="309">
        <f t="shared" si="76"/>
        <v>55863.427095112726</v>
      </c>
      <c r="I209" s="309">
        <f t="shared" si="77"/>
        <v>714610.21717494668</v>
      </c>
      <c r="K209" s="305">
        <v>2041</v>
      </c>
      <c r="L209" s="390">
        <f t="shared" si="78"/>
        <v>925435.22373502783</v>
      </c>
      <c r="M209" s="390">
        <f t="shared" si="79"/>
        <v>437416.09277559165</v>
      </c>
      <c r="N209" s="390">
        <f t="shared" si="83"/>
        <v>1362851.3165106196</v>
      </c>
      <c r="P209" s="148"/>
      <c r="Q209" s="305">
        <v>2041</v>
      </c>
      <c r="R209" s="390">
        <f t="shared" si="84"/>
        <v>9749452.4931815434</v>
      </c>
      <c r="S209" s="390">
        <f t="shared" si="85"/>
        <v>1597694.014920224</v>
      </c>
      <c r="T209" s="390">
        <f t="shared" si="86"/>
        <v>11347146.508101767</v>
      </c>
    </row>
    <row r="210" spans="1:22" x14ac:dyDescent="0.2">
      <c r="A210" s="305">
        <v>2042</v>
      </c>
      <c r="B210" s="308">
        <f t="shared" si="73"/>
        <v>7844.6987152538786</v>
      </c>
      <c r="C210" s="308">
        <f t="shared" si="80"/>
        <v>2863315.0310676694</v>
      </c>
      <c r="D210" s="308">
        <f t="shared" si="81"/>
        <v>486763.55528150499</v>
      </c>
      <c r="E210" s="308">
        <f t="shared" si="82"/>
        <v>2376551.4757861644</v>
      </c>
      <c r="G210" s="309">
        <f t="shared" si="75"/>
        <v>680578.37721572537</v>
      </c>
      <c r="H210" s="309">
        <f t="shared" si="76"/>
        <v>56565.173272219108</v>
      </c>
      <c r="I210" s="309">
        <f t="shared" si="77"/>
        <v>737143.55048794451</v>
      </c>
      <c r="K210" s="305">
        <v>2042</v>
      </c>
      <c r="L210" s="390">
        <f t="shared" si="78"/>
        <v>926855.07555660419</v>
      </c>
      <c r="M210" s="390">
        <f t="shared" si="79"/>
        <v>438087.19975335448</v>
      </c>
      <c r="N210" s="390">
        <f t="shared" si="83"/>
        <v>1364942.2753099587</v>
      </c>
      <c r="P210" s="148"/>
      <c r="Q210" s="305">
        <v>2042</v>
      </c>
      <c r="R210" s="390">
        <f t="shared" si="84"/>
        <v>10072559.982792735</v>
      </c>
      <c r="S210" s="390">
        <f t="shared" si="85"/>
        <v>1617763.9555854665</v>
      </c>
      <c r="T210" s="390">
        <f t="shared" si="86"/>
        <v>11690323.938378202</v>
      </c>
    </row>
    <row r="211" spans="1:22" x14ac:dyDescent="0.2">
      <c r="A211" s="305">
        <v>2043</v>
      </c>
      <c r="B211" s="308">
        <f t="shared" si="73"/>
        <v>7856.5978726957983</v>
      </c>
      <c r="C211" s="308">
        <f t="shared" si="80"/>
        <v>2867658.2235339656</v>
      </c>
      <c r="D211" s="308">
        <f t="shared" si="81"/>
        <v>487501.89800077491</v>
      </c>
      <c r="E211" s="308">
        <f t="shared" si="82"/>
        <v>2380156.3255331963</v>
      </c>
      <c r="G211" s="309">
        <f t="shared" si="75"/>
        <v>703778.49273231521</v>
      </c>
      <c r="H211" s="309">
        <f t="shared" si="76"/>
        <v>57278.325951277911</v>
      </c>
      <c r="I211" s="309">
        <f t="shared" si="77"/>
        <v>761056.81868359307</v>
      </c>
      <c r="K211" s="305">
        <v>2043</v>
      </c>
      <c r="L211" s="390">
        <f t="shared" si="78"/>
        <v>928260.96695794666</v>
      </c>
      <c r="M211" s="390">
        <f t="shared" si="79"/>
        <v>438751.70820069744</v>
      </c>
      <c r="N211" s="390">
        <f t="shared" si="83"/>
        <v>1367012.6751586441</v>
      </c>
      <c r="P211" s="148"/>
      <c r="Q211" s="305">
        <v>2043</v>
      </c>
      <c r="R211" s="390">
        <f t="shared" si="84"/>
        <v>10415921.692438265</v>
      </c>
      <c r="S211" s="390">
        <f t="shared" si="85"/>
        <v>1638160.1222065485</v>
      </c>
      <c r="T211" s="390">
        <f t="shared" si="86"/>
        <v>12054081.814644814</v>
      </c>
    </row>
    <row r="212" spans="1:22" x14ac:dyDescent="0.2">
      <c r="A212" s="305">
        <v>2044</v>
      </c>
      <c r="B212" s="308">
        <f t="shared" si="73"/>
        <v>7868.3767738072202</v>
      </c>
      <c r="C212" s="308">
        <f t="shared" si="80"/>
        <v>2871957.5224396437</v>
      </c>
      <c r="D212" s="308">
        <f t="shared" si="81"/>
        <v>488232.77881473862</v>
      </c>
      <c r="E212" s="308">
        <f t="shared" si="82"/>
        <v>2383724.7436249033</v>
      </c>
      <c r="G212" s="309">
        <f t="shared" si="75"/>
        <v>728485.97905193339</v>
      </c>
      <c r="H212" s="309">
        <f t="shared" si="76"/>
        <v>58003.13809642756</v>
      </c>
      <c r="I212" s="309">
        <f t="shared" si="77"/>
        <v>786489.11714836094</v>
      </c>
      <c r="K212" s="305">
        <v>2044</v>
      </c>
      <c r="L212" s="390">
        <f t="shared" si="78"/>
        <v>929652.65001371235</v>
      </c>
      <c r="M212" s="390">
        <f t="shared" si="79"/>
        <v>439409.50093326479</v>
      </c>
      <c r="N212" s="390">
        <f t="shared" si="83"/>
        <v>1369062.1509469771</v>
      </c>
      <c r="P212" s="148"/>
      <c r="Q212" s="305">
        <v>2044</v>
      </c>
      <c r="R212" s="390">
        <f t="shared" si="84"/>
        <v>10781592.489968615</v>
      </c>
      <c r="S212" s="390">
        <f t="shared" si="85"/>
        <v>1658889.7495578283</v>
      </c>
      <c r="T212" s="390">
        <f t="shared" si="86"/>
        <v>12440482.239526443</v>
      </c>
    </row>
    <row r="213" spans="1:22" x14ac:dyDescent="0.2">
      <c r="A213" s="305">
        <v>2045</v>
      </c>
      <c r="B213" s="308">
        <f t="shared" si="73"/>
        <v>7880.0332950045995</v>
      </c>
      <c r="C213" s="308">
        <f t="shared" si="80"/>
        <v>2876212.1526766866</v>
      </c>
      <c r="D213" s="308">
        <f t="shared" si="81"/>
        <v>488956.06595503725</v>
      </c>
      <c r="E213" s="308">
        <f t="shared" si="82"/>
        <v>2387256.0867216513</v>
      </c>
      <c r="G213" s="309">
        <f t="shared" si="75"/>
        <v>754859.71733878332</v>
      </c>
      <c r="H213" s="309">
        <f t="shared" si="76"/>
        <v>58739.870182010913</v>
      </c>
      <c r="I213" s="309">
        <f t="shared" si="77"/>
        <v>813599.58752079424</v>
      </c>
      <c r="K213" s="305">
        <v>2045</v>
      </c>
      <c r="L213" s="390">
        <f t="shared" si="78"/>
        <v>931029.87382144399</v>
      </c>
      <c r="M213" s="390">
        <f t="shared" si="79"/>
        <v>440060.45935953356</v>
      </c>
      <c r="N213" s="390">
        <f t="shared" si="83"/>
        <v>1371090.3331809775</v>
      </c>
      <c r="P213" s="148"/>
      <c r="Q213" s="305">
        <v>2045</v>
      </c>
      <c r="R213" s="390">
        <f t="shared" si="84"/>
        <v>11171923.816613995</v>
      </c>
      <c r="S213" s="390">
        <f t="shared" si="85"/>
        <v>1679960.2872055122</v>
      </c>
      <c r="T213" s="390">
        <f t="shared" si="86"/>
        <v>12851884.103819506</v>
      </c>
    </row>
    <row r="214" spans="1:22" x14ac:dyDescent="0.2">
      <c r="A214" s="305">
        <v>2046</v>
      </c>
      <c r="B214" s="308">
        <f t="shared" si="73"/>
        <v>7891.5652872296923</v>
      </c>
      <c r="C214" s="308">
        <f t="shared" si="80"/>
        <v>2880421.3298388347</v>
      </c>
      <c r="D214" s="308">
        <f t="shared" si="81"/>
        <v>489671.62607260235</v>
      </c>
      <c r="E214" s="308">
        <f t="shared" si="82"/>
        <v>2390749.7037662342</v>
      </c>
      <c r="G214" s="309">
        <f t="shared" si="75"/>
        <v>783082.43795591989</v>
      </c>
      <c r="H214" s="309">
        <f t="shared" si="76"/>
        <v>59488.79047644481</v>
      </c>
      <c r="I214" s="309">
        <f t="shared" si="77"/>
        <v>842571.22843236465</v>
      </c>
      <c r="K214" s="305">
        <v>2046</v>
      </c>
      <c r="L214" s="390">
        <f t="shared" si="78"/>
        <v>932392.38446883135</v>
      </c>
      <c r="M214" s="390">
        <f t="shared" si="79"/>
        <v>440704.46346534212</v>
      </c>
      <c r="N214" s="390">
        <f t="shared" si="83"/>
        <v>1373096.8479341734</v>
      </c>
      <c r="P214" s="148"/>
      <c r="Q214" s="305">
        <v>2046</v>
      </c>
      <c r="R214" s="390">
        <f t="shared" si="84"/>
        <v>11589620.081747616</v>
      </c>
      <c r="S214" s="390">
        <f t="shared" si="85"/>
        <v>1701379.4076263218</v>
      </c>
      <c r="T214" s="390">
        <f t="shared" si="86"/>
        <v>13290999.489373937</v>
      </c>
    </row>
    <row r="215" spans="1:22" x14ac:dyDescent="0.2">
      <c r="A215" s="305">
        <v>2047</v>
      </c>
      <c r="B215" s="308">
        <f t="shared" si="73"/>
        <v>7902.9705756674521</v>
      </c>
      <c r="C215" s="308">
        <f t="shared" si="80"/>
        <v>2884584.2601186186</v>
      </c>
      <c r="D215" s="308">
        <f t="shared" si="81"/>
        <v>490379.32422016561</v>
      </c>
      <c r="E215" s="308">
        <f t="shared" si="82"/>
        <v>2394204.935898453</v>
      </c>
      <c r="G215" s="309">
        <f t="shared" si="75"/>
        <v>813365.44189902407</v>
      </c>
      <c r="H215" s="309">
        <f t="shared" si="76"/>
        <v>60250.175339181696</v>
      </c>
      <c r="I215" s="309">
        <f t="shared" si="77"/>
        <v>873615.61723820574</v>
      </c>
      <c r="K215" s="305">
        <v>2047</v>
      </c>
      <c r="L215" s="390">
        <f t="shared" si="78"/>
        <v>933739.92500039667</v>
      </c>
      <c r="M215" s="390">
        <f t="shared" si="79"/>
        <v>441341.39179814904</v>
      </c>
      <c r="N215" s="390">
        <f t="shared" si="83"/>
        <v>1375081.3167985457</v>
      </c>
      <c r="P215" s="148"/>
      <c r="Q215" s="305">
        <v>2047</v>
      </c>
      <c r="R215" s="390">
        <f t="shared" si="84"/>
        <v>12037808.540105557</v>
      </c>
      <c r="S215" s="390">
        <f t="shared" si="85"/>
        <v>1723155.0147005967</v>
      </c>
      <c r="T215" s="390">
        <f t="shared" si="86"/>
        <v>13760963.554806154</v>
      </c>
    </row>
    <row r="216" spans="1:22" x14ac:dyDescent="0.2">
      <c r="A216" s="305">
        <v>2048</v>
      </c>
      <c r="B216" s="308">
        <f t="shared" si="73"/>
        <v>7914.2469594627328</v>
      </c>
      <c r="C216" s="308">
        <f t="shared" si="80"/>
        <v>2888700.1402038932</v>
      </c>
      <c r="D216" s="308">
        <f t="shared" si="81"/>
        <v>491079.02383466251</v>
      </c>
      <c r="E216" s="308">
        <f t="shared" si="82"/>
        <v>2397621.1163692325</v>
      </c>
      <c r="G216" s="309">
        <f t="shared" si="75"/>
        <v>845954.49883057515</v>
      </c>
      <c r="H216" s="309">
        <f t="shared" si="76"/>
        <v>61024.309531478182</v>
      </c>
      <c r="I216" s="309">
        <f t="shared" si="77"/>
        <v>906978.80836205336</v>
      </c>
      <c r="K216" s="305">
        <v>2048</v>
      </c>
      <c r="L216" s="390">
        <f t="shared" si="78"/>
        <v>935072.2353840007</v>
      </c>
      <c r="M216" s="390">
        <f t="shared" si="79"/>
        <v>441971.12145119626</v>
      </c>
      <c r="N216" s="390">
        <f t="shared" si="83"/>
        <v>1377043.356835197</v>
      </c>
      <c r="P216" s="148"/>
      <c r="Q216" s="305">
        <v>2048</v>
      </c>
      <c r="R216" s="390">
        <f t="shared" si="84"/>
        <v>12520126.582692513</v>
      </c>
      <c r="S216" s="390">
        <f t="shared" si="85"/>
        <v>1745295.2526002761</v>
      </c>
      <c r="T216" s="390">
        <f t="shared" si="86"/>
        <v>14265421.83529279</v>
      </c>
    </row>
    <row r="217" spans="1:22" x14ac:dyDescent="0.2">
      <c r="A217" s="305">
        <v>2049</v>
      </c>
      <c r="B217" s="308">
        <f t="shared" si="73"/>
        <v>7925.3922114327142</v>
      </c>
      <c r="C217" s="308">
        <f t="shared" si="80"/>
        <v>2892768.1571729407</v>
      </c>
      <c r="D217" s="308">
        <f t="shared" si="81"/>
        <v>491770.58671939932</v>
      </c>
      <c r="E217" s="308">
        <f t="shared" si="82"/>
        <v>2400997.5704535469</v>
      </c>
      <c r="G217" s="309">
        <f t="shared" si="75"/>
        <v>881137.27986064588</v>
      </c>
      <c r="H217" s="309">
        <f t="shared" si="76"/>
        <v>61811.486541731356</v>
      </c>
      <c r="I217" s="309">
        <f t="shared" si="77"/>
        <v>942948.76640237728</v>
      </c>
      <c r="K217" s="305">
        <v>2049</v>
      </c>
      <c r="L217" s="390">
        <f t="shared" si="78"/>
        <v>936389.05247688328</v>
      </c>
      <c r="M217" s="390">
        <f t="shared" si="79"/>
        <v>442593.52804745937</v>
      </c>
      <c r="N217" s="390">
        <f t="shared" si="83"/>
        <v>1378982.5805243426</v>
      </c>
      <c r="P217" s="148"/>
      <c r="Q217" s="305">
        <v>2049</v>
      </c>
      <c r="R217" s="390">
        <f t="shared" si="84"/>
        <v>13040831.741937559</v>
      </c>
      <c r="S217" s="390">
        <f t="shared" si="85"/>
        <v>1767808.5150935168</v>
      </c>
      <c r="T217" s="390">
        <f t="shared" si="86"/>
        <v>14808640.257031076</v>
      </c>
    </row>
    <row r="218" spans="1:22" x14ac:dyDescent="0.2">
      <c r="A218" s="305">
        <v>2050</v>
      </c>
      <c r="B218" s="308">
        <f t="shared" si="73"/>
        <v>7936.4040777770279</v>
      </c>
      <c r="C218" s="308">
        <f t="shared" si="80"/>
        <v>2896787.4883886129</v>
      </c>
      <c r="D218" s="308">
        <f t="shared" si="81"/>
        <v>492453.87302606553</v>
      </c>
      <c r="E218" s="308">
        <f t="shared" si="82"/>
        <v>2404333.6153625548</v>
      </c>
      <c r="G218" s="309">
        <f t="shared" si="75"/>
        <v>919252.81367956474</v>
      </c>
      <c r="H218" s="309">
        <f t="shared" si="76"/>
        <v>62612.008926191942</v>
      </c>
      <c r="I218" s="309">
        <f t="shared" si="77"/>
        <v>981864.82260575669</v>
      </c>
      <c r="K218" s="305">
        <v>2050</v>
      </c>
      <c r="L218" s="390">
        <f t="shared" si="78"/>
        <v>937690.10999139643</v>
      </c>
      <c r="M218" s="390">
        <f t="shared" si="79"/>
        <v>443208.48572345899</v>
      </c>
      <c r="N218" s="390">
        <f t="shared" si="83"/>
        <v>1380898.5957148555</v>
      </c>
      <c r="P218" s="148"/>
      <c r="Q218" s="305">
        <v>2050</v>
      </c>
      <c r="R218" s="390">
        <f t="shared" si="84"/>
        <v>13604941.64245756</v>
      </c>
      <c r="S218" s="390">
        <f t="shared" si="85"/>
        <v>1790703.4552890896</v>
      </c>
      <c r="T218" s="390">
        <f t="shared" si="86"/>
        <v>15395645.09774665</v>
      </c>
    </row>
    <row r="219" spans="1:22" x14ac:dyDescent="0.2">
      <c r="A219" s="305">
        <v>2051</v>
      </c>
      <c r="B219" s="308">
        <f t="shared" si="73"/>
        <v>7947.2802777842444</v>
      </c>
      <c r="C219" s="308">
        <f t="shared" si="80"/>
        <v>2900757.3013912514</v>
      </c>
      <c r="D219" s="308">
        <f t="shared" si="81"/>
        <v>493128.74123651162</v>
      </c>
      <c r="E219" s="308">
        <f t="shared" si="82"/>
        <v>2407628.560154736</v>
      </c>
      <c r="G219" s="309">
        <f t="shared" si="75"/>
        <v>960703.64115718845</v>
      </c>
      <c r="H219" s="309">
        <f t="shared" si="76"/>
        <v>63426.188665915135</v>
      </c>
      <c r="I219" s="309">
        <f t="shared" si="77"/>
        <v>1024129.8298231036</v>
      </c>
      <c r="K219" s="305">
        <v>2051</v>
      </c>
      <c r="L219" s="390">
        <f t="shared" si="78"/>
        <v>938975.13846034708</v>
      </c>
      <c r="M219" s="390">
        <f t="shared" si="79"/>
        <v>443815.86711286049</v>
      </c>
      <c r="N219" s="390">
        <f t="shared" si="83"/>
        <v>1382791.0055732075</v>
      </c>
      <c r="P219" s="148"/>
      <c r="Q219" s="305">
        <v>2051</v>
      </c>
      <c r="R219" s="390">
        <f t="shared" si="84"/>
        <v>14218413.88912639</v>
      </c>
      <c r="S219" s="390">
        <f t="shared" si="85"/>
        <v>1813988.995845173</v>
      </c>
      <c r="T219" s="390">
        <f t="shared" si="86"/>
        <v>16032402.884971563</v>
      </c>
    </row>
    <row r="220" spans="1:22" x14ac:dyDescent="0.2">
      <c r="A220" s="305">
        <v>2052</v>
      </c>
      <c r="B220" s="308">
        <f t="shared" si="73"/>
        <v>7958.0185035353934</v>
      </c>
      <c r="C220" s="308">
        <f t="shared" si="80"/>
        <v>2904676.7537904307</v>
      </c>
      <c r="D220" s="308">
        <f t="shared" si="81"/>
        <v>493795.04814437218</v>
      </c>
      <c r="E220" s="308">
        <f t="shared" si="82"/>
        <v>2410881.7056460604</v>
      </c>
      <c r="G220" s="309">
        <f t="shared" si="75"/>
        <v>1005971.6141907166</v>
      </c>
      <c r="H220" s="309">
        <f t="shared" si="76"/>
        <v>64254.347540866627</v>
      </c>
      <c r="I220" s="309">
        <f t="shared" si="77"/>
        <v>1070225.9617315833</v>
      </c>
      <c r="K220" s="305">
        <v>2052</v>
      </c>
      <c r="L220" s="390">
        <f t="shared" si="78"/>
        <v>940243.86520196358</v>
      </c>
      <c r="M220" s="390">
        <f t="shared" si="79"/>
        <v>444415.543329935</v>
      </c>
      <c r="N220" s="390">
        <f t="shared" si="83"/>
        <v>1384659.4085318986</v>
      </c>
      <c r="P220" s="148"/>
      <c r="Q220" s="305">
        <v>2052</v>
      </c>
      <c r="R220" s="390">
        <f t="shared" si="84"/>
        <v>14888379.890022608</v>
      </c>
      <c r="S220" s="390">
        <f t="shared" si="85"/>
        <v>1837674.3396687857</v>
      </c>
      <c r="T220" s="390">
        <f t="shared" si="86"/>
        <v>16726054.229691394</v>
      </c>
    </row>
    <row r="221" spans="1:22" x14ac:dyDescent="0.2">
      <c r="A221" s="305">
        <v>2053</v>
      </c>
      <c r="B221" s="308">
        <f t="shared" si="73"/>
        <v>7968.6164196041063</v>
      </c>
      <c r="C221" s="308">
        <f t="shared" si="80"/>
        <v>2908544.9931555018</v>
      </c>
      <c r="D221" s="308">
        <f t="shared" si="81"/>
        <v>494452.64883643575</v>
      </c>
      <c r="E221" s="308">
        <f t="shared" si="82"/>
        <v>2414092.3443190604</v>
      </c>
      <c r="G221" s="309">
        <f t="shared" si="75"/>
        <v>1055638.6838394254</v>
      </c>
      <c r="H221" s="309">
        <f t="shared" si="76"/>
        <v>65096.817522160964</v>
      </c>
      <c r="I221" s="309">
        <f t="shared" si="77"/>
        <v>1120735.5013615864</v>
      </c>
      <c r="K221" s="305">
        <v>2053</v>
      </c>
      <c r="L221" s="390">
        <f t="shared" si="78"/>
        <v>941496.01428443356</v>
      </c>
      <c r="M221" s="390">
        <f t="shared" si="79"/>
        <v>445007.38395279221</v>
      </c>
      <c r="N221" s="390">
        <f t="shared" si="83"/>
        <v>1386503.3982372258</v>
      </c>
      <c r="P221" s="148"/>
      <c r="Q221" s="305">
        <v>2053</v>
      </c>
      <c r="R221" s="390">
        <f t="shared" si="84"/>
        <v>15623452.520823497</v>
      </c>
      <c r="S221" s="390">
        <f t="shared" si="85"/>
        <v>1861768.9811338037</v>
      </c>
      <c r="T221" s="390">
        <f t="shared" si="86"/>
        <v>17485221.501957301</v>
      </c>
    </row>
    <row r="222" spans="1:22" x14ac:dyDescent="0.2">
      <c r="A222" s="305">
        <v>2054</v>
      </c>
      <c r="B222" s="308">
        <f t="shared" si="73"/>
        <v>7979.071662754257</v>
      </c>
      <c r="C222" s="308">
        <f t="shared" si="80"/>
        <v>2912361.1569053084</v>
      </c>
      <c r="D222" s="308">
        <f t="shared" si="81"/>
        <v>495101.39667390101</v>
      </c>
      <c r="E222" s="308">
        <f t="shared" si="82"/>
        <v>2417259.7602314055</v>
      </c>
      <c r="G222" s="309">
        <f t="shared" si="75"/>
        <v>1110414.622307078</v>
      </c>
      <c r="H222" s="309">
        <f t="shared" si="76"/>
        <v>65953.941183473697</v>
      </c>
      <c r="I222" s="309">
        <f t="shared" si="77"/>
        <v>1176368.5634905517</v>
      </c>
      <c r="K222" s="305">
        <v>2054</v>
      </c>
      <c r="L222" s="390">
        <f t="shared" si="78"/>
        <v>942731.30649024819</v>
      </c>
      <c r="M222" s="390">
        <f t="shared" si="79"/>
        <v>445591.25700651092</v>
      </c>
      <c r="N222" s="390">
        <f t="shared" si="83"/>
        <v>1388322.5634967592</v>
      </c>
      <c r="P222" s="148"/>
      <c r="Q222" s="305">
        <v>2054</v>
      </c>
      <c r="R222" s="390">
        <f t="shared" si="84"/>
        <v>16434136.410144756</v>
      </c>
      <c r="S222" s="390">
        <f t="shared" si="85"/>
        <v>1886282.7178473477</v>
      </c>
      <c r="T222" s="390">
        <f t="shared" si="86"/>
        <v>18320419.127992105</v>
      </c>
    </row>
    <row r="223" spans="1:22" x14ac:dyDescent="0.2">
      <c r="A223" s="305">
        <v>2055</v>
      </c>
      <c r="B223" s="308">
        <f t="shared" si="73"/>
        <v>7989.381841633236</v>
      </c>
      <c r="C223" s="308">
        <f t="shared" si="80"/>
        <v>2916124.3721961379</v>
      </c>
      <c r="D223" s="308">
        <f t="shared" si="81"/>
        <v>495741.1432733424</v>
      </c>
      <c r="E223" s="308">
        <f t="shared" si="82"/>
        <v>2420383.2289227918</v>
      </c>
      <c r="G223" s="309">
        <f t="shared" si="75"/>
        <v>1171174.541344061</v>
      </c>
      <c r="H223" s="309">
        <f t="shared" si="76"/>
        <v>66826.072132739107</v>
      </c>
      <c r="I223" s="309">
        <f t="shared" si="77"/>
        <v>1238000.6134768</v>
      </c>
      <c r="K223" s="305">
        <v>2055</v>
      </c>
      <c r="L223" s="390">
        <f t="shared" si="78"/>
        <v>943949.45927988878</v>
      </c>
      <c r="M223" s="390">
        <f t="shared" si="79"/>
        <v>446167.02894600818</v>
      </c>
      <c r="N223" s="390">
        <f t="shared" ref="N223" si="87">L223+M223</f>
        <v>1390116.4882258968</v>
      </c>
      <c r="Q223" s="305">
        <v>2055</v>
      </c>
      <c r="R223" s="390">
        <f t="shared" ref="R223" si="88">G223*$A$12</f>
        <v>17333383.211892106</v>
      </c>
      <c r="S223" s="390">
        <f t="shared" ref="S223" si="89">H223*$A$11</f>
        <v>1911225.6629963387</v>
      </c>
      <c r="T223" s="390">
        <f t="shared" ref="T223" si="90">R223+S223</f>
        <v>19244608.874888442</v>
      </c>
    </row>
    <row r="224" spans="1:22" x14ac:dyDescent="0.2">
      <c r="S224" s="154"/>
      <c r="T224" s="154"/>
      <c r="U224" s="154"/>
      <c r="V224" s="154"/>
    </row>
    <row r="225" spans="1:22" x14ac:dyDescent="0.2">
      <c r="S225" s="148"/>
      <c r="T225" s="148"/>
      <c r="U225" s="151"/>
      <c r="V225" s="151"/>
    </row>
    <row r="226" spans="1:22" x14ac:dyDescent="0.2">
      <c r="S226" s="148"/>
      <c r="T226" s="392"/>
      <c r="U226" s="392"/>
      <c r="V226" s="392"/>
    </row>
    <row r="227" spans="1:22" x14ac:dyDescent="0.2">
      <c r="S227" s="148"/>
      <c r="T227" s="392"/>
      <c r="U227" s="392"/>
      <c r="V227" s="392"/>
    </row>
    <row r="228" spans="1:22" x14ac:dyDescent="0.2">
      <c r="S228" s="148"/>
      <c r="T228" s="392"/>
      <c r="U228" s="392"/>
      <c r="V228" s="392"/>
    </row>
    <row r="229" spans="1:22" x14ac:dyDescent="0.2">
      <c r="S229" s="148"/>
      <c r="T229" s="392"/>
      <c r="U229" s="392"/>
      <c r="V229" s="392"/>
    </row>
    <row r="230" spans="1:22" x14ac:dyDescent="0.2">
      <c r="A230" s="504"/>
      <c r="B230" s="504"/>
      <c r="C230" s="504"/>
      <c r="S230" s="148"/>
      <c r="T230" s="392"/>
      <c r="U230" s="392"/>
      <c r="V230" s="392"/>
    </row>
    <row r="231" spans="1:22" x14ac:dyDescent="0.2">
      <c r="S231" s="148"/>
      <c r="T231" s="392"/>
      <c r="U231" s="392"/>
      <c r="V231" s="392"/>
    </row>
    <row r="232" spans="1:22" x14ac:dyDescent="0.2">
      <c r="S232" s="148"/>
      <c r="T232" s="392"/>
      <c r="U232" s="392"/>
      <c r="V232" s="392"/>
    </row>
    <row r="233" spans="1:22" x14ac:dyDescent="0.2">
      <c r="S233" s="148"/>
      <c r="T233" s="392"/>
      <c r="U233" s="392"/>
      <c r="V233" s="392"/>
    </row>
    <row r="234" spans="1:22" x14ac:dyDescent="0.2">
      <c r="S234" s="148"/>
      <c r="T234" s="392"/>
      <c r="U234" s="392"/>
      <c r="V234" s="392"/>
    </row>
    <row r="235" spans="1:22" x14ac:dyDescent="0.2">
      <c r="C235" s="6"/>
      <c r="S235" s="148"/>
      <c r="T235" s="392"/>
      <c r="U235" s="392"/>
      <c r="V235" s="392"/>
    </row>
    <row r="236" spans="1:22" x14ac:dyDescent="0.2">
      <c r="S236" s="148"/>
      <c r="T236" s="392"/>
      <c r="U236" s="392"/>
      <c r="V236" s="392"/>
    </row>
    <row r="237" spans="1:22" x14ac:dyDescent="0.2">
      <c r="S237" s="148"/>
      <c r="T237" s="392"/>
      <c r="U237" s="392"/>
      <c r="V237" s="392"/>
    </row>
    <row r="238" spans="1:22" x14ac:dyDescent="0.2">
      <c r="S238" s="148"/>
      <c r="T238" s="392"/>
      <c r="U238" s="392"/>
      <c r="V238" s="392"/>
    </row>
    <row r="239" spans="1:22" x14ac:dyDescent="0.2">
      <c r="S239" s="148"/>
      <c r="T239" s="392"/>
      <c r="U239" s="392"/>
      <c r="V239" s="392"/>
    </row>
    <row r="240" spans="1:22" x14ac:dyDescent="0.2">
      <c r="S240" s="148"/>
      <c r="T240" s="392"/>
      <c r="U240" s="392"/>
      <c r="V240" s="392"/>
    </row>
    <row r="241" spans="2:22" x14ac:dyDescent="0.2">
      <c r="S241" s="148"/>
      <c r="T241" s="392"/>
      <c r="U241" s="392"/>
      <c r="V241" s="392"/>
    </row>
    <row r="242" spans="2:22" x14ac:dyDescent="0.2">
      <c r="S242" s="148"/>
      <c r="T242" s="392"/>
      <c r="U242" s="392"/>
      <c r="V242" s="392"/>
    </row>
    <row r="243" spans="2:22" x14ac:dyDescent="0.2">
      <c r="B243" s="505"/>
      <c r="S243" s="148"/>
      <c r="T243" s="392"/>
      <c r="U243" s="392"/>
      <c r="V243" s="392"/>
    </row>
    <row r="244" spans="2:22" x14ac:dyDescent="0.2">
      <c r="S244" s="148"/>
      <c r="T244" s="392"/>
      <c r="U244" s="392"/>
      <c r="V244" s="392"/>
    </row>
    <row r="245" spans="2:22" x14ac:dyDescent="0.2">
      <c r="S245" s="148"/>
      <c r="T245" s="392"/>
      <c r="U245" s="392"/>
      <c r="V245" s="392"/>
    </row>
    <row r="246" spans="2:22" x14ac:dyDescent="0.2">
      <c r="S246" s="148"/>
      <c r="T246" s="392"/>
      <c r="U246" s="392"/>
      <c r="V246" s="392"/>
    </row>
    <row r="247" spans="2:22" x14ac:dyDescent="0.2">
      <c r="S247" s="148"/>
      <c r="T247" s="392"/>
      <c r="U247" s="392"/>
      <c r="V247" s="392"/>
    </row>
    <row r="248" spans="2:22" x14ac:dyDescent="0.2">
      <c r="S248" s="148"/>
      <c r="T248" s="392"/>
      <c r="U248" s="392"/>
      <c r="V248" s="392"/>
    </row>
    <row r="249" spans="2:22" x14ac:dyDescent="0.2">
      <c r="S249" s="148"/>
      <c r="T249" s="392"/>
      <c r="U249" s="392"/>
      <c r="V249" s="392"/>
    </row>
    <row r="250" spans="2:22" x14ac:dyDescent="0.2">
      <c r="S250" s="148"/>
      <c r="T250" s="392"/>
      <c r="U250" s="392"/>
      <c r="V250" s="392"/>
    </row>
    <row r="251" spans="2:22" x14ac:dyDescent="0.2">
      <c r="S251" s="148"/>
      <c r="T251" s="392"/>
      <c r="U251" s="392"/>
      <c r="V251" s="392"/>
    </row>
    <row r="252" spans="2:22" x14ac:dyDescent="0.2">
      <c r="S252" s="148"/>
      <c r="T252" s="392"/>
      <c r="U252" s="392"/>
      <c r="V252" s="392"/>
    </row>
    <row r="253" spans="2:22" x14ac:dyDescent="0.2">
      <c r="S253" s="148"/>
      <c r="T253" s="392"/>
      <c r="U253" s="392"/>
      <c r="V253" s="392"/>
    </row>
    <row r="254" spans="2:22" x14ac:dyDescent="0.2">
      <c r="S254" s="148"/>
      <c r="T254" s="392"/>
      <c r="U254" s="392"/>
      <c r="V254" s="392"/>
    </row>
    <row r="255" spans="2:22" x14ac:dyDescent="0.2">
      <c r="S255" s="148"/>
      <c r="T255" s="392"/>
      <c r="U255" s="392"/>
      <c r="V255" s="392"/>
    </row>
    <row r="256" spans="2:22" x14ac:dyDescent="0.2">
      <c r="S256" s="148"/>
      <c r="T256" s="392"/>
      <c r="U256" s="392"/>
      <c r="V256" s="392"/>
    </row>
    <row r="257" spans="19:22" x14ac:dyDescent="0.2">
      <c r="S257" s="148"/>
      <c r="T257" s="392"/>
      <c r="U257" s="392"/>
      <c r="V257" s="392"/>
    </row>
    <row r="258" spans="19:22" x14ac:dyDescent="0.2">
      <c r="S258" s="148"/>
      <c r="T258" s="392"/>
      <c r="U258" s="392"/>
      <c r="V258" s="392"/>
    </row>
    <row r="259" spans="19:22" x14ac:dyDescent="0.2">
      <c r="S259" s="148"/>
      <c r="T259" s="392"/>
      <c r="U259" s="392"/>
      <c r="V259" s="392"/>
    </row>
    <row r="260" spans="19:22" x14ac:dyDescent="0.2">
      <c r="S260" s="148"/>
      <c r="T260" s="392"/>
      <c r="U260" s="392"/>
      <c r="V260" s="392"/>
    </row>
    <row r="261" spans="19:22" x14ac:dyDescent="0.2">
      <c r="S261" s="148"/>
      <c r="T261" s="392"/>
      <c r="U261" s="392"/>
      <c r="V261" s="392"/>
    </row>
    <row r="262" spans="19:22" x14ac:dyDescent="0.2">
      <c r="S262" s="148"/>
      <c r="T262" s="392"/>
      <c r="U262" s="392"/>
      <c r="V262" s="392"/>
    </row>
    <row r="263" spans="19:22" x14ac:dyDescent="0.2">
      <c r="S263" s="148"/>
      <c r="T263" s="392"/>
      <c r="U263" s="392"/>
      <c r="V263" s="392"/>
    </row>
    <row r="264" spans="19:22" x14ac:dyDescent="0.2">
      <c r="S264" s="148"/>
      <c r="T264" s="392"/>
      <c r="U264" s="392"/>
      <c r="V264" s="392"/>
    </row>
    <row r="265" spans="19:22" x14ac:dyDescent="0.2">
      <c r="S265" s="148"/>
      <c r="T265" s="392"/>
      <c r="U265" s="392"/>
      <c r="V265" s="392"/>
    </row>
    <row r="266" spans="19:22" x14ac:dyDescent="0.2">
      <c r="S266" s="148"/>
      <c r="T266" s="392"/>
      <c r="U266" s="392"/>
      <c r="V266" s="392"/>
    </row>
  </sheetData>
  <mergeCells count="55">
    <mergeCell ref="S3:S5"/>
    <mergeCell ref="T3:T5"/>
    <mergeCell ref="M3:N3"/>
    <mergeCell ref="O3:P3"/>
    <mergeCell ref="Q3:R4"/>
    <mergeCell ref="O4:P4"/>
    <mergeCell ref="M4:N4"/>
    <mergeCell ref="K183:N183"/>
    <mergeCell ref="Q183:T183"/>
    <mergeCell ref="Q37:R37"/>
    <mergeCell ref="A179:B180"/>
    <mergeCell ref="A183:E183"/>
    <mergeCell ref="O86:Q86"/>
    <mergeCell ref="A52:E52"/>
    <mergeCell ref="G182:I182"/>
    <mergeCell ref="G183:I183"/>
    <mergeCell ref="T41:T43"/>
    <mergeCell ref="Q75:R75"/>
    <mergeCell ref="M41:N41"/>
    <mergeCell ref="M42:N42"/>
    <mergeCell ref="O42:P42"/>
    <mergeCell ref="O41:P41"/>
    <mergeCell ref="Q41:R42"/>
    <mergeCell ref="AK134:AO134"/>
    <mergeCell ref="A135:E135"/>
    <mergeCell ref="G135:K135"/>
    <mergeCell ref="M135:Q135"/>
    <mergeCell ref="S135:T135"/>
    <mergeCell ref="U135:W135"/>
    <mergeCell ref="Y135:Z135"/>
    <mergeCell ref="AA135:AC135"/>
    <mergeCell ref="AE135:AF135"/>
    <mergeCell ref="AG135:AI135"/>
    <mergeCell ref="AK135:AL135"/>
    <mergeCell ref="AM135:AO135"/>
    <mergeCell ref="Y134:AC134"/>
    <mergeCell ref="AE134:AI134"/>
    <mergeCell ref="U14:U16"/>
    <mergeCell ref="A130:B131"/>
    <mergeCell ref="S134:W134"/>
    <mergeCell ref="S41:S43"/>
    <mergeCell ref="O85:Q85"/>
    <mergeCell ref="G85:I85"/>
    <mergeCell ref="K85:M85"/>
    <mergeCell ref="A86:E86"/>
    <mergeCell ref="G86:I86"/>
    <mergeCell ref="K86:M86"/>
    <mergeCell ref="A68:E68"/>
    <mergeCell ref="A80:B81"/>
    <mergeCell ref="A7:B7"/>
    <mergeCell ref="L42:L43"/>
    <mergeCell ref="L4:L5"/>
    <mergeCell ref="A18:B18"/>
    <mergeCell ref="A38:E38"/>
    <mergeCell ref="A17:E17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S68"/>
  <sheetViews>
    <sheetView zoomScale="70" zoomScaleNormal="70" workbookViewId="0"/>
  </sheetViews>
  <sheetFormatPr defaultRowHeight="12.75" x14ac:dyDescent="0.2"/>
  <cols>
    <col min="1" max="1" width="24.42578125" bestFit="1" customWidth="1"/>
    <col min="2" max="3" width="8.7109375" customWidth="1"/>
    <col min="4" max="4" width="13.7109375" bestFit="1" customWidth="1"/>
    <col min="5" max="5" width="17.28515625" customWidth="1"/>
    <col min="6" max="6" width="18.85546875" bestFit="1" customWidth="1"/>
    <col min="7" max="17" width="8.7109375" customWidth="1"/>
    <col min="18" max="18" width="16.85546875" bestFit="1" customWidth="1"/>
    <col min="19" max="19" width="10.85546875" customWidth="1"/>
    <col min="20" max="20" width="11.28515625" customWidth="1"/>
    <col min="21" max="21" width="10.5703125" customWidth="1"/>
    <col min="22" max="22" width="44.140625" bestFit="1" customWidth="1"/>
    <col min="24" max="24" width="52" bestFit="1" customWidth="1"/>
  </cols>
  <sheetData>
    <row r="1" spans="1:45" x14ac:dyDescent="0.2">
      <c r="A1" s="375" t="s">
        <v>303</v>
      </c>
      <c r="B1" s="823" t="s">
        <v>319</v>
      </c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5"/>
      <c r="R1" t="s">
        <v>320</v>
      </c>
      <c r="U1" t="s">
        <v>366</v>
      </c>
      <c r="V1" s="100" t="s">
        <v>38</v>
      </c>
      <c r="W1" t="s">
        <v>367</v>
      </c>
      <c r="X1" s="100" t="s">
        <v>52</v>
      </c>
    </row>
    <row r="2" spans="1:45" ht="13.5" thickBot="1" x14ac:dyDescent="0.25">
      <c r="A2" s="376">
        <v>0.17</v>
      </c>
      <c r="B2" s="364">
        <v>1</v>
      </c>
      <c r="C2" s="365">
        <v>2</v>
      </c>
      <c r="D2" s="365">
        <v>3</v>
      </c>
      <c r="E2" s="365">
        <v>4</v>
      </c>
      <c r="F2" s="365">
        <v>5</v>
      </c>
      <c r="G2" s="365">
        <v>6</v>
      </c>
      <c r="H2" s="365">
        <v>7</v>
      </c>
      <c r="I2" s="365">
        <v>8</v>
      </c>
      <c r="J2" s="365">
        <v>9</v>
      </c>
      <c r="K2" s="365">
        <v>10</v>
      </c>
      <c r="L2" s="365">
        <v>11</v>
      </c>
      <c r="M2" s="365">
        <v>12</v>
      </c>
      <c r="N2" s="365">
        <v>13</v>
      </c>
      <c r="O2" s="365">
        <v>14</v>
      </c>
      <c r="P2" s="365">
        <v>15</v>
      </c>
      <c r="Q2" s="366">
        <v>16</v>
      </c>
      <c r="U2">
        <v>1</v>
      </c>
      <c r="V2" t="s">
        <v>344</v>
      </c>
      <c r="W2">
        <v>1</v>
      </c>
      <c r="X2" t="s">
        <v>360</v>
      </c>
    </row>
    <row r="3" spans="1:45" x14ac:dyDescent="0.2">
      <c r="A3" s="367" t="s">
        <v>298</v>
      </c>
      <c r="B3" s="379">
        <f>B5-B4</f>
        <v>7494.07</v>
      </c>
      <c r="C3" s="379">
        <f t="shared" ref="C3:Q3" si="0">C5-C4</f>
        <v>15887.029999999999</v>
      </c>
      <c r="D3" s="379">
        <f t="shared" si="0"/>
        <v>15887.029999999999</v>
      </c>
      <c r="E3" s="379">
        <f t="shared" si="0"/>
        <v>15887.029999999999</v>
      </c>
      <c r="F3" s="379">
        <f t="shared" si="0"/>
        <v>14773.17</v>
      </c>
      <c r="G3" s="379">
        <f t="shared" si="0"/>
        <v>14874.43</v>
      </c>
      <c r="H3" s="379">
        <f t="shared" si="0"/>
        <v>13395.369999999999</v>
      </c>
      <c r="I3" s="379">
        <f t="shared" si="0"/>
        <v>13395.369999999999</v>
      </c>
      <c r="J3" s="379">
        <f t="shared" si="0"/>
        <v>13395.369999999999</v>
      </c>
      <c r="K3" s="379">
        <f t="shared" si="0"/>
        <v>8089.18</v>
      </c>
      <c r="L3" s="379">
        <f t="shared" si="0"/>
        <v>8089.18</v>
      </c>
      <c r="M3" s="379">
        <f t="shared" si="0"/>
        <v>8089.18</v>
      </c>
      <c r="N3" s="379">
        <f t="shared" si="0"/>
        <v>10135.959999999999</v>
      </c>
      <c r="O3" s="379">
        <f t="shared" si="0"/>
        <v>10135.959999999999</v>
      </c>
      <c r="P3" s="379">
        <f t="shared" si="0"/>
        <v>7655.09</v>
      </c>
      <c r="Q3" s="379">
        <f t="shared" si="0"/>
        <v>3720.06</v>
      </c>
      <c r="U3">
        <v>2</v>
      </c>
      <c r="V3" t="s">
        <v>345</v>
      </c>
      <c r="W3">
        <v>2</v>
      </c>
      <c r="X3" t="s">
        <v>361</v>
      </c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</row>
    <row r="4" spans="1:45" x14ac:dyDescent="0.2">
      <c r="A4" s="368" t="s">
        <v>299</v>
      </c>
      <c r="B4" s="380">
        <f>B5*$A$2</f>
        <v>1534.93</v>
      </c>
      <c r="C4" s="380">
        <f t="shared" ref="C4:Q4" si="1">C5*$A$2</f>
        <v>3253.9700000000003</v>
      </c>
      <c r="D4" s="380">
        <f t="shared" si="1"/>
        <v>3253.9700000000003</v>
      </c>
      <c r="E4" s="380">
        <f t="shared" si="1"/>
        <v>3253.9700000000003</v>
      </c>
      <c r="F4" s="380">
        <f t="shared" si="1"/>
        <v>3025.8300000000004</v>
      </c>
      <c r="G4" s="380">
        <f t="shared" si="1"/>
        <v>3046.57</v>
      </c>
      <c r="H4" s="380">
        <f t="shared" si="1"/>
        <v>2743.63</v>
      </c>
      <c r="I4" s="380">
        <f t="shared" si="1"/>
        <v>2743.63</v>
      </c>
      <c r="J4" s="380">
        <f t="shared" si="1"/>
        <v>2743.63</v>
      </c>
      <c r="K4" s="380">
        <f t="shared" si="1"/>
        <v>1656.8200000000002</v>
      </c>
      <c r="L4" s="380">
        <f t="shared" si="1"/>
        <v>1656.8200000000002</v>
      </c>
      <c r="M4" s="380">
        <f t="shared" si="1"/>
        <v>1656.8200000000002</v>
      </c>
      <c r="N4" s="380">
        <f t="shared" si="1"/>
        <v>2076.04</v>
      </c>
      <c r="O4" s="380">
        <f t="shared" si="1"/>
        <v>2076.04</v>
      </c>
      <c r="P4" s="380">
        <f t="shared" si="1"/>
        <v>1567.91</v>
      </c>
      <c r="Q4" s="380">
        <f t="shared" si="1"/>
        <v>761.94</v>
      </c>
      <c r="U4">
        <v>3</v>
      </c>
      <c r="V4" t="s">
        <v>346</v>
      </c>
      <c r="W4">
        <v>3</v>
      </c>
      <c r="X4" t="s">
        <v>362</v>
      </c>
    </row>
    <row r="5" spans="1:45" x14ac:dyDescent="0.2">
      <c r="A5" s="370" t="s">
        <v>300</v>
      </c>
      <c r="B5" s="371">
        <v>9029</v>
      </c>
      <c r="C5" s="372">
        <v>19141</v>
      </c>
      <c r="D5" s="372">
        <v>19141</v>
      </c>
      <c r="E5" s="372">
        <v>19141</v>
      </c>
      <c r="F5" s="372">
        <v>17799</v>
      </c>
      <c r="G5" s="372">
        <v>17921</v>
      </c>
      <c r="H5" s="372">
        <v>16139</v>
      </c>
      <c r="I5" s="372">
        <v>16139</v>
      </c>
      <c r="J5" s="372">
        <v>16139</v>
      </c>
      <c r="K5" s="372">
        <v>9746</v>
      </c>
      <c r="L5" s="372">
        <v>9746</v>
      </c>
      <c r="M5" s="372">
        <v>9746</v>
      </c>
      <c r="N5" s="372">
        <v>12212</v>
      </c>
      <c r="O5" s="372">
        <v>12212</v>
      </c>
      <c r="P5" s="372">
        <v>9223</v>
      </c>
      <c r="Q5" s="373">
        <v>4482</v>
      </c>
      <c r="U5">
        <v>4</v>
      </c>
      <c r="V5" t="s">
        <v>347</v>
      </c>
      <c r="W5">
        <v>4</v>
      </c>
      <c r="X5" t="s">
        <v>363</v>
      </c>
    </row>
    <row r="6" spans="1:45" x14ac:dyDescent="0.2">
      <c r="A6" s="370" t="s">
        <v>301</v>
      </c>
      <c r="B6" s="371">
        <v>1.43</v>
      </c>
      <c r="C6" s="372">
        <v>1.51</v>
      </c>
      <c r="D6" s="372">
        <v>0.38</v>
      </c>
      <c r="E6" s="372">
        <v>0.19</v>
      </c>
      <c r="F6" s="372">
        <v>0.26</v>
      </c>
      <c r="G6" s="372">
        <v>0.17</v>
      </c>
      <c r="H6" s="372">
        <v>0.13</v>
      </c>
      <c r="I6" s="372">
        <v>0.55000000000000004</v>
      </c>
      <c r="J6" s="372">
        <v>0.5</v>
      </c>
      <c r="K6" s="372">
        <v>0.24</v>
      </c>
      <c r="L6" s="372">
        <v>0.08</v>
      </c>
      <c r="M6" s="372">
        <v>0.08</v>
      </c>
      <c r="N6" s="372">
        <v>0.16</v>
      </c>
      <c r="O6" s="372">
        <v>0.77</v>
      </c>
      <c r="P6" s="372">
        <v>0.8</v>
      </c>
      <c r="Q6" s="373">
        <v>1.03</v>
      </c>
      <c r="U6">
        <v>5</v>
      </c>
      <c r="V6" t="s">
        <v>348</v>
      </c>
      <c r="W6">
        <v>5</v>
      </c>
      <c r="X6" t="s">
        <v>364</v>
      </c>
    </row>
    <row r="7" spans="1:45" ht="13.5" thickBot="1" x14ac:dyDescent="0.25">
      <c r="A7" s="370" t="s">
        <v>321</v>
      </c>
      <c r="B7" s="397">
        <f>B6/(SUM($B$6:$Q$6))</f>
        <v>0.17270531400966185</v>
      </c>
      <c r="C7" s="398">
        <f t="shared" ref="C7:Q7" si="2">C6/(SUM($B$6:$Q$6))</f>
        <v>0.18236714975845411</v>
      </c>
      <c r="D7" s="398">
        <f t="shared" si="2"/>
        <v>4.5893719806763288E-2</v>
      </c>
      <c r="E7" s="398">
        <f t="shared" si="2"/>
        <v>2.2946859903381644E-2</v>
      </c>
      <c r="F7" s="398">
        <f t="shared" si="2"/>
        <v>3.140096618357488E-2</v>
      </c>
      <c r="G7" s="398">
        <f t="shared" si="2"/>
        <v>2.0531400966183579E-2</v>
      </c>
      <c r="H7" s="398">
        <f t="shared" si="2"/>
        <v>1.570048309178744E-2</v>
      </c>
      <c r="I7" s="398">
        <f t="shared" si="2"/>
        <v>6.6425120772946877E-2</v>
      </c>
      <c r="J7" s="398">
        <f t="shared" si="2"/>
        <v>6.0386473429951695E-2</v>
      </c>
      <c r="K7" s="398">
        <f t="shared" si="2"/>
        <v>2.8985507246376812E-2</v>
      </c>
      <c r="L7" s="398">
        <f t="shared" si="2"/>
        <v>9.6618357487922718E-3</v>
      </c>
      <c r="M7" s="398">
        <f t="shared" si="2"/>
        <v>9.6618357487922718E-3</v>
      </c>
      <c r="N7" s="398">
        <f t="shared" si="2"/>
        <v>1.9323671497584544E-2</v>
      </c>
      <c r="O7" s="398">
        <f t="shared" si="2"/>
        <v>9.2995169082125614E-2</v>
      </c>
      <c r="P7" s="398">
        <f t="shared" si="2"/>
        <v>9.6618357487922718E-2</v>
      </c>
      <c r="Q7" s="399">
        <f t="shared" si="2"/>
        <v>0.12439613526570049</v>
      </c>
      <c r="U7">
        <v>6</v>
      </c>
      <c r="V7" t="s">
        <v>349</v>
      </c>
      <c r="W7">
        <v>6</v>
      </c>
      <c r="X7" t="s">
        <v>365</v>
      </c>
    </row>
    <row r="8" spans="1:45" ht="13.5" thickBot="1" x14ac:dyDescent="0.25">
      <c r="A8" s="369" t="s">
        <v>322</v>
      </c>
      <c r="B8" s="400">
        <f>B5*B7</f>
        <v>1559.3562801932369</v>
      </c>
      <c r="C8" s="401">
        <f t="shared" ref="C8:Q8" si="3">C5*C7</f>
        <v>3490.6896135265702</v>
      </c>
      <c r="D8" s="401">
        <f t="shared" si="3"/>
        <v>878.45169082125608</v>
      </c>
      <c r="E8" s="401">
        <f t="shared" si="3"/>
        <v>439.22584541062804</v>
      </c>
      <c r="F8" s="401">
        <f t="shared" si="3"/>
        <v>558.90579710144925</v>
      </c>
      <c r="G8" s="401">
        <f t="shared" si="3"/>
        <v>367.94323671497591</v>
      </c>
      <c r="H8" s="401">
        <f t="shared" si="3"/>
        <v>253.39009661835749</v>
      </c>
      <c r="I8" s="401">
        <f t="shared" si="3"/>
        <v>1072.0350241545896</v>
      </c>
      <c r="J8" s="401">
        <f t="shared" si="3"/>
        <v>974.57729468599041</v>
      </c>
      <c r="K8" s="401">
        <f t="shared" si="3"/>
        <v>282.49275362318843</v>
      </c>
      <c r="L8" s="401">
        <f t="shared" si="3"/>
        <v>94.164251207729478</v>
      </c>
      <c r="M8" s="401">
        <f t="shared" si="3"/>
        <v>94.164251207729478</v>
      </c>
      <c r="N8" s="401">
        <f t="shared" si="3"/>
        <v>235.98067632850245</v>
      </c>
      <c r="O8" s="401">
        <f t="shared" si="3"/>
        <v>1135.6570048309179</v>
      </c>
      <c r="P8" s="401">
        <f t="shared" si="3"/>
        <v>891.1111111111112</v>
      </c>
      <c r="Q8" s="402">
        <f t="shared" si="3"/>
        <v>557.54347826086962</v>
      </c>
      <c r="R8" s="412">
        <f>SUM(B8:Q8)</f>
        <v>12885.688405797102</v>
      </c>
      <c r="U8">
        <v>7</v>
      </c>
      <c r="V8" t="s">
        <v>350</v>
      </c>
    </row>
    <row r="9" spans="1:45" x14ac:dyDescent="0.2">
      <c r="A9" s="375" t="s">
        <v>303</v>
      </c>
      <c r="B9" s="823" t="s">
        <v>385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5"/>
      <c r="U9">
        <v>8</v>
      </c>
      <c r="V9" t="s">
        <v>351</v>
      </c>
    </row>
    <row r="10" spans="1:45" ht="13.5" thickBot="1" x14ac:dyDescent="0.25">
      <c r="A10" s="376">
        <v>0.23</v>
      </c>
      <c r="B10" s="364">
        <v>1</v>
      </c>
      <c r="C10" s="832">
        <v>2</v>
      </c>
      <c r="D10" s="834"/>
      <c r="E10" s="832">
        <v>3</v>
      </c>
      <c r="F10" s="833"/>
      <c r="G10" s="834"/>
      <c r="H10" s="832">
        <v>4</v>
      </c>
      <c r="I10" s="833"/>
      <c r="J10" s="834"/>
      <c r="K10" s="832">
        <v>5</v>
      </c>
      <c r="L10" s="833"/>
      <c r="M10" s="833"/>
      <c r="N10" s="833"/>
      <c r="O10" s="833"/>
      <c r="P10" s="834"/>
      <c r="Q10" s="366">
        <v>6</v>
      </c>
      <c r="U10">
        <v>9</v>
      </c>
      <c r="V10" t="s">
        <v>352</v>
      </c>
    </row>
    <row r="11" spans="1:45" x14ac:dyDescent="0.2">
      <c r="A11" s="367" t="s">
        <v>298</v>
      </c>
      <c r="B11" s="383">
        <f>B13-B12</f>
        <v>3823.8199999999997</v>
      </c>
      <c r="C11" s="840">
        <f t="shared" ref="C11" si="4">C13-C12</f>
        <v>3107.72</v>
      </c>
      <c r="D11" s="842"/>
      <c r="E11" s="840">
        <f t="shared" ref="E11" si="5">E13-E12</f>
        <v>3086.16</v>
      </c>
      <c r="F11" s="841"/>
      <c r="G11" s="842"/>
      <c r="H11" s="835">
        <f t="shared" ref="H11" si="6">H13-H12</f>
        <v>3297.91</v>
      </c>
      <c r="I11" s="835"/>
      <c r="J11" s="835"/>
      <c r="K11" s="835">
        <f t="shared" ref="K11" si="7">K13-K12</f>
        <v>3157.77</v>
      </c>
      <c r="L11" s="835"/>
      <c r="M11" s="835"/>
      <c r="N11" s="835"/>
      <c r="O11" s="835"/>
      <c r="P11" s="835"/>
      <c r="Q11" s="480">
        <f t="shared" ref="Q11" si="8">Q13-Q12</f>
        <v>3264.8</v>
      </c>
      <c r="U11">
        <v>10</v>
      </c>
      <c r="V11" t="s">
        <v>353</v>
      </c>
    </row>
    <row r="12" spans="1:45" x14ac:dyDescent="0.2">
      <c r="A12" s="368" t="s">
        <v>299</v>
      </c>
      <c r="B12" s="384">
        <f>B13*$A$10</f>
        <v>1142.18</v>
      </c>
      <c r="C12" s="843">
        <f t="shared" ref="C12:H12" si="9">C13*$A$10</f>
        <v>928.28000000000009</v>
      </c>
      <c r="D12" s="845"/>
      <c r="E12" s="843">
        <f t="shared" si="9"/>
        <v>921.84</v>
      </c>
      <c r="F12" s="844"/>
      <c r="G12" s="845"/>
      <c r="H12" s="836">
        <f t="shared" si="9"/>
        <v>985.09</v>
      </c>
      <c r="I12" s="836"/>
      <c r="J12" s="836"/>
      <c r="K12" s="836">
        <f t="shared" ref="K12" si="10">K13*$A$10</f>
        <v>943.23</v>
      </c>
      <c r="L12" s="836"/>
      <c r="M12" s="836"/>
      <c r="N12" s="836"/>
      <c r="O12" s="836"/>
      <c r="P12" s="836"/>
      <c r="Q12" s="481">
        <f t="shared" ref="Q12" si="11">Q13*$A$10</f>
        <v>975.2</v>
      </c>
      <c r="U12">
        <v>11</v>
      </c>
      <c r="V12" t="s">
        <v>354</v>
      </c>
    </row>
    <row r="13" spans="1:45" x14ac:dyDescent="0.2">
      <c r="A13" s="368" t="s">
        <v>300</v>
      </c>
      <c r="B13" s="384">
        <v>4966</v>
      </c>
      <c r="C13" s="843">
        <v>4036</v>
      </c>
      <c r="D13" s="845"/>
      <c r="E13" s="843">
        <v>4008</v>
      </c>
      <c r="F13" s="844"/>
      <c r="G13" s="845"/>
      <c r="H13" s="836">
        <v>4283</v>
      </c>
      <c r="I13" s="836"/>
      <c r="J13" s="836"/>
      <c r="K13" s="836">
        <v>4101</v>
      </c>
      <c r="L13" s="836"/>
      <c r="M13" s="836"/>
      <c r="N13" s="836"/>
      <c r="O13" s="836"/>
      <c r="P13" s="836"/>
      <c r="Q13" s="481">
        <v>4240</v>
      </c>
      <c r="U13">
        <v>12</v>
      </c>
      <c r="V13" t="s">
        <v>355</v>
      </c>
    </row>
    <row r="14" spans="1:45" x14ac:dyDescent="0.2">
      <c r="A14" s="368" t="s">
        <v>301</v>
      </c>
      <c r="B14" s="406">
        <v>1.56</v>
      </c>
      <c r="C14" s="846">
        <v>1.65</v>
      </c>
      <c r="D14" s="847"/>
      <c r="E14" s="846">
        <v>1.05</v>
      </c>
      <c r="F14" s="853"/>
      <c r="G14" s="847"/>
      <c r="H14" s="837">
        <v>1.38</v>
      </c>
      <c r="I14" s="837"/>
      <c r="J14" s="837"/>
      <c r="K14" s="837">
        <v>1.44</v>
      </c>
      <c r="L14" s="837"/>
      <c r="M14" s="837"/>
      <c r="N14" s="837"/>
      <c r="O14" s="837"/>
      <c r="P14" s="837"/>
      <c r="Q14" s="482">
        <v>1.03</v>
      </c>
      <c r="U14">
        <v>13</v>
      </c>
      <c r="V14" t="s">
        <v>356</v>
      </c>
    </row>
    <row r="15" spans="1:45" ht="13.5" thickBot="1" x14ac:dyDescent="0.25">
      <c r="A15" s="370" t="s">
        <v>321</v>
      </c>
      <c r="B15" s="483">
        <f>B14/(SUM($B$14:$Q$14))</f>
        <v>0.19235511713933418</v>
      </c>
      <c r="C15" s="854">
        <f>C14/(SUM($B$14:$Q$14))</f>
        <v>0.20345252774352651</v>
      </c>
      <c r="D15" s="856"/>
      <c r="E15" s="854">
        <f>E14/(SUM($B$14:$Q$14))</f>
        <v>0.12946979038224415</v>
      </c>
      <c r="F15" s="855"/>
      <c r="G15" s="856"/>
      <c r="H15" s="838">
        <f>H14/(SUM($B$14:$Q$14))</f>
        <v>0.17016029593094945</v>
      </c>
      <c r="I15" s="838"/>
      <c r="J15" s="838"/>
      <c r="K15" s="838">
        <f>K14/(SUM($B$14:$Q$14))</f>
        <v>0.1775585696670777</v>
      </c>
      <c r="L15" s="838"/>
      <c r="M15" s="838"/>
      <c r="N15" s="838"/>
      <c r="O15" s="838"/>
      <c r="P15" s="838"/>
      <c r="Q15" s="484">
        <f>Q14/(SUM($B$14:$Q$14))</f>
        <v>0.12700369913686807</v>
      </c>
      <c r="U15">
        <v>14</v>
      </c>
      <c r="V15" t="s">
        <v>357</v>
      </c>
    </row>
    <row r="16" spans="1:45" ht="13.5" thickBot="1" x14ac:dyDescent="0.25">
      <c r="A16" s="369" t="s">
        <v>322</v>
      </c>
      <c r="B16" s="405">
        <f>B13*B15</f>
        <v>955.23551171393353</v>
      </c>
      <c r="C16" s="857">
        <f t="shared" ref="C16" si="12">C13*C15</f>
        <v>821.13440197287298</v>
      </c>
      <c r="D16" s="859"/>
      <c r="E16" s="857">
        <f t="shared" ref="E16" si="13">E13*E15</f>
        <v>518.91491985203459</v>
      </c>
      <c r="F16" s="858"/>
      <c r="G16" s="859"/>
      <c r="H16" s="839">
        <f t="shared" ref="H16" si="14">H13*H15</f>
        <v>728.79654747225652</v>
      </c>
      <c r="I16" s="839"/>
      <c r="J16" s="839"/>
      <c r="K16" s="839">
        <f t="shared" ref="K16" si="15">K13*K15</f>
        <v>728.16769420468563</v>
      </c>
      <c r="L16" s="839"/>
      <c r="M16" s="839"/>
      <c r="N16" s="839"/>
      <c r="O16" s="839"/>
      <c r="P16" s="839"/>
      <c r="Q16" s="402">
        <f t="shared" ref="Q16" si="16">Q13*Q15</f>
        <v>538.49568434032062</v>
      </c>
      <c r="R16" s="479">
        <f>SUM(B16:Q16)</f>
        <v>4290.7447595561043</v>
      </c>
      <c r="U16">
        <v>15</v>
      </c>
      <c r="V16" t="s">
        <v>358</v>
      </c>
    </row>
    <row r="17" spans="1:22" x14ac:dyDescent="0.2">
      <c r="A17" s="375" t="s">
        <v>303</v>
      </c>
      <c r="B17" s="826" t="s">
        <v>386</v>
      </c>
      <c r="C17" s="827"/>
      <c r="D17" s="827"/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27"/>
      <c r="P17" s="827"/>
      <c r="Q17" s="828"/>
      <c r="U17">
        <v>16</v>
      </c>
      <c r="V17" t="s">
        <v>359</v>
      </c>
    </row>
    <row r="18" spans="1:22" ht="13.5" thickBot="1" x14ac:dyDescent="0.25">
      <c r="A18" s="376">
        <v>0.14000000000000001</v>
      </c>
      <c r="B18" s="364">
        <v>1</v>
      </c>
      <c r="C18" s="365">
        <v>2</v>
      </c>
      <c r="D18" s="365">
        <v>3</v>
      </c>
      <c r="E18" s="365">
        <v>4</v>
      </c>
      <c r="F18" s="365">
        <v>5</v>
      </c>
      <c r="G18" s="365">
        <v>6</v>
      </c>
      <c r="H18" s="365">
        <v>7</v>
      </c>
      <c r="I18" s="365">
        <v>8</v>
      </c>
      <c r="J18" s="365">
        <v>9</v>
      </c>
      <c r="K18" s="365">
        <v>10</v>
      </c>
      <c r="L18" s="365">
        <v>11</v>
      </c>
      <c r="M18" s="365">
        <v>12</v>
      </c>
      <c r="N18" s="365">
        <v>13</v>
      </c>
      <c r="O18" s="365">
        <v>14</v>
      </c>
      <c r="P18" s="365">
        <v>15</v>
      </c>
      <c r="Q18" s="374">
        <v>16</v>
      </c>
    </row>
    <row r="19" spans="1:22" x14ac:dyDescent="0.2">
      <c r="A19" s="367" t="s">
        <v>298</v>
      </c>
      <c r="B19" s="383">
        <f>B21-B20</f>
        <v>4551.12</v>
      </c>
      <c r="C19" s="382">
        <f t="shared" ref="C19:P19" si="17">C21-C20</f>
        <v>11207.52</v>
      </c>
      <c r="D19" s="382">
        <f t="shared" si="17"/>
        <v>11207.52</v>
      </c>
      <c r="E19" s="382">
        <f t="shared" si="17"/>
        <v>11207.52</v>
      </c>
      <c r="F19" s="382">
        <f t="shared" si="17"/>
        <v>10802.46</v>
      </c>
      <c r="G19" s="382">
        <f t="shared" si="17"/>
        <v>10350.1</v>
      </c>
      <c r="H19" s="382">
        <f t="shared" si="17"/>
        <v>9083.32</v>
      </c>
      <c r="I19" s="382">
        <f t="shared" si="17"/>
        <v>9083.32</v>
      </c>
      <c r="J19" s="382">
        <f t="shared" si="17"/>
        <v>9083.32</v>
      </c>
      <c r="K19" s="382">
        <f t="shared" si="17"/>
        <v>5741.36</v>
      </c>
      <c r="L19" s="382">
        <f t="shared" si="17"/>
        <v>5741.36</v>
      </c>
      <c r="M19" s="382">
        <f t="shared" si="17"/>
        <v>5741.36</v>
      </c>
      <c r="N19" s="382">
        <f t="shared" si="17"/>
        <v>6983.2</v>
      </c>
      <c r="O19" s="382">
        <f t="shared" si="17"/>
        <v>6983.2</v>
      </c>
      <c r="P19" s="386">
        <f t="shared" si="17"/>
        <v>4035.98</v>
      </c>
      <c r="Q19" s="829"/>
    </row>
    <row r="20" spans="1:22" x14ac:dyDescent="0.2">
      <c r="A20" s="368" t="s">
        <v>299</v>
      </c>
      <c r="B20" s="384">
        <f>B21*$A$18</f>
        <v>740.88000000000011</v>
      </c>
      <c r="C20" s="380">
        <f t="shared" ref="C20:P20" si="18">C21*$A$18</f>
        <v>1824.4800000000002</v>
      </c>
      <c r="D20" s="380">
        <f t="shared" si="18"/>
        <v>1824.4800000000002</v>
      </c>
      <c r="E20" s="380">
        <f t="shared" si="18"/>
        <v>1824.4800000000002</v>
      </c>
      <c r="F20" s="380">
        <f t="shared" si="18"/>
        <v>1758.5400000000002</v>
      </c>
      <c r="G20" s="380">
        <f t="shared" si="18"/>
        <v>1684.9</v>
      </c>
      <c r="H20" s="380">
        <f t="shared" si="18"/>
        <v>1478.68</v>
      </c>
      <c r="I20" s="380">
        <f t="shared" si="18"/>
        <v>1478.68</v>
      </c>
      <c r="J20" s="380">
        <f t="shared" si="18"/>
        <v>1478.68</v>
      </c>
      <c r="K20" s="380">
        <f t="shared" si="18"/>
        <v>934.6400000000001</v>
      </c>
      <c r="L20" s="380">
        <f t="shared" si="18"/>
        <v>934.6400000000001</v>
      </c>
      <c r="M20" s="380">
        <f t="shared" si="18"/>
        <v>934.6400000000001</v>
      </c>
      <c r="N20" s="380">
        <f t="shared" si="18"/>
        <v>1136.8000000000002</v>
      </c>
      <c r="O20" s="380">
        <f t="shared" si="18"/>
        <v>1136.8000000000002</v>
      </c>
      <c r="P20" s="381">
        <f t="shared" si="18"/>
        <v>657.0200000000001</v>
      </c>
      <c r="Q20" s="830"/>
    </row>
    <row r="21" spans="1:22" x14ac:dyDescent="0.2">
      <c r="A21" s="370" t="s">
        <v>300</v>
      </c>
      <c r="B21" s="385">
        <v>5292</v>
      </c>
      <c r="C21" s="371">
        <v>13032</v>
      </c>
      <c r="D21" s="371">
        <v>13032</v>
      </c>
      <c r="E21" s="371">
        <v>13032</v>
      </c>
      <c r="F21" s="371">
        <v>12561</v>
      </c>
      <c r="G21" s="371">
        <v>12035</v>
      </c>
      <c r="H21" s="371">
        <v>10562</v>
      </c>
      <c r="I21" s="371">
        <v>10562</v>
      </c>
      <c r="J21" s="371">
        <v>10562</v>
      </c>
      <c r="K21" s="371">
        <v>6676</v>
      </c>
      <c r="L21" s="371">
        <v>6676</v>
      </c>
      <c r="M21" s="371">
        <v>6676</v>
      </c>
      <c r="N21" s="371">
        <v>8120</v>
      </c>
      <c r="O21" s="371">
        <v>8120</v>
      </c>
      <c r="P21" s="372">
        <v>4693</v>
      </c>
      <c r="Q21" s="830"/>
    </row>
    <row r="22" spans="1:22" x14ac:dyDescent="0.2">
      <c r="A22" s="368" t="s">
        <v>301</v>
      </c>
      <c r="B22" s="406">
        <v>1.43</v>
      </c>
      <c r="C22" s="403">
        <v>1.51</v>
      </c>
      <c r="D22" s="403">
        <v>0.38</v>
      </c>
      <c r="E22" s="403">
        <v>0.19</v>
      </c>
      <c r="F22" s="403">
        <v>0.26</v>
      </c>
      <c r="G22" s="403">
        <v>0.17</v>
      </c>
      <c r="H22" s="403">
        <v>0.13</v>
      </c>
      <c r="I22" s="403">
        <v>0.55000000000000004</v>
      </c>
      <c r="J22" s="403">
        <v>0.5</v>
      </c>
      <c r="K22" s="403">
        <v>0.24</v>
      </c>
      <c r="L22" s="403">
        <v>0.08</v>
      </c>
      <c r="M22" s="403">
        <v>0.08</v>
      </c>
      <c r="N22" s="403">
        <v>0.16</v>
      </c>
      <c r="O22" s="403">
        <v>0.77</v>
      </c>
      <c r="P22" s="407">
        <v>0.8</v>
      </c>
      <c r="Q22" s="830"/>
    </row>
    <row r="23" spans="1:22" ht="13.5" thickBot="1" x14ac:dyDescent="0.25">
      <c r="A23" s="370" t="s">
        <v>321</v>
      </c>
      <c r="B23" s="404">
        <f>B22/SUM($B$22:$P$22)</f>
        <v>0.19724137931034486</v>
      </c>
      <c r="C23" s="397">
        <f t="shared" ref="C23:P23" si="19">C22/SUM($B$22:$P$22)</f>
        <v>0.20827586206896553</v>
      </c>
      <c r="D23" s="397">
        <f t="shared" si="19"/>
        <v>5.2413793103448285E-2</v>
      </c>
      <c r="E23" s="397">
        <f t="shared" si="19"/>
        <v>2.6206896551724142E-2</v>
      </c>
      <c r="F23" s="397">
        <f t="shared" si="19"/>
        <v>3.5862068965517246E-2</v>
      </c>
      <c r="G23" s="397">
        <f t="shared" si="19"/>
        <v>2.3448275862068969E-2</v>
      </c>
      <c r="H23" s="397">
        <f t="shared" si="19"/>
        <v>1.7931034482758623E-2</v>
      </c>
      <c r="I23" s="397">
        <f t="shared" si="19"/>
        <v>7.5862068965517254E-2</v>
      </c>
      <c r="J23" s="397">
        <f t="shared" si="19"/>
        <v>6.8965517241379323E-2</v>
      </c>
      <c r="K23" s="397">
        <f t="shared" si="19"/>
        <v>3.310344827586207E-2</v>
      </c>
      <c r="L23" s="397">
        <f t="shared" si="19"/>
        <v>1.1034482758620691E-2</v>
      </c>
      <c r="M23" s="397">
        <f t="shared" si="19"/>
        <v>1.1034482758620691E-2</v>
      </c>
      <c r="N23" s="397">
        <f t="shared" si="19"/>
        <v>2.2068965517241381E-2</v>
      </c>
      <c r="O23" s="397">
        <f t="shared" si="19"/>
        <v>0.10620689655172415</v>
      </c>
      <c r="P23" s="398">
        <f t="shared" si="19"/>
        <v>0.11034482758620692</v>
      </c>
      <c r="Q23" s="830"/>
    </row>
    <row r="24" spans="1:22" ht="13.5" thickBot="1" x14ac:dyDescent="0.25">
      <c r="A24" s="369" t="s">
        <v>322</v>
      </c>
      <c r="B24" s="405">
        <f>B21*B23</f>
        <v>1043.8013793103451</v>
      </c>
      <c r="C24" s="401">
        <f t="shared" ref="C24:P24" si="20">C21*C23</f>
        <v>2714.2510344827588</v>
      </c>
      <c r="D24" s="401">
        <f t="shared" si="20"/>
        <v>683.0565517241381</v>
      </c>
      <c r="E24" s="401">
        <f t="shared" si="20"/>
        <v>341.52827586206905</v>
      </c>
      <c r="F24" s="401">
        <f t="shared" si="20"/>
        <v>450.46344827586211</v>
      </c>
      <c r="G24" s="401">
        <f t="shared" si="20"/>
        <v>282.20000000000005</v>
      </c>
      <c r="H24" s="401">
        <f t="shared" si="20"/>
        <v>189.38758620689657</v>
      </c>
      <c r="I24" s="401">
        <f t="shared" si="20"/>
        <v>801.25517241379328</v>
      </c>
      <c r="J24" s="401">
        <f t="shared" si="20"/>
        <v>728.41379310344837</v>
      </c>
      <c r="K24" s="401">
        <f t="shared" si="20"/>
        <v>220.99862068965518</v>
      </c>
      <c r="L24" s="401">
        <f t="shared" si="20"/>
        <v>73.666206896551728</v>
      </c>
      <c r="M24" s="401">
        <f t="shared" si="20"/>
        <v>73.666206896551728</v>
      </c>
      <c r="N24" s="401">
        <f t="shared" si="20"/>
        <v>179.20000000000002</v>
      </c>
      <c r="O24" s="401">
        <f t="shared" si="20"/>
        <v>862.40000000000009</v>
      </c>
      <c r="P24" s="401">
        <f t="shared" si="20"/>
        <v>517.84827586206904</v>
      </c>
      <c r="Q24" s="831"/>
      <c r="R24" s="412">
        <f>SUM(B24:P24)</f>
        <v>9162.1365517241375</v>
      </c>
    </row>
    <row r="26" spans="1:22" ht="13.5" thickBot="1" x14ac:dyDescent="0.25"/>
    <row r="27" spans="1:22" x14ac:dyDescent="0.2">
      <c r="C27" s="848" t="s">
        <v>391</v>
      </c>
      <c r="D27" s="849"/>
      <c r="E27" s="849"/>
      <c r="F27" s="850"/>
    </row>
    <row r="28" spans="1:22" ht="13.5" thickBot="1" x14ac:dyDescent="0.25">
      <c r="C28" s="415"/>
      <c r="D28" s="689" t="s">
        <v>418</v>
      </c>
      <c r="E28" s="851" t="s">
        <v>52</v>
      </c>
      <c r="F28" s="852"/>
    </row>
    <row r="29" spans="1:22" x14ac:dyDescent="0.2">
      <c r="A29" s="414" t="s">
        <v>323</v>
      </c>
      <c r="B29" s="690">
        <v>1.6E-2</v>
      </c>
      <c r="C29" s="692" t="s">
        <v>1</v>
      </c>
      <c r="D29" s="688" t="s">
        <v>325</v>
      </c>
      <c r="E29" s="687" t="s">
        <v>325</v>
      </c>
      <c r="F29" s="693" t="s">
        <v>419</v>
      </c>
    </row>
    <row r="30" spans="1:22" ht="13.5" thickBot="1" x14ac:dyDescent="0.25">
      <c r="A30" s="415" t="s">
        <v>342</v>
      </c>
      <c r="B30" s="691">
        <v>8.9999999999999993E-3</v>
      </c>
      <c r="C30" s="694">
        <v>2017</v>
      </c>
      <c r="D30" s="388">
        <f>R8</f>
        <v>12885.688405797102</v>
      </c>
      <c r="E30" s="388">
        <f>R24</f>
        <v>9162.1365517241375</v>
      </c>
      <c r="F30" s="695">
        <f>R16</f>
        <v>4290.7447595561043</v>
      </c>
    </row>
    <row r="31" spans="1:22" x14ac:dyDescent="0.2">
      <c r="C31" s="694">
        <v>2018</v>
      </c>
      <c r="D31" s="308">
        <f>D30*(1+$B$29)</f>
        <v>13091.859420289857</v>
      </c>
      <c r="E31" s="308">
        <f t="shared" ref="E31:F46" si="21">E30*(1+$B$29)</f>
        <v>9308.7307365517245</v>
      </c>
      <c r="F31" s="696">
        <f t="shared" si="21"/>
        <v>4359.396675709002</v>
      </c>
    </row>
    <row r="32" spans="1:22" x14ac:dyDescent="0.2">
      <c r="C32" s="694">
        <v>2019</v>
      </c>
      <c r="D32" s="308">
        <f t="shared" ref="D32:D53" si="22">D31*(1+$B$29)</f>
        <v>13301.329171014495</v>
      </c>
      <c r="E32" s="308">
        <f t="shared" si="21"/>
        <v>9457.6704283365525</v>
      </c>
      <c r="F32" s="696">
        <f t="shared" si="21"/>
        <v>4429.1470225203457</v>
      </c>
    </row>
    <row r="33" spans="3:6" x14ac:dyDescent="0.2">
      <c r="C33" s="694">
        <v>2020</v>
      </c>
      <c r="D33" s="308">
        <f t="shared" si="22"/>
        <v>13514.150437750726</v>
      </c>
      <c r="E33" s="308">
        <f t="shared" si="21"/>
        <v>9608.9931551899372</v>
      </c>
      <c r="F33" s="696">
        <f t="shared" si="21"/>
        <v>4500.0133748806711</v>
      </c>
    </row>
    <row r="34" spans="3:6" x14ac:dyDescent="0.2">
      <c r="C34" s="694">
        <v>2021</v>
      </c>
      <c r="D34" s="308">
        <f t="shared" si="22"/>
        <v>13730.376844754737</v>
      </c>
      <c r="E34" s="308">
        <f t="shared" si="21"/>
        <v>9762.7370456729768</v>
      </c>
      <c r="F34" s="696">
        <f t="shared" si="21"/>
        <v>4572.0135888787618</v>
      </c>
    </row>
    <row r="35" spans="3:6" x14ac:dyDescent="0.2">
      <c r="C35" s="694">
        <v>2022</v>
      </c>
      <c r="D35" s="308">
        <f t="shared" si="22"/>
        <v>13950.062874270814</v>
      </c>
      <c r="E35" s="308">
        <f t="shared" si="21"/>
        <v>9918.9408384037451</v>
      </c>
      <c r="F35" s="696">
        <f t="shared" si="21"/>
        <v>4645.1658063008217</v>
      </c>
    </row>
    <row r="36" spans="3:6" x14ac:dyDescent="0.2">
      <c r="C36" s="694">
        <v>2023</v>
      </c>
      <c r="D36" s="308">
        <f t="shared" si="22"/>
        <v>14173.263880259146</v>
      </c>
      <c r="E36" s="308">
        <f t="shared" si="21"/>
        <v>10077.643891818205</v>
      </c>
      <c r="F36" s="696">
        <f t="shared" si="21"/>
        <v>4719.4884592016351</v>
      </c>
    </row>
    <row r="37" spans="3:6" x14ac:dyDescent="0.2">
      <c r="C37" s="694">
        <v>2024</v>
      </c>
      <c r="D37" s="308">
        <f t="shared" si="22"/>
        <v>14400.036102343292</v>
      </c>
      <c r="E37" s="308">
        <f t="shared" si="21"/>
        <v>10238.886194087296</v>
      </c>
      <c r="F37" s="696">
        <f t="shared" si="21"/>
        <v>4795.0002745488609</v>
      </c>
    </row>
    <row r="38" spans="3:6" x14ac:dyDescent="0.2">
      <c r="C38" s="697">
        <v>2025</v>
      </c>
      <c r="D38" s="411">
        <f t="shared" si="22"/>
        <v>14630.436679980785</v>
      </c>
      <c r="E38" s="411">
        <f t="shared" si="21"/>
        <v>10402.708373192692</v>
      </c>
      <c r="F38" s="698">
        <f t="shared" si="21"/>
        <v>4871.7202789416424</v>
      </c>
    </row>
    <row r="39" spans="3:6" x14ac:dyDescent="0.2">
      <c r="C39" s="694">
        <v>2026</v>
      </c>
      <c r="D39" s="308">
        <f t="shared" si="22"/>
        <v>14864.523666860478</v>
      </c>
      <c r="E39" s="308">
        <f t="shared" si="21"/>
        <v>10569.151707163775</v>
      </c>
      <c r="F39" s="696">
        <f t="shared" si="21"/>
        <v>4949.667803404709</v>
      </c>
    </row>
    <row r="40" spans="3:6" x14ac:dyDescent="0.2">
      <c r="C40" s="694">
        <v>2027</v>
      </c>
      <c r="D40" s="308">
        <f t="shared" si="22"/>
        <v>15102.356045530245</v>
      </c>
      <c r="E40" s="308">
        <f t="shared" si="21"/>
        <v>10738.258134478396</v>
      </c>
      <c r="F40" s="696">
        <f t="shared" si="21"/>
        <v>5028.8624882591848</v>
      </c>
    </row>
    <row r="41" spans="3:6" x14ac:dyDescent="0.2">
      <c r="C41" s="694">
        <v>2028</v>
      </c>
      <c r="D41" s="308">
        <f t="shared" si="22"/>
        <v>15343.99374225873</v>
      </c>
      <c r="E41" s="308">
        <f t="shared" si="21"/>
        <v>10910.070264630051</v>
      </c>
      <c r="F41" s="696">
        <f t="shared" si="21"/>
        <v>5109.3242880713315</v>
      </c>
    </row>
    <row r="42" spans="3:6" x14ac:dyDescent="0.2">
      <c r="C42" s="694">
        <v>2029</v>
      </c>
      <c r="D42" s="308">
        <f t="shared" si="22"/>
        <v>15589.497642134869</v>
      </c>
      <c r="E42" s="308">
        <f t="shared" si="21"/>
        <v>11084.631388864131</v>
      </c>
      <c r="F42" s="696">
        <f t="shared" si="21"/>
        <v>5191.0734766804726</v>
      </c>
    </row>
    <row r="43" spans="3:6" x14ac:dyDescent="0.2">
      <c r="C43" s="694">
        <v>2030</v>
      </c>
      <c r="D43" s="308">
        <f t="shared" si="22"/>
        <v>15838.929604409028</v>
      </c>
      <c r="E43" s="308">
        <f t="shared" si="21"/>
        <v>11261.985491085958</v>
      </c>
      <c r="F43" s="696">
        <f t="shared" si="21"/>
        <v>5274.1306523073599</v>
      </c>
    </row>
    <row r="44" spans="3:6" x14ac:dyDescent="0.2">
      <c r="C44" s="694">
        <v>2031</v>
      </c>
      <c r="D44" s="308">
        <f t="shared" si="22"/>
        <v>16092.352478079572</v>
      </c>
      <c r="E44" s="308">
        <f t="shared" si="21"/>
        <v>11442.177258943333</v>
      </c>
      <c r="F44" s="696">
        <f t="shared" si="21"/>
        <v>5358.5167427442775</v>
      </c>
    </row>
    <row r="45" spans="3:6" x14ac:dyDescent="0.2">
      <c r="C45" s="694">
        <v>2032</v>
      </c>
      <c r="D45" s="308">
        <f t="shared" si="22"/>
        <v>16349.830117728845</v>
      </c>
      <c r="E45" s="308">
        <f t="shared" si="21"/>
        <v>11625.252095086427</v>
      </c>
      <c r="F45" s="696">
        <f t="shared" si="21"/>
        <v>5444.2530106281856</v>
      </c>
    </row>
    <row r="46" spans="3:6" x14ac:dyDescent="0.2">
      <c r="C46" s="694">
        <v>2033</v>
      </c>
      <c r="D46" s="308">
        <f t="shared" si="22"/>
        <v>16611.427399612508</v>
      </c>
      <c r="E46" s="308">
        <f t="shared" si="21"/>
        <v>11811.256128607811</v>
      </c>
      <c r="F46" s="696">
        <f t="shared" si="21"/>
        <v>5531.3610587982366</v>
      </c>
    </row>
    <row r="47" spans="3:6" x14ac:dyDescent="0.2">
      <c r="C47" s="694">
        <v>2034</v>
      </c>
      <c r="D47" s="308">
        <f t="shared" si="22"/>
        <v>16877.210238006308</v>
      </c>
      <c r="E47" s="308">
        <f t="shared" ref="E47:E53" si="23">E46*(1+$B$29)</f>
        <v>12000.236226665536</v>
      </c>
      <c r="F47" s="696">
        <f t="shared" ref="F47:F53" si="24">F46*(1+$B$29)</f>
        <v>5619.8628357390089</v>
      </c>
    </row>
    <row r="48" spans="3:6" x14ac:dyDescent="0.2">
      <c r="C48" s="694">
        <v>2035</v>
      </c>
      <c r="D48" s="308">
        <f t="shared" si="22"/>
        <v>17147.245601814408</v>
      </c>
      <c r="E48" s="308">
        <f t="shared" si="23"/>
        <v>12192.240006292184</v>
      </c>
      <c r="F48" s="696">
        <f t="shared" si="24"/>
        <v>5709.7806411108331</v>
      </c>
    </row>
    <row r="49" spans="3:6" x14ac:dyDescent="0.2">
      <c r="C49" s="694">
        <v>2036</v>
      </c>
      <c r="D49" s="308">
        <f t="shared" si="22"/>
        <v>17421.601531443437</v>
      </c>
      <c r="E49" s="308">
        <f t="shared" si="23"/>
        <v>12387.315846392859</v>
      </c>
      <c r="F49" s="696">
        <f t="shared" si="24"/>
        <v>5801.1371313686068</v>
      </c>
    </row>
    <row r="50" spans="3:6" x14ac:dyDescent="0.2">
      <c r="C50" s="694">
        <v>2037</v>
      </c>
      <c r="D50" s="308">
        <f t="shared" si="22"/>
        <v>17700.347155946532</v>
      </c>
      <c r="E50" s="308">
        <f t="shared" si="23"/>
        <v>12585.512899935145</v>
      </c>
      <c r="F50" s="696">
        <f t="shared" si="24"/>
        <v>5893.9553254705042</v>
      </c>
    </row>
    <row r="51" spans="3:6" x14ac:dyDescent="0.2">
      <c r="C51" s="694">
        <v>2038</v>
      </c>
      <c r="D51" s="308">
        <f t="shared" si="22"/>
        <v>17983.552710441676</v>
      </c>
      <c r="E51" s="308">
        <f t="shared" si="23"/>
        <v>12786.881106334107</v>
      </c>
      <c r="F51" s="696">
        <f t="shared" si="24"/>
        <v>5988.2586106780327</v>
      </c>
    </row>
    <row r="52" spans="3:6" x14ac:dyDescent="0.2">
      <c r="C52" s="694">
        <v>2039</v>
      </c>
      <c r="D52" s="308">
        <f t="shared" si="22"/>
        <v>18271.289553808743</v>
      </c>
      <c r="E52" s="308">
        <f t="shared" si="23"/>
        <v>12991.471204035453</v>
      </c>
      <c r="F52" s="696">
        <f t="shared" si="24"/>
        <v>6084.0707484488812</v>
      </c>
    </row>
    <row r="53" spans="3:6" ht="13.5" thickBot="1" x14ac:dyDescent="0.25">
      <c r="C53" s="699">
        <v>2040</v>
      </c>
      <c r="D53" s="410">
        <f t="shared" si="22"/>
        <v>18563.630186669685</v>
      </c>
      <c r="E53" s="410">
        <f t="shared" si="23"/>
        <v>13199.334743300022</v>
      </c>
      <c r="F53" s="700">
        <f t="shared" si="24"/>
        <v>6181.4158804240633</v>
      </c>
    </row>
    <row r="54" spans="3:6" x14ac:dyDescent="0.2">
      <c r="C54" s="692">
        <v>2041</v>
      </c>
      <c r="D54" s="408">
        <f>D53*(1+$B$30)</f>
        <v>18730.702858349709</v>
      </c>
      <c r="E54" s="408">
        <f>E53*(1+$B$30)</f>
        <v>13318.128755989721</v>
      </c>
      <c r="F54" s="701">
        <f t="shared" ref="E54:F68" si="25">F53*(1+$B$30)</f>
        <v>6237.0486233478796</v>
      </c>
    </row>
    <row r="55" spans="3:6" x14ac:dyDescent="0.2">
      <c r="C55" s="694">
        <v>2042</v>
      </c>
      <c r="D55" s="308">
        <f t="shared" ref="D55:D68" si="26">D54*(1+$B$30)</f>
        <v>18899.279184074854</v>
      </c>
      <c r="E55" s="308">
        <f t="shared" si="25"/>
        <v>13437.991914793627</v>
      </c>
      <c r="F55" s="696">
        <f t="shared" si="25"/>
        <v>6293.18206095801</v>
      </c>
    </row>
    <row r="56" spans="3:6" x14ac:dyDescent="0.2">
      <c r="C56" s="694">
        <v>2043</v>
      </c>
      <c r="D56" s="308">
        <f t="shared" si="26"/>
        <v>19069.372696731527</v>
      </c>
      <c r="E56" s="308">
        <f t="shared" si="25"/>
        <v>13558.933842026769</v>
      </c>
      <c r="F56" s="696">
        <f t="shared" si="25"/>
        <v>6349.8206995066312</v>
      </c>
    </row>
    <row r="57" spans="3:6" x14ac:dyDescent="0.2">
      <c r="C57" s="694">
        <v>2044</v>
      </c>
      <c r="D57" s="308">
        <f t="shared" si="26"/>
        <v>19240.997051002108</v>
      </c>
      <c r="E57" s="308">
        <f t="shared" si="25"/>
        <v>13680.964246605008</v>
      </c>
      <c r="F57" s="696">
        <f t="shared" si="25"/>
        <v>6406.9690858021904</v>
      </c>
    </row>
    <row r="58" spans="3:6" x14ac:dyDescent="0.2">
      <c r="C58" s="697">
        <v>2045</v>
      </c>
      <c r="D58" s="411">
        <f t="shared" si="26"/>
        <v>19414.166024461127</v>
      </c>
      <c r="E58" s="411">
        <f t="shared" si="25"/>
        <v>13804.092924824452</v>
      </c>
      <c r="F58" s="698">
        <f t="shared" si="25"/>
        <v>6464.6318075744093</v>
      </c>
    </row>
    <row r="59" spans="3:6" x14ac:dyDescent="0.2">
      <c r="C59" s="694">
        <v>2046</v>
      </c>
      <c r="D59" s="308">
        <f t="shared" si="26"/>
        <v>19588.893518681274</v>
      </c>
      <c r="E59" s="308">
        <f t="shared" si="25"/>
        <v>13928.32976114787</v>
      </c>
      <c r="F59" s="696">
        <f t="shared" si="25"/>
        <v>6522.8134938425783</v>
      </c>
    </row>
    <row r="60" spans="3:6" x14ac:dyDescent="0.2">
      <c r="C60" s="694">
        <v>2047</v>
      </c>
      <c r="D60" s="308">
        <f t="shared" si="26"/>
        <v>19765.193560349402</v>
      </c>
      <c r="E60" s="308">
        <f t="shared" si="25"/>
        <v>14053.6847289982</v>
      </c>
      <c r="F60" s="696">
        <f t="shared" si="25"/>
        <v>6581.5188152871606</v>
      </c>
    </row>
    <row r="61" spans="3:6" x14ac:dyDescent="0.2">
      <c r="C61" s="694">
        <v>2048</v>
      </c>
      <c r="D61" s="308">
        <f t="shared" si="26"/>
        <v>19943.080302392544</v>
      </c>
      <c r="E61" s="308">
        <f t="shared" si="25"/>
        <v>14180.167891559182</v>
      </c>
      <c r="F61" s="696">
        <f t="shared" si="25"/>
        <v>6640.7524846247443</v>
      </c>
    </row>
    <row r="62" spans="3:6" x14ac:dyDescent="0.2">
      <c r="C62" s="694">
        <v>2049</v>
      </c>
      <c r="D62" s="308">
        <f t="shared" si="26"/>
        <v>20122.568025114073</v>
      </c>
      <c r="E62" s="308">
        <f t="shared" si="25"/>
        <v>14307.789402583214</v>
      </c>
      <c r="F62" s="696">
        <f t="shared" si="25"/>
        <v>6700.5192569863666</v>
      </c>
    </row>
    <row r="63" spans="3:6" x14ac:dyDescent="0.2">
      <c r="C63" s="694">
        <v>2050</v>
      </c>
      <c r="D63" s="308">
        <f t="shared" si="26"/>
        <v>20303.671137340098</v>
      </c>
      <c r="E63" s="308">
        <f t="shared" si="25"/>
        <v>14436.559507206461</v>
      </c>
      <c r="F63" s="696">
        <f t="shared" si="25"/>
        <v>6760.8239302992433</v>
      </c>
    </row>
    <row r="64" spans="3:6" x14ac:dyDescent="0.2">
      <c r="C64" s="694">
        <v>2051</v>
      </c>
      <c r="D64" s="308">
        <f t="shared" si="26"/>
        <v>20486.404177576158</v>
      </c>
      <c r="E64" s="308">
        <f t="shared" si="25"/>
        <v>14566.488542771318</v>
      </c>
      <c r="F64" s="696">
        <f t="shared" si="25"/>
        <v>6821.6713456719363</v>
      </c>
    </row>
    <row r="65" spans="3:6" x14ac:dyDescent="0.2">
      <c r="C65" s="694">
        <v>2052</v>
      </c>
      <c r="D65" s="308">
        <f t="shared" si="26"/>
        <v>20670.781815174341</v>
      </c>
      <c r="E65" s="308">
        <f t="shared" si="25"/>
        <v>14697.586939656258</v>
      </c>
      <c r="F65" s="696">
        <f t="shared" si="25"/>
        <v>6883.0663877829829</v>
      </c>
    </row>
    <row r="66" spans="3:6" x14ac:dyDescent="0.2">
      <c r="C66" s="694">
        <v>2053</v>
      </c>
      <c r="D66" s="308">
        <f t="shared" si="26"/>
        <v>20856.818851510907</v>
      </c>
      <c r="E66" s="308">
        <f t="shared" si="25"/>
        <v>14829.865222113162</v>
      </c>
      <c r="F66" s="696">
        <f t="shared" si="25"/>
        <v>6945.013985273029</v>
      </c>
    </row>
    <row r="67" spans="3:6" x14ac:dyDescent="0.2">
      <c r="C67" s="694">
        <v>2054</v>
      </c>
      <c r="D67" s="308">
        <f t="shared" si="26"/>
        <v>21044.530221174504</v>
      </c>
      <c r="E67" s="308">
        <f t="shared" si="25"/>
        <v>14963.334009112179</v>
      </c>
      <c r="F67" s="696">
        <f t="shared" si="25"/>
        <v>7007.5191111404856</v>
      </c>
    </row>
    <row r="68" spans="3:6" ht="13.5" thickBot="1" x14ac:dyDescent="0.25">
      <c r="C68" s="702">
        <v>2055</v>
      </c>
      <c r="D68" s="539">
        <f t="shared" si="26"/>
        <v>21233.930993165071</v>
      </c>
      <c r="E68" s="539">
        <f t="shared" si="25"/>
        <v>15098.004015194187</v>
      </c>
      <c r="F68" s="703">
        <f t="shared" si="25"/>
        <v>7070.5867831407495</v>
      </c>
    </row>
  </sheetData>
  <mergeCells count="34">
    <mergeCell ref="K16:P16"/>
    <mergeCell ref="C27:F27"/>
    <mergeCell ref="E28:F28"/>
    <mergeCell ref="E14:G14"/>
    <mergeCell ref="E15:G15"/>
    <mergeCell ref="E16:G16"/>
    <mergeCell ref="C15:D15"/>
    <mergeCell ref="C16:D16"/>
    <mergeCell ref="C10:D10"/>
    <mergeCell ref="C11:D11"/>
    <mergeCell ref="C12:D12"/>
    <mergeCell ref="C13:D13"/>
    <mergeCell ref="C14:D14"/>
    <mergeCell ref="K11:P11"/>
    <mergeCell ref="K12:P12"/>
    <mergeCell ref="K13:P13"/>
    <mergeCell ref="K14:P14"/>
    <mergeCell ref="K15:P15"/>
    <mergeCell ref="B1:Q1"/>
    <mergeCell ref="B9:Q9"/>
    <mergeCell ref="B17:Q17"/>
    <mergeCell ref="Q19:Q24"/>
    <mergeCell ref="H10:J10"/>
    <mergeCell ref="H11:J11"/>
    <mergeCell ref="H12:J12"/>
    <mergeCell ref="H13:J13"/>
    <mergeCell ref="H14:J14"/>
    <mergeCell ref="H15:J15"/>
    <mergeCell ref="H16:J16"/>
    <mergeCell ref="E10:G10"/>
    <mergeCell ref="E11:G11"/>
    <mergeCell ref="E12:G12"/>
    <mergeCell ref="E13:G13"/>
    <mergeCell ref="K10:P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Summary</vt:lpstr>
      <vt:lpstr>Summary Table</vt:lpstr>
      <vt:lpstr>NPV</vt:lpstr>
      <vt:lpstr>Costs</vt:lpstr>
      <vt:lpstr>Safety</vt:lpstr>
      <vt:lpstr>State of Good Repair</vt:lpstr>
      <vt:lpstr>EC - Travel Time - Intersection</vt:lpstr>
      <vt:lpstr>EC - Travel Time - Roadway</vt:lpstr>
      <vt:lpstr>Segment AADTs</vt:lpstr>
      <vt:lpstr>QOL - Fuel Savings</vt:lpstr>
      <vt:lpstr>Environmental Protection</vt:lpstr>
      <vt:lpstr>Delay_Calcs</vt:lpstr>
      <vt:lpstr>Maintenance Costs</vt:lpstr>
      <vt:lpstr>Green House Gases</vt:lpstr>
      <vt:lpstr>'Maintenance Costs'!Print_Area</vt:lpstr>
      <vt:lpstr>NPV!Print_Area</vt:lpstr>
      <vt:lpstr>Safety!Print_Area</vt:lpstr>
      <vt:lpstr>'State of Good Repair'!Print_Area</vt:lpstr>
      <vt:lpstr>'Summary Table'!Print_Area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aaron.nathan</dc:creator>
  <cp:lastModifiedBy>S Templin</cp:lastModifiedBy>
  <cp:lastPrinted>2014-04-18T05:02:07Z</cp:lastPrinted>
  <dcterms:created xsi:type="dcterms:W3CDTF">2011-10-18T15:31:40Z</dcterms:created>
  <dcterms:modified xsi:type="dcterms:W3CDTF">2019-02-28T20:15:53Z</dcterms:modified>
</cp:coreProperties>
</file>